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1. ИП Газизов\1. ИП Газизов WB\17 неделя 20-26.04\"/>
    </mc:Choice>
  </mc:AlternateContent>
  <xr:revisionPtr revIDLastSave="0" documentId="13_ncr:1_{6EDF8469-D9E7-4995-B452-66245B3969A6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Реклама" sheetId="1" r:id="rId1"/>
    <sheet name="Сводная_план" sheetId="57" r:id="rId2"/>
    <sheet name="Сводная" sheetId="3" r:id="rId3"/>
    <sheet name="АВС 18" sheetId="63" state="hidden" r:id="rId4"/>
    <sheet name="АВС 17" sheetId="61" r:id="rId5"/>
    <sheet name="АВС 16" sheetId="55" state="hidden" r:id="rId6"/>
    <sheet name="АВС 15" sheetId="53" state="hidden" r:id="rId7"/>
    <sheet name="АВС 14" sheetId="48" state="hidden" r:id="rId8"/>
    <sheet name="АВС МАРТ" sheetId="50" state="hidden" r:id="rId9"/>
    <sheet name="АВС 13" sheetId="47" state="hidden" r:id="rId10"/>
    <sheet name="АВС 12" sheetId="46" state="hidden" r:id="rId11"/>
    <sheet name="АВС 11" sheetId="45" state="hidden" r:id="rId12"/>
    <sheet name="АВС 10" sheetId="44" state="hidden" r:id="rId13"/>
    <sheet name="АВС ФЕВРАЛЬ" sheetId="37" state="hidden" r:id="rId14"/>
    <sheet name="АВС 9" sheetId="36" state="hidden" r:id="rId15"/>
    <sheet name="АВС 8" sheetId="32" state="hidden" r:id="rId16"/>
    <sheet name="АВС ЯНВАРЬ" sheetId="16" state="hidden" r:id="rId17"/>
    <sheet name="2026" sheetId="38" r:id="rId18"/>
    <sheet name="Остаток на 01.04" sheetId="51" state="hidden" r:id="rId19"/>
    <sheet name="Юнит 18" sheetId="62" state="hidden" r:id="rId20"/>
    <sheet name="Юнит 17" sheetId="60" r:id="rId21"/>
    <sheet name="Юнит 16" sheetId="56" state="hidden" r:id="rId22"/>
    <sheet name="Юнит 15" sheetId="52" state="hidden" r:id="rId23"/>
    <sheet name="Остатки на 08.04" sheetId="54" state="hidden" r:id="rId24"/>
    <sheet name="Юнит 14" sheetId="49" state="hidden" r:id="rId25"/>
    <sheet name="МАРТ" sheetId="43" state="hidden" r:id="rId26"/>
    <sheet name="Юнит 13" sheetId="42" state="hidden" r:id="rId27"/>
    <sheet name="Юнит 12" sheetId="41" state="hidden" r:id="rId28"/>
    <sheet name="Юнит 11" sheetId="40" state="hidden" r:id="rId29"/>
    <sheet name="Юнит 10" sheetId="39" state="hidden" r:id="rId30"/>
    <sheet name="ФЕВРАЛЬ" sheetId="35" state="hidden" r:id="rId31"/>
    <sheet name="Юнит 9" sheetId="31" state="hidden" r:id="rId32"/>
    <sheet name="Юнит 8" sheetId="29" state="hidden" r:id="rId33"/>
    <sheet name="Юнит 7" sheetId="34" state="hidden" r:id="rId34"/>
    <sheet name="Юнит 6" sheetId="33" state="hidden" r:id="rId35"/>
    <sheet name="ЯНВАРЬ" sheetId="30" state="hidden" r:id="rId36"/>
    <sheet name="ДЕКАБРЬ" sheetId="28" state="hidden" r:id="rId3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38" i="57" l="1"/>
  <c r="W38" i="57"/>
  <c r="X38" i="57"/>
  <c r="AC24" i="57"/>
  <c r="Z24" i="57"/>
  <c r="Y24" i="57"/>
  <c r="X24" i="57"/>
  <c r="W24" i="57"/>
  <c r="U24" i="57"/>
  <c r="S24" i="57"/>
  <c r="R24" i="57"/>
  <c r="Q24" i="57"/>
  <c r="P24" i="57"/>
  <c r="N24" i="57"/>
  <c r="M24" i="57"/>
  <c r="O24" i="57" s="1"/>
  <c r="K24" i="57"/>
  <c r="L24" i="57" s="1"/>
  <c r="J24" i="57"/>
  <c r="I24" i="57"/>
  <c r="H24" i="57"/>
  <c r="G24" i="57"/>
  <c r="F23" i="57"/>
  <c r="AE23" i="57"/>
  <c r="J4" i="61"/>
  <c r="J10" i="61"/>
  <c r="J14" i="61"/>
  <c r="J12" i="61"/>
  <c r="J20" i="61"/>
  <c r="J6" i="61"/>
  <c r="J8" i="61"/>
  <c r="J13" i="61"/>
  <c r="J11" i="61"/>
  <c r="J5" i="61"/>
  <c r="J21" i="61"/>
  <c r="J15" i="61"/>
  <c r="J7" i="61"/>
  <c r="J17" i="61"/>
  <c r="J23" i="61"/>
  <c r="J57" i="61"/>
  <c r="J34" i="61"/>
  <c r="J27" i="61"/>
  <c r="J29" i="61"/>
  <c r="J58" i="61"/>
  <c r="J40" i="61"/>
  <c r="J59" i="61"/>
  <c r="J30" i="61"/>
  <c r="J41" i="61"/>
  <c r="J22" i="61"/>
  <c r="J60" i="61"/>
  <c r="J61" i="61"/>
  <c r="J62" i="61"/>
  <c r="J63" i="61"/>
  <c r="J35" i="61"/>
  <c r="J42" i="61"/>
  <c r="J64" i="61"/>
  <c r="J65" i="61"/>
  <c r="J66" i="61"/>
  <c r="J67" i="61"/>
  <c r="J43" i="61"/>
  <c r="J104" i="61"/>
  <c r="J44" i="61"/>
  <c r="J68" i="61"/>
  <c r="J36" i="61"/>
  <c r="J24" i="61"/>
  <c r="J25" i="61"/>
  <c r="J69" i="61"/>
  <c r="J32" i="61"/>
  <c r="J16" i="61"/>
  <c r="J19" i="61"/>
  <c r="J18" i="61"/>
  <c r="J70" i="61"/>
  <c r="J45" i="61"/>
  <c r="J71" i="61"/>
  <c r="J46" i="61"/>
  <c r="J72" i="61"/>
  <c r="J73" i="61"/>
  <c r="J74" i="61"/>
  <c r="J75" i="61"/>
  <c r="J76" i="61"/>
  <c r="J47" i="61"/>
  <c r="J105" i="61"/>
  <c r="J77" i="61"/>
  <c r="J78" i="61"/>
  <c r="J79" i="61"/>
  <c r="J80" i="61"/>
  <c r="J81" i="61"/>
  <c r="J82" i="61"/>
  <c r="J83" i="61"/>
  <c r="J48" i="61"/>
  <c r="J84" i="61"/>
  <c r="J85" i="61"/>
  <c r="J86" i="61"/>
  <c r="J49" i="61"/>
  <c r="J87" i="61"/>
  <c r="J50" i="61"/>
  <c r="J88" i="61"/>
  <c r="J51" i="61"/>
  <c r="J52" i="61"/>
  <c r="J28" i="61"/>
  <c r="J89" i="61"/>
  <c r="J90" i="61"/>
  <c r="J91" i="61"/>
  <c r="J92" i="61"/>
  <c r="J53" i="61"/>
  <c r="J93" i="61"/>
  <c r="J37" i="61"/>
  <c r="J31" i="61"/>
  <c r="J94" i="61"/>
  <c r="J54" i="61"/>
  <c r="J95" i="61"/>
  <c r="J55" i="61"/>
  <c r="J38" i="61"/>
  <c r="J96" i="61"/>
  <c r="J97" i="61"/>
  <c r="J98" i="61"/>
  <c r="J99" i="61"/>
  <c r="J100" i="61"/>
  <c r="J39" i="61"/>
  <c r="J101" i="61"/>
  <c r="J56" i="61"/>
  <c r="J102" i="61"/>
  <c r="J33" i="61"/>
  <c r="J103" i="61"/>
  <c r="J26" i="61"/>
  <c r="J9" i="61"/>
  <c r="C4" i="61"/>
  <c r="C8" i="61"/>
  <c r="C13" i="61"/>
  <c r="C9" i="61"/>
  <c r="C21" i="61"/>
  <c r="C7" i="61"/>
  <c r="C12" i="61"/>
  <c r="C14" i="61"/>
  <c r="C10" i="61"/>
  <c r="C6" i="61"/>
  <c r="C22" i="61"/>
  <c r="C15" i="61"/>
  <c r="C5" i="61"/>
  <c r="C17" i="61"/>
  <c r="C30" i="61"/>
  <c r="C49" i="61"/>
  <c r="C31" i="61"/>
  <c r="C24" i="61"/>
  <c r="C25" i="61"/>
  <c r="C50" i="61"/>
  <c r="C38" i="61"/>
  <c r="C51" i="61"/>
  <c r="C28" i="61"/>
  <c r="C82" i="61"/>
  <c r="C105" i="61"/>
  <c r="C52" i="61"/>
  <c r="C53" i="61"/>
  <c r="C54" i="61"/>
  <c r="C55" i="61"/>
  <c r="C36" i="61"/>
  <c r="C48" i="61"/>
  <c r="C56" i="61"/>
  <c r="C57" i="61"/>
  <c r="C86" i="61"/>
  <c r="C87" i="61"/>
  <c r="C44" i="61"/>
  <c r="C94" i="61"/>
  <c r="C39" i="61"/>
  <c r="C90" i="61"/>
  <c r="C32" i="61"/>
  <c r="C23" i="61"/>
  <c r="C104" i="61"/>
  <c r="C58" i="61"/>
  <c r="C27" i="61"/>
  <c r="C19" i="61"/>
  <c r="C20" i="61"/>
  <c r="C18" i="61"/>
  <c r="C76" i="61"/>
  <c r="C103" i="61"/>
  <c r="C95" i="61"/>
  <c r="C45" i="61"/>
  <c r="C77" i="61"/>
  <c r="C59" i="61"/>
  <c r="C60" i="61"/>
  <c r="C97" i="61"/>
  <c r="C61" i="61"/>
  <c r="C40" i="61"/>
  <c r="C93" i="61"/>
  <c r="C62" i="61"/>
  <c r="C63" i="61"/>
  <c r="C64" i="61"/>
  <c r="C78" i="61"/>
  <c r="C79" i="61"/>
  <c r="C65" i="61"/>
  <c r="C66" i="61"/>
  <c r="C42" i="61"/>
  <c r="C67" i="61"/>
  <c r="C85" i="61"/>
  <c r="C68" i="61"/>
  <c r="C43" i="61"/>
  <c r="C69" i="61"/>
  <c r="C83" i="61"/>
  <c r="C101" i="61"/>
  <c r="C96" i="61"/>
  <c r="C46" i="61"/>
  <c r="C29" i="61"/>
  <c r="C99" i="61"/>
  <c r="C81" i="61"/>
  <c r="C102" i="61"/>
  <c r="C88" i="61"/>
  <c r="C47" i="61"/>
  <c r="C98" i="61"/>
  <c r="C33" i="61"/>
  <c r="C26" i="61"/>
  <c r="C92" i="61"/>
  <c r="C35" i="61"/>
  <c r="C84" i="61"/>
  <c r="C100" i="61"/>
  <c r="C89" i="61"/>
  <c r="C91" i="61"/>
  <c r="C70" i="61"/>
  <c r="C71" i="61"/>
  <c r="C72" i="61"/>
  <c r="C80" i="61"/>
  <c r="C41" i="61"/>
  <c r="C73" i="61"/>
  <c r="C37" i="61"/>
  <c r="C74" i="61"/>
  <c r="C34" i="61"/>
  <c r="C75" i="61"/>
  <c r="C16" i="61"/>
  <c r="C11" i="61"/>
  <c r="C106" i="61" s="1"/>
  <c r="AI91" i="60"/>
  <c r="AI52" i="60"/>
  <c r="AI53" i="60"/>
  <c r="AI58" i="60"/>
  <c r="AI77" i="60"/>
  <c r="AI45" i="60"/>
  <c r="AI49" i="60"/>
  <c r="AI50" i="60"/>
  <c r="AI12" i="60"/>
  <c r="AI28" i="60"/>
  <c r="AI17" i="60"/>
  <c r="AI18" i="60"/>
  <c r="AI14" i="60"/>
  <c r="AI13" i="60"/>
  <c r="AI16" i="60"/>
  <c r="AI15" i="60"/>
  <c r="AI11" i="60"/>
  <c r="AI9" i="60"/>
  <c r="AI7" i="60"/>
  <c r="AI26" i="60"/>
  <c r="AI6" i="60"/>
  <c r="AI4" i="60"/>
  <c r="AI5" i="60"/>
  <c r="AI3" i="60"/>
  <c r="AI8" i="60"/>
  <c r="AH80" i="60"/>
  <c r="AH45" i="60"/>
  <c r="AH12" i="60"/>
  <c r="AH14" i="60"/>
  <c r="AH6" i="60"/>
  <c r="AB4" i="60"/>
  <c r="AB5" i="60"/>
  <c r="AB6" i="60"/>
  <c r="AB7" i="60"/>
  <c r="AB8" i="60"/>
  <c r="AB9" i="60"/>
  <c r="AB10" i="60"/>
  <c r="AB11" i="60"/>
  <c r="AB12" i="60"/>
  <c r="AB13" i="60"/>
  <c r="AB14" i="60"/>
  <c r="AB15" i="60"/>
  <c r="AB16" i="60"/>
  <c r="AB17" i="60"/>
  <c r="AB18" i="60"/>
  <c r="AB19" i="60"/>
  <c r="AB20" i="60"/>
  <c r="AB21" i="60"/>
  <c r="AB22" i="60"/>
  <c r="AB23" i="60"/>
  <c r="AB24" i="60"/>
  <c r="AB25" i="60"/>
  <c r="AB26" i="60"/>
  <c r="AB27" i="60"/>
  <c r="AB28" i="60"/>
  <c r="AB29" i="60"/>
  <c r="AB30" i="60"/>
  <c r="AB31" i="60"/>
  <c r="AB32" i="60"/>
  <c r="AB33" i="60"/>
  <c r="AB34" i="60"/>
  <c r="AB35" i="60"/>
  <c r="AB36" i="60"/>
  <c r="AB37" i="60"/>
  <c r="AB38" i="60"/>
  <c r="AB39" i="60"/>
  <c r="AB40" i="60"/>
  <c r="AB41" i="60"/>
  <c r="AB42" i="60"/>
  <c r="AB43" i="60"/>
  <c r="AB44" i="60"/>
  <c r="AB45" i="60"/>
  <c r="AB46" i="60"/>
  <c r="AB47" i="60"/>
  <c r="AB48" i="60"/>
  <c r="AB49" i="60"/>
  <c r="AB50" i="60"/>
  <c r="AB51" i="60"/>
  <c r="AB52" i="60"/>
  <c r="AB53" i="60"/>
  <c r="AB54" i="60"/>
  <c r="AB55" i="60"/>
  <c r="AB56" i="60"/>
  <c r="AB57" i="60"/>
  <c r="AB58" i="60"/>
  <c r="AB59" i="60"/>
  <c r="AB60" i="60"/>
  <c r="AB61" i="60"/>
  <c r="AB62" i="60"/>
  <c r="AB63" i="60"/>
  <c r="AB64" i="60"/>
  <c r="AB65" i="60"/>
  <c r="AB66" i="60"/>
  <c r="AB67" i="60"/>
  <c r="AB68" i="60"/>
  <c r="AB69" i="60"/>
  <c r="AB70" i="60"/>
  <c r="AB71" i="60"/>
  <c r="AB72" i="60"/>
  <c r="AB73" i="60"/>
  <c r="AB74" i="60"/>
  <c r="AB75" i="60"/>
  <c r="AB76" i="60"/>
  <c r="AB77" i="60"/>
  <c r="AB78" i="60"/>
  <c r="AB79" i="60"/>
  <c r="AB80" i="60"/>
  <c r="AB81" i="60"/>
  <c r="AB82" i="60"/>
  <c r="AB83" i="60"/>
  <c r="AB84" i="60"/>
  <c r="AB85" i="60"/>
  <c r="AB86" i="60"/>
  <c r="AB87" i="60"/>
  <c r="AB88" i="60"/>
  <c r="AB89" i="60"/>
  <c r="AB90" i="60"/>
  <c r="AB91" i="60"/>
  <c r="AB92" i="60"/>
  <c r="AB93" i="60"/>
  <c r="AB94" i="60"/>
  <c r="AB95" i="60"/>
  <c r="AB96" i="60"/>
  <c r="AB97" i="60"/>
  <c r="AB98" i="60"/>
  <c r="AB99" i="60"/>
  <c r="AB100" i="60"/>
  <c r="AB101" i="60"/>
  <c r="AB102" i="60"/>
  <c r="AB103" i="60"/>
  <c r="AB104" i="60"/>
  <c r="AH24" i="57" l="1"/>
  <c r="AF24" i="57"/>
  <c r="AE24" i="57"/>
  <c r="F24" i="57"/>
  <c r="AK24" i="57"/>
  <c r="J106" i="61"/>
  <c r="AI24" i="57" l="1"/>
  <c r="AJ24" i="57"/>
  <c r="AA104" i="60"/>
  <c r="AF104" i="60" s="1"/>
  <c r="X104" i="60"/>
  <c r="U104" i="60"/>
  <c r="AD104" i="60" s="1"/>
  <c r="X99" i="60" l="1"/>
  <c r="AA99" i="60"/>
  <c r="AF99" i="60" s="1"/>
  <c r="U100" i="60"/>
  <c r="AD100" i="60" s="1"/>
  <c r="X100" i="60"/>
  <c r="AA100" i="60"/>
  <c r="U101" i="60"/>
  <c r="AD101" i="60" s="1"/>
  <c r="AA101" i="60"/>
  <c r="AF101" i="60" s="1"/>
  <c r="U102" i="60"/>
  <c r="AD102" i="60" s="1"/>
  <c r="X102" i="60"/>
  <c r="AA102" i="60"/>
  <c r="AF102" i="60" s="1"/>
  <c r="U103" i="60"/>
  <c r="AD103" i="60" s="1"/>
  <c r="X103" i="60"/>
  <c r="AF100" i="60" l="1"/>
  <c r="X101" i="60"/>
  <c r="AA103" i="60"/>
  <c r="AF103" i="60" s="1"/>
  <c r="U99" i="60"/>
  <c r="AD99" i="60" s="1"/>
  <c r="U49" i="60" l="1"/>
  <c r="AD49" i="60" s="1"/>
  <c r="X49" i="60"/>
  <c r="U50" i="60"/>
  <c r="AD50" i="60" s="1"/>
  <c r="X50" i="60"/>
  <c r="AA51" i="60"/>
  <c r="AF51" i="60" s="1"/>
  <c r="U52" i="60"/>
  <c r="AD52" i="60" s="1"/>
  <c r="X52" i="60"/>
  <c r="U53" i="60"/>
  <c r="AD53" i="60" s="1"/>
  <c r="AA53" i="60"/>
  <c r="AF53" i="60" s="1"/>
  <c r="X54" i="60"/>
  <c r="U55" i="60"/>
  <c r="AD55" i="60" s="1"/>
  <c r="AA55" i="60"/>
  <c r="AF55" i="60" s="1"/>
  <c r="X56" i="60"/>
  <c r="U57" i="60"/>
  <c r="AD57" i="60" s="1"/>
  <c r="AA57" i="60"/>
  <c r="AF57" i="60" s="1"/>
  <c r="X58" i="60"/>
  <c r="U59" i="60"/>
  <c r="AD59" i="60" s="1"/>
  <c r="AA59" i="60"/>
  <c r="AF59" i="60" s="1"/>
  <c r="X60" i="60"/>
  <c r="U61" i="60"/>
  <c r="AD61" i="60" s="1"/>
  <c r="AA61" i="60"/>
  <c r="X62" i="60"/>
  <c r="U63" i="60"/>
  <c r="AD63" i="60" s="1"/>
  <c r="AA63" i="60"/>
  <c r="AF63" i="60" s="1"/>
  <c r="X64" i="60"/>
  <c r="X66" i="60"/>
  <c r="AA67" i="60"/>
  <c r="AF67" i="60" s="1"/>
  <c r="X68" i="60"/>
  <c r="U69" i="60"/>
  <c r="AD69" i="60" s="1"/>
  <c r="X70" i="60"/>
  <c r="U71" i="60"/>
  <c r="AD71" i="60" s="1"/>
  <c r="AA71" i="60"/>
  <c r="AF71" i="60" s="1"/>
  <c r="X72" i="60"/>
  <c r="U73" i="60"/>
  <c r="AD73" i="60" s="1"/>
  <c r="AA73" i="60"/>
  <c r="U72" i="60" l="1"/>
  <c r="AD72" i="60" s="1"/>
  <c r="X71" i="60"/>
  <c r="AA70" i="60"/>
  <c r="AF70" i="60" s="1"/>
  <c r="U68" i="60"/>
  <c r="AD68" i="60" s="1"/>
  <c r="X67" i="60"/>
  <c r="AA66" i="60"/>
  <c r="AF66" i="60" s="1"/>
  <c r="U64" i="60"/>
  <c r="AD64" i="60" s="1"/>
  <c r="X63" i="60"/>
  <c r="AA62" i="60"/>
  <c r="AF62" i="60" s="1"/>
  <c r="U60" i="60"/>
  <c r="AD60" i="60" s="1"/>
  <c r="X59" i="60"/>
  <c r="AA58" i="60"/>
  <c r="AF58" i="60" s="1"/>
  <c r="U56" i="60"/>
  <c r="AD56" i="60" s="1"/>
  <c r="X55" i="60"/>
  <c r="AA54" i="60"/>
  <c r="AF54" i="60" s="1"/>
  <c r="X51" i="60"/>
  <c r="AA50" i="60"/>
  <c r="AF50" i="60" s="1"/>
  <c r="U67" i="60"/>
  <c r="AD67" i="60" s="1"/>
  <c r="U51" i="60"/>
  <c r="AD51" i="60" s="1"/>
  <c r="AA49" i="60"/>
  <c r="AF49" i="60" s="1"/>
  <c r="AA69" i="60"/>
  <c r="AF69" i="60" s="1"/>
  <c r="AA65" i="60"/>
  <c r="AF65" i="60" s="1"/>
  <c r="AF61" i="60"/>
  <c r="AA74" i="60"/>
  <c r="AF74" i="60" s="1"/>
  <c r="AF73" i="60"/>
  <c r="X74" i="60"/>
  <c r="U74" i="60"/>
  <c r="AD74" i="60" s="1"/>
  <c r="X73" i="60"/>
  <c r="AA72" i="60"/>
  <c r="AF72" i="60" s="1"/>
  <c r="U70" i="60"/>
  <c r="AD70" i="60" s="1"/>
  <c r="X69" i="60"/>
  <c r="AA68" i="60"/>
  <c r="AF68" i="60" s="1"/>
  <c r="U66" i="60"/>
  <c r="AD66" i="60" s="1"/>
  <c r="X65" i="60"/>
  <c r="AA64" i="60"/>
  <c r="AF64" i="60" s="1"/>
  <c r="U62" i="60"/>
  <c r="AD62" i="60" s="1"/>
  <c r="X61" i="60"/>
  <c r="AA60" i="60"/>
  <c r="AF60" i="60" s="1"/>
  <c r="U58" i="60"/>
  <c r="AD58" i="60" s="1"/>
  <c r="X57" i="60"/>
  <c r="AA56" i="60"/>
  <c r="AF56" i="60" s="1"/>
  <c r="U54" i="60"/>
  <c r="AD54" i="60" s="1"/>
  <c r="X53" i="60"/>
  <c r="AA52" i="60"/>
  <c r="AF52" i="60" s="1"/>
  <c r="U65" i="60"/>
  <c r="AD65" i="60" s="1"/>
  <c r="U89" i="60"/>
  <c r="AD89" i="60" s="1"/>
  <c r="X89" i="60"/>
  <c r="AA89" i="60"/>
  <c r="U90" i="60"/>
  <c r="AD90" i="60" s="1"/>
  <c r="X90" i="60"/>
  <c r="U91" i="60"/>
  <c r="AD91" i="60" s="1"/>
  <c r="U93" i="60"/>
  <c r="AD93" i="60" s="1"/>
  <c r="X93" i="60"/>
  <c r="AA93" i="60"/>
  <c r="AF93" i="60" s="1"/>
  <c r="X35" i="60"/>
  <c r="U36" i="60"/>
  <c r="AD36" i="60" s="1"/>
  <c r="U38" i="60"/>
  <c r="AD38" i="60" s="1"/>
  <c r="X38" i="60"/>
  <c r="AA38" i="60"/>
  <c r="AF38" i="60" s="1"/>
  <c r="U39" i="60"/>
  <c r="AD39" i="60" s="1"/>
  <c r="X39" i="60"/>
  <c r="AA39" i="60"/>
  <c r="U40" i="60"/>
  <c r="AD40" i="60" s="1"/>
  <c r="X40" i="60"/>
  <c r="U35" i="60" l="1"/>
  <c r="AD35" i="60" s="1"/>
  <c r="AA37" i="60"/>
  <c r="AF37" i="60" s="1"/>
  <c r="AA92" i="60"/>
  <c r="AF92" i="60" s="1"/>
  <c r="X37" i="60"/>
  <c r="AA36" i="60"/>
  <c r="AF36" i="60" s="1"/>
  <c r="X92" i="60"/>
  <c r="AA91" i="60"/>
  <c r="AF91" i="60" s="1"/>
  <c r="AA40" i="60"/>
  <c r="AF40" i="60" s="1"/>
  <c r="U37" i="60"/>
  <c r="AD37" i="60" s="1"/>
  <c r="X36" i="60"/>
  <c r="AA35" i="60"/>
  <c r="AF35" i="60" s="1"/>
  <c r="U92" i="60"/>
  <c r="AD92" i="60" s="1"/>
  <c r="X91" i="60"/>
  <c r="AA90" i="60"/>
  <c r="AF90" i="60" s="1"/>
  <c r="AF39" i="60"/>
  <c r="AF89" i="60"/>
  <c r="U4" i="60" l="1"/>
  <c r="AD4" i="60" s="1"/>
  <c r="X4" i="60"/>
  <c r="AA4" i="60"/>
  <c r="AF4" i="60" s="1"/>
  <c r="U5" i="60"/>
  <c r="AD5" i="60" s="1"/>
  <c r="X5" i="60"/>
  <c r="AA5" i="60"/>
  <c r="U6" i="60"/>
  <c r="AD6" i="60" s="1"/>
  <c r="X6" i="60"/>
  <c r="AA6" i="60"/>
  <c r="U7" i="60"/>
  <c r="AD7" i="60" s="1"/>
  <c r="X7" i="60"/>
  <c r="AA7" i="60"/>
  <c r="U8" i="60"/>
  <c r="AD8" i="60" s="1"/>
  <c r="X8" i="60"/>
  <c r="AA8" i="60"/>
  <c r="AF8" i="60" s="1"/>
  <c r="U9" i="60"/>
  <c r="AD9" i="60" s="1"/>
  <c r="X9" i="60"/>
  <c r="AA9" i="60"/>
  <c r="AF9" i="60" s="1"/>
  <c r="U10" i="60"/>
  <c r="AD10" i="60" s="1"/>
  <c r="X10" i="60"/>
  <c r="AA10" i="60"/>
  <c r="AF10" i="60" s="1"/>
  <c r="U11" i="60"/>
  <c r="AD11" i="60" s="1"/>
  <c r="X11" i="60"/>
  <c r="AA11" i="60"/>
  <c r="AF11" i="60" s="1"/>
  <c r="U12" i="60"/>
  <c r="AD12" i="60" s="1"/>
  <c r="X12" i="60"/>
  <c r="AA12" i="60"/>
  <c r="AF12" i="60" s="1"/>
  <c r="U13" i="60"/>
  <c r="AD13" i="60" s="1"/>
  <c r="X13" i="60"/>
  <c r="AA13" i="60"/>
  <c r="AF13" i="60" s="1"/>
  <c r="U14" i="60"/>
  <c r="AD14" i="60" s="1"/>
  <c r="X14" i="60"/>
  <c r="AA14" i="60"/>
  <c r="U15" i="60"/>
  <c r="AD15" i="60" s="1"/>
  <c r="X15" i="60"/>
  <c r="AA15" i="60"/>
  <c r="U16" i="60"/>
  <c r="AD16" i="60" s="1"/>
  <c r="X16" i="60"/>
  <c r="AA16" i="60"/>
  <c r="U17" i="60"/>
  <c r="AD17" i="60" s="1"/>
  <c r="X17" i="60"/>
  <c r="AA17" i="60"/>
  <c r="AF17" i="60" s="1"/>
  <c r="U18" i="60"/>
  <c r="AD18" i="60" s="1"/>
  <c r="X18" i="60"/>
  <c r="AA18" i="60"/>
  <c r="AF18" i="60" s="1"/>
  <c r="U19" i="60"/>
  <c r="AD19" i="60" s="1"/>
  <c r="X19" i="60"/>
  <c r="AA19" i="60"/>
  <c r="AF19" i="60" s="1"/>
  <c r="U20" i="60"/>
  <c r="AD20" i="60" s="1"/>
  <c r="X20" i="60"/>
  <c r="AA20" i="60"/>
  <c r="AF20" i="60" s="1"/>
  <c r="U21" i="60"/>
  <c r="AD21" i="60" s="1"/>
  <c r="X21" i="60"/>
  <c r="AA21" i="60"/>
  <c r="AF21" i="60" s="1"/>
  <c r="U22" i="60"/>
  <c r="AD22" i="60" s="1"/>
  <c r="X22" i="60"/>
  <c r="AA22" i="60"/>
  <c r="U23" i="60"/>
  <c r="AD23" i="60" s="1"/>
  <c r="X23" i="60"/>
  <c r="AA23" i="60"/>
  <c r="AF23" i="60" s="1"/>
  <c r="U24" i="60"/>
  <c r="AD24" i="60" s="1"/>
  <c r="X24" i="60"/>
  <c r="AA24" i="60"/>
  <c r="U25" i="60"/>
  <c r="AD25" i="60" s="1"/>
  <c r="X25" i="60"/>
  <c r="AA25" i="60"/>
  <c r="AF25" i="60" s="1"/>
  <c r="U26" i="60"/>
  <c r="AD26" i="60" s="1"/>
  <c r="X26" i="60"/>
  <c r="AA26" i="60"/>
  <c r="AF26" i="60" s="1"/>
  <c r="U27" i="60"/>
  <c r="AD27" i="60" s="1"/>
  <c r="X27" i="60"/>
  <c r="AA27" i="60"/>
  <c r="AF27" i="60" s="1"/>
  <c r="U28" i="60"/>
  <c r="AD28" i="60" s="1"/>
  <c r="X28" i="60"/>
  <c r="AA28" i="60"/>
  <c r="AF28" i="60" s="1"/>
  <c r="U29" i="60"/>
  <c r="AD29" i="60" s="1"/>
  <c r="X29" i="60"/>
  <c r="AA29" i="60"/>
  <c r="AF29" i="60" s="1"/>
  <c r="U30" i="60"/>
  <c r="AD30" i="60" s="1"/>
  <c r="X30" i="60"/>
  <c r="AA30" i="60"/>
  <c r="AF30" i="60" s="1"/>
  <c r="U31" i="60"/>
  <c r="AD31" i="60" s="1"/>
  <c r="X31" i="60"/>
  <c r="AA31" i="60"/>
  <c r="AF31" i="60" s="1"/>
  <c r="U32" i="60"/>
  <c r="AD32" i="60" s="1"/>
  <c r="X32" i="60"/>
  <c r="AA32" i="60"/>
  <c r="AF32" i="60" s="1"/>
  <c r="U33" i="60"/>
  <c r="AD33" i="60" s="1"/>
  <c r="X33" i="60"/>
  <c r="AA33" i="60"/>
  <c r="AF33" i="60" s="1"/>
  <c r="U34" i="60"/>
  <c r="AD34" i="60" s="1"/>
  <c r="X34" i="60"/>
  <c r="AA34" i="60"/>
  <c r="AF34" i="60" s="1"/>
  <c r="U41" i="60"/>
  <c r="AD41" i="60" s="1"/>
  <c r="X41" i="60"/>
  <c r="AA41" i="60"/>
  <c r="AF41" i="60" s="1"/>
  <c r="U42" i="60"/>
  <c r="AD42" i="60" s="1"/>
  <c r="X42" i="60"/>
  <c r="AA42" i="60"/>
  <c r="AF42" i="60" s="1"/>
  <c r="U43" i="60"/>
  <c r="AD43" i="60" s="1"/>
  <c r="X43" i="60"/>
  <c r="AA43" i="60"/>
  <c r="AF43" i="60" s="1"/>
  <c r="U44" i="60"/>
  <c r="AD44" i="60" s="1"/>
  <c r="X44" i="60"/>
  <c r="AA44" i="60"/>
  <c r="AF44" i="60" s="1"/>
  <c r="U45" i="60"/>
  <c r="AD45" i="60" s="1"/>
  <c r="X45" i="60"/>
  <c r="AA45" i="60"/>
  <c r="AF45" i="60" s="1"/>
  <c r="U46" i="60"/>
  <c r="AD46" i="60" s="1"/>
  <c r="X46" i="60"/>
  <c r="AA46" i="60"/>
  <c r="AF46" i="60" s="1"/>
  <c r="U47" i="60"/>
  <c r="AD47" i="60" s="1"/>
  <c r="X47" i="60"/>
  <c r="AA47" i="60"/>
  <c r="U48" i="60"/>
  <c r="AD48" i="60" s="1"/>
  <c r="X48" i="60"/>
  <c r="AA48" i="60"/>
  <c r="U75" i="60"/>
  <c r="AD75" i="60" s="1"/>
  <c r="X75" i="60"/>
  <c r="AA75" i="60"/>
  <c r="U76" i="60"/>
  <c r="AD76" i="60" s="1"/>
  <c r="X76" i="60"/>
  <c r="AA76" i="60"/>
  <c r="AF76" i="60" s="1"/>
  <c r="U77" i="60"/>
  <c r="AD77" i="60" s="1"/>
  <c r="X77" i="60"/>
  <c r="AA77" i="60"/>
  <c r="AF77" i="60" s="1"/>
  <c r="U78" i="60"/>
  <c r="AD78" i="60" s="1"/>
  <c r="X78" i="60"/>
  <c r="AA78" i="60"/>
  <c r="AF78" i="60" s="1"/>
  <c r="U79" i="60"/>
  <c r="AD79" i="60" s="1"/>
  <c r="X79" i="60"/>
  <c r="AA79" i="60"/>
  <c r="AF79" i="60" s="1"/>
  <c r="U80" i="60"/>
  <c r="AD80" i="60" s="1"/>
  <c r="X80" i="60"/>
  <c r="AA80" i="60"/>
  <c r="AF80" i="60" s="1"/>
  <c r="U81" i="60"/>
  <c r="AD81" i="60" s="1"/>
  <c r="X81" i="60"/>
  <c r="AA81" i="60"/>
  <c r="AF81" i="60" s="1"/>
  <c r="U82" i="60"/>
  <c r="AD82" i="60" s="1"/>
  <c r="X82" i="60"/>
  <c r="AA82" i="60"/>
  <c r="AF82" i="60" s="1"/>
  <c r="U83" i="60"/>
  <c r="AD83" i="60" s="1"/>
  <c r="X83" i="60"/>
  <c r="AA83" i="60"/>
  <c r="AF83" i="60" s="1"/>
  <c r="U84" i="60"/>
  <c r="AD84" i="60" s="1"/>
  <c r="X84" i="60"/>
  <c r="AA84" i="60"/>
  <c r="U85" i="60"/>
  <c r="AD85" i="60" s="1"/>
  <c r="X85" i="60"/>
  <c r="AA85" i="60"/>
  <c r="AF85" i="60" s="1"/>
  <c r="U86" i="60"/>
  <c r="AD86" i="60" s="1"/>
  <c r="X86" i="60"/>
  <c r="AA86" i="60"/>
  <c r="AF86" i="60" s="1"/>
  <c r="U87" i="60"/>
  <c r="AD87" i="60" s="1"/>
  <c r="X87" i="60"/>
  <c r="AA87" i="60"/>
  <c r="AF87" i="60" s="1"/>
  <c r="U88" i="60"/>
  <c r="AD88" i="60" s="1"/>
  <c r="X88" i="60"/>
  <c r="AA88" i="60"/>
  <c r="AF88" i="60" s="1"/>
  <c r="U94" i="60"/>
  <c r="AD94" i="60" s="1"/>
  <c r="X94" i="60"/>
  <c r="AA94" i="60"/>
  <c r="AF94" i="60" s="1"/>
  <c r="U95" i="60"/>
  <c r="AD95" i="60" s="1"/>
  <c r="X95" i="60"/>
  <c r="AA95" i="60"/>
  <c r="AF95" i="60" s="1"/>
  <c r="U96" i="60"/>
  <c r="AD96" i="60" s="1"/>
  <c r="X96" i="60"/>
  <c r="AA96" i="60"/>
  <c r="AF96" i="60" s="1"/>
  <c r="U97" i="60"/>
  <c r="AD97" i="60" s="1"/>
  <c r="X97" i="60"/>
  <c r="AA97" i="60"/>
  <c r="AF97" i="60" s="1"/>
  <c r="U98" i="60"/>
  <c r="AD98" i="60" s="1"/>
  <c r="X98" i="60"/>
  <c r="AA98" i="60"/>
  <c r="AF98" i="60" s="1"/>
  <c r="AF47" i="60" l="1"/>
  <c r="AF22" i="60"/>
  <c r="AF14" i="60"/>
  <c r="AF6" i="60"/>
  <c r="AF48" i="60"/>
  <c r="AF15" i="60"/>
  <c r="AF7" i="60"/>
  <c r="AF75" i="60"/>
  <c r="AF24" i="60"/>
  <c r="AF16" i="60"/>
  <c r="AF84" i="60"/>
  <c r="AF5" i="60"/>
  <c r="Y24" i="3" l="1"/>
  <c r="AJ10" i="60"/>
  <c r="AJ28" i="60"/>
  <c r="AI80" i="60"/>
  <c r="H106" i="60"/>
  <c r="H127" i="60" s="1"/>
  <c r="G106" i="60"/>
  <c r="G127" i="60" s="1"/>
  <c r="F106" i="60"/>
  <c r="F127" i="60" s="1"/>
  <c r="G126" i="60"/>
  <c r="H126" i="60"/>
  <c r="F126" i="60"/>
  <c r="F114" i="60"/>
  <c r="G114" i="60"/>
  <c r="H114" i="60"/>
  <c r="F125" i="60"/>
  <c r="G125" i="60"/>
  <c r="H125" i="60"/>
  <c r="J106" i="60"/>
  <c r="J127" i="60" s="1"/>
  <c r="I106" i="60"/>
  <c r="I127" i="60" s="1"/>
  <c r="I114" i="60"/>
  <c r="J114" i="60"/>
  <c r="I125" i="60"/>
  <c r="J125" i="60"/>
  <c r="I126" i="60"/>
  <c r="J126" i="60"/>
  <c r="J106" i="63" l="1"/>
  <c r="K101" i="63" s="1"/>
  <c r="C106" i="63"/>
  <c r="D105" i="63" s="1"/>
  <c r="K105" i="63"/>
  <c r="G105" i="63"/>
  <c r="D104" i="63"/>
  <c r="D103" i="63"/>
  <c r="K102" i="63"/>
  <c r="D102" i="63"/>
  <c r="D101" i="63"/>
  <c r="K100" i="63"/>
  <c r="D100" i="63"/>
  <c r="K99" i="63"/>
  <c r="D99" i="63"/>
  <c r="K98" i="63"/>
  <c r="D98" i="63"/>
  <c r="K97" i="63"/>
  <c r="D97" i="63"/>
  <c r="K96" i="63"/>
  <c r="D96" i="63"/>
  <c r="K95" i="63"/>
  <c r="D95" i="63"/>
  <c r="K94" i="63"/>
  <c r="D94" i="63"/>
  <c r="K93" i="63"/>
  <c r="D93" i="63"/>
  <c r="K92" i="63"/>
  <c r="D92" i="63"/>
  <c r="K91" i="63"/>
  <c r="D91" i="63"/>
  <c r="K90" i="63"/>
  <c r="D90" i="63"/>
  <c r="K89" i="63"/>
  <c r="D89" i="63"/>
  <c r="K88" i="63"/>
  <c r="D88" i="63"/>
  <c r="K87" i="63"/>
  <c r="D87" i="63"/>
  <c r="K86" i="63"/>
  <c r="D86" i="63"/>
  <c r="K85" i="63"/>
  <c r="D85" i="63"/>
  <c r="K84" i="63"/>
  <c r="D84" i="63"/>
  <c r="K83" i="63"/>
  <c r="D83" i="63"/>
  <c r="K82" i="63"/>
  <c r="D82" i="63"/>
  <c r="K81" i="63"/>
  <c r="D81" i="63"/>
  <c r="K80" i="63"/>
  <c r="D80" i="63"/>
  <c r="K79" i="63"/>
  <c r="D79" i="63"/>
  <c r="K78" i="63"/>
  <c r="D78" i="63"/>
  <c r="K77" i="63"/>
  <c r="D77" i="63"/>
  <c r="K76" i="63"/>
  <c r="D76" i="63"/>
  <c r="K75" i="63"/>
  <c r="D75" i="63"/>
  <c r="K74" i="63"/>
  <c r="D74" i="63"/>
  <c r="K73" i="63"/>
  <c r="D73" i="63"/>
  <c r="K72" i="63"/>
  <c r="D72" i="63"/>
  <c r="K71" i="63"/>
  <c r="D71" i="63"/>
  <c r="K70" i="63"/>
  <c r="D70" i="63"/>
  <c r="K69" i="63"/>
  <c r="D69" i="63"/>
  <c r="K68" i="63"/>
  <c r="D68" i="63"/>
  <c r="K67" i="63"/>
  <c r="D67" i="63"/>
  <c r="K66" i="63"/>
  <c r="D66" i="63"/>
  <c r="K65" i="63"/>
  <c r="D65" i="63"/>
  <c r="K64" i="63"/>
  <c r="D64" i="63"/>
  <c r="K63" i="63"/>
  <c r="D63" i="63"/>
  <c r="K62" i="63"/>
  <c r="D62" i="63"/>
  <c r="K61" i="63"/>
  <c r="D61" i="63"/>
  <c r="K60" i="63"/>
  <c r="D60" i="63"/>
  <c r="K59" i="63"/>
  <c r="D59" i="63"/>
  <c r="K58" i="63"/>
  <c r="D58" i="63"/>
  <c r="K57" i="63"/>
  <c r="D57" i="63"/>
  <c r="K56" i="63"/>
  <c r="D56" i="63"/>
  <c r="K55" i="63"/>
  <c r="D55" i="63"/>
  <c r="K54" i="63"/>
  <c r="D54" i="63"/>
  <c r="K53" i="63"/>
  <c r="D53" i="63"/>
  <c r="K52" i="63"/>
  <c r="D52" i="63"/>
  <c r="K51" i="63"/>
  <c r="D51" i="63"/>
  <c r="K50" i="63"/>
  <c r="D50" i="63"/>
  <c r="K49" i="63"/>
  <c r="D49" i="63"/>
  <c r="K48" i="63"/>
  <c r="D48" i="63"/>
  <c r="K47" i="63"/>
  <c r="D47" i="63"/>
  <c r="K46" i="63"/>
  <c r="D46" i="63"/>
  <c r="K45" i="63"/>
  <c r="D45" i="63"/>
  <c r="K44" i="63"/>
  <c r="D44" i="63"/>
  <c r="K43" i="63"/>
  <c r="D43" i="63"/>
  <c r="K42" i="63"/>
  <c r="D42" i="63"/>
  <c r="K41" i="63"/>
  <c r="D41" i="63"/>
  <c r="K40" i="63"/>
  <c r="D40" i="63"/>
  <c r="K39" i="63"/>
  <c r="D39" i="63"/>
  <c r="K38" i="63"/>
  <c r="D38" i="63"/>
  <c r="K37" i="63"/>
  <c r="D37" i="63"/>
  <c r="K36" i="63"/>
  <c r="D36" i="63"/>
  <c r="K35" i="63"/>
  <c r="D35" i="63"/>
  <c r="K34" i="63"/>
  <c r="D34" i="63"/>
  <c r="K33" i="63"/>
  <c r="D33" i="63"/>
  <c r="K32" i="63"/>
  <c r="D32" i="63"/>
  <c r="K31" i="63"/>
  <c r="D31" i="63"/>
  <c r="K30" i="63"/>
  <c r="D30" i="63"/>
  <c r="K29" i="63"/>
  <c r="D29" i="63"/>
  <c r="K28" i="63"/>
  <c r="D28" i="63"/>
  <c r="K27" i="63"/>
  <c r="D27" i="63"/>
  <c r="K26" i="63"/>
  <c r="D26" i="63"/>
  <c r="K25" i="63"/>
  <c r="D25" i="63"/>
  <c r="K24" i="63"/>
  <c r="D24" i="63"/>
  <c r="K23" i="63"/>
  <c r="D23" i="63"/>
  <c r="K22" i="63"/>
  <c r="D22" i="63"/>
  <c r="K21" i="63"/>
  <c r="D21" i="63"/>
  <c r="K20" i="63"/>
  <c r="D20" i="63"/>
  <c r="K19" i="63"/>
  <c r="D19" i="63"/>
  <c r="K18" i="63"/>
  <c r="D18" i="63"/>
  <c r="K17" i="63"/>
  <c r="D17" i="63"/>
  <c r="K16" i="63"/>
  <c r="D16" i="63"/>
  <c r="K15" i="63"/>
  <c r="D15" i="63"/>
  <c r="K14" i="63"/>
  <c r="D14" i="63"/>
  <c r="K13" i="63"/>
  <c r="D13" i="63"/>
  <c r="K12" i="63"/>
  <c r="D12" i="63"/>
  <c r="K11" i="63"/>
  <c r="D11" i="63"/>
  <c r="K10" i="63"/>
  <c r="D10" i="63"/>
  <c r="K9" i="63"/>
  <c r="D9" i="63"/>
  <c r="K8" i="63"/>
  <c r="D8" i="63"/>
  <c r="K7" i="63"/>
  <c r="D7" i="63"/>
  <c r="K6" i="63"/>
  <c r="D6" i="63"/>
  <c r="K5" i="63"/>
  <c r="D5" i="63"/>
  <c r="M4" i="63"/>
  <c r="G4" i="63" s="1"/>
  <c r="L4" i="63"/>
  <c r="L5" i="63" s="1"/>
  <c r="K4" i="63"/>
  <c r="K106" i="63" s="1"/>
  <c r="D4" i="63"/>
  <c r="D106" i="63" s="1"/>
  <c r="M5" i="63" l="1"/>
  <c r="G5" i="63" s="1"/>
  <c r="L6" i="63"/>
  <c r="K104" i="63"/>
  <c r="K103" i="63"/>
  <c r="E4" i="63"/>
  <c r="Z24" i="3"/>
  <c r="AO126" i="62"/>
  <c r="AN126" i="62"/>
  <c r="AM126" i="62"/>
  <c r="AL126" i="62"/>
  <c r="AK126" i="62"/>
  <c r="AJ126" i="62"/>
  <c r="AI126" i="62"/>
  <c r="AH126" i="62"/>
  <c r="AG126" i="62"/>
  <c r="AF126" i="62"/>
  <c r="AE126" i="62"/>
  <c r="AD126" i="62"/>
  <c r="AC126" i="62"/>
  <c r="AB126" i="62"/>
  <c r="AA126" i="62"/>
  <c r="Z126" i="62"/>
  <c r="Y126" i="62"/>
  <c r="X126" i="62"/>
  <c r="W126" i="62"/>
  <c r="V126" i="62"/>
  <c r="U126" i="62"/>
  <c r="T126" i="62"/>
  <c r="S126" i="62"/>
  <c r="R126" i="62"/>
  <c r="Q126" i="62"/>
  <c r="N126" i="62"/>
  <c r="M126" i="62"/>
  <c r="L126" i="62"/>
  <c r="J126" i="62"/>
  <c r="I126" i="62"/>
  <c r="H126" i="62"/>
  <c r="G126" i="62"/>
  <c r="F126" i="62"/>
  <c r="E126" i="62"/>
  <c r="AM126" i="60"/>
  <c r="AK126" i="60"/>
  <c r="AJ126" i="60"/>
  <c r="AI126" i="60"/>
  <c r="AH126" i="60"/>
  <c r="AG126" i="60"/>
  <c r="AE126" i="60"/>
  <c r="Z126" i="60"/>
  <c r="Y126" i="60"/>
  <c r="W126" i="60"/>
  <c r="V126" i="60"/>
  <c r="T126" i="60"/>
  <c r="S126" i="60"/>
  <c r="N126" i="60"/>
  <c r="M126" i="60"/>
  <c r="R127" i="62"/>
  <c r="Q127" i="62"/>
  <c r="P127" i="62"/>
  <c r="O127" i="62"/>
  <c r="M127" i="62"/>
  <c r="K127" i="62"/>
  <c r="J127" i="62"/>
  <c r="AZ125" i="62"/>
  <c r="AO125" i="62"/>
  <c r="AN125" i="62"/>
  <c r="AM125" i="62"/>
  <c r="AL125" i="62"/>
  <c r="AK125" i="62"/>
  <c r="AJ125" i="62"/>
  <c r="AI125" i="62"/>
  <c r="AH125" i="62"/>
  <c r="AU125" i="62" s="1"/>
  <c r="AG125" i="62"/>
  <c r="AF125" i="62"/>
  <c r="AE125" i="62"/>
  <c r="AD125" i="62"/>
  <c r="AC125" i="62"/>
  <c r="AB125" i="62"/>
  <c r="AA125" i="62"/>
  <c r="Z125" i="62"/>
  <c r="Y125" i="62"/>
  <c r="X125" i="62"/>
  <c r="W125" i="62"/>
  <c r="V125" i="62"/>
  <c r="U125" i="62"/>
  <c r="T125" i="62"/>
  <c r="S125" i="62"/>
  <c r="N125" i="62"/>
  <c r="L125" i="62"/>
  <c r="J125" i="62"/>
  <c r="I125" i="62"/>
  <c r="H125" i="62"/>
  <c r="G125" i="62"/>
  <c r="G127" i="62" s="1"/>
  <c r="F125" i="62"/>
  <c r="E125" i="62"/>
  <c r="AX124" i="62"/>
  <c r="AW124" i="62"/>
  <c r="AV124" i="62"/>
  <c r="AU124" i="62"/>
  <c r="AT124" i="62"/>
  <c r="AS124" i="62"/>
  <c r="AR124" i="62"/>
  <c r="AQ124" i="62"/>
  <c r="AZ114" i="62"/>
  <c r="AO114" i="62"/>
  <c r="AN114" i="62"/>
  <c r="AM114" i="62"/>
  <c r="AL114" i="62"/>
  <c r="AK114" i="62"/>
  <c r="AJ114" i="62"/>
  <c r="AI114" i="62"/>
  <c r="AI127" i="62" s="1"/>
  <c r="AH114" i="62"/>
  <c r="AH127" i="62" s="1"/>
  <c r="AG114" i="62"/>
  <c r="AE114" i="62"/>
  <c r="AD114" i="62"/>
  <c r="AC114" i="62"/>
  <c r="AB114" i="62"/>
  <c r="AA114" i="62"/>
  <c r="Z114" i="62"/>
  <c r="Z127" i="62" s="1"/>
  <c r="Y114" i="62"/>
  <c r="X114" i="62"/>
  <c r="W114" i="62"/>
  <c r="V114" i="62"/>
  <c r="V127" i="62" s="1"/>
  <c r="U114" i="62"/>
  <c r="T114" i="62"/>
  <c r="S114" i="62"/>
  <c r="N114" i="62"/>
  <c r="N127" i="62" s="1"/>
  <c r="L114" i="62"/>
  <c r="J114" i="62"/>
  <c r="I114" i="62"/>
  <c r="H114" i="62"/>
  <c r="G114" i="62"/>
  <c r="F114" i="62"/>
  <c r="E114" i="62"/>
  <c r="AX113" i="62"/>
  <c r="AW113" i="62"/>
  <c r="AV113" i="62"/>
  <c r="AU113" i="62"/>
  <c r="AT113" i="62"/>
  <c r="AS113" i="62"/>
  <c r="AR113" i="62"/>
  <c r="AQ113" i="62"/>
  <c r="AM106" i="62"/>
  <c r="AM127" i="62" s="1"/>
  <c r="AK106" i="62"/>
  <c r="AK127" i="62" s="1"/>
  <c r="AJ106" i="62"/>
  <c r="AJ127" i="62" s="1"/>
  <c r="AI106" i="62"/>
  <c r="AH106" i="62"/>
  <c r="AG106" i="62"/>
  <c r="AE106" i="62"/>
  <c r="Z106" i="62"/>
  <c r="Y106" i="62"/>
  <c r="Y127" i="62" s="1"/>
  <c r="W106" i="62"/>
  <c r="W127" i="62" s="1"/>
  <c r="V106" i="62"/>
  <c r="T106" i="62"/>
  <c r="T127" i="62" s="1"/>
  <c r="S106" i="62"/>
  <c r="S127" i="62" s="1"/>
  <c r="N106" i="62"/>
  <c r="J106" i="62"/>
  <c r="I106" i="62"/>
  <c r="I127" i="62" s="1"/>
  <c r="H106" i="62"/>
  <c r="H127" i="62" s="1"/>
  <c r="G106" i="62"/>
  <c r="F106" i="62"/>
  <c r="F127" i="62" s="1"/>
  <c r="AU104" i="62"/>
  <c r="AT104" i="62"/>
  <c r="AR104" i="62"/>
  <c r="AN104" i="62"/>
  <c r="AF104" i="62"/>
  <c r="AB104" i="62"/>
  <c r="AA104" i="62"/>
  <c r="X104" i="62"/>
  <c r="U104" i="62"/>
  <c r="AD104" i="62" s="1"/>
  <c r="Q104" i="62"/>
  <c r="L104" i="62"/>
  <c r="E104" i="62"/>
  <c r="AU103" i="62"/>
  <c r="AT103" i="62"/>
  <c r="AR103" i="62"/>
  <c r="AN103" i="62"/>
  <c r="AF103" i="62"/>
  <c r="AB103" i="62"/>
  <c r="AA103" i="62"/>
  <c r="X103" i="62"/>
  <c r="U103" i="62"/>
  <c r="AD103" i="62" s="1"/>
  <c r="Q103" i="62"/>
  <c r="L103" i="62"/>
  <c r="E103" i="62"/>
  <c r="AU102" i="62"/>
  <c r="AT102" i="62"/>
  <c r="AR102" i="62"/>
  <c r="AN102" i="62"/>
  <c r="AF102" i="62"/>
  <c r="AB102" i="62"/>
  <c r="AA102" i="62"/>
  <c r="X102" i="62"/>
  <c r="U102" i="62"/>
  <c r="AD102" i="62" s="1"/>
  <c r="Q102" i="62"/>
  <c r="L102" i="62"/>
  <c r="E102" i="62"/>
  <c r="AU101" i="62"/>
  <c r="AT101" i="62"/>
  <c r="AR101" i="62"/>
  <c r="AN101" i="62"/>
  <c r="AF101" i="62"/>
  <c r="AB101" i="62"/>
  <c r="AA101" i="62"/>
  <c r="X101" i="62"/>
  <c r="U101" i="62"/>
  <c r="AD101" i="62" s="1"/>
  <c r="Q101" i="62"/>
  <c r="L101" i="62"/>
  <c r="E101" i="62"/>
  <c r="AU100" i="62"/>
  <c r="AT100" i="62"/>
  <c r="AR100" i="62"/>
  <c r="AN100" i="62"/>
  <c r="AF100" i="62"/>
  <c r="AB100" i="62"/>
  <c r="AA100" i="62"/>
  <c r="X100" i="62"/>
  <c r="U100" i="62"/>
  <c r="AD100" i="62" s="1"/>
  <c r="Q100" i="62"/>
  <c r="L100" i="62"/>
  <c r="E100" i="62"/>
  <c r="AU99" i="62"/>
  <c r="AT99" i="62"/>
  <c r="AR99" i="62"/>
  <c r="AN99" i="62"/>
  <c r="AF99" i="62"/>
  <c r="AB99" i="62"/>
  <c r="AA99" i="62"/>
  <c r="X99" i="62"/>
  <c r="U99" i="62"/>
  <c r="AD99" i="62" s="1"/>
  <c r="Q99" i="62"/>
  <c r="L99" i="62"/>
  <c r="E99" i="62"/>
  <c r="AU98" i="62"/>
  <c r="AT98" i="62"/>
  <c r="AR98" i="62"/>
  <c r="AN98" i="62"/>
  <c r="AF98" i="62"/>
  <c r="AB98" i="62"/>
  <c r="AA98" i="62"/>
  <c r="X98" i="62"/>
  <c r="U98" i="62"/>
  <c r="AD98" i="62" s="1"/>
  <c r="Q98" i="62"/>
  <c r="L98" i="62"/>
  <c r="E98" i="62"/>
  <c r="AU97" i="62"/>
  <c r="AT97" i="62"/>
  <c r="AR97" i="62"/>
  <c r="AN97" i="62"/>
  <c r="AF97" i="62"/>
  <c r="AB97" i="62"/>
  <c r="AA97" i="62"/>
  <c r="X97" i="62"/>
  <c r="U97" i="62"/>
  <c r="AD97" i="62" s="1"/>
  <c r="Q97" i="62"/>
  <c r="L97" i="62"/>
  <c r="E97" i="62"/>
  <c r="AU96" i="62"/>
  <c r="AT96" i="62"/>
  <c r="AR96" i="62"/>
  <c r="AN96" i="62"/>
  <c r="AF96" i="62"/>
  <c r="AB96" i="62"/>
  <c r="AA96" i="62"/>
  <c r="X96" i="62"/>
  <c r="U96" i="62"/>
  <c r="AD96" i="62" s="1"/>
  <c r="Q96" i="62"/>
  <c r="L96" i="62"/>
  <c r="E96" i="62"/>
  <c r="AU95" i="62"/>
  <c r="AT95" i="62"/>
  <c r="AR95" i="62"/>
  <c r="AN95" i="62"/>
  <c r="AF95" i="62"/>
  <c r="AB95" i="62"/>
  <c r="AA95" i="62"/>
  <c r="X95" i="62"/>
  <c r="U95" i="62"/>
  <c r="AD95" i="62" s="1"/>
  <c r="Q95" i="62"/>
  <c r="L95" i="62"/>
  <c r="E95" i="62"/>
  <c r="AU94" i="62"/>
  <c r="AT94" i="62"/>
  <c r="AR94" i="62"/>
  <c r="AN94" i="62"/>
  <c r="AF94" i="62"/>
  <c r="AB94" i="62"/>
  <c r="AA94" i="62"/>
  <c r="X94" i="62"/>
  <c r="U94" i="62"/>
  <c r="AD94" i="62" s="1"/>
  <c r="Q94" i="62"/>
  <c r="L94" i="62"/>
  <c r="E94" i="62"/>
  <c r="AU93" i="62"/>
  <c r="AT93" i="62"/>
  <c r="AR93" i="62"/>
  <c r="AN93" i="62"/>
  <c r="AF93" i="62"/>
  <c r="AB93" i="62"/>
  <c r="AA93" i="62"/>
  <c r="X93" i="62"/>
  <c r="U93" i="62"/>
  <c r="AD93" i="62" s="1"/>
  <c r="Q93" i="62"/>
  <c r="L93" i="62"/>
  <c r="E93" i="62"/>
  <c r="AU92" i="62"/>
  <c r="AT92" i="62"/>
  <c r="AR92" i="62"/>
  <c r="AN92" i="62"/>
  <c r="AF92" i="62"/>
  <c r="AB92" i="62"/>
  <c r="AA92" i="62"/>
  <c r="X92" i="62"/>
  <c r="U92" i="62"/>
  <c r="AD92" i="62" s="1"/>
  <c r="Q92" i="62"/>
  <c r="L92" i="62"/>
  <c r="E92" i="62"/>
  <c r="AU91" i="62"/>
  <c r="AT91" i="62"/>
  <c r="AR91" i="62"/>
  <c r="AN91" i="62"/>
  <c r="AF91" i="62"/>
  <c r="AB91" i="62"/>
  <c r="AA91" i="62"/>
  <c r="X91" i="62"/>
  <c r="U91" i="62"/>
  <c r="AD91" i="62" s="1"/>
  <c r="Q91" i="62"/>
  <c r="L91" i="62"/>
  <c r="E91" i="62"/>
  <c r="AU90" i="62"/>
  <c r="AT90" i="62"/>
  <c r="AR90" i="62"/>
  <c r="AN90" i="62"/>
  <c r="AF90" i="62"/>
  <c r="AB90" i="62"/>
  <c r="AA90" i="62"/>
  <c r="X90" i="62"/>
  <c r="U90" i="62"/>
  <c r="AD90" i="62" s="1"/>
  <c r="Q90" i="62"/>
  <c r="L90" i="62"/>
  <c r="E90" i="62"/>
  <c r="AU89" i="62"/>
  <c r="AT89" i="62"/>
  <c r="AR89" i="62"/>
  <c r="AN89" i="62"/>
  <c r="AF89" i="62"/>
  <c r="AB89" i="62"/>
  <c r="AA89" i="62"/>
  <c r="X89" i="62"/>
  <c r="U89" i="62"/>
  <c r="AD89" i="62" s="1"/>
  <c r="Q89" i="62"/>
  <c r="L89" i="62"/>
  <c r="E89" i="62"/>
  <c r="AU88" i="62"/>
  <c r="AT88" i="62"/>
  <c r="AR88" i="62"/>
  <c r="AN88" i="62"/>
  <c r="AF88" i="62"/>
  <c r="AB88" i="62"/>
  <c r="AA88" i="62"/>
  <c r="X88" i="62"/>
  <c r="U88" i="62"/>
  <c r="AD88" i="62" s="1"/>
  <c r="Q88" i="62"/>
  <c r="L88" i="62"/>
  <c r="E88" i="62"/>
  <c r="AU87" i="62"/>
  <c r="AT87" i="62"/>
  <c r="AR87" i="62"/>
  <c r="AF87" i="62"/>
  <c r="AB87" i="62"/>
  <c r="AA87" i="62"/>
  <c r="X87" i="62"/>
  <c r="AN87" i="62" s="1"/>
  <c r="U87" i="62"/>
  <c r="Q87" i="62"/>
  <c r="L87" i="62"/>
  <c r="E87" i="62"/>
  <c r="AU86" i="62"/>
  <c r="AT86" i="62"/>
  <c r="AR86" i="62"/>
  <c r="AN86" i="62"/>
  <c r="AF86" i="62"/>
  <c r="AB86" i="62"/>
  <c r="AA86" i="62"/>
  <c r="X86" i="62"/>
  <c r="U86" i="62"/>
  <c r="Q86" i="62"/>
  <c r="E86" i="62"/>
  <c r="L86" i="62" s="1"/>
  <c r="AU85" i="62"/>
  <c r="AT85" i="62"/>
  <c r="AR85" i="62"/>
  <c r="AN85" i="62"/>
  <c r="AB85" i="62"/>
  <c r="AA85" i="62"/>
  <c r="AF85" i="62" s="1"/>
  <c r="X85" i="62"/>
  <c r="U85" i="62"/>
  <c r="AS85" i="62" s="1"/>
  <c r="Q85" i="62"/>
  <c r="L85" i="62"/>
  <c r="E85" i="62"/>
  <c r="AU84" i="62"/>
  <c r="AT84" i="62"/>
  <c r="AS84" i="62"/>
  <c r="AR84" i="62"/>
  <c r="AD84" i="62"/>
  <c r="AB84" i="62"/>
  <c r="AA84" i="62"/>
  <c r="AF84" i="62" s="1"/>
  <c r="X84" i="62"/>
  <c r="AN84" i="62" s="1"/>
  <c r="U84" i="62"/>
  <c r="Q84" i="62"/>
  <c r="E84" i="62"/>
  <c r="L84" i="62" s="1"/>
  <c r="AU83" i="62"/>
  <c r="AT83" i="62"/>
  <c r="AR83" i="62"/>
  <c r="AN83" i="62"/>
  <c r="AB83" i="62"/>
  <c r="AA83" i="62"/>
  <c r="AF83" i="62" s="1"/>
  <c r="X83" i="62"/>
  <c r="U83" i="62"/>
  <c r="Q83" i="62"/>
  <c r="E83" i="62"/>
  <c r="L83" i="62" s="1"/>
  <c r="AU82" i="62"/>
  <c r="AT82" i="62"/>
  <c r="AS82" i="62"/>
  <c r="AR82" i="62"/>
  <c r="AD82" i="62"/>
  <c r="AB82" i="62"/>
  <c r="AA82" i="62"/>
  <c r="AF82" i="62" s="1"/>
  <c r="X82" i="62"/>
  <c r="AN82" i="62" s="1"/>
  <c r="U82" i="62"/>
  <c r="Q82" i="62"/>
  <c r="L82" i="62"/>
  <c r="E82" i="62"/>
  <c r="AU81" i="62"/>
  <c r="AT81" i="62"/>
  <c r="AR81" i="62"/>
  <c r="AN81" i="62"/>
  <c r="AB81" i="62"/>
  <c r="AA81" i="62"/>
  <c r="AF81" i="62" s="1"/>
  <c r="X81" i="62"/>
  <c r="U81" i="62"/>
  <c r="Q81" i="62"/>
  <c r="L81" i="62"/>
  <c r="E81" i="62"/>
  <c r="AU80" i="62"/>
  <c r="AT80" i="62"/>
  <c r="AR80" i="62"/>
  <c r="AB80" i="62"/>
  <c r="AA80" i="62"/>
  <c r="AF80" i="62" s="1"/>
  <c r="X80" i="62"/>
  <c r="AN80" i="62" s="1"/>
  <c r="U80" i="62"/>
  <c r="Q80" i="62"/>
  <c r="L80" i="62"/>
  <c r="E80" i="62"/>
  <c r="AW79" i="62"/>
  <c r="AU79" i="62"/>
  <c r="AT79" i="62"/>
  <c r="AS79" i="62"/>
  <c r="AR79" i="62"/>
  <c r="AQ79" i="62"/>
  <c r="AD79" i="62"/>
  <c r="AB79" i="62"/>
  <c r="AA79" i="62"/>
  <c r="X79" i="62"/>
  <c r="AN79" i="62" s="1"/>
  <c r="U79" i="62"/>
  <c r="Q79" i="62"/>
  <c r="E79" i="62"/>
  <c r="L79" i="62" s="1"/>
  <c r="AU78" i="62"/>
  <c r="AT78" i="62"/>
  <c r="AR78" i="62"/>
  <c r="AL78" i="62"/>
  <c r="AF78" i="62"/>
  <c r="AB78" i="62"/>
  <c r="AA78" i="62"/>
  <c r="X78" i="62"/>
  <c r="AN78" i="62" s="1"/>
  <c r="U78" i="62"/>
  <c r="AD78" i="62" s="1"/>
  <c r="AO78" i="62" s="1"/>
  <c r="Q78" i="62"/>
  <c r="L78" i="62"/>
  <c r="E78" i="62"/>
  <c r="AU77" i="62"/>
  <c r="AT77" i="62"/>
  <c r="AS77" i="62"/>
  <c r="AR77" i="62"/>
  <c r="AL77" i="62"/>
  <c r="AF77" i="62"/>
  <c r="AD77" i="62"/>
  <c r="AB77" i="62"/>
  <c r="AA77" i="62"/>
  <c r="X77" i="62"/>
  <c r="AN77" i="62" s="1"/>
  <c r="U77" i="62"/>
  <c r="AQ77" i="62" s="1"/>
  <c r="AW77" i="62" s="1"/>
  <c r="R77" i="62"/>
  <c r="Q77" i="62"/>
  <c r="E77" i="62"/>
  <c r="L77" i="62" s="1"/>
  <c r="AU76" i="62"/>
  <c r="AT76" i="62"/>
  <c r="AS76" i="62"/>
  <c r="AR76" i="62"/>
  <c r="AL76" i="62"/>
  <c r="AF76" i="62"/>
  <c r="AD76" i="62"/>
  <c r="AB76" i="62"/>
  <c r="AA76" i="62"/>
  <c r="X76" i="62"/>
  <c r="AN76" i="62" s="1"/>
  <c r="AO76" i="62" s="1"/>
  <c r="AV76" i="62" s="1" a="1"/>
  <c r="AV76" i="62" s="1"/>
  <c r="AZ76" i="62" s="1"/>
  <c r="U76" i="62"/>
  <c r="AQ76" i="62" s="1"/>
  <c r="AW76" i="62" s="1"/>
  <c r="R76" i="62"/>
  <c r="Q76" i="62"/>
  <c r="E76" i="62"/>
  <c r="L76" i="62" s="1"/>
  <c r="AU75" i="62"/>
  <c r="AT75" i="62"/>
  <c r="AS75" i="62"/>
  <c r="AR75" i="62"/>
  <c r="AN75" i="62"/>
  <c r="AL75" i="62"/>
  <c r="AF75" i="62"/>
  <c r="AB75" i="62"/>
  <c r="AA75" i="62"/>
  <c r="X75" i="62"/>
  <c r="U75" i="62"/>
  <c r="AQ75" i="62" s="1"/>
  <c r="AW75" i="62" s="1"/>
  <c r="R75" i="62"/>
  <c r="Q75" i="62"/>
  <c r="L75" i="62"/>
  <c r="E75" i="62"/>
  <c r="AU74" i="62"/>
  <c r="AT74" i="62"/>
  <c r="AR74" i="62"/>
  <c r="AL74" i="62"/>
  <c r="AF74" i="62"/>
  <c r="AD74" i="62"/>
  <c r="AO74" i="62" s="1"/>
  <c r="AB74" i="62"/>
  <c r="AA74" i="62"/>
  <c r="X74" i="62"/>
  <c r="AN74" i="62" s="1"/>
  <c r="U74" i="62"/>
  <c r="Q74" i="62"/>
  <c r="L74" i="62"/>
  <c r="E74" i="62"/>
  <c r="AV73" i="62" a="1"/>
  <c r="AV73" i="62" s="1"/>
  <c r="AZ73" i="62" s="1"/>
  <c r="AU73" i="62"/>
  <c r="AT73" i="62"/>
  <c r="AS73" i="62"/>
  <c r="AR73" i="62"/>
  <c r="AL73" i="62"/>
  <c r="AF73" i="62"/>
  <c r="AD73" i="62"/>
  <c r="AO73" i="62" s="1"/>
  <c r="AB73" i="62"/>
  <c r="AA73" i="62"/>
  <c r="X73" i="62"/>
  <c r="AN73" i="62" s="1"/>
  <c r="U73" i="62"/>
  <c r="AQ73" i="62" s="1"/>
  <c r="AW73" i="62" s="1"/>
  <c r="R73" i="62"/>
  <c r="Q73" i="62"/>
  <c r="E73" i="62"/>
  <c r="L73" i="62" s="1"/>
  <c r="AU72" i="62"/>
  <c r="AT72" i="62"/>
  <c r="AS72" i="62"/>
  <c r="AR72" i="62"/>
  <c r="AL72" i="62"/>
  <c r="AF72" i="62"/>
  <c r="AD72" i="62"/>
  <c r="AO72" i="62" s="1"/>
  <c r="AV72" i="62" s="1" a="1"/>
  <c r="AV72" i="62" s="1"/>
  <c r="AZ72" i="62" s="1"/>
  <c r="AB72" i="62"/>
  <c r="AA72" i="62"/>
  <c r="X72" i="62"/>
  <c r="AN72" i="62" s="1"/>
  <c r="U72" i="62"/>
  <c r="AQ72" i="62" s="1"/>
  <c r="AW72" i="62" s="1"/>
  <c r="R72" i="62"/>
  <c r="Q72" i="62"/>
  <c r="E72" i="62"/>
  <c r="L72" i="62" s="1"/>
  <c r="AU71" i="62"/>
  <c r="AT71" i="62"/>
  <c r="AS71" i="62"/>
  <c r="AR71" i="62"/>
  <c r="AN71" i="62"/>
  <c r="AL71" i="62"/>
  <c r="AF71" i="62"/>
  <c r="AB71" i="62"/>
  <c r="AA71" i="62"/>
  <c r="X71" i="62"/>
  <c r="U71" i="62"/>
  <c r="AQ71" i="62" s="1"/>
  <c r="AW71" i="62" s="1"/>
  <c r="R71" i="62"/>
  <c r="Q71" i="62"/>
  <c r="L71" i="62"/>
  <c r="E71" i="62"/>
  <c r="AU70" i="62"/>
  <c r="AT70" i="62"/>
  <c r="AR70" i="62"/>
  <c r="AN70" i="62"/>
  <c r="AL70" i="62"/>
  <c r="AF70" i="62"/>
  <c r="AD70" i="62"/>
  <c r="AO70" i="62" s="1"/>
  <c r="AB70" i="62"/>
  <c r="AA70" i="62"/>
  <c r="X70" i="62"/>
  <c r="U70" i="62"/>
  <c r="Q70" i="62"/>
  <c r="L70" i="62"/>
  <c r="E70" i="62"/>
  <c r="AU69" i="62"/>
  <c r="AT69" i="62"/>
  <c r="AS69" i="62"/>
  <c r="AR69" i="62"/>
  <c r="AL69" i="62"/>
  <c r="AF69" i="62"/>
  <c r="AD69" i="62"/>
  <c r="AB69" i="62"/>
  <c r="AA69" i="62"/>
  <c r="X69" i="62"/>
  <c r="AN69" i="62" s="1"/>
  <c r="U69" i="62"/>
  <c r="AQ69" i="62" s="1"/>
  <c r="AW69" i="62" s="1"/>
  <c r="R69" i="62"/>
  <c r="Q69" i="62"/>
  <c r="E69" i="62"/>
  <c r="L69" i="62" s="1"/>
  <c r="AU68" i="62"/>
  <c r="AT68" i="62"/>
  <c r="AS68" i="62"/>
  <c r="AR68" i="62"/>
  <c r="AO68" i="62"/>
  <c r="AV68" i="62" s="1" a="1"/>
  <c r="AV68" i="62" s="1"/>
  <c r="AZ68" i="62" s="1"/>
  <c r="AL68" i="62"/>
  <c r="AF68" i="62"/>
  <c r="AD68" i="62"/>
  <c r="AB68" i="62"/>
  <c r="AA68" i="62"/>
  <c r="X68" i="62"/>
  <c r="AN68" i="62" s="1"/>
  <c r="U68" i="62"/>
  <c r="AQ68" i="62" s="1"/>
  <c r="AW68" i="62" s="1"/>
  <c r="R68" i="62"/>
  <c r="Q68" i="62"/>
  <c r="L68" i="62"/>
  <c r="E68" i="62"/>
  <c r="AU67" i="62"/>
  <c r="AT67" i="62"/>
  <c r="AS67" i="62"/>
  <c r="AR67" i="62"/>
  <c r="AN67" i="62"/>
  <c r="AL67" i="62"/>
  <c r="AF67" i="62"/>
  <c r="AB67" i="62"/>
  <c r="AA67" i="62"/>
  <c r="X67" i="62"/>
  <c r="U67" i="62"/>
  <c r="AQ67" i="62" s="1"/>
  <c r="AW67" i="62" s="1"/>
  <c r="R67" i="62"/>
  <c r="Q67" i="62"/>
  <c r="L67" i="62"/>
  <c r="E67" i="62"/>
  <c r="AU66" i="62"/>
  <c r="AT66" i="62"/>
  <c r="AR66" i="62"/>
  <c r="AL66" i="62"/>
  <c r="AF66" i="62"/>
  <c r="AD66" i="62"/>
  <c r="AB66" i="62"/>
  <c r="AA66" i="62"/>
  <c r="X66" i="62"/>
  <c r="AN66" i="62" s="1"/>
  <c r="U66" i="62"/>
  <c r="Q66" i="62"/>
  <c r="L66" i="62"/>
  <c r="E66" i="62"/>
  <c r="AU65" i="62"/>
  <c r="AT65" i="62"/>
  <c r="AS65" i="62"/>
  <c r="AR65" i="62"/>
  <c r="AL65" i="62"/>
  <c r="AF65" i="62"/>
  <c r="AD65" i="62"/>
  <c r="AB65" i="62"/>
  <c r="AA65" i="62"/>
  <c r="X65" i="62"/>
  <c r="AN65" i="62" s="1"/>
  <c r="U65" i="62"/>
  <c r="AQ65" i="62" s="1"/>
  <c r="AW65" i="62" s="1"/>
  <c r="R65" i="62"/>
  <c r="Q65" i="62"/>
  <c r="E65" i="62"/>
  <c r="L65" i="62" s="1"/>
  <c r="AU64" i="62"/>
  <c r="AT64" i="62"/>
  <c r="AS64" i="62"/>
  <c r="AR64" i="62"/>
  <c r="AO64" i="62"/>
  <c r="AV64" i="62" s="1" a="1"/>
  <c r="AV64" i="62" s="1"/>
  <c r="AZ64" i="62" s="1"/>
  <c r="AL64" i="62"/>
  <c r="AF64" i="62"/>
  <c r="AD64" i="62"/>
  <c r="AB64" i="62"/>
  <c r="AA64" i="62"/>
  <c r="X64" i="62"/>
  <c r="AN64" i="62" s="1"/>
  <c r="U64" i="62"/>
  <c r="AQ64" i="62" s="1"/>
  <c r="AW64" i="62" s="1"/>
  <c r="R64" i="62"/>
  <c r="Q64" i="62"/>
  <c r="E64" i="62"/>
  <c r="L64" i="62" s="1"/>
  <c r="AU63" i="62"/>
  <c r="AT63" i="62"/>
  <c r="AS63" i="62"/>
  <c r="AR63" i="62"/>
  <c r="AN63" i="62"/>
  <c r="AL63" i="62"/>
  <c r="AF63" i="62"/>
  <c r="AB63" i="62"/>
  <c r="AA63" i="62"/>
  <c r="X63" i="62"/>
  <c r="U63" i="62"/>
  <c r="AQ63" i="62" s="1"/>
  <c r="AW63" i="62" s="1"/>
  <c r="R63" i="62"/>
  <c r="Q63" i="62"/>
  <c r="L63" i="62"/>
  <c r="E63" i="62"/>
  <c r="AU62" i="62"/>
  <c r="AT62" i="62"/>
  <c r="AR62" i="62"/>
  <c r="AN62" i="62"/>
  <c r="AL62" i="62"/>
  <c r="AF62" i="62"/>
  <c r="AD62" i="62"/>
  <c r="AO62" i="62" s="1"/>
  <c r="AB62" i="62"/>
  <c r="AA62" i="62"/>
  <c r="X62" i="62"/>
  <c r="U62" i="62"/>
  <c r="Q62" i="62"/>
  <c r="L62" i="62"/>
  <c r="E62" i="62"/>
  <c r="AU61" i="62"/>
  <c r="AT61" i="62"/>
  <c r="AS61" i="62"/>
  <c r="AR61" i="62"/>
  <c r="AL61" i="62"/>
  <c r="AF61" i="62"/>
  <c r="AD61" i="62"/>
  <c r="AB61" i="62"/>
  <c r="AA61" i="62"/>
  <c r="X61" i="62"/>
  <c r="AN61" i="62" s="1"/>
  <c r="U61" i="62"/>
  <c r="AQ61" i="62" s="1"/>
  <c r="AW61" i="62" s="1"/>
  <c r="R61" i="62"/>
  <c r="Q61" i="62"/>
  <c r="E61" i="62"/>
  <c r="L61" i="62" s="1"/>
  <c r="AU60" i="62"/>
  <c r="AT60" i="62"/>
  <c r="AS60" i="62"/>
  <c r="AR60" i="62"/>
  <c r="AL60" i="62"/>
  <c r="AF60" i="62"/>
  <c r="AD60" i="62"/>
  <c r="AO60" i="62" s="1"/>
  <c r="AV60" i="62" s="1" a="1"/>
  <c r="AV60" i="62" s="1"/>
  <c r="AZ60" i="62" s="1"/>
  <c r="AB60" i="62"/>
  <c r="AA60" i="62"/>
  <c r="X60" i="62"/>
  <c r="AN60" i="62" s="1"/>
  <c r="U60" i="62"/>
  <c r="AQ60" i="62" s="1"/>
  <c r="AW60" i="62" s="1"/>
  <c r="R60" i="62"/>
  <c r="Q60" i="62"/>
  <c r="L60" i="62"/>
  <c r="E60" i="62"/>
  <c r="AU59" i="62"/>
  <c r="AT59" i="62"/>
  <c r="AS59" i="62"/>
  <c r="AR59" i="62"/>
  <c r="AN59" i="62"/>
  <c r="AL59" i="62"/>
  <c r="AF59" i="62"/>
  <c r="AB59" i="62"/>
  <c r="AA59" i="62"/>
  <c r="X59" i="62"/>
  <c r="U59" i="62"/>
  <c r="AQ59" i="62" s="1"/>
  <c r="AW59" i="62" s="1"/>
  <c r="R59" i="62"/>
  <c r="Q59" i="62"/>
  <c r="L59" i="62"/>
  <c r="E59" i="62"/>
  <c r="AU58" i="62"/>
  <c r="AT58" i="62"/>
  <c r="AR58" i="62"/>
  <c r="AN58" i="62"/>
  <c r="AL58" i="62"/>
  <c r="AF58" i="62"/>
  <c r="AB58" i="62"/>
  <c r="AA58" i="62"/>
  <c r="X58" i="62"/>
  <c r="U58" i="62"/>
  <c r="Q58" i="62"/>
  <c r="L58" i="62"/>
  <c r="E58" i="62"/>
  <c r="AU57" i="62"/>
  <c r="AT57" i="62"/>
  <c r="AS57" i="62"/>
  <c r="AR57" i="62"/>
  <c r="AL57" i="62"/>
  <c r="AF57" i="62"/>
  <c r="AD57" i="62"/>
  <c r="AB57" i="62"/>
  <c r="AA57" i="62"/>
  <c r="X57" i="62"/>
  <c r="AN57" i="62" s="1"/>
  <c r="U57" i="62"/>
  <c r="AQ57" i="62" s="1"/>
  <c r="AW57" i="62" s="1"/>
  <c r="R57" i="62"/>
  <c r="Q57" i="62"/>
  <c r="E57" i="62"/>
  <c r="L57" i="62" s="1"/>
  <c r="AU56" i="62"/>
  <c r="AT56" i="62"/>
  <c r="AS56" i="62"/>
  <c r="AR56" i="62"/>
  <c r="AO56" i="62"/>
  <c r="AV56" i="62" s="1" a="1"/>
  <c r="AV56" i="62" s="1"/>
  <c r="AZ56" i="62" s="1"/>
  <c r="AL56" i="62"/>
  <c r="AF56" i="62"/>
  <c r="AD56" i="62"/>
  <c r="AB56" i="62"/>
  <c r="AA56" i="62"/>
  <c r="X56" i="62"/>
  <c r="AN56" i="62" s="1"/>
  <c r="U56" i="62"/>
  <c r="AQ56" i="62" s="1"/>
  <c r="AW56" i="62" s="1"/>
  <c r="R56" i="62"/>
  <c r="Q56" i="62"/>
  <c r="E56" i="62"/>
  <c r="L56" i="62" s="1"/>
  <c r="AU55" i="62"/>
  <c r="AT55" i="62"/>
  <c r="AS55" i="62"/>
  <c r="AR55" i="62"/>
  <c r="AN55" i="62"/>
  <c r="AL55" i="62"/>
  <c r="AF55" i="62"/>
  <c r="AB55" i="62"/>
  <c r="AA55" i="62"/>
  <c r="X55" i="62"/>
  <c r="U55" i="62"/>
  <c r="AQ55" i="62" s="1"/>
  <c r="AW55" i="62" s="1"/>
  <c r="R55" i="62"/>
  <c r="Q55" i="62"/>
  <c r="L55" i="62"/>
  <c r="E55" i="62"/>
  <c r="AU54" i="62"/>
  <c r="AT54" i="62"/>
  <c r="AR54" i="62"/>
  <c r="AL54" i="62"/>
  <c r="AF54" i="62"/>
  <c r="AB54" i="62"/>
  <c r="AA54" i="62"/>
  <c r="X54" i="62"/>
  <c r="AN54" i="62" s="1"/>
  <c r="U54" i="62"/>
  <c r="Q54" i="62"/>
  <c r="L54" i="62"/>
  <c r="E54" i="62"/>
  <c r="AU53" i="62"/>
  <c r="AT53" i="62"/>
  <c r="AS53" i="62"/>
  <c r="AR53" i="62"/>
  <c r="AL53" i="62"/>
  <c r="AF53" i="62"/>
  <c r="AD53" i="62"/>
  <c r="AO53" i="62" s="1"/>
  <c r="AV53" i="62" s="1" a="1"/>
  <c r="AV53" i="62" s="1"/>
  <c r="AZ53" i="62" s="1"/>
  <c r="AB53" i="62"/>
  <c r="AA53" i="62"/>
  <c r="X53" i="62"/>
  <c r="AN53" i="62" s="1"/>
  <c r="U53" i="62"/>
  <c r="AQ53" i="62" s="1"/>
  <c r="AW53" i="62" s="1"/>
  <c r="R53" i="62"/>
  <c r="Q53" i="62"/>
  <c r="E53" i="62"/>
  <c r="L53" i="62" s="1"/>
  <c r="AU52" i="62"/>
  <c r="AT52" i="62"/>
  <c r="AS52" i="62"/>
  <c r="AR52" i="62"/>
  <c r="AQ52" i="62"/>
  <c r="AW52" i="62" s="1"/>
  <c r="AN52" i="62"/>
  <c r="AL52" i="62"/>
  <c r="AF52" i="62"/>
  <c r="AD52" i="62"/>
  <c r="AB52" i="62"/>
  <c r="AA52" i="62"/>
  <c r="X52" i="62"/>
  <c r="U52" i="62"/>
  <c r="Q52" i="62"/>
  <c r="L52" i="62"/>
  <c r="E52" i="62"/>
  <c r="AU51" i="62"/>
  <c r="AT51" i="62"/>
  <c r="AS51" i="62"/>
  <c r="AR51" i="62"/>
  <c r="AQ51" i="62"/>
  <c r="AW51" i="62" s="1"/>
  <c r="AN51" i="62"/>
  <c r="AL51" i="62"/>
  <c r="AD51" i="62"/>
  <c r="AB51" i="62"/>
  <c r="AA51" i="62"/>
  <c r="X51" i="62"/>
  <c r="U51" i="62"/>
  <c r="R51" i="62"/>
  <c r="Q51" i="62"/>
  <c r="L51" i="62"/>
  <c r="E51" i="62"/>
  <c r="AU50" i="62"/>
  <c r="AT50" i="62"/>
  <c r="AS50" i="62"/>
  <c r="AR50" i="62"/>
  <c r="AQ50" i="62"/>
  <c r="AW50" i="62" s="1"/>
  <c r="AN50" i="62"/>
  <c r="AL50" i="62"/>
  <c r="AD50" i="62"/>
  <c r="AB50" i="62"/>
  <c r="AA50" i="62"/>
  <c r="X50" i="62"/>
  <c r="U50" i="62"/>
  <c r="R50" i="62"/>
  <c r="Q50" i="62"/>
  <c r="L50" i="62"/>
  <c r="E50" i="62"/>
  <c r="AU49" i="62"/>
  <c r="AT49" i="62"/>
  <c r="AS49" i="62"/>
  <c r="AR49" i="62"/>
  <c r="AQ49" i="62"/>
  <c r="AW49" i="62" s="1"/>
  <c r="AN49" i="62"/>
  <c r="AL49" i="62"/>
  <c r="AD49" i="62"/>
  <c r="AB49" i="62"/>
  <c r="AA49" i="62"/>
  <c r="X49" i="62"/>
  <c r="U49" i="62"/>
  <c r="R49" i="62"/>
  <c r="Q49" i="62"/>
  <c r="L49" i="62"/>
  <c r="E49" i="62"/>
  <c r="AU48" i="62"/>
  <c r="AT48" i="62"/>
  <c r="AS48" i="62"/>
  <c r="AR48" i="62"/>
  <c r="AQ48" i="62"/>
  <c r="AW48" i="62" s="1"/>
  <c r="AN48" i="62"/>
  <c r="AL48" i="62"/>
  <c r="AD48" i="62"/>
  <c r="AB48" i="62"/>
  <c r="AA48" i="62"/>
  <c r="X48" i="62"/>
  <c r="U48" i="62"/>
  <c r="R48" i="62"/>
  <c r="Q48" i="62"/>
  <c r="L48" i="62"/>
  <c r="E48" i="62"/>
  <c r="AU47" i="62"/>
  <c r="AT47" i="62"/>
  <c r="AS47" i="62"/>
  <c r="AR47" i="62"/>
  <c r="AQ47" i="62"/>
  <c r="AW47" i="62" s="1"/>
  <c r="AN47" i="62"/>
  <c r="AL47" i="62"/>
  <c r="AF47" i="62"/>
  <c r="AD47" i="62"/>
  <c r="AB47" i="62"/>
  <c r="AA47" i="62"/>
  <c r="X47" i="62"/>
  <c r="U47" i="62"/>
  <c r="R47" i="62"/>
  <c r="Q47" i="62"/>
  <c r="L47" i="62"/>
  <c r="E47" i="62"/>
  <c r="AU46" i="62"/>
  <c r="AT46" i="62"/>
  <c r="AS46" i="62"/>
  <c r="AR46" i="62"/>
  <c r="AQ46" i="62"/>
  <c r="AW46" i="62" s="1"/>
  <c r="AN46" i="62"/>
  <c r="AL46" i="62"/>
  <c r="AD46" i="62"/>
  <c r="AB46" i="62"/>
  <c r="AA46" i="62"/>
  <c r="X46" i="62"/>
  <c r="U46" i="62"/>
  <c r="R46" i="62"/>
  <c r="Q46" i="62"/>
  <c r="L46" i="62"/>
  <c r="E46" i="62"/>
  <c r="AU45" i="62"/>
  <c r="AT45" i="62"/>
  <c r="AS45" i="62"/>
  <c r="AR45" i="62"/>
  <c r="AQ45" i="62"/>
  <c r="AW45" i="62" s="1"/>
  <c r="AN45" i="62"/>
  <c r="AL45" i="62"/>
  <c r="AD45" i="62"/>
  <c r="AB45" i="62"/>
  <c r="AA45" i="62"/>
  <c r="X45" i="62"/>
  <c r="U45" i="62"/>
  <c r="R45" i="62"/>
  <c r="Q45" i="62"/>
  <c r="L45" i="62"/>
  <c r="E45" i="62"/>
  <c r="AU44" i="62"/>
  <c r="AT44" i="62"/>
  <c r="AS44" i="62"/>
  <c r="AR44" i="62"/>
  <c r="AQ44" i="62"/>
  <c r="AW44" i="62" s="1"/>
  <c r="AN44" i="62"/>
  <c r="AL44" i="62"/>
  <c r="AF44" i="62"/>
  <c r="AD44" i="62"/>
  <c r="AB44" i="62"/>
  <c r="AA44" i="62"/>
  <c r="X44" i="62"/>
  <c r="U44" i="62"/>
  <c r="R44" i="62"/>
  <c r="Q44" i="62"/>
  <c r="L44" i="62"/>
  <c r="E44" i="62"/>
  <c r="AU43" i="62"/>
  <c r="AT43" i="62"/>
  <c r="AS43" i="62"/>
  <c r="AR43" i="62"/>
  <c r="AQ43" i="62"/>
  <c r="AW43" i="62" s="1"/>
  <c r="AN43" i="62"/>
  <c r="AL43" i="62"/>
  <c r="AD43" i="62"/>
  <c r="AB43" i="62"/>
  <c r="AA43" i="62"/>
  <c r="X43" i="62"/>
  <c r="U43" i="62"/>
  <c r="R43" i="62"/>
  <c r="Q43" i="62"/>
  <c r="L43" i="62"/>
  <c r="E43" i="62"/>
  <c r="AU42" i="62"/>
  <c r="AT42" i="62"/>
  <c r="AS42" i="62"/>
  <c r="AR42" i="62"/>
  <c r="AQ42" i="62"/>
  <c r="AW42" i="62" s="1"/>
  <c r="AN42" i="62"/>
  <c r="AL42" i="62"/>
  <c r="AD42" i="62"/>
  <c r="AB42" i="62"/>
  <c r="AA42" i="62"/>
  <c r="X42" i="62"/>
  <c r="U42" i="62"/>
  <c r="R42" i="62"/>
  <c r="Q42" i="62"/>
  <c r="L42" i="62"/>
  <c r="E42" i="62"/>
  <c r="AU41" i="62"/>
  <c r="AT41" i="62"/>
  <c r="AS41" i="62"/>
  <c r="AR41" i="62"/>
  <c r="AQ41" i="62"/>
  <c r="AW41" i="62" s="1"/>
  <c r="AN41" i="62"/>
  <c r="AL41" i="62"/>
  <c r="AD41" i="62"/>
  <c r="AB41" i="62"/>
  <c r="AA41" i="62"/>
  <c r="X41" i="62"/>
  <c r="U41" i="62"/>
  <c r="R41" i="62"/>
  <c r="Q41" i="62"/>
  <c r="L41" i="62"/>
  <c r="E41" i="62"/>
  <c r="AU40" i="62"/>
  <c r="AT40" i="62"/>
  <c r="AS40" i="62"/>
  <c r="AR40" i="62"/>
  <c r="AQ40" i="62"/>
  <c r="AW40" i="62" s="1"/>
  <c r="AN40" i="62"/>
  <c r="AL40" i="62"/>
  <c r="AF40" i="62"/>
  <c r="AD40" i="62"/>
  <c r="AB40" i="62"/>
  <c r="AA40" i="62"/>
  <c r="X40" i="62"/>
  <c r="U40" i="62"/>
  <c r="R40" i="62"/>
  <c r="Q40" i="62"/>
  <c r="L40" i="62"/>
  <c r="E40" i="62"/>
  <c r="AU39" i="62"/>
  <c r="AT39" i="62"/>
  <c r="AS39" i="62"/>
  <c r="AR39" i="62"/>
  <c r="AQ39" i="62"/>
  <c r="AW39" i="62" s="1"/>
  <c r="AN39" i="62"/>
  <c r="AL39" i="62"/>
  <c r="AD39" i="62"/>
  <c r="AB39" i="62"/>
  <c r="AA39" i="62"/>
  <c r="X39" i="62"/>
  <c r="U39" i="62"/>
  <c r="R39" i="62"/>
  <c r="Q39" i="62"/>
  <c r="L39" i="62"/>
  <c r="E39" i="62"/>
  <c r="AU38" i="62"/>
  <c r="AT38" i="62"/>
  <c r="AS38" i="62"/>
  <c r="AR38" i="62"/>
  <c r="AQ38" i="62"/>
  <c r="AW38" i="62" s="1"/>
  <c r="AN38" i="62"/>
  <c r="AL38" i="62"/>
  <c r="AF38" i="62"/>
  <c r="AD38" i="62"/>
  <c r="AB38" i="62"/>
  <c r="AA38" i="62"/>
  <c r="X38" i="62"/>
  <c r="U38" i="62"/>
  <c r="R38" i="62"/>
  <c r="Q38" i="62"/>
  <c r="L38" i="62"/>
  <c r="E38" i="62"/>
  <c r="AU37" i="62"/>
  <c r="AT37" i="62"/>
  <c r="AS37" i="62"/>
  <c r="AR37" i="62"/>
  <c r="AQ37" i="62"/>
  <c r="AW37" i="62" s="1"/>
  <c r="AN37" i="62"/>
  <c r="AL37" i="62"/>
  <c r="AD37" i="62"/>
  <c r="AB37" i="62"/>
  <c r="AA37" i="62"/>
  <c r="X37" i="62"/>
  <c r="U37" i="62"/>
  <c r="R37" i="62"/>
  <c r="Q37" i="62"/>
  <c r="L37" i="62"/>
  <c r="E37" i="62"/>
  <c r="AU36" i="62"/>
  <c r="AT36" i="62"/>
  <c r="AS36" i="62"/>
  <c r="AR36" i="62"/>
  <c r="AQ36" i="62"/>
  <c r="AW36" i="62" s="1"/>
  <c r="AN36" i="62"/>
  <c r="AL36" i="62"/>
  <c r="AF36" i="62"/>
  <c r="AD36" i="62"/>
  <c r="AB36" i="62"/>
  <c r="AA36" i="62"/>
  <c r="X36" i="62"/>
  <c r="U36" i="62"/>
  <c r="R36" i="62"/>
  <c r="Q36" i="62"/>
  <c r="L36" i="62"/>
  <c r="E36" i="62"/>
  <c r="AU35" i="62"/>
  <c r="AT35" i="62"/>
  <c r="AS35" i="62"/>
  <c r="AR35" i="62"/>
  <c r="AQ35" i="62"/>
  <c r="AW35" i="62" s="1"/>
  <c r="AN35" i="62"/>
  <c r="AL35" i="62"/>
  <c r="AD35" i="62"/>
  <c r="AB35" i="62"/>
  <c r="AA35" i="62"/>
  <c r="X35" i="62"/>
  <c r="U35" i="62"/>
  <c r="R35" i="62"/>
  <c r="Q35" i="62"/>
  <c r="L35" i="62"/>
  <c r="E35" i="62"/>
  <c r="AU34" i="62"/>
  <c r="AT34" i="62"/>
  <c r="AS34" i="62"/>
  <c r="AR34" i="62"/>
  <c r="AQ34" i="62"/>
  <c r="AW34" i="62" s="1"/>
  <c r="AN34" i="62"/>
  <c r="AL34" i="62"/>
  <c r="AF34" i="62"/>
  <c r="AD34" i="62"/>
  <c r="AB34" i="62"/>
  <c r="AA34" i="62"/>
  <c r="X34" i="62"/>
  <c r="U34" i="62"/>
  <c r="R34" i="62"/>
  <c r="Q34" i="62"/>
  <c r="E34" i="62"/>
  <c r="L34" i="62" s="1"/>
  <c r="AU33" i="62"/>
  <c r="AT33" i="62"/>
  <c r="AS33" i="62"/>
  <c r="AR33" i="62"/>
  <c r="AQ33" i="62"/>
  <c r="AW33" i="62" s="1"/>
  <c r="AN33" i="62"/>
  <c r="AL33" i="62"/>
  <c r="AF33" i="62"/>
  <c r="AD33" i="62"/>
  <c r="AB33" i="62"/>
  <c r="AA33" i="62"/>
  <c r="X33" i="62"/>
  <c r="U33" i="62"/>
  <c r="R33" i="62"/>
  <c r="Q33" i="62"/>
  <c r="E33" i="62"/>
  <c r="L33" i="62" s="1"/>
  <c r="AU32" i="62"/>
  <c r="AT32" i="62"/>
  <c r="AS32" i="62"/>
  <c r="AR32" i="62"/>
  <c r="AQ32" i="62"/>
  <c r="AW32" i="62" s="1"/>
  <c r="AN32" i="62"/>
  <c r="AL32" i="62"/>
  <c r="AF32" i="62"/>
  <c r="AD32" i="62"/>
  <c r="AB32" i="62"/>
  <c r="AA32" i="62"/>
  <c r="X32" i="62"/>
  <c r="U32" i="62"/>
  <c r="R32" i="62"/>
  <c r="Q32" i="62"/>
  <c r="E32" i="62"/>
  <c r="L32" i="62" s="1"/>
  <c r="AU31" i="62"/>
  <c r="AT31" i="62"/>
  <c r="AS31" i="62"/>
  <c r="AR31" i="62"/>
  <c r="AQ31" i="62"/>
  <c r="AW31" i="62" s="1"/>
  <c r="AN31" i="62"/>
  <c r="AL31" i="62"/>
  <c r="AF31" i="62"/>
  <c r="AD31" i="62"/>
  <c r="AB31" i="62"/>
  <c r="AA31" i="62"/>
  <c r="X31" i="62"/>
  <c r="U31" i="62"/>
  <c r="R31" i="62"/>
  <c r="Q31" i="62"/>
  <c r="L31" i="62"/>
  <c r="E31" i="62"/>
  <c r="AU30" i="62"/>
  <c r="AT30" i="62"/>
  <c r="AR30" i="62"/>
  <c r="AN30" i="62"/>
  <c r="AL30" i="62"/>
  <c r="AB30" i="62"/>
  <c r="AA30" i="62"/>
  <c r="X30" i="62"/>
  <c r="U30" i="62"/>
  <c r="Q30" i="62"/>
  <c r="E30" i="62"/>
  <c r="L30" i="62" s="1"/>
  <c r="AZ29" i="62"/>
  <c r="AU29" i="62"/>
  <c r="AT29" i="62"/>
  <c r="AS29" i="62"/>
  <c r="AR29" i="62"/>
  <c r="AX29" i="62" s="1"/>
  <c r="AQ29" i="62"/>
  <c r="AW29" i="62" s="1"/>
  <c r="AO29" i="62"/>
  <c r="AV29" i="62" s="1" a="1"/>
  <c r="AV29" i="62" s="1"/>
  <c r="AL29" i="62"/>
  <c r="AD29" i="62"/>
  <c r="AB29" i="62"/>
  <c r="AA29" i="62"/>
  <c r="X29" i="62"/>
  <c r="AN29" i="62" s="1"/>
  <c r="U29" i="62"/>
  <c r="R29" i="62"/>
  <c r="Q29" i="62"/>
  <c r="L29" i="62"/>
  <c r="E29" i="62"/>
  <c r="AU28" i="62"/>
  <c r="AT28" i="62"/>
  <c r="AR28" i="62"/>
  <c r="AL28" i="62"/>
  <c r="AF28" i="62"/>
  <c r="AB28" i="62"/>
  <c r="AA28" i="62"/>
  <c r="X28" i="62"/>
  <c r="AN28" i="62" s="1"/>
  <c r="U28" i="62"/>
  <c r="Q28" i="62"/>
  <c r="E28" i="62"/>
  <c r="L28" i="62" s="1"/>
  <c r="AU27" i="62"/>
  <c r="AT27" i="62"/>
  <c r="AR27" i="62"/>
  <c r="AN27" i="62"/>
  <c r="AL27" i="62"/>
  <c r="AB27" i="62"/>
  <c r="AA27" i="62"/>
  <c r="X27" i="62"/>
  <c r="U27" i="62"/>
  <c r="Q27" i="62"/>
  <c r="E27" i="62"/>
  <c r="L27" i="62" s="1"/>
  <c r="AU26" i="62"/>
  <c r="AT26" i="62"/>
  <c r="AR26" i="62"/>
  <c r="AN26" i="62"/>
  <c r="AL26" i="62"/>
  <c r="AB26" i="62"/>
  <c r="AA26" i="62"/>
  <c r="X26" i="62"/>
  <c r="U26" i="62"/>
  <c r="Q26" i="62"/>
  <c r="E26" i="62"/>
  <c r="L26" i="62" s="1"/>
  <c r="AU25" i="62"/>
  <c r="AT25" i="62"/>
  <c r="AR25" i="62"/>
  <c r="AN25" i="62"/>
  <c r="AL25" i="62"/>
  <c r="AF25" i="62"/>
  <c r="AB25" i="62"/>
  <c r="AA25" i="62"/>
  <c r="X25" i="62"/>
  <c r="U25" i="62"/>
  <c r="Q25" i="62"/>
  <c r="E25" i="62"/>
  <c r="L25" i="62" s="1"/>
  <c r="AW24" i="62"/>
  <c r="AU24" i="62"/>
  <c r="AT24" i="62"/>
  <c r="AR24" i="62"/>
  <c r="AQ24" i="62"/>
  <c r="AL24" i="62"/>
  <c r="AF24" i="62"/>
  <c r="AB24" i="62"/>
  <c r="AA24" i="62"/>
  <c r="X24" i="62"/>
  <c r="AN24" i="62" s="1"/>
  <c r="U24" i="62"/>
  <c r="Q24" i="62"/>
  <c r="E24" i="62"/>
  <c r="L24" i="62" s="1"/>
  <c r="AU23" i="62"/>
  <c r="AT23" i="62"/>
  <c r="AR23" i="62"/>
  <c r="AN23" i="62"/>
  <c r="AL23" i="62"/>
  <c r="AB23" i="62"/>
  <c r="AA23" i="62"/>
  <c r="X23" i="62"/>
  <c r="U23" i="62"/>
  <c r="Q23" i="62"/>
  <c r="E23" i="62"/>
  <c r="L23" i="62" s="1"/>
  <c r="AU22" i="62"/>
  <c r="AT22" i="62"/>
  <c r="AR22" i="62"/>
  <c r="AL22" i="62"/>
  <c r="AB22" i="62"/>
  <c r="AA22" i="62"/>
  <c r="X22" i="62"/>
  <c r="AN22" i="62" s="1"/>
  <c r="U22" i="62"/>
  <c r="Q22" i="62"/>
  <c r="E22" i="62"/>
  <c r="L22" i="62" s="1"/>
  <c r="AU21" i="62"/>
  <c r="AT21" i="62"/>
  <c r="AR21" i="62"/>
  <c r="AN21" i="62"/>
  <c r="AL21" i="62"/>
  <c r="AB21" i="62"/>
  <c r="AA21" i="62"/>
  <c r="AF21" i="62" s="1"/>
  <c r="X21" i="62"/>
  <c r="U21" i="62"/>
  <c r="Q21" i="62"/>
  <c r="E21" i="62"/>
  <c r="L21" i="62" s="1"/>
  <c r="AU20" i="62"/>
  <c r="AT20" i="62"/>
  <c r="AR20" i="62"/>
  <c r="AL20" i="62"/>
  <c r="AF20" i="62"/>
  <c r="AB20" i="62"/>
  <c r="AA20" i="62"/>
  <c r="X20" i="62"/>
  <c r="AN20" i="62" s="1"/>
  <c r="U20" i="62"/>
  <c r="Q20" i="62"/>
  <c r="E20" i="62"/>
  <c r="L20" i="62" s="1"/>
  <c r="AU19" i="62"/>
  <c r="AT19" i="62"/>
  <c r="AR19" i="62"/>
  <c r="AN19" i="62"/>
  <c r="AL19" i="62"/>
  <c r="AF19" i="62"/>
  <c r="AB19" i="62"/>
  <c r="AA19" i="62"/>
  <c r="X19" i="62"/>
  <c r="U19" i="62"/>
  <c r="Q19" i="62"/>
  <c r="E19" i="62"/>
  <c r="L19" i="62" s="1"/>
  <c r="AU18" i="62"/>
  <c r="AT18" i="62"/>
  <c r="AR18" i="62"/>
  <c r="AN18" i="62"/>
  <c r="AL18" i="62"/>
  <c r="AB18" i="62"/>
  <c r="AA18" i="62"/>
  <c r="X18" i="62"/>
  <c r="U18" i="62"/>
  <c r="Q18" i="62"/>
  <c r="E18" i="62"/>
  <c r="L18" i="62" s="1"/>
  <c r="AU17" i="62"/>
  <c r="AT17" i="62"/>
  <c r="AR17" i="62"/>
  <c r="AN17" i="62"/>
  <c r="AL17" i="62"/>
  <c r="AF17" i="62"/>
  <c r="AB17" i="62"/>
  <c r="AA17" i="62"/>
  <c r="X17" i="62"/>
  <c r="U17" i="62"/>
  <c r="AQ17" i="62" s="1"/>
  <c r="AW17" i="62" s="1"/>
  <c r="Q17" i="62"/>
  <c r="E17" i="62"/>
  <c r="L17" i="62" s="1"/>
  <c r="AU16" i="62"/>
  <c r="AT16" i="62"/>
  <c r="AR16" i="62"/>
  <c r="AL16" i="62"/>
  <c r="AF16" i="62"/>
  <c r="AB16" i="62"/>
  <c r="AA16" i="62"/>
  <c r="X16" i="62"/>
  <c r="AN16" i="62" s="1"/>
  <c r="U16" i="62"/>
  <c r="Q16" i="62"/>
  <c r="E16" i="62"/>
  <c r="L16" i="62" s="1"/>
  <c r="AU15" i="62"/>
  <c r="AT15" i="62"/>
  <c r="AR15" i="62"/>
  <c r="AN15" i="62"/>
  <c r="AL15" i="62"/>
  <c r="AB15" i="62"/>
  <c r="AA15" i="62"/>
  <c r="X15" i="62"/>
  <c r="U15" i="62"/>
  <c r="Q15" i="62"/>
  <c r="E15" i="62"/>
  <c r="L15" i="62" s="1"/>
  <c r="AU14" i="62"/>
  <c r="AT14" i="62"/>
  <c r="AR14" i="62"/>
  <c r="AL14" i="62"/>
  <c r="AB14" i="62"/>
  <c r="AA14" i="62"/>
  <c r="AF14" i="62" s="1"/>
  <c r="X14" i="62"/>
  <c r="AN14" i="62" s="1"/>
  <c r="U14" i="62"/>
  <c r="Q14" i="62"/>
  <c r="E14" i="62"/>
  <c r="L14" i="62" s="1"/>
  <c r="AU13" i="62"/>
  <c r="AT13" i="62"/>
  <c r="AR13" i="62"/>
  <c r="AN13" i="62"/>
  <c r="AL13" i="62"/>
  <c r="AB13" i="62"/>
  <c r="AA13" i="62"/>
  <c r="X13" i="62"/>
  <c r="U13" i="62"/>
  <c r="Q13" i="62"/>
  <c r="E13" i="62"/>
  <c r="L13" i="62" s="1"/>
  <c r="AU12" i="62"/>
  <c r="AT12" i="62"/>
  <c r="AR12" i="62"/>
  <c r="AL12" i="62"/>
  <c r="AF12" i="62"/>
  <c r="AB12" i="62"/>
  <c r="AA12" i="62"/>
  <c r="X12" i="62"/>
  <c r="AN12" i="62" s="1"/>
  <c r="U12" i="62"/>
  <c r="Q12" i="62"/>
  <c r="E12" i="62"/>
  <c r="L12" i="62" s="1"/>
  <c r="AU11" i="62"/>
  <c r="AT11" i="62"/>
  <c r="AR11" i="62"/>
  <c r="AN11" i="62"/>
  <c r="AL11" i="62"/>
  <c r="AF11" i="62"/>
  <c r="AB11" i="62"/>
  <c r="AA11" i="62"/>
  <c r="X11" i="62"/>
  <c r="U11" i="62"/>
  <c r="Q11" i="62"/>
  <c r="E11" i="62"/>
  <c r="L11" i="62" s="1"/>
  <c r="AU10" i="62"/>
  <c r="AT10" i="62"/>
  <c r="AR10" i="62"/>
  <c r="AN10" i="62"/>
  <c r="AL10" i="62"/>
  <c r="AB10" i="62"/>
  <c r="AA10" i="62"/>
  <c r="X10" i="62"/>
  <c r="U10" i="62"/>
  <c r="Q10" i="62"/>
  <c r="E10" i="62"/>
  <c r="L10" i="62" s="1"/>
  <c r="AU9" i="62"/>
  <c r="AT9" i="62"/>
  <c r="AR9" i="62"/>
  <c r="AN9" i="62"/>
  <c r="AL9" i="62"/>
  <c r="AF9" i="62"/>
  <c r="AB9" i="62"/>
  <c r="AA9" i="62"/>
  <c r="X9" i="62"/>
  <c r="U9" i="62"/>
  <c r="Q9" i="62"/>
  <c r="E9" i="62"/>
  <c r="L9" i="62" s="1"/>
  <c r="AU8" i="62"/>
  <c r="AT8" i="62"/>
  <c r="AR8" i="62"/>
  <c r="AL8" i="62"/>
  <c r="AF8" i="62"/>
  <c r="AB8" i="62"/>
  <c r="AA8" i="62"/>
  <c r="X8" i="62"/>
  <c r="AN8" i="62" s="1"/>
  <c r="U8" i="62"/>
  <c r="Q8" i="62"/>
  <c r="E8" i="62"/>
  <c r="L8" i="62" s="1"/>
  <c r="AU7" i="62"/>
  <c r="AT7" i="62"/>
  <c r="AR7" i="62"/>
  <c r="AN7" i="62"/>
  <c r="AL7" i="62"/>
  <c r="AB7" i="62"/>
  <c r="AA7" i="62"/>
  <c r="AF7" i="62" s="1"/>
  <c r="X7" i="62"/>
  <c r="U7" i="62"/>
  <c r="AQ7" i="62" s="1"/>
  <c r="Q7" i="62"/>
  <c r="E7" i="62"/>
  <c r="L7" i="62" s="1"/>
  <c r="AU6" i="62"/>
  <c r="AT6" i="62"/>
  <c r="AR6" i="62"/>
  <c r="AN6" i="62"/>
  <c r="AL6" i="62"/>
  <c r="AB6" i="62"/>
  <c r="AA6" i="62"/>
  <c r="X6" i="62"/>
  <c r="U6" i="62"/>
  <c r="Q6" i="62"/>
  <c r="E6" i="62"/>
  <c r="L6" i="62" s="1"/>
  <c r="AU5" i="62"/>
  <c r="AT5" i="62"/>
  <c r="AR5" i="62"/>
  <c r="AN5" i="62"/>
  <c r="AL5" i="62"/>
  <c r="AF5" i="62"/>
  <c r="AB5" i="62"/>
  <c r="AA5" i="62"/>
  <c r="X5" i="62"/>
  <c r="U5" i="62"/>
  <c r="R5" i="62"/>
  <c r="Q5" i="62"/>
  <c r="E5" i="62"/>
  <c r="L5" i="62" s="1"/>
  <c r="AU4" i="62"/>
  <c r="AT4" i="62"/>
  <c r="AR4" i="62"/>
  <c r="AN4" i="62"/>
  <c r="AL4" i="62"/>
  <c r="AB4" i="62"/>
  <c r="AA4" i="62"/>
  <c r="AF4" i="62" s="1"/>
  <c r="X4" i="62"/>
  <c r="U4" i="62"/>
  <c r="AQ4" i="62" s="1"/>
  <c r="AW4" i="62" s="1"/>
  <c r="Q4" i="62"/>
  <c r="L4" i="62"/>
  <c r="E4" i="62"/>
  <c r="AU3" i="62"/>
  <c r="AT3" i="62"/>
  <c r="AR3" i="62"/>
  <c r="AN3" i="62"/>
  <c r="AL3" i="62"/>
  <c r="AD3" i="62"/>
  <c r="AB3" i="62"/>
  <c r="AA3" i="62"/>
  <c r="X3" i="62"/>
  <c r="U3" i="62"/>
  <c r="R3" i="62"/>
  <c r="Q3" i="62"/>
  <c r="L3" i="62"/>
  <c r="E3" i="62"/>
  <c r="E106" i="62" s="1"/>
  <c r="E127" i="62" s="1"/>
  <c r="F4" i="63" l="1"/>
  <c r="E5" i="63"/>
  <c r="M6" i="63"/>
  <c r="G6" i="63" s="1"/>
  <c r="L7" i="63"/>
  <c r="AG127" i="62"/>
  <c r="AW7" i="62"/>
  <c r="R13" i="62"/>
  <c r="AD13" i="62"/>
  <c r="AO13" i="62" s="1"/>
  <c r="AV13" i="62" s="1" a="1"/>
  <c r="AV13" i="62" s="1"/>
  <c r="AS13" i="62"/>
  <c r="R21" i="62"/>
  <c r="AD21" i="62"/>
  <c r="AS21" i="62"/>
  <c r="AO35" i="62"/>
  <c r="AV35" i="62" s="1" a="1"/>
  <c r="AV35" i="62" s="1"/>
  <c r="AZ35" i="62" s="1"/>
  <c r="AF35" i="62"/>
  <c r="AB106" i="62"/>
  <c r="AB127" i="62" s="1"/>
  <c r="AO3" i="62"/>
  <c r="AC6" i="62"/>
  <c r="AO6" i="62"/>
  <c r="AF6" i="62"/>
  <c r="AO11" i="62"/>
  <c r="AF13" i="62"/>
  <c r="AC27" i="62"/>
  <c r="AF27" i="62"/>
  <c r="AV6" i="62" a="1"/>
  <c r="AV6" i="62" s="1"/>
  <c r="R6" i="62"/>
  <c r="AD6" i="62"/>
  <c r="AS6" i="62"/>
  <c r="L106" i="62"/>
  <c r="L127" i="62" s="1"/>
  <c r="AO19" i="62"/>
  <c r="AV19" i="62" s="1" a="1"/>
  <c r="AV19" i="62" s="1"/>
  <c r="R15" i="62"/>
  <c r="AD15" i="62"/>
  <c r="AS15" i="62"/>
  <c r="AD4" i="62"/>
  <c r="AD106" i="62" s="1"/>
  <c r="AD127" i="62" s="1"/>
  <c r="AS4" i="62"/>
  <c r="R4" i="62"/>
  <c r="R7" i="62"/>
  <c r="AD7" i="62"/>
  <c r="AS7" i="62"/>
  <c r="AQ15" i="62"/>
  <c r="AW15" i="62" s="1"/>
  <c r="AQ6" i="62"/>
  <c r="AW6" i="62" s="1"/>
  <c r="AQ13" i="62"/>
  <c r="AW13" i="62" s="1"/>
  <c r="AQ21" i="62"/>
  <c r="AW21" i="62" s="1"/>
  <c r="AQ86" i="62"/>
  <c r="AW86" i="62" s="1"/>
  <c r="R86" i="62"/>
  <c r="AD86" i="62"/>
  <c r="AS86" i="62"/>
  <c r="U106" i="62"/>
  <c r="U127" i="62" s="1"/>
  <c r="R16" i="62"/>
  <c r="AD16" i="62"/>
  <c r="AO16" i="62" s="1"/>
  <c r="AV16" i="62" s="1" a="1"/>
  <c r="AV16" i="62" s="1"/>
  <c r="AS16" i="62"/>
  <c r="AC22" i="62"/>
  <c r="AO41" i="62"/>
  <c r="AV41" i="62" s="1" a="1"/>
  <c r="AV41" i="62" s="1"/>
  <c r="AO51" i="62"/>
  <c r="X106" i="62"/>
  <c r="X127" i="62" s="1"/>
  <c r="AC15" i="62"/>
  <c r="AC23" i="62"/>
  <c r="AV25" i="62" a="1"/>
  <c r="AV25" i="62" s="1"/>
  <c r="R25" i="62"/>
  <c r="AD25" i="62"/>
  <c r="AO25" i="62" s="1"/>
  <c r="AS25" i="62"/>
  <c r="AQ25" i="62"/>
  <c r="AW25" i="62" s="1"/>
  <c r="AF29" i="62"/>
  <c r="AC29" i="62"/>
  <c r="AX42" i="62"/>
  <c r="AX43" i="62"/>
  <c r="AA106" i="62"/>
  <c r="AA127" i="62" s="1"/>
  <c r="AC35" i="62" s="1"/>
  <c r="AQ3" i="62"/>
  <c r="AW3" i="62" s="1"/>
  <c r="AU105" i="62"/>
  <c r="R10" i="62"/>
  <c r="AD10" i="62"/>
  <c r="AO10" i="62" s="1"/>
  <c r="AV10" i="62" s="1" a="1"/>
  <c r="AV10" i="62" s="1"/>
  <c r="AS10" i="62"/>
  <c r="AQ10" i="62"/>
  <c r="AW10" i="62" s="1"/>
  <c r="AV18" i="62" a="1"/>
  <c r="AV18" i="62" s="1"/>
  <c r="R18" i="62"/>
  <c r="AD18" i="62"/>
  <c r="AO18" i="62" s="1"/>
  <c r="AS18" i="62"/>
  <c r="AQ18" i="62"/>
  <c r="AW18" i="62" s="1"/>
  <c r="AF22" i="62"/>
  <c r="AC24" i="62"/>
  <c r="R26" i="62"/>
  <c r="AD26" i="62"/>
  <c r="AO26" i="62" s="1"/>
  <c r="AV26" i="62" s="1" a="1"/>
  <c r="AV26" i="62" s="1"/>
  <c r="AS26" i="62"/>
  <c r="AQ26" i="62"/>
  <c r="AW26" i="62" s="1"/>
  <c r="AO30" i="62"/>
  <c r="AV30" i="62" s="1" a="1"/>
  <c r="AV30" i="62" s="1"/>
  <c r="AF30" i="62"/>
  <c r="AO37" i="62"/>
  <c r="AV37" i="62" s="1" a="1"/>
  <c r="AV37" i="62" s="1"/>
  <c r="AZ37" i="62" s="1"/>
  <c r="AF37" i="62"/>
  <c r="AO69" i="62"/>
  <c r="AV69" i="62" s="1" a="1"/>
  <c r="AV69" i="62" s="1"/>
  <c r="AZ69" i="62" s="1"/>
  <c r="AD5" i="62"/>
  <c r="AO5" i="62" s="1"/>
  <c r="AV5" i="62" s="1" a="1"/>
  <c r="AV5" i="62" s="1"/>
  <c r="AS5" i="62"/>
  <c r="AQ5" i="62"/>
  <c r="AW5" i="62" s="1"/>
  <c r="AV11" i="62" a="1"/>
  <c r="AV11" i="62" s="1"/>
  <c r="R11" i="62"/>
  <c r="AD11" i="62"/>
  <c r="AS11" i="62"/>
  <c r="AQ11" i="62"/>
  <c r="AW11" i="62" s="1"/>
  <c r="AF15" i="62"/>
  <c r="AC17" i="62"/>
  <c r="R19" i="62"/>
  <c r="AD19" i="62"/>
  <c r="AS19" i="62"/>
  <c r="AQ19" i="62"/>
  <c r="AW19" i="62" s="1"/>
  <c r="AF23" i="62"/>
  <c r="AC25" i="62"/>
  <c r="R27" i="62"/>
  <c r="AD27" i="62"/>
  <c r="AO27" i="62" s="1"/>
  <c r="AV27" i="62" s="1" a="1"/>
  <c r="AV27" i="62" s="1"/>
  <c r="AS27" i="62"/>
  <c r="AQ27" i="62"/>
  <c r="AW27" i="62" s="1"/>
  <c r="AX32" i="62"/>
  <c r="AX35" i="62"/>
  <c r="AF41" i="62"/>
  <c r="AO42" i="62"/>
  <c r="AV42" i="62" s="1" a="1"/>
  <c r="AV42" i="62" s="1"/>
  <c r="AZ42" i="62" s="1"/>
  <c r="AF42" i="62"/>
  <c r="AF51" i="62"/>
  <c r="AQ58" i="62"/>
  <c r="AW58" i="62" s="1"/>
  <c r="AS58" i="62"/>
  <c r="R58" i="62"/>
  <c r="AD58" i="62"/>
  <c r="AO58" i="62" s="1"/>
  <c r="AV58" i="62" s="1" a="1"/>
  <c r="AV58" i="62" s="1"/>
  <c r="AC21" i="62"/>
  <c r="R23" i="62"/>
  <c r="AD23" i="62"/>
  <c r="AS23" i="62"/>
  <c r="AQ23" i="62"/>
  <c r="AW23" i="62" s="1"/>
  <c r="AN106" i="62"/>
  <c r="AN127" i="62" s="1"/>
  <c r="AV8" i="62" a="1"/>
  <c r="AV8" i="62" s="1"/>
  <c r="R8" i="62"/>
  <c r="AD8" i="62"/>
  <c r="AO8" i="62" s="1"/>
  <c r="AS8" i="62"/>
  <c r="AQ8" i="62"/>
  <c r="AW8" i="62" s="1"/>
  <c r="AC14" i="62"/>
  <c r="AQ16" i="62"/>
  <c r="AW16" i="62" s="1"/>
  <c r="R24" i="62"/>
  <c r="AD24" i="62"/>
  <c r="AO24" i="62" s="1"/>
  <c r="AV24" i="62" s="1" a="1"/>
  <c r="AV24" i="62" s="1"/>
  <c r="AS24" i="62"/>
  <c r="AQ30" i="62"/>
  <c r="AW30" i="62" s="1"/>
  <c r="R30" i="62"/>
  <c r="AD30" i="62"/>
  <c r="AS30" i="62"/>
  <c r="AX37" i="62"/>
  <c r="AO48" i="62"/>
  <c r="AV48" i="62" s="1" a="1"/>
  <c r="AV48" i="62" s="1"/>
  <c r="AF48" i="62"/>
  <c r="AO49" i="62"/>
  <c r="AV49" i="62" s="1" a="1"/>
  <c r="AV49" i="62" s="1"/>
  <c r="AC49" i="62"/>
  <c r="AF49" i="62"/>
  <c r="AQ54" i="62"/>
  <c r="AW54" i="62" s="1"/>
  <c r="AS54" i="62"/>
  <c r="R54" i="62"/>
  <c r="AC4" i="62"/>
  <c r="AC7" i="62"/>
  <c r="AV9" i="62" a="1"/>
  <c r="AV9" i="62" s="1"/>
  <c r="R9" i="62"/>
  <c r="AD9" i="62"/>
  <c r="AO9" i="62" s="1"/>
  <c r="AS9" i="62"/>
  <c r="AQ9" i="62"/>
  <c r="AW9" i="62" s="1"/>
  <c r="R17" i="62"/>
  <c r="AD17" i="62"/>
  <c r="AO17" i="62" s="1"/>
  <c r="AV17" i="62" s="1" a="1"/>
  <c r="AV17" i="62" s="1"/>
  <c r="AS17" i="62"/>
  <c r="AS3" i="62"/>
  <c r="AV12" i="62" a="1"/>
  <c r="AV12" i="62" s="1"/>
  <c r="R12" i="62"/>
  <c r="AD12" i="62"/>
  <c r="AO12" i="62" s="1"/>
  <c r="AS12" i="62"/>
  <c r="AQ12" i="62"/>
  <c r="AW12" i="62" s="1"/>
  <c r="AC18" i="62"/>
  <c r="R20" i="62"/>
  <c r="AD20" i="62"/>
  <c r="AO20" i="62" s="1"/>
  <c r="AV20" i="62" s="1" a="1"/>
  <c r="AV20" i="62" s="1"/>
  <c r="AS20" i="62"/>
  <c r="AQ20" i="62"/>
  <c r="AW20" i="62" s="1"/>
  <c r="AO21" i="62"/>
  <c r="AV21" i="62" s="1" a="1"/>
  <c r="AV21" i="62" s="1"/>
  <c r="AC26" i="62"/>
  <c r="AV28" i="62"/>
  <c r="R28" i="62"/>
  <c r="AD28" i="62"/>
  <c r="AO28" i="62" s="1"/>
  <c r="AS28" i="62"/>
  <c r="AQ28" i="62"/>
  <c r="AW28" i="62" s="1"/>
  <c r="AO32" i="62"/>
  <c r="AV32" i="62" s="1" a="1"/>
  <c r="AV32" i="62" s="1"/>
  <c r="AZ32" i="62" s="1"/>
  <c r="AC32" i="62"/>
  <c r="AD54" i="62"/>
  <c r="AO54" i="62" s="1"/>
  <c r="AV54" i="62" s="1" a="1"/>
  <c r="AV54" i="62" s="1"/>
  <c r="AO66" i="62"/>
  <c r="AV66" i="62" s="1" a="1"/>
  <c r="AV66" i="62" s="1"/>
  <c r="AQ70" i="62"/>
  <c r="AW70" i="62" s="1"/>
  <c r="AS70" i="62"/>
  <c r="R70" i="62"/>
  <c r="AV70" i="62" a="1"/>
  <c r="AV70" i="62" s="1"/>
  <c r="AZ70" i="62" s="1"/>
  <c r="AF3" i="62"/>
  <c r="AO4" i="62"/>
  <c r="AV4" i="62" s="1" a="1"/>
  <c r="AV4" i="62" s="1"/>
  <c r="AO7" i="62"/>
  <c r="AV7" i="62" s="1" a="1"/>
  <c r="AV7" i="62" s="1"/>
  <c r="AF10" i="62"/>
  <c r="AC12" i="62"/>
  <c r="R14" i="62"/>
  <c r="AD14" i="62"/>
  <c r="AO14" i="62" s="1"/>
  <c r="AV14" i="62" s="1" a="1"/>
  <c r="AV14" i="62" s="1"/>
  <c r="AS14" i="62"/>
  <c r="AQ14" i="62"/>
  <c r="AW14" i="62" s="1"/>
  <c r="AO15" i="62"/>
  <c r="AV15" i="62" s="1" a="1"/>
  <c r="AV15" i="62" s="1"/>
  <c r="AF18" i="62"/>
  <c r="AC20" i="62"/>
  <c r="R22" i="62"/>
  <c r="AD22" i="62"/>
  <c r="AO22" i="62" s="1"/>
  <c r="AV22" i="62" s="1" a="1"/>
  <c r="AV22" i="62" s="1"/>
  <c r="AS22" i="62"/>
  <c r="AQ22" i="62"/>
  <c r="AW22" i="62" s="1"/>
  <c r="AO23" i="62"/>
  <c r="AV23" i="62" s="1" a="1"/>
  <c r="AV23" i="62" s="1"/>
  <c r="AF26" i="62"/>
  <c r="AC28" i="62"/>
  <c r="AO39" i="62"/>
  <c r="AV39" i="62" s="1" a="1"/>
  <c r="AV39" i="62" s="1"/>
  <c r="AF39" i="62"/>
  <c r="AO45" i="62"/>
  <c r="AV45" i="62" s="1" a="1"/>
  <c r="AV45" i="62" s="1"/>
  <c r="AC45" i="62"/>
  <c r="AF45" i="62"/>
  <c r="AO47" i="62"/>
  <c r="AV47" i="62" s="1" a="1"/>
  <c r="AV47" i="62" s="1"/>
  <c r="AC47" i="62"/>
  <c r="AO61" i="62"/>
  <c r="AV61" i="62" s="1" a="1"/>
  <c r="AV61" i="62" s="1"/>
  <c r="AZ61" i="62" s="1"/>
  <c r="AR105" i="62"/>
  <c r="AO40" i="62"/>
  <c r="AV40" i="62" s="1" a="1"/>
  <c r="AV40" i="62" s="1"/>
  <c r="AZ40" i="62" s="1"/>
  <c r="AC40" i="62"/>
  <c r="AO65" i="62"/>
  <c r="AV65" i="62" s="1" a="1"/>
  <c r="AV65" i="62" s="1"/>
  <c r="AZ65" i="62" s="1"/>
  <c r="AQ81" i="62"/>
  <c r="AW81" i="62" s="1"/>
  <c r="R81" i="62"/>
  <c r="AS81" i="62"/>
  <c r="AD81" i="62"/>
  <c r="AO81" i="62" s="1"/>
  <c r="AV81" i="62" s="1" a="1"/>
  <c r="AV81" i="62" s="1"/>
  <c r="AO88" i="62"/>
  <c r="AV88" i="62" s="1" a="1"/>
  <c r="AV88" i="62" s="1"/>
  <c r="AO104" i="62"/>
  <c r="AO34" i="62"/>
  <c r="AV34" i="62" s="1" a="1"/>
  <c r="AV34" i="62" s="1"/>
  <c r="AO43" i="62"/>
  <c r="AV43" i="62" s="1" a="1"/>
  <c r="AV43" i="62" s="1"/>
  <c r="AZ43" i="62" s="1"/>
  <c r="AC43" i="62"/>
  <c r="AO46" i="62"/>
  <c r="AV46" i="62" s="1" a="1"/>
  <c r="AV46" i="62" s="1"/>
  <c r="AC46" i="62"/>
  <c r="AO50" i="62"/>
  <c r="AV50" i="62" s="1" a="1"/>
  <c r="AV50" i="62" s="1"/>
  <c r="AV51" i="62" a="1"/>
  <c r="AV51" i="62" s="1"/>
  <c r="AQ62" i="62"/>
  <c r="AW62" i="62" s="1"/>
  <c r="AS62" i="62"/>
  <c r="R62" i="62"/>
  <c r="AV62" i="62" a="1"/>
  <c r="AV62" i="62" s="1"/>
  <c r="AZ62" i="62" s="1"/>
  <c r="AO77" i="62"/>
  <c r="AV77" i="62" s="1" a="1"/>
  <c r="AV77" i="62" s="1"/>
  <c r="AZ77" i="62" s="1"/>
  <c r="AT105" i="62"/>
  <c r="AO31" i="62"/>
  <c r="AV31" i="62" s="1" a="1"/>
  <c r="AV31" i="62" s="1"/>
  <c r="AO36" i="62"/>
  <c r="AV36" i="62" s="1" a="1"/>
  <c r="AV36" i="62" s="1"/>
  <c r="AO38" i="62"/>
  <c r="AV38" i="62" s="1" a="1"/>
  <c r="AV38" i="62" s="1"/>
  <c r="AC38" i="62"/>
  <c r="AO57" i="62"/>
  <c r="AV57" i="62" s="1" a="1"/>
  <c r="AV57" i="62" s="1"/>
  <c r="AZ57" i="62" s="1"/>
  <c r="AQ74" i="62"/>
  <c r="AW74" i="62" s="1"/>
  <c r="AS74" i="62"/>
  <c r="R74" i="62"/>
  <c r="AV74" i="62" a="1"/>
  <c r="AV74" i="62" s="1"/>
  <c r="AZ74" i="62" s="1"/>
  <c r="AO98" i="62"/>
  <c r="AO33" i="62"/>
  <c r="AV33" i="62" s="1" a="1"/>
  <c r="AV33" i="62" s="1"/>
  <c r="AF43" i="62"/>
  <c r="AO44" i="62"/>
  <c r="AV44" i="62" s="1" a="1"/>
  <c r="AV44" i="62" s="1"/>
  <c r="AF46" i="62"/>
  <c r="AF50" i="62"/>
  <c r="AO52" i="62"/>
  <c r="AV52" i="62" s="1" a="1"/>
  <c r="AV52" i="62" s="1"/>
  <c r="AC52" i="62"/>
  <c r="AQ66" i="62"/>
  <c r="AW66" i="62" s="1"/>
  <c r="AS66" i="62"/>
  <c r="R66" i="62"/>
  <c r="AQ80" i="62"/>
  <c r="AW80" i="62" s="1"/>
  <c r="AV80" i="62" a="1"/>
  <c r="AV80" i="62" s="1"/>
  <c r="R80" i="62"/>
  <c r="AD80" i="62"/>
  <c r="AO80" i="62" s="1"/>
  <c r="AS80" i="62"/>
  <c r="AQ78" i="62"/>
  <c r="AW78" i="62" s="1"/>
  <c r="AS78" i="62"/>
  <c r="R78" i="62"/>
  <c r="AV78" i="62" a="1"/>
  <c r="AV78" i="62" s="1"/>
  <c r="AZ78" i="62" s="1"/>
  <c r="AX56" i="62"/>
  <c r="AX60" i="62"/>
  <c r="AX64" i="62"/>
  <c r="AX68" i="62"/>
  <c r="AX72" i="62"/>
  <c r="AX76" i="62"/>
  <c r="AF79" i="62"/>
  <c r="AC79" i="62"/>
  <c r="AQ83" i="62"/>
  <c r="AW83" i="62" s="1"/>
  <c r="R83" i="62"/>
  <c r="AS83" i="62"/>
  <c r="AE127" i="62"/>
  <c r="AF127" i="62" s="1"/>
  <c r="AF106" i="62"/>
  <c r="AQ87" i="62"/>
  <c r="AW87" i="62" s="1"/>
  <c r="R87" i="62"/>
  <c r="AS87" i="62"/>
  <c r="AO99" i="62"/>
  <c r="AO103" i="62"/>
  <c r="R52" i="62"/>
  <c r="AX70" i="62"/>
  <c r="AX74" i="62"/>
  <c r="AX78" i="62"/>
  <c r="AO79" i="62"/>
  <c r="AV79" i="62" s="1" a="1"/>
  <c r="AV79" i="62" s="1"/>
  <c r="AD55" i="62"/>
  <c r="AO55" i="62" s="1"/>
  <c r="AV55" i="62" s="1" a="1"/>
  <c r="AV55" i="62" s="1"/>
  <c r="AD59" i="62"/>
  <c r="AO59" i="62" s="1"/>
  <c r="AD63" i="62"/>
  <c r="AO63" i="62" s="1"/>
  <c r="AV63" i="62" s="1" a="1"/>
  <c r="AV63" i="62" s="1"/>
  <c r="AD67" i="62"/>
  <c r="AO67" i="62" s="1"/>
  <c r="AD71" i="62"/>
  <c r="AO71" i="62" s="1"/>
  <c r="AV71" i="62" s="1" a="1"/>
  <c r="AV71" i="62" s="1"/>
  <c r="AD75" i="62"/>
  <c r="AO75" i="62" s="1"/>
  <c r="AV75" i="62" s="1" a="1"/>
  <c r="AV75" i="62" s="1"/>
  <c r="AD83" i="62"/>
  <c r="AO83" i="62" s="1"/>
  <c r="AV83" i="62" s="1" a="1"/>
  <c r="AV83" i="62" s="1"/>
  <c r="AQ85" i="62"/>
  <c r="AW85" i="62" s="1"/>
  <c r="R85" i="62"/>
  <c r="AD85" i="62"/>
  <c r="AD87" i="62"/>
  <c r="AO89" i="62"/>
  <c r="AO97" i="62"/>
  <c r="AX53" i="62"/>
  <c r="AX57" i="62"/>
  <c r="AV59" i="62" a="1"/>
  <c r="AV59" i="62" s="1"/>
  <c r="AZ59" i="62" s="1"/>
  <c r="AX61" i="62"/>
  <c r="AX65" i="62"/>
  <c r="AV67" i="62" a="1"/>
  <c r="AV67" i="62" s="1"/>
  <c r="AZ67" i="62" s="1"/>
  <c r="AX69" i="62"/>
  <c r="AX73" i="62"/>
  <c r="R79" i="62"/>
  <c r="AS88" i="62"/>
  <c r="AS89" i="62"/>
  <c r="AS90" i="62"/>
  <c r="AS91" i="62"/>
  <c r="AS92" i="62"/>
  <c r="AS93" i="62"/>
  <c r="AS94" i="62"/>
  <c r="AS95" i="62"/>
  <c r="AS96" i="62"/>
  <c r="AS97" i="62"/>
  <c r="AS98" i="62"/>
  <c r="AS99" i="62"/>
  <c r="AS100" i="62"/>
  <c r="AS101" i="62"/>
  <c r="AS102" i="62"/>
  <c r="AS103" i="62"/>
  <c r="AS104" i="62"/>
  <c r="AU106" i="62"/>
  <c r="AQ84" i="62"/>
  <c r="AW84" i="62" s="1"/>
  <c r="R84" i="62"/>
  <c r="AL104" i="62"/>
  <c r="AL103" i="62"/>
  <c r="AL102" i="62"/>
  <c r="AO102" i="62" s="1"/>
  <c r="AV102" i="62" s="1" a="1"/>
  <c r="AV102" i="62" s="1"/>
  <c r="AL101" i="62"/>
  <c r="AO101" i="62" s="1"/>
  <c r="AV101" i="62" s="1" a="1"/>
  <c r="AV101" i="62" s="1"/>
  <c r="AL100" i="62"/>
  <c r="AO100" i="62" s="1"/>
  <c r="AV100" i="62" s="1" a="1"/>
  <c r="AV100" i="62" s="1"/>
  <c r="AL99" i="62"/>
  <c r="AL98" i="62"/>
  <c r="AL97" i="62"/>
  <c r="AL96" i="62"/>
  <c r="AO96" i="62" s="1"/>
  <c r="AV96" i="62" s="1" a="1"/>
  <c r="AV96" i="62" s="1"/>
  <c r="AL95" i="62"/>
  <c r="AO95" i="62" s="1"/>
  <c r="AV95" i="62" s="1" a="1"/>
  <c r="AV95" i="62" s="1"/>
  <c r="AL94" i="62"/>
  <c r="AO94" i="62" s="1"/>
  <c r="AV94" i="62" s="1" a="1"/>
  <c r="AV94" i="62" s="1"/>
  <c r="AL93" i="62"/>
  <c r="AO93" i="62" s="1"/>
  <c r="AV93" i="62" s="1" a="1"/>
  <c r="AV93" i="62" s="1"/>
  <c r="AL92" i="62"/>
  <c r="AO92" i="62" s="1"/>
  <c r="AV92" i="62" s="1" a="1"/>
  <c r="AV92" i="62" s="1"/>
  <c r="AL91" i="62"/>
  <c r="AO91" i="62" s="1"/>
  <c r="AV91" i="62" s="1" a="1"/>
  <c r="AV91" i="62" s="1"/>
  <c r="AL90" i="62"/>
  <c r="AO90" i="62" s="1"/>
  <c r="AV90" i="62" s="1" a="1"/>
  <c r="AV90" i="62" s="1"/>
  <c r="AL89" i="62"/>
  <c r="AL88" i="62"/>
  <c r="AL87" i="62"/>
  <c r="AL86" i="62"/>
  <c r="AL85" i="62"/>
  <c r="AL84" i="62"/>
  <c r="AO84" i="62" s="1"/>
  <c r="AV84" i="62" s="1" a="1"/>
  <c r="AV84" i="62" s="1"/>
  <c r="AL83" i="62"/>
  <c r="AL82" i="62"/>
  <c r="AO82" i="62" s="1"/>
  <c r="AV82" i="62" s="1" a="1"/>
  <c r="AV82" i="62" s="1"/>
  <c r="AL81" i="62"/>
  <c r="AL80" i="62"/>
  <c r="AL79" i="62"/>
  <c r="AL106" i="62" s="1"/>
  <c r="AF114" i="62"/>
  <c r="AU127" i="62"/>
  <c r="AQ82" i="62"/>
  <c r="AW82" i="62" s="1"/>
  <c r="R82" i="62"/>
  <c r="AQ88" i="62"/>
  <c r="AW88" i="62" s="1"/>
  <c r="R88" i="62"/>
  <c r="AQ89" i="62"/>
  <c r="AW89" i="62" s="1"/>
  <c r="AV89" i="62" a="1"/>
  <c r="AV89" i="62" s="1"/>
  <c r="R89" i="62"/>
  <c r="AQ90" i="62"/>
  <c r="AW90" i="62" s="1"/>
  <c r="R90" i="62"/>
  <c r="AQ91" i="62"/>
  <c r="AW91" i="62" s="1"/>
  <c r="R91" i="62"/>
  <c r="AQ92" i="62"/>
  <c r="AW92" i="62" s="1"/>
  <c r="R92" i="62"/>
  <c r="AQ93" i="62"/>
  <c r="AW93" i="62" s="1"/>
  <c r="R93" i="62"/>
  <c r="AQ94" i="62"/>
  <c r="AW94" i="62" s="1"/>
  <c r="R94" i="62"/>
  <c r="AQ95" i="62"/>
  <c r="AW95" i="62" s="1"/>
  <c r="R95" i="62"/>
  <c r="AQ96" i="62"/>
  <c r="AW96" i="62" s="1"/>
  <c r="R96" i="62"/>
  <c r="AQ97" i="62"/>
  <c r="AW97" i="62" s="1"/>
  <c r="AV97" i="62" a="1"/>
  <c r="AV97" i="62" s="1"/>
  <c r="AZ97" i="62" s="1"/>
  <c r="R97" i="62"/>
  <c r="AQ98" i="62"/>
  <c r="AW98" i="62" s="1"/>
  <c r="AV98" i="62" a="1"/>
  <c r="AV98" i="62" s="1"/>
  <c r="AZ98" i="62" s="1"/>
  <c r="R98" i="62"/>
  <c r="AQ99" i="62"/>
  <c r="AW99" i="62" s="1"/>
  <c r="AV99" i="62" a="1"/>
  <c r="AV99" i="62" s="1"/>
  <c r="AZ99" i="62" s="1"/>
  <c r="R99" i="62"/>
  <c r="AQ100" i="62"/>
  <c r="AW100" i="62" s="1"/>
  <c r="R100" i="62"/>
  <c r="AQ101" i="62"/>
  <c r="AW101" i="62" s="1"/>
  <c r="R101" i="62"/>
  <c r="AQ102" i="62"/>
  <c r="AW102" i="62" s="1"/>
  <c r="R102" i="62"/>
  <c r="AQ103" i="62"/>
  <c r="AW103" i="62" s="1"/>
  <c r="AV103" i="62" a="1"/>
  <c r="AV103" i="62" s="1"/>
  <c r="AZ103" i="62" s="1"/>
  <c r="R103" i="62"/>
  <c r="AQ104" i="62"/>
  <c r="AW104" i="62" s="1"/>
  <c r="AV104" i="62" a="1"/>
  <c r="AV104" i="62" s="1"/>
  <c r="AZ104" i="62" s="1"/>
  <c r="R104" i="62"/>
  <c r="AU114" i="62"/>
  <c r="F5" i="63" l="1"/>
  <c r="E6" i="63"/>
  <c r="M7" i="63"/>
  <c r="G7" i="63" s="1"/>
  <c r="L8" i="63"/>
  <c r="AZ96" i="62"/>
  <c r="AX96" i="62"/>
  <c r="AZ82" i="62"/>
  <c r="AX82" i="62"/>
  <c r="AZ55" i="62"/>
  <c r="AX55" i="62"/>
  <c r="AZ14" i="62"/>
  <c r="AX14" i="62"/>
  <c r="AZ58" i="62"/>
  <c r="AX58" i="62"/>
  <c r="AZ10" i="62"/>
  <c r="AX10" i="62"/>
  <c r="AZ22" i="62"/>
  <c r="AX22" i="62"/>
  <c r="AZ24" i="62"/>
  <c r="AX24" i="62"/>
  <c r="AZ19" i="62"/>
  <c r="AX19" i="62"/>
  <c r="AZ84" i="62"/>
  <c r="AX84" i="62"/>
  <c r="AZ92" i="62"/>
  <c r="AX92" i="62"/>
  <c r="AZ100" i="62"/>
  <c r="AX100" i="62"/>
  <c r="AZ83" i="62"/>
  <c r="AX83" i="62"/>
  <c r="AZ17" i="62"/>
  <c r="AX17" i="62"/>
  <c r="AZ30" i="62"/>
  <c r="AX30" i="62"/>
  <c r="AZ90" i="62"/>
  <c r="AX90" i="62"/>
  <c r="AZ20" i="62"/>
  <c r="AX20" i="62"/>
  <c r="AZ91" i="62"/>
  <c r="AX91" i="62"/>
  <c r="AZ79" i="62"/>
  <c r="AX79" i="62"/>
  <c r="AZ93" i="62"/>
  <c r="AX93" i="62"/>
  <c r="AZ101" i="62"/>
  <c r="AX101" i="62"/>
  <c r="AZ75" i="62"/>
  <c r="AX75" i="62"/>
  <c r="AZ88" i="62"/>
  <c r="AX88" i="62"/>
  <c r="AZ66" i="62"/>
  <c r="AX66" i="62"/>
  <c r="AZ63" i="62"/>
  <c r="AX63" i="62"/>
  <c r="AZ94" i="62"/>
  <c r="AX94" i="62"/>
  <c r="AZ102" i="62"/>
  <c r="AX102" i="62"/>
  <c r="AZ71" i="62"/>
  <c r="AX71" i="62"/>
  <c r="AZ50" i="62"/>
  <c r="AX50" i="62"/>
  <c r="AZ81" i="62"/>
  <c r="AX81" i="62"/>
  <c r="AZ7" i="62"/>
  <c r="AX7" i="62"/>
  <c r="AZ54" i="62"/>
  <c r="AX54" i="62"/>
  <c r="AZ27" i="62"/>
  <c r="AX27" i="62"/>
  <c r="AZ95" i="62"/>
  <c r="AX95" i="62"/>
  <c r="AZ52" i="62"/>
  <c r="AX52" i="62"/>
  <c r="AZ15" i="62"/>
  <c r="AX15" i="62"/>
  <c r="AZ4" i="62"/>
  <c r="AX4" i="62"/>
  <c r="AZ21" i="62"/>
  <c r="AX21" i="62"/>
  <c r="AX5" i="62"/>
  <c r="AZ5" i="62"/>
  <c r="AZ26" i="62"/>
  <c r="AX26" i="62"/>
  <c r="AZ16" i="62"/>
  <c r="AX16" i="62"/>
  <c r="AZ13" i="62"/>
  <c r="AX13" i="62"/>
  <c r="AZ23" i="62"/>
  <c r="AX23" i="62"/>
  <c r="AZ45" i="62"/>
  <c r="AX45" i="62"/>
  <c r="AV3" i="62"/>
  <c r="AX104" i="62"/>
  <c r="AX98" i="62"/>
  <c r="AX77" i="62"/>
  <c r="AX38" i="62"/>
  <c r="AZ38" i="62"/>
  <c r="AC39" i="62"/>
  <c r="AC48" i="62"/>
  <c r="AZ46" i="62"/>
  <c r="AX46" i="62"/>
  <c r="AZ49" i="62"/>
  <c r="AX49" i="62"/>
  <c r="AX67" i="62"/>
  <c r="AO87" i="62"/>
  <c r="AV87" i="62" s="1" a="1"/>
  <c r="AV87" i="62" s="1"/>
  <c r="AC44" i="62"/>
  <c r="AC36" i="62"/>
  <c r="AZ34" i="62"/>
  <c r="AX34" i="62"/>
  <c r="AZ39" i="62"/>
  <c r="AX39" i="62"/>
  <c r="AZ48" i="62"/>
  <c r="AX48" i="62"/>
  <c r="AX59" i="62"/>
  <c r="AC8" i="62"/>
  <c r="AC51" i="62"/>
  <c r="AC13" i="62"/>
  <c r="AO85" i="62"/>
  <c r="AV85" i="62" s="1" a="1"/>
  <c r="AV85" i="62" s="1"/>
  <c r="AX62" i="62"/>
  <c r="AZ44" i="62"/>
  <c r="AX44" i="62"/>
  <c r="AZ51" i="62"/>
  <c r="AX51" i="62"/>
  <c r="AZ18" i="62"/>
  <c r="AX18" i="62"/>
  <c r="AZ36" i="62"/>
  <c r="AX36" i="62"/>
  <c r="AZ12" i="62"/>
  <c r="AX12" i="62"/>
  <c r="AZ8" i="62"/>
  <c r="AX8" i="62"/>
  <c r="AZ11" i="62"/>
  <c r="AX11" i="62"/>
  <c r="AZ6" i="62"/>
  <c r="AX6" i="62"/>
  <c r="AZ31" i="62"/>
  <c r="AX31" i="62"/>
  <c r="AC50" i="62"/>
  <c r="AZ47" i="62"/>
  <c r="AX47" i="62"/>
  <c r="AC10" i="62"/>
  <c r="AC42" i="62"/>
  <c r="AC9" i="62"/>
  <c r="AC37" i="62"/>
  <c r="AC16" i="62"/>
  <c r="AC41" i="62"/>
  <c r="AC19" i="62"/>
  <c r="AX40" i="62"/>
  <c r="AC11" i="62"/>
  <c r="AX103" i="62"/>
  <c r="AX99" i="62"/>
  <c r="AX97" i="62"/>
  <c r="AZ33" i="62"/>
  <c r="AX33" i="62"/>
  <c r="AC86" i="62"/>
  <c r="AC87" i="62"/>
  <c r="AC78" i="62"/>
  <c r="AC74" i="62"/>
  <c r="AC70" i="62"/>
  <c r="AC66" i="62"/>
  <c r="AC62" i="62"/>
  <c r="AC58" i="62"/>
  <c r="AC54" i="62"/>
  <c r="AC103" i="62"/>
  <c r="AC99" i="62"/>
  <c r="AC95" i="62"/>
  <c r="AC91" i="62"/>
  <c r="AC83" i="62"/>
  <c r="AC75" i="62"/>
  <c r="AC71" i="62"/>
  <c r="AC67" i="62"/>
  <c r="AC63" i="62"/>
  <c r="AC59" i="62"/>
  <c r="AC55" i="62"/>
  <c r="AC101" i="62"/>
  <c r="AC97" i="62"/>
  <c r="AC93" i="62"/>
  <c r="AC89" i="62"/>
  <c r="AC85" i="62"/>
  <c r="AC84" i="62"/>
  <c r="AC77" i="62"/>
  <c r="AC73" i="62"/>
  <c r="AC69" i="62"/>
  <c r="AC65" i="62"/>
  <c r="AC61" i="62"/>
  <c r="AC57" i="62"/>
  <c r="AC53" i="62"/>
  <c r="AC104" i="62"/>
  <c r="AC96" i="62"/>
  <c r="AC88" i="62"/>
  <c r="AC81" i="62"/>
  <c r="AC60" i="62"/>
  <c r="AC31" i="62"/>
  <c r="AC102" i="62"/>
  <c r="AC94" i="62"/>
  <c r="AC82" i="62"/>
  <c r="AC68" i="62"/>
  <c r="AC56" i="62"/>
  <c r="AC100" i="62"/>
  <c r="AC92" i="62"/>
  <c r="AC80" i="62"/>
  <c r="AC76" i="62"/>
  <c r="AC98" i="62"/>
  <c r="AC90" i="62"/>
  <c r="AC30" i="62"/>
  <c r="AC3" i="62"/>
  <c r="AC106" i="62" s="1"/>
  <c r="AC127" i="62" s="1"/>
  <c r="AC34" i="62"/>
  <c r="AC33" i="62"/>
  <c r="AC72" i="62"/>
  <c r="AC64" i="62"/>
  <c r="AZ41" i="62"/>
  <c r="AX41" i="62"/>
  <c r="AO86" i="62"/>
  <c r="AV86" i="62" s="1" a="1"/>
  <c r="AV86" i="62" s="1"/>
  <c r="AZ89" i="62"/>
  <c r="AX89" i="62"/>
  <c r="AZ28" i="62"/>
  <c r="AX28" i="62"/>
  <c r="AZ9" i="62"/>
  <c r="AX9" i="62"/>
  <c r="AZ25" i="62"/>
  <c r="AX25" i="62"/>
  <c r="AC5" i="62"/>
  <c r="AW105" i="62"/>
  <c r="AZ80" i="62"/>
  <c r="AX80" i="62"/>
  <c r="AS105" i="62"/>
  <c r="AQ105" i="62"/>
  <c r="J4" i="55"/>
  <c r="J11" i="55"/>
  <c r="J14" i="55"/>
  <c r="J9" i="55"/>
  <c r="J19" i="55"/>
  <c r="J7" i="55"/>
  <c r="J8" i="55"/>
  <c r="J13" i="55"/>
  <c r="J12" i="55"/>
  <c r="J5" i="55"/>
  <c r="J22" i="55"/>
  <c r="J15" i="55"/>
  <c r="J6" i="55"/>
  <c r="J23" i="55"/>
  <c r="J20" i="55"/>
  <c r="J54" i="55"/>
  <c r="J31" i="55"/>
  <c r="J32" i="55"/>
  <c r="J26" i="55"/>
  <c r="J55" i="55"/>
  <c r="J41" i="55"/>
  <c r="J56" i="55"/>
  <c r="J29" i="55"/>
  <c r="J33" i="55"/>
  <c r="J17" i="55"/>
  <c r="J57" i="55"/>
  <c r="J58" i="55"/>
  <c r="J59" i="55"/>
  <c r="J60" i="55"/>
  <c r="J42" i="55"/>
  <c r="J61" i="55"/>
  <c r="J62" i="55"/>
  <c r="J63" i="55"/>
  <c r="J64" i="55"/>
  <c r="J65" i="55"/>
  <c r="J104" i="55"/>
  <c r="J66" i="55"/>
  <c r="J67" i="55"/>
  <c r="J43" i="55"/>
  <c r="J44" i="55"/>
  <c r="J25" i="55"/>
  <c r="J24" i="55"/>
  <c r="J68" i="55"/>
  <c r="J27" i="55"/>
  <c r="J16" i="55"/>
  <c r="J21" i="55"/>
  <c r="J18" i="55"/>
  <c r="J69" i="55"/>
  <c r="J34" i="55"/>
  <c r="J105" i="55"/>
  <c r="J70" i="55"/>
  <c r="J71" i="55"/>
  <c r="J72" i="55"/>
  <c r="J73" i="55"/>
  <c r="J45" i="55"/>
  <c r="J74" i="55"/>
  <c r="J46" i="55"/>
  <c r="J47" i="55"/>
  <c r="J75" i="55"/>
  <c r="J76" i="55"/>
  <c r="J77" i="55"/>
  <c r="J78" i="55"/>
  <c r="J79" i="55"/>
  <c r="J80" i="55"/>
  <c r="J81" i="55"/>
  <c r="J48" i="55"/>
  <c r="J82" i="55"/>
  <c r="J83" i="55"/>
  <c r="J84" i="55"/>
  <c r="J49" i="55"/>
  <c r="J85" i="55"/>
  <c r="J35" i="55"/>
  <c r="J86" i="55"/>
  <c r="J50" i="55"/>
  <c r="J36" i="55"/>
  <c r="J37" i="55"/>
  <c r="J38" i="55"/>
  <c r="J51" i="55"/>
  <c r="J87" i="55"/>
  <c r="J52" i="55"/>
  <c r="J88" i="55"/>
  <c r="J89" i="55"/>
  <c r="J90" i="55"/>
  <c r="J39" i="55"/>
  <c r="J91" i="55"/>
  <c r="J28" i="55"/>
  <c r="J92" i="55"/>
  <c r="J93" i="55"/>
  <c r="J94" i="55"/>
  <c r="J95" i="55"/>
  <c r="J96" i="55"/>
  <c r="J97" i="55"/>
  <c r="J98" i="55"/>
  <c r="J99" i="55"/>
  <c r="J53" i="55"/>
  <c r="J100" i="55"/>
  <c r="J40" i="55"/>
  <c r="J101" i="55"/>
  <c r="J30" i="55"/>
  <c r="J102" i="55"/>
  <c r="J103" i="55"/>
  <c r="J10" i="55"/>
  <c r="C4" i="55"/>
  <c r="C106" i="55" s="1"/>
  <c r="C8" i="55"/>
  <c r="C13" i="55"/>
  <c r="C9" i="55"/>
  <c r="C18" i="55"/>
  <c r="C7" i="55"/>
  <c r="C11" i="55"/>
  <c r="C12" i="55"/>
  <c r="C14" i="55"/>
  <c r="C6" i="55"/>
  <c r="C24" i="55"/>
  <c r="C15" i="55"/>
  <c r="C5" i="55"/>
  <c r="C23" i="55"/>
  <c r="C21" i="55"/>
  <c r="C48" i="55"/>
  <c r="C31" i="55"/>
  <c r="C102" i="55"/>
  <c r="C28" i="55"/>
  <c r="C49" i="55"/>
  <c r="C39" i="55"/>
  <c r="C50" i="55"/>
  <c r="C33" i="55"/>
  <c r="C47" i="55"/>
  <c r="C19" i="55"/>
  <c r="C51" i="55"/>
  <c r="C52" i="55"/>
  <c r="C53" i="55"/>
  <c r="C54" i="55"/>
  <c r="C103" i="55"/>
  <c r="C86" i="55"/>
  <c r="C55" i="55"/>
  <c r="C56" i="55"/>
  <c r="C85" i="55"/>
  <c r="C87" i="55"/>
  <c r="C97" i="55"/>
  <c r="C90" i="55"/>
  <c r="C81" i="55"/>
  <c r="C41" i="55"/>
  <c r="C46" i="55"/>
  <c r="C25" i="55"/>
  <c r="C20" i="55"/>
  <c r="C57" i="55"/>
  <c r="C27" i="55"/>
  <c r="C16" i="55"/>
  <c r="C22" i="55"/>
  <c r="C17" i="55"/>
  <c r="C75" i="55"/>
  <c r="C32" i="55"/>
  <c r="C105" i="55"/>
  <c r="C88" i="55"/>
  <c r="C76" i="55"/>
  <c r="C58" i="55"/>
  <c r="C59" i="55"/>
  <c r="C94" i="55"/>
  <c r="C60" i="55"/>
  <c r="C34" i="55"/>
  <c r="C40" i="55"/>
  <c r="C61" i="55"/>
  <c r="C62" i="55"/>
  <c r="C63" i="55"/>
  <c r="C79" i="55"/>
  <c r="C78" i="55"/>
  <c r="C64" i="55"/>
  <c r="C65" i="55"/>
  <c r="C38" i="55"/>
  <c r="C66" i="55"/>
  <c r="C80" i="55"/>
  <c r="C67" i="55"/>
  <c r="C44" i="55"/>
  <c r="C68" i="55"/>
  <c r="C45" i="55"/>
  <c r="C95" i="55"/>
  <c r="C43" i="55"/>
  <c r="C100" i="55"/>
  <c r="C99" i="55"/>
  <c r="C96" i="55"/>
  <c r="C35" i="55"/>
  <c r="C93" i="55"/>
  <c r="C36" i="55"/>
  <c r="C91" i="55"/>
  <c r="C98" i="55"/>
  <c r="C104" i="55"/>
  <c r="C37" i="55"/>
  <c r="C77" i="55"/>
  <c r="C26" i="55"/>
  <c r="C83" i="55"/>
  <c r="C101" i="55"/>
  <c r="C92" i="55"/>
  <c r="C82" i="55"/>
  <c r="C69" i="55"/>
  <c r="C70" i="55"/>
  <c r="C71" i="55"/>
  <c r="C84" i="55"/>
  <c r="C42" i="55"/>
  <c r="C72" i="55"/>
  <c r="C30" i="55"/>
  <c r="C73" i="55"/>
  <c r="C29" i="55"/>
  <c r="C74" i="55"/>
  <c r="C89" i="55"/>
  <c r="C10" i="55"/>
  <c r="T126" i="56"/>
  <c r="AC23" i="57"/>
  <c r="Z23" i="57"/>
  <c r="X23" i="57"/>
  <c r="W23" i="57"/>
  <c r="U23" i="57"/>
  <c r="S23" i="57"/>
  <c r="R23" i="57"/>
  <c r="Q23" i="57"/>
  <c r="P23" i="57"/>
  <c r="N23" i="57"/>
  <c r="O23" i="57" s="1"/>
  <c r="M23" i="57"/>
  <c r="K23" i="57"/>
  <c r="L23" i="57" s="1"/>
  <c r="J23" i="57"/>
  <c r="I23" i="57"/>
  <c r="H23" i="57"/>
  <c r="F126" i="56"/>
  <c r="AF107" i="56"/>
  <c r="AF108" i="56"/>
  <c r="AF109" i="56"/>
  <c r="AF110" i="56"/>
  <c r="AF111" i="56"/>
  <c r="AF112" i="56"/>
  <c r="AF113" i="56"/>
  <c r="AF114" i="56"/>
  <c r="AF115" i="56"/>
  <c r="AF116" i="56"/>
  <c r="AF117" i="56"/>
  <c r="AF118" i="56"/>
  <c r="AF119" i="56"/>
  <c r="AF120" i="56"/>
  <c r="AF121" i="56"/>
  <c r="AF122" i="56"/>
  <c r="AF123" i="56"/>
  <c r="AF124" i="56"/>
  <c r="AF125" i="56"/>
  <c r="AF126" i="56"/>
  <c r="G126" i="56"/>
  <c r="H126" i="56"/>
  <c r="I126" i="56"/>
  <c r="J126" i="56"/>
  <c r="L126" i="56"/>
  <c r="M126" i="56"/>
  <c r="R126" i="56"/>
  <c r="S126" i="56"/>
  <c r="U126" i="56"/>
  <c r="V126" i="56"/>
  <c r="W126" i="56"/>
  <c r="X126" i="56"/>
  <c r="Y126" i="56"/>
  <c r="Z126" i="56"/>
  <c r="AA126" i="56"/>
  <c r="AC126" i="56"/>
  <c r="AD126" i="56"/>
  <c r="AE126" i="56"/>
  <c r="AG126" i="56"/>
  <c r="AH126" i="56"/>
  <c r="AI126" i="56"/>
  <c r="AJ126" i="56"/>
  <c r="AK126" i="56"/>
  <c r="AL126" i="56"/>
  <c r="AM126" i="56"/>
  <c r="AN126" i="56"/>
  <c r="AO126" i="56"/>
  <c r="E126" i="56"/>
  <c r="Z23" i="3"/>
  <c r="X23" i="3"/>
  <c r="W23" i="3"/>
  <c r="S23" i="3"/>
  <c r="AH25" i="3"/>
  <c r="AI25" i="3"/>
  <c r="AJ25" i="3"/>
  <c r="AK25" i="3"/>
  <c r="AI28" i="56"/>
  <c r="AL4" i="56"/>
  <c r="AL5" i="56"/>
  <c r="AL6" i="56"/>
  <c r="AL7" i="56"/>
  <c r="AL8" i="56"/>
  <c r="AL9" i="56"/>
  <c r="AL10" i="56"/>
  <c r="AL11" i="56"/>
  <c r="AL12" i="56"/>
  <c r="AL13" i="56"/>
  <c r="AL14" i="56"/>
  <c r="AL15" i="56"/>
  <c r="AL16" i="56"/>
  <c r="AL17" i="56"/>
  <c r="AL18" i="56"/>
  <c r="AL19" i="56"/>
  <c r="AL20" i="56"/>
  <c r="AL21" i="56"/>
  <c r="AL22" i="56"/>
  <c r="AL23" i="56"/>
  <c r="AL24" i="56"/>
  <c r="AL25" i="56"/>
  <c r="AL26" i="56"/>
  <c r="AL27" i="56"/>
  <c r="AL28" i="56"/>
  <c r="AL29" i="56"/>
  <c r="AL30" i="56"/>
  <c r="AL31" i="56"/>
  <c r="AL32" i="56"/>
  <c r="AL33" i="56"/>
  <c r="AL34" i="56"/>
  <c r="AL35" i="56"/>
  <c r="AL36" i="56"/>
  <c r="AL37" i="56"/>
  <c r="AL38" i="56"/>
  <c r="AL39" i="56"/>
  <c r="AL40" i="56"/>
  <c r="AL41" i="56"/>
  <c r="AL42" i="56"/>
  <c r="AL43" i="56"/>
  <c r="AL44" i="56"/>
  <c r="AL45" i="56"/>
  <c r="AL46" i="56"/>
  <c r="AL47" i="56"/>
  <c r="AL48" i="56"/>
  <c r="AL49" i="56"/>
  <c r="AL50" i="56"/>
  <c r="AL51" i="56"/>
  <c r="AL52" i="56"/>
  <c r="AL53" i="56"/>
  <c r="AL54" i="56"/>
  <c r="AL55" i="56"/>
  <c r="AL56" i="56"/>
  <c r="AL57" i="56"/>
  <c r="AL58" i="56"/>
  <c r="AL59" i="56"/>
  <c r="AL60" i="56"/>
  <c r="AL61" i="56"/>
  <c r="AL62" i="56"/>
  <c r="AL63" i="56"/>
  <c r="AL64" i="56"/>
  <c r="AL65" i="56"/>
  <c r="AL66" i="56"/>
  <c r="AL67" i="56"/>
  <c r="AL68" i="56"/>
  <c r="AL69" i="56"/>
  <c r="AL70" i="56"/>
  <c r="AL71" i="56"/>
  <c r="AL72" i="56"/>
  <c r="AL73" i="56"/>
  <c r="AL74" i="56"/>
  <c r="AL75" i="56"/>
  <c r="AL76" i="56"/>
  <c r="AL77" i="56"/>
  <c r="AL78" i="56"/>
  <c r="AL79" i="56"/>
  <c r="AL80" i="56"/>
  <c r="AL81" i="56"/>
  <c r="AL82" i="56"/>
  <c r="AL83" i="56"/>
  <c r="AL84" i="56"/>
  <c r="AL85" i="56"/>
  <c r="AL86" i="56"/>
  <c r="AL87" i="56"/>
  <c r="AL88" i="56"/>
  <c r="AL89" i="56"/>
  <c r="AL90" i="56"/>
  <c r="AL91" i="56"/>
  <c r="AL92" i="56"/>
  <c r="AL93" i="56"/>
  <c r="AL94" i="56"/>
  <c r="AL95" i="56"/>
  <c r="AL96" i="56"/>
  <c r="AL97" i="56"/>
  <c r="AL98" i="56"/>
  <c r="AL99" i="56"/>
  <c r="AL100" i="56"/>
  <c r="AL101" i="56"/>
  <c r="AL102" i="56"/>
  <c r="AL103" i="56"/>
  <c r="AL104" i="56"/>
  <c r="AB4" i="56"/>
  <c r="AB11" i="56"/>
  <c r="AB12" i="56"/>
  <c r="AB19" i="56"/>
  <c r="AB20" i="56"/>
  <c r="AB25" i="56"/>
  <c r="AB27" i="56"/>
  <c r="AB35" i="56"/>
  <c r="AB43" i="56"/>
  <c r="AB51" i="56"/>
  <c r="AB52" i="56"/>
  <c r="AB59" i="56"/>
  <c r="AB60" i="56"/>
  <c r="AB67" i="56"/>
  <c r="AB68" i="56"/>
  <c r="AB75" i="56"/>
  <c r="AB76" i="56"/>
  <c r="AB83" i="56"/>
  <c r="AB84" i="56"/>
  <c r="AB91" i="56"/>
  <c r="AB92" i="56"/>
  <c r="AB99" i="56"/>
  <c r="AB100" i="56"/>
  <c r="Q104" i="56"/>
  <c r="F106" i="56"/>
  <c r="F127" i="56" s="1"/>
  <c r="G106" i="56"/>
  <c r="G127" i="56" s="1"/>
  <c r="H106" i="56"/>
  <c r="H127" i="56" s="1"/>
  <c r="F114" i="56"/>
  <c r="G114" i="56"/>
  <c r="H114" i="56"/>
  <c r="F125" i="56"/>
  <c r="G125" i="56"/>
  <c r="H125" i="56"/>
  <c r="J106" i="56"/>
  <c r="J127" i="56" s="1"/>
  <c r="I106" i="56"/>
  <c r="I127" i="56" s="1"/>
  <c r="I114" i="56"/>
  <c r="J114" i="56"/>
  <c r="I125" i="56"/>
  <c r="J125" i="56"/>
  <c r="D103" i="61"/>
  <c r="K105" i="61"/>
  <c r="G105" i="61"/>
  <c r="K104" i="61"/>
  <c r="K103" i="61"/>
  <c r="K102" i="61"/>
  <c r="K101" i="61"/>
  <c r="K100" i="61"/>
  <c r="K99" i="61"/>
  <c r="K98" i="61"/>
  <c r="K97" i="61"/>
  <c r="K96" i="61"/>
  <c r="K95" i="61"/>
  <c r="K94" i="61"/>
  <c r="K93" i="61"/>
  <c r="K92" i="61"/>
  <c r="K91" i="61"/>
  <c r="K90" i="61"/>
  <c r="K89" i="61"/>
  <c r="K88" i="61"/>
  <c r="K87" i="61"/>
  <c r="K86" i="61"/>
  <c r="K85" i="61"/>
  <c r="K84" i="61"/>
  <c r="K83" i="61"/>
  <c r="K82" i="61"/>
  <c r="K81" i="61"/>
  <c r="K80" i="61"/>
  <c r="K79" i="61"/>
  <c r="K78" i="61"/>
  <c r="K77" i="61"/>
  <c r="K76" i="61"/>
  <c r="K75" i="61"/>
  <c r="K74" i="61"/>
  <c r="K73" i="61"/>
  <c r="K72" i="61"/>
  <c r="K71" i="61"/>
  <c r="K70" i="61"/>
  <c r="K69" i="61"/>
  <c r="K68" i="61"/>
  <c r="K67" i="61"/>
  <c r="K66" i="61"/>
  <c r="K65" i="61"/>
  <c r="K64" i="61"/>
  <c r="K63" i="61"/>
  <c r="K62" i="61"/>
  <c r="K61" i="61"/>
  <c r="K60" i="61"/>
  <c r="K59" i="61"/>
  <c r="K58" i="61"/>
  <c r="K57" i="61"/>
  <c r="K56" i="61"/>
  <c r="K55" i="61"/>
  <c r="K54" i="61"/>
  <c r="K53" i="61"/>
  <c r="K52" i="61"/>
  <c r="K51" i="61"/>
  <c r="K50" i="61"/>
  <c r="K49" i="61"/>
  <c r="K48" i="61"/>
  <c r="K47" i="61"/>
  <c r="K46" i="61"/>
  <c r="K45" i="61"/>
  <c r="K44" i="61"/>
  <c r="K43" i="61"/>
  <c r="K42" i="61"/>
  <c r="K41" i="61"/>
  <c r="K40" i="61"/>
  <c r="K39" i="61"/>
  <c r="K38" i="61"/>
  <c r="K37" i="61"/>
  <c r="K36" i="61"/>
  <c r="K35" i="61"/>
  <c r="K34" i="61"/>
  <c r="K33" i="61"/>
  <c r="K32" i="61"/>
  <c r="K31" i="61"/>
  <c r="K30" i="61"/>
  <c r="K29" i="61"/>
  <c r="K28" i="61"/>
  <c r="K27" i="61"/>
  <c r="K26" i="61"/>
  <c r="K25" i="61"/>
  <c r="K24" i="61"/>
  <c r="K23" i="61"/>
  <c r="K22" i="61"/>
  <c r="K21" i="61"/>
  <c r="K20" i="61"/>
  <c r="K19" i="61"/>
  <c r="K18" i="61"/>
  <c r="K17" i="61"/>
  <c r="K16" i="61"/>
  <c r="K15" i="61"/>
  <c r="K14" i="61"/>
  <c r="K13" i="61"/>
  <c r="K12" i="61"/>
  <c r="K11" i="61"/>
  <c r="K10" i="61"/>
  <c r="K9" i="61"/>
  <c r="K8" i="61"/>
  <c r="K7" i="61"/>
  <c r="K6" i="61"/>
  <c r="K5" i="61"/>
  <c r="K4" i="61"/>
  <c r="G105" i="55"/>
  <c r="R127" i="60"/>
  <c r="Q127" i="60"/>
  <c r="P127" i="60"/>
  <c r="O127" i="60"/>
  <c r="M127" i="60"/>
  <c r="K127" i="60"/>
  <c r="AZ125" i="60"/>
  <c r="AO125" i="60"/>
  <c r="AN125" i="60"/>
  <c r="AM125" i="60"/>
  <c r="AL125" i="60"/>
  <c r="AK125" i="60"/>
  <c r="AJ125" i="60"/>
  <c r="AI125" i="60"/>
  <c r="AH125" i="60"/>
  <c r="AU125" i="60" s="1"/>
  <c r="AG125" i="60"/>
  <c r="AE125" i="60"/>
  <c r="AF125" i="60" s="1"/>
  <c r="AD125" i="60"/>
  <c r="AC125" i="60"/>
  <c r="AB125" i="60"/>
  <c r="AA125" i="60"/>
  <c r="Z125" i="60"/>
  <c r="Y125" i="60"/>
  <c r="X125" i="60"/>
  <c r="W125" i="60"/>
  <c r="V125" i="60"/>
  <c r="U125" i="60"/>
  <c r="T125" i="60"/>
  <c r="S125" i="60"/>
  <c r="N125" i="60"/>
  <c r="L125" i="60"/>
  <c r="E125" i="60"/>
  <c r="AX124" i="60"/>
  <c r="AW124" i="60"/>
  <c r="AV124" i="60"/>
  <c r="AU124" i="60"/>
  <c r="AT124" i="60"/>
  <c r="AS124" i="60"/>
  <c r="AR124" i="60"/>
  <c r="AQ124" i="60"/>
  <c r="AZ114" i="60"/>
  <c r="AO114" i="60"/>
  <c r="AN114" i="60"/>
  <c r="AM114" i="60"/>
  <c r="AL114" i="60"/>
  <c r="AK114" i="60"/>
  <c r="AJ114" i="60"/>
  <c r="AI114" i="60"/>
  <c r="AH114" i="60"/>
  <c r="AG114" i="60"/>
  <c r="AE114" i="60"/>
  <c r="AD114" i="60"/>
  <c r="AC114" i="60"/>
  <c r="AB114" i="60"/>
  <c r="AA114" i="60"/>
  <c r="Z114" i="60"/>
  <c r="Y114" i="60"/>
  <c r="X114" i="60"/>
  <c r="W114" i="60"/>
  <c r="V114" i="60"/>
  <c r="U114" i="60"/>
  <c r="T114" i="60"/>
  <c r="S114" i="60"/>
  <c r="N114" i="60"/>
  <c r="L114" i="60"/>
  <c r="E114" i="60"/>
  <c r="AX113" i="60"/>
  <c r="AW113" i="60"/>
  <c r="AV113" i="60"/>
  <c r="AU113" i="60"/>
  <c r="AT113" i="60"/>
  <c r="AS113" i="60"/>
  <c r="AR113" i="60"/>
  <c r="AQ113" i="60"/>
  <c r="AM106" i="60"/>
  <c r="AK106" i="60"/>
  <c r="AK127" i="60" s="1"/>
  <c r="AJ106" i="60"/>
  <c r="AJ127" i="60" s="1"/>
  <c r="AI106" i="60"/>
  <c r="X24" i="3" s="1"/>
  <c r="AH106" i="60"/>
  <c r="W24" i="3" s="1"/>
  <c r="AG106" i="60"/>
  <c r="AE106" i="60"/>
  <c r="Z106" i="60"/>
  <c r="Y106" i="60"/>
  <c r="W106" i="60"/>
  <c r="V106" i="60"/>
  <c r="T106" i="60"/>
  <c r="S106" i="60"/>
  <c r="H24" i="3" s="1"/>
  <c r="N106" i="60"/>
  <c r="AU104" i="60"/>
  <c r="AT104" i="60"/>
  <c r="AR104" i="60"/>
  <c r="AN104" i="60"/>
  <c r="AS104" i="60"/>
  <c r="Q104" i="60"/>
  <c r="E104" i="60"/>
  <c r="L104" i="60" s="1"/>
  <c r="AU103" i="60"/>
  <c r="AT103" i="60"/>
  <c r="AR103" i="60"/>
  <c r="AN103" i="60"/>
  <c r="Q103" i="60"/>
  <c r="E103" i="60"/>
  <c r="L103" i="60" s="1"/>
  <c r="AU102" i="60"/>
  <c r="AT102" i="60"/>
  <c r="AS102" i="60"/>
  <c r="AR102" i="60"/>
  <c r="AN102" i="60"/>
  <c r="AQ102" i="60"/>
  <c r="Q102" i="60"/>
  <c r="AU101" i="60"/>
  <c r="AT101" i="60"/>
  <c r="AS101" i="60"/>
  <c r="AR101" i="60"/>
  <c r="AN101" i="60"/>
  <c r="AQ101" i="60"/>
  <c r="AW101" i="60" s="1"/>
  <c r="R101" i="60"/>
  <c r="Q101" i="60"/>
  <c r="E101" i="60"/>
  <c r="L101" i="60" s="1"/>
  <c r="AU100" i="60"/>
  <c r="AT100" i="60"/>
  <c r="AR100" i="60"/>
  <c r="AQ100" i="60"/>
  <c r="AN100" i="60"/>
  <c r="R100" i="60"/>
  <c r="Q100" i="60"/>
  <c r="E100" i="60"/>
  <c r="L100" i="60" s="1"/>
  <c r="AU99" i="60"/>
  <c r="AT99" i="60"/>
  <c r="AS99" i="60"/>
  <c r="AR99" i="60"/>
  <c r="AQ99" i="60"/>
  <c r="AW99" i="60" s="1"/>
  <c r="AN99" i="60"/>
  <c r="R99" i="60"/>
  <c r="Q99" i="60"/>
  <c r="AU98" i="60"/>
  <c r="AT98" i="60"/>
  <c r="AR98" i="60"/>
  <c r="AN98" i="60"/>
  <c r="R98" i="60"/>
  <c r="Q98" i="60"/>
  <c r="E98" i="60"/>
  <c r="L98" i="60" s="1"/>
  <c r="AU97" i="60"/>
  <c r="AT97" i="60"/>
  <c r="AR97" i="60"/>
  <c r="AQ97" i="60"/>
  <c r="AW97" i="60" s="1"/>
  <c r="AN97" i="60"/>
  <c r="Q97" i="60"/>
  <c r="E97" i="60"/>
  <c r="L97" i="60" s="1"/>
  <c r="AU96" i="60"/>
  <c r="AT96" i="60"/>
  <c r="AR96" i="60"/>
  <c r="AN96" i="60"/>
  <c r="AS96" i="60"/>
  <c r="Q96" i="60"/>
  <c r="E96" i="60"/>
  <c r="L96" i="60" s="1"/>
  <c r="AU95" i="60"/>
  <c r="AT95" i="60"/>
  <c r="AR95" i="60"/>
  <c r="AN95" i="60"/>
  <c r="Q95" i="60"/>
  <c r="E95" i="60"/>
  <c r="L95" i="60" s="1"/>
  <c r="AU94" i="60"/>
  <c r="AT94" i="60"/>
  <c r="AS94" i="60"/>
  <c r="AR94" i="60"/>
  <c r="AN94" i="60"/>
  <c r="AQ94" i="60"/>
  <c r="AW94" i="60" s="1"/>
  <c r="Q94" i="60"/>
  <c r="AU93" i="60"/>
  <c r="AT93" i="60"/>
  <c r="AS93" i="60"/>
  <c r="AR93" i="60"/>
  <c r="AN93" i="60"/>
  <c r="AQ93" i="60"/>
  <c r="AW93" i="60" s="1"/>
  <c r="R93" i="60"/>
  <c r="Q93" i="60"/>
  <c r="E93" i="60"/>
  <c r="L93" i="60" s="1"/>
  <c r="AU92" i="60"/>
  <c r="AT92" i="60"/>
  <c r="AR92" i="60"/>
  <c r="AQ92" i="60"/>
  <c r="AN92" i="60"/>
  <c r="AS92" i="60"/>
  <c r="R92" i="60"/>
  <c r="Q92" i="60"/>
  <c r="E92" i="60"/>
  <c r="L92" i="60" s="1"/>
  <c r="AU91" i="60"/>
  <c r="AT91" i="60"/>
  <c r="AS91" i="60"/>
  <c r="AR91" i="60"/>
  <c r="AQ91" i="60"/>
  <c r="AN91" i="60"/>
  <c r="R91" i="60"/>
  <c r="Q91" i="60"/>
  <c r="AU90" i="60"/>
  <c r="AT90" i="60"/>
  <c r="AR90" i="60"/>
  <c r="AN90" i="60"/>
  <c r="R90" i="60"/>
  <c r="Q90" i="60"/>
  <c r="E90" i="60"/>
  <c r="L90" i="60" s="1"/>
  <c r="AU89" i="60"/>
  <c r="AT89" i="60"/>
  <c r="AR89" i="60"/>
  <c r="AQ89" i="60"/>
  <c r="AN89" i="60"/>
  <c r="R89" i="60"/>
  <c r="Q89" i="60"/>
  <c r="E89" i="60"/>
  <c r="L89" i="60" s="1"/>
  <c r="AU88" i="60"/>
  <c r="AT88" i="60"/>
  <c r="AR88" i="60"/>
  <c r="AN88" i="60"/>
  <c r="AS88" i="60"/>
  <c r="Q88" i="60"/>
  <c r="E88" i="60"/>
  <c r="L88" i="60" s="1"/>
  <c r="AU87" i="60"/>
  <c r="AT87" i="60"/>
  <c r="AR87" i="60"/>
  <c r="AN87" i="60"/>
  <c r="Q87" i="60"/>
  <c r="E87" i="60"/>
  <c r="L87" i="60" s="1"/>
  <c r="AU86" i="60"/>
  <c r="AT86" i="60"/>
  <c r="AS86" i="60"/>
  <c r="AR86" i="60"/>
  <c r="AN86" i="60"/>
  <c r="AQ86" i="60"/>
  <c r="Q86" i="60"/>
  <c r="AU85" i="60"/>
  <c r="AT85" i="60"/>
  <c r="AS85" i="60"/>
  <c r="AR85" i="60"/>
  <c r="AN85" i="60"/>
  <c r="AQ85" i="60"/>
  <c r="AW85" i="60" s="1"/>
  <c r="R85" i="60"/>
  <c r="Q85" i="60"/>
  <c r="E85" i="60"/>
  <c r="L85" i="60" s="1"/>
  <c r="AU84" i="60"/>
  <c r="AT84" i="60"/>
  <c r="AR84" i="60"/>
  <c r="AQ84" i="60"/>
  <c r="AN84" i="60"/>
  <c r="AS84" i="60"/>
  <c r="R84" i="60"/>
  <c r="Q84" i="60"/>
  <c r="E84" i="60"/>
  <c r="L84" i="60" s="1"/>
  <c r="AU83" i="60"/>
  <c r="AT83" i="60"/>
  <c r="AS83" i="60"/>
  <c r="AR83" i="60"/>
  <c r="AQ83" i="60"/>
  <c r="AW83" i="60" s="1"/>
  <c r="AN83" i="60"/>
  <c r="R83" i="60"/>
  <c r="Q83" i="60"/>
  <c r="AU82" i="60"/>
  <c r="AT82" i="60"/>
  <c r="AR82" i="60"/>
  <c r="AN82" i="60"/>
  <c r="R82" i="60"/>
  <c r="Q82" i="60"/>
  <c r="E82" i="60"/>
  <c r="L82" i="60" s="1"/>
  <c r="AU81" i="60"/>
  <c r="AT81" i="60"/>
  <c r="AR81" i="60"/>
  <c r="AQ81" i="60"/>
  <c r="AW81" i="60" s="1"/>
  <c r="AN81" i="60"/>
  <c r="R81" i="60"/>
  <c r="Q81" i="60"/>
  <c r="E81" i="60"/>
  <c r="L81" i="60" s="1"/>
  <c r="AU80" i="60"/>
  <c r="AT80" i="60"/>
  <c r="AR80" i="60"/>
  <c r="AN80" i="60"/>
  <c r="AS80" i="60"/>
  <c r="Q80" i="60"/>
  <c r="E80" i="60"/>
  <c r="L80" i="60" s="1"/>
  <c r="AU79" i="60"/>
  <c r="AT79" i="60"/>
  <c r="AR79" i="60"/>
  <c r="AN79" i="60"/>
  <c r="Q79" i="60"/>
  <c r="E79" i="60"/>
  <c r="L79" i="60" s="1"/>
  <c r="AU78" i="60"/>
  <c r="AT78" i="60"/>
  <c r="AS78" i="60"/>
  <c r="AR78" i="60"/>
  <c r="AN78" i="60"/>
  <c r="AQ78" i="60"/>
  <c r="Q78" i="60"/>
  <c r="AU77" i="60"/>
  <c r="AT77" i="60"/>
  <c r="AR77" i="60"/>
  <c r="AN77" i="60"/>
  <c r="AS77" i="60"/>
  <c r="R77" i="60"/>
  <c r="Q77" i="60"/>
  <c r="E77" i="60"/>
  <c r="L77" i="60" s="1"/>
  <c r="AU76" i="60"/>
  <c r="AT76" i="60"/>
  <c r="AR76" i="60"/>
  <c r="AQ76" i="60"/>
  <c r="AW76" i="60" s="1"/>
  <c r="AN76" i="60"/>
  <c r="R76" i="60"/>
  <c r="Q76" i="60"/>
  <c r="E76" i="60"/>
  <c r="L76" i="60" s="1"/>
  <c r="AU75" i="60"/>
  <c r="AT75" i="60"/>
  <c r="AS75" i="60"/>
  <c r="AR75" i="60"/>
  <c r="AQ75" i="60"/>
  <c r="AN75" i="60"/>
  <c r="R75" i="60"/>
  <c r="Q75" i="60"/>
  <c r="AU74" i="60"/>
  <c r="AT74" i="60"/>
  <c r="AR74" i="60"/>
  <c r="AN74" i="60"/>
  <c r="R74" i="60"/>
  <c r="Q74" i="60"/>
  <c r="E74" i="60"/>
  <c r="L74" i="60" s="1"/>
  <c r="AU73" i="60"/>
  <c r="AT73" i="60"/>
  <c r="AR73" i="60"/>
  <c r="AQ73" i="60"/>
  <c r="AN73" i="60"/>
  <c r="AS73" i="60"/>
  <c r="R73" i="60"/>
  <c r="Q73" i="60"/>
  <c r="E73" i="60"/>
  <c r="L73" i="60" s="1"/>
  <c r="AU72" i="60"/>
  <c r="AT72" i="60"/>
  <c r="AR72" i="60"/>
  <c r="AQ72" i="60"/>
  <c r="AW72" i="60" s="1"/>
  <c r="AN72" i="60"/>
  <c r="AS72" i="60"/>
  <c r="Q72" i="60"/>
  <c r="E72" i="60"/>
  <c r="L72" i="60" s="1"/>
  <c r="AU71" i="60"/>
  <c r="AT71" i="60"/>
  <c r="AR71" i="60"/>
  <c r="AN71" i="60"/>
  <c r="Q71" i="60"/>
  <c r="E71" i="60"/>
  <c r="L71" i="60" s="1"/>
  <c r="AU70" i="60"/>
  <c r="AT70" i="60"/>
  <c r="AS70" i="60"/>
  <c r="AR70" i="60"/>
  <c r="AN70" i="60"/>
  <c r="AQ70" i="60"/>
  <c r="AW70" i="60" s="1"/>
  <c r="Q70" i="60"/>
  <c r="E70" i="60"/>
  <c r="L70" i="60" s="1"/>
  <c r="AU69" i="60"/>
  <c r="AT69" i="60"/>
  <c r="AR69" i="60"/>
  <c r="AN69" i="60"/>
  <c r="AS69" i="60"/>
  <c r="R69" i="60"/>
  <c r="Q69" i="60"/>
  <c r="E69" i="60"/>
  <c r="L69" i="60" s="1"/>
  <c r="AU68" i="60"/>
  <c r="AT68" i="60"/>
  <c r="AR68" i="60"/>
  <c r="AQ68" i="60"/>
  <c r="AW68" i="60" s="1"/>
  <c r="AN68" i="60"/>
  <c r="R68" i="60"/>
  <c r="Q68" i="60"/>
  <c r="E68" i="60"/>
  <c r="L68" i="60" s="1"/>
  <c r="AW67" i="60"/>
  <c r="AU67" i="60"/>
  <c r="AT67" i="60"/>
  <c r="AS67" i="60"/>
  <c r="AR67" i="60"/>
  <c r="AQ67" i="60"/>
  <c r="AN67" i="60"/>
  <c r="R67" i="60"/>
  <c r="Q67" i="60"/>
  <c r="E67" i="60"/>
  <c r="L67" i="60" s="1"/>
  <c r="AU66" i="60"/>
  <c r="AT66" i="60"/>
  <c r="AR66" i="60"/>
  <c r="AN66" i="60"/>
  <c r="Q66" i="60"/>
  <c r="E66" i="60"/>
  <c r="L66" i="60" s="1"/>
  <c r="AU65" i="60"/>
  <c r="AT65" i="60"/>
  <c r="AS65" i="60"/>
  <c r="AR65" i="60"/>
  <c r="AQ65" i="60"/>
  <c r="AW65" i="60" s="1"/>
  <c r="AN65" i="60"/>
  <c r="R65" i="60"/>
  <c r="Q65" i="60"/>
  <c r="E65" i="60"/>
  <c r="L65" i="60" s="1"/>
  <c r="AU64" i="60"/>
  <c r="AT64" i="60"/>
  <c r="AS64" i="60"/>
  <c r="AR64" i="60"/>
  <c r="AQ64" i="60"/>
  <c r="AW64" i="60" s="1"/>
  <c r="AN64" i="60"/>
  <c r="Q64" i="60"/>
  <c r="E64" i="60"/>
  <c r="L64" i="60" s="1"/>
  <c r="AU63" i="60"/>
  <c r="AT63" i="60"/>
  <c r="AS63" i="60"/>
  <c r="AR63" i="60"/>
  <c r="AQ63" i="60"/>
  <c r="AW63" i="60" s="1"/>
  <c r="AN63" i="60"/>
  <c r="R63" i="60"/>
  <c r="Q63" i="60"/>
  <c r="E63" i="60"/>
  <c r="L63" i="60" s="1"/>
  <c r="AU62" i="60"/>
  <c r="AT62" i="60"/>
  <c r="AS62" i="60"/>
  <c r="AR62" i="60"/>
  <c r="AN62" i="60"/>
  <c r="R62" i="60"/>
  <c r="Q62" i="60"/>
  <c r="E62" i="60"/>
  <c r="L62" i="60" s="1"/>
  <c r="AU61" i="60"/>
  <c r="AT61" i="60"/>
  <c r="AS61" i="60"/>
  <c r="AR61" i="60"/>
  <c r="AQ61" i="60"/>
  <c r="AN61" i="60"/>
  <c r="R61" i="60"/>
  <c r="Q61" i="60"/>
  <c r="AU60" i="60"/>
  <c r="AT60" i="60"/>
  <c r="AR60" i="60"/>
  <c r="AN60" i="60"/>
  <c r="Q60" i="60"/>
  <c r="E60" i="60"/>
  <c r="L60" i="60" s="1"/>
  <c r="AU59" i="60"/>
  <c r="AT59" i="60"/>
  <c r="AR59" i="60"/>
  <c r="AN59" i="60"/>
  <c r="Q59" i="60"/>
  <c r="E59" i="60"/>
  <c r="L59" i="60" s="1"/>
  <c r="AU58" i="60"/>
  <c r="AT58" i="60"/>
  <c r="AS58" i="60"/>
  <c r="AR58" i="60"/>
  <c r="AQ58" i="60"/>
  <c r="AW58" i="60" s="1"/>
  <c r="AN58" i="60"/>
  <c r="R58" i="60"/>
  <c r="Q58" i="60"/>
  <c r="AU57" i="60"/>
  <c r="AT57" i="60"/>
  <c r="AR57" i="60"/>
  <c r="AQ57" i="60"/>
  <c r="AW57" i="60" s="1"/>
  <c r="AN57" i="60"/>
  <c r="AS57" i="60"/>
  <c r="R57" i="60"/>
  <c r="Q57" i="60"/>
  <c r="E57" i="60"/>
  <c r="L57" i="60" s="1"/>
  <c r="AU56" i="60"/>
  <c r="AT56" i="60"/>
  <c r="AR56" i="60"/>
  <c r="AN56" i="60"/>
  <c r="Q56" i="60"/>
  <c r="E56" i="60"/>
  <c r="L56" i="60" s="1"/>
  <c r="AU55" i="60"/>
  <c r="AT55" i="60"/>
  <c r="AR55" i="60"/>
  <c r="AN55" i="60"/>
  <c r="Q55" i="60"/>
  <c r="E55" i="60"/>
  <c r="L55" i="60" s="1"/>
  <c r="AU54" i="60"/>
  <c r="AT54" i="60"/>
  <c r="AR54" i="60"/>
  <c r="AN54" i="60"/>
  <c r="Q54" i="60"/>
  <c r="E54" i="60"/>
  <c r="L54" i="60" s="1"/>
  <c r="AU53" i="60"/>
  <c r="AT53" i="60"/>
  <c r="AS53" i="60"/>
  <c r="AR53" i="60"/>
  <c r="AQ53" i="60"/>
  <c r="AW53" i="60" s="1"/>
  <c r="AN53" i="60"/>
  <c r="R53" i="60"/>
  <c r="Q53" i="60"/>
  <c r="E53" i="60"/>
  <c r="L53" i="60" s="1"/>
  <c r="AU52" i="60"/>
  <c r="AT52" i="60"/>
  <c r="AR52" i="60"/>
  <c r="AN52" i="60"/>
  <c r="Q52" i="60"/>
  <c r="E52" i="60"/>
  <c r="L52" i="60" s="1"/>
  <c r="AU51" i="60"/>
  <c r="AT51" i="60"/>
  <c r="AR51" i="60"/>
  <c r="AN51" i="60"/>
  <c r="Q51" i="60"/>
  <c r="E51" i="60"/>
  <c r="L51" i="60" s="1"/>
  <c r="AU50" i="60"/>
  <c r="AT50" i="60"/>
  <c r="AS50" i="60"/>
  <c r="AR50" i="60"/>
  <c r="AQ50" i="60"/>
  <c r="AN50" i="60"/>
  <c r="R50" i="60"/>
  <c r="Q50" i="60"/>
  <c r="AU49" i="60"/>
  <c r="AT49" i="60"/>
  <c r="AR49" i="60"/>
  <c r="AQ49" i="60"/>
  <c r="AN49" i="60"/>
  <c r="AS49" i="60"/>
  <c r="R49" i="60"/>
  <c r="Q49" i="60"/>
  <c r="E49" i="60"/>
  <c r="L49" i="60" s="1"/>
  <c r="AU48" i="60"/>
  <c r="AT48" i="60"/>
  <c r="AR48" i="60"/>
  <c r="AN48" i="60"/>
  <c r="Q48" i="60"/>
  <c r="E48" i="60"/>
  <c r="L48" i="60" s="1"/>
  <c r="AU47" i="60"/>
  <c r="AT47" i="60"/>
  <c r="AR47" i="60"/>
  <c r="AN47" i="60"/>
  <c r="Q47" i="60"/>
  <c r="E47" i="60"/>
  <c r="L47" i="60" s="1"/>
  <c r="AU46" i="60"/>
  <c r="AT46" i="60"/>
  <c r="AR46" i="60"/>
  <c r="AN46" i="60"/>
  <c r="Q46" i="60"/>
  <c r="E46" i="60"/>
  <c r="L46" i="60" s="1"/>
  <c r="AU45" i="60"/>
  <c r="AT45" i="60"/>
  <c r="AS45" i="60"/>
  <c r="AR45" i="60"/>
  <c r="AQ45" i="60"/>
  <c r="AN45" i="60"/>
  <c r="R45" i="60"/>
  <c r="Q45" i="60"/>
  <c r="E45" i="60"/>
  <c r="L45" i="60" s="1"/>
  <c r="AU44" i="60"/>
  <c r="AT44" i="60"/>
  <c r="AR44" i="60"/>
  <c r="AN44" i="60"/>
  <c r="Q44" i="60"/>
  <c r="E44" i="60"/>
  <c r="L44" i="60" s="1"/>
  <c r="AU43" i="60"/>
  <c r="AT43" i="60"/>
  <c r="AR43" i="60"/>
  <c r="AN43" i="60"/>
  <c r="Q43" i="60"/>
  <c r="E43" i="60"/>
  <c r="L43" i="60" s="1"/>
  <c r="AU42" i="60"/>
  <c r="AT42" i="60"/>
  <c r="AS42" i="60"/>
  <c r="AR42" i="60"/>
  <c r="AQ42" i="60"/>
  <c r="AW42" i="60" s="1"/>
  <c r="AN42" i="60"/>
  <c r="R42" i="60"/>
  <c r="Q42" i="60"/>
  <c r="AU41" i="60"/>
  <c r="AT41" i="60"/>
  <c r="AR41" i="60"/>
  <c r="AQ41" i="60"/>
  <c r="AN41" i="60"/>
  <c r="AS41" i="60"/>
  <c r="R41" i="60"/>
  <c r="Q41" i="60"/>
  <c r="E41" i="60"/>
  <c r="L41" i="60" s="1"/>
  <c r="AU40" i="60"/>
  <c r="AT40" i="60"/>
  <c r="AR40" i="60"/>
  <c r="AN40" i="60"/>
  <c r="Q40" i="60"/>
  <c r="E40" i="60"/>
  <c r="L40" i="60" s="1"/>
  <c r="AU39" i="60"/>
  <c r="AT39" i="60"/>
  <c r="AR39" i="60"/>
  <c r="AN39" i="60"/>
  <c r="Q39" i="60"/>
  <c r="AU38" i="60"/>
  <c r="AT38" i="60"/>
  <c r="AR38" i="60"/>
  <c r="AN38" i="60"/>
  <c r="Q38" i="60"/>
  <c r="E38" i="60"/>
  <c r="L38" i="60" s="1"/>
  <c r="AU37" i="60"/>
  <c r="AT37" i="60"/>
  <c r="AS37" i="60"/>
  <c r="AR37" i="60"/>
  <c r="AQ37" i="60"/>
  <c r="AW37" i="60" s="1"/>
  <c r="AN37" i="60"/>
  <c r="R37" i="60"/>
  <c r="Q37" i="60"/>
  <c r="AU36" i="60"/>
  <c r="AT36" i="60"/>
  <c r="AR36" i="60"/>
  <c r="AN36" i="60"/>
  <c r="Q36" i="60"/>
  <c r="AU35" i="60"/>
  <c r="AT35" i="60"/>
  <c r="AR35" i="60"/>
  <c r="AN35" i="60"/>
  <c r="Q35" i="60"/>
  <c r="E35" i="60"/>
  <c r="L35" i="60" s="1"/>
  <c r="AU34" i="60"/>
  <c r="AT34" i="60"/>
  <c r="AS34" i="60"/>
  <c r="AR34" i="60"/>
  <c r="AQ34" i="60"/>
  <c r="AN34" i="60"/>
  <c r="R34" i="60"/>
  <c r="Q34" i="60"/>
  <c r="AU33" i="60"/>
  <c r="AT33" i="60"/>
  <c r="AR33" i="60"/>
  <c r="AQ33" i="60"/>
  <c r="AN33" i="60"/>
  <c r="AS33" i="60"/>
  <c r="R33" i="60"/>
  <c r="Q33" i="60"/>
  <c r="E33" i="60"/>
  <c r="L33" i="60" s="1"/>
  <c r="AU32" i="60"/>
  <c r="AT32" i="60"/>
  <c r="AR32" i="60"/>
  <c r="AN32" i="60"/>
  <c r="Q32" i="60"/>
  <c r="E32" i="60"/>
  <c r="L32" i="60" s="1"/>
  <c r="AU31" i="60"/>
  <c r="AT31" i="60"/>
  <c r="AS31" i="60"/>
  <c r="AR31" i="60"/>
  <c r="AQ31" i="60"/>
  <c r="AW31" i="60" s="1"/>
  <c r="AN31" i="60"/>
  <c r="R31" i="60"/>
  <c r="Q31" i="60"/>
  <c r="E31" i="60"/>
  <c r="L31" i="60" s="1"/>
  <c r="AU30" i="60"/>
  <c r="AT30" i="60"/>
  <c r="AR30" i="60"/>
  <c r="AN30" i="60"/>
  <c r="Q30" i="60"/>
  <c r="AU29" i="60"/>
  <c r="AT29" i="60"/>
  <c r="AS29" i="60"/>
  <c r="AR29" i="60"/>
  <c r="AQ29" i="60"/>
  <c r="AW29" i="60" s="1"/>
  <c r="AN29" i="60"/>
  <c r="R29" i="60"/>
  <c r="Q29" i="60"/>
  <c r="E29" i="60"/>
  <c r="L29" i="60" s="1"/>
  <c r="AU28" i="60"/>
  <c r="AT28" i="60"/>
  <c r="AS28" i="60"/>
  <c r="AR28" i="60"/>
  <c r="AQ28" i="60"/>
  <c r="AN28" i="60"/>
  <c r="R28" i="60"/>
  <c r="Q28" i="60"/>
  <c r="E28" i="60"/>
  <c r="L28" i="60" s="1"/>
  <c r="AU27" i="60"/>
  <c r="AT27" i="60"/>
  <c r="AR27" i="60"/>
  <c r="AN27" i="60"/>
  <c r="R27" i="60"/>
  <c r="Q27" i="60"/>
  <c r="AU26" i="60"/>
  <c r="AT26" i="60"/>
  <c r="AS26" i="60"/>
  <c r="AR26" i="60"/>
  <c r="AQ26" i="60"/>
  <c r="AN26" i="60"/>
  <c r="R26" i="60"/>
  <c r="Q26" i="60"/>
  <c r="E26" i="60"/>
  <c r="L26" i="60" s="1"/>
  <c r="AU25" i="60"/>
  <c r="AT25" i="60"/>
  <c r="AS25" i="60"/>
  <c r="AR25" i="60"/>
  <c r="AQ25" i="60"/>
  <c r="AW25" i="60" s="1"/>
  <c r="AN25" i="60"/>
  <c r="Q25" i="60"/>
  <c r="E25" i="60"/>
  <c r="L25" i="60" s="1"/>
  <c r="AU24" i="60"/>
  <c r="AT24" i="60"/>
  <c r="AR24" i="60"/>
  <c r="AN24" i="60"/>
  <c r="R24" i="60"/>
  <c r="Q24" i="60"/>
  <c r="E24" i="60"/>
  <c r="L24" i="60" s="1"/>
  <c r="AU23" i="60"/>
  <c r="AT23" i="60"/>
  <c r="AR23" i="60"/>
  <c r="AN23" i="60"/>
  <c r="AQ23" i="60"/>
  <c r="AW23" i="60" s="1"/>
  <c r="Q23" i="60"/>
  <c r="E23" i="60"/>
  <c r="L23" i="60" s="1"/>
  <c r="AU22" i="60"/>
  <c r="AT22" i="60"/>
  <c r="AR22" i="60"/>
  <c r="AN22" i="60"/>
  <c r="R22" i="60"/>
  <c r="Q22" i="60"/>
  <c r="E22" i="60"/>
  <c r="L22" i="60" s="1"/>
  <c r="AU21" i="60"/>
  <c r="AT21" i="60"/>
  <c r="AS21" i="60"/>
  <c r="AR21" i="60"/>
  <c r="AN21" i="60"/>
  <c r="R21" i="60"/>
  <c r="Q21" i="60"/>
  <c r="E21" i="60"/>
  <c r="L21" i="60" s="1"/>
  <c r="AU20" i="60"/>
  <c r="AT20" i="60"/>
  <c r="AS20" i="60"/>
  <c r="AR20" i="60"/>
  <c r="AQ20" i="60"/>
  <c r="AN20" i="60"/>
  <c r="R20" i="60"/>
  <c r="Q20" i="60"/>
  <c r="E20" i="60"/>
  <c r="L20" i="60" s="1"/>
  <c r="AU19" i="60"/>
  <c r="AT19" i="60"/>
  <c r="AR19" i="60"/>
  <c r="AQ19" i="60"/>
  <c r="AW19" i="60" s="1"/>
  <c r="AN19" i="60"/>
  <c r="Q19" i="60"/>
  <c r="E19" i="60"/>
  <c r="L19" i="60" s="1"/>
  <c r="AU18" i="60"/>
  <c r="AT18" i="60"/>
  <c r="AR18" i="60"/>
  <c r="AQ18" i="60"/>
  <c r="AN18" i="60"/>
  <c r="AS18" i="60"/>
  <c r="Q18" i="60"/>
  <c r="E18" i="60"/>
  <c r="L18" i="60" s="1"/>
  <c r="AU17" i="60"/>
  <c r="AT17" i="60"/>
  <c r="AR17" i="60"/>
  <c r="AN17" i="60"/>
  <c r="Q17" i="60"/>
  <c r="E17" i="60"/>
  <c r="L17" i="60" s="1"/>
  <c r="AU16" i="60"/>
  <c r="AT16" i="60"/>
  <c r="AR16" i="60"/>
  <c r="AN16" i="60"/>
  <c r="AQ16" i="60"/>
  <c r="R16" i="60"/>
  <c r="Q16" i="60"/>
  <c r="E16" i="60"/>
  <c r="L16" i="60" s="1"/>
  <c r="AU15" i="60"/>
  <c r="AT15" i="60"/>
  <c r="AS15" i="60"/>
  <c r="AR15" i="60"/>
  <c r="AQ15" i="60"/>
  <c r="AN15" i="60"/>
  <c r="Q15" i="60"/>
  <c r="E15" i="60"/>
  <c r="L15" i="60" s="1"/>
  <c r="AU14" i="60"/>
  <c r="AT14" i="60"/>
  <c r="AS14" i="60"/>
  <c r="AR14" i="60"/>
  <c r="AN14" i="60"/>
  <c r="AQ14" i="60"/>
  <c r="R14" i="60"/>
  <c r="Q14" i="60"/>
  <c r="E14" i="60"/>
  <c r="L14" i="60" s="1"/>
  <c r="AU13" i="60"/>
  <c r="AT13" i="60"/>
  <c r="AS13" i="60"/>
  <c r="AR13" i="60"/>
  <c r="AN13" i="60"/>
  <c r="AQ13" i="60"/>
  <c r="Q13" i="60"/>
  <c r="E13" i="60"/>
  <c r="L13" i="60" s="1"/>
  <c r="AU12" i="60"/>
  <c r="AT12" i="60"/>
  <c r="AS12" i="60"/>
  <c r="AR12" i="60"/>
  <c r="AQ12" i="60"/>
  <c r="AN12" i="60"/>
  <c r="R12" i="60"/>
  <c r="Q12" i="60"/>
  <c r="E12" i="60"/>
  <c r="L12" i="60" s="1"/>
  <c r="AU11" i="60"/>
  <c r="AT11" i="60"/>
  <c r="AR11" i="60"/>
  <c r="AQ11" i="60"/>
  <c r="AN11" i="60"/>
  <c r="Q11" i="60"/>
  <c r="E11" i="60"/>
  <c r="L11" i="60" s="1"/>
  <c r="AU10" i="60"/>
  <c r="AT10" i="60"/>
  <c r="AR10" i="60"/>
  <c r="AQ10" i="60"/>
  <c r="AN10" i="60"/>
  <c r="AS10" i="60"/>
  <c r="Q10" i="60"/>
  <c r="E10" i="60"/>
  <c r="L10" i="60" s="1"/>
  <c r="AU9" i="60"/>
  <c r="AT9" i="60"/>
  <c r="AR9" i="60"/>
  <c r="AN9" i="60"/>
  <c r="Q9" i="60"/>
  <c r="E9" i="60"/>
  <c r="L9" i="60" s="1"/>
  <c r="AU8" i="60"/>
  <c r="AT8" i="60"/>
  <c r="AR8" i="60"/>
  <c r="AN8" i="60"/>
  <c r="AQ8" i="60"/>
  <c r="R8" i="60"/>
  <c r="Q8" i="60"/>
  <c r="E8" i="60"/>
  <c r="L8" i="60" s="1"/>
  <c r="AU7" i="60"/>
  <c r="AT7" i="60"/>
  <c r="AS7" i="60"/>
  <c r="AR7" i="60"/>
  <c r="AQ7" i="60"/>
  <c r="AN7" i="60"/>
  <c r="Q7" i="60"/>
  <c r="E7" i="60"/>
  <c r="L7" i="60" s="1"/>
  <c r="AU6" i="60"/>
  <c r="AT6" i="60"/>
  <c r="AR6" i="60"/>
  <c r="AN6" i="60"/>
  <c r="AS6" i="60"/>
  <c r="R6" i="60"/>
  <c r="Q6" i="60"/>
  <c r="E6" i="60"/>
  <c r="L6" i="60" s="1"/>
  <c r="AU5" i="60"/>
  <c r="AT5" i="60"/>
  <c r="AS5" i="60"/>
  <c r="AR5" i="60"/>
  <c r="AN5" i="60"/>
  <c r="AQ5" i="60"/>
  <c r="Q5" i="60"/>
  <c r="E5" i="60"/>
  <c r="L5" i="60" s="1"/>
  <c r="AU4" i="60"/>
  <c r="AT4" i="60"/>
  <c r="AS4" i="60"/>
  <c r="AR4" i="60"/>
  <c r="AQ4" i="60"/>
  <c r="AN4" i="60"/>
  <c r="R4" i="60"/>
  <c r="Q4" i="60"/>
  <c r="E4" i="60"/>
  <c r="L4" i="60" s="1"/>
  <c r="AU3" i="60"/>
  <c r="AT3" i="60"/>
  <c r="AR3" i="60"/>
  <c r="AB3" i="60"/>
  <c r="AA3" i="60"/>
  <c r="AA126" i="60" s="1"/>
  <c r="AF126" i="60" s="1"/>
  <c r="X3" i="60"/>
  <c r="U3" i="60"/>
  <c r="R3" i="60"/>
  <c r="Q3" i="60"/>
  <c r="E3" i="60"/>
  <c r="AK106" i="56"/>
  <c r="AJ106" i="56"/>
  <c r="AI106" i="56"/>
  <c r="AH106" i="56"/>
  <c r="AR104" i="56"/>
  <c r="W37" i="57" l="1"/>
  <c r="X37" i="57"/>
  <c r="K106" i="61"/>
  <c r="D5" i="61"/>
  <c r="D93" i="61"/>
  <c r="D13" i="61"/>
  <c r="D45" i="61"/>
  <c r="D33" i="61"/>
  <c r="D21" i="61"/>
  <c r="D53" i="61"/>
  <c r="D89" i="61"/>
  <c r="D9" i="61"/>
  <c r="D41" i="61"/>
  <c r="D57" i="61"/>
  <c r="D29" i="61"/>
  <c r="D61" i="61"/>
  <c r="D37" i="61"/>
  <c r="D25" i="61"/>
  <c r="D17" i="61"/>
  <c r="D49" i="61"/>
  <c r="D85" i="61"/>
  <c r="D102" i="61"/>
  <c r="D69" i="61"/>
  <c r="D77" i="61"/>
  <c r="D101" i="61"/>
  <c r="D18" i="61"/>
  <c r="D30" i="61"/>
  <c r="D38" i="61"/>
  <c r="D54" i="61"/>
  <c r="D94" i="61"/>
  <c r="D65" i="61"/>
  <c r="D73" i="61"/>
  <c r="D81" i="61"/>
  <c r="D97" i="61"/>
  <c r="D6" i="61"/>
  <c r="D14" i="61"/>
  <c r="D26" i="61"/>
  <c r="D42" i="61"/>
  <c r="D58" i="61"/>
  <c r="D62" i="61"/>
  <c r="D66" i="61"/>
  <c r="D70" i="61"/>
  <c r="D74" i="61"/>
  <c r="D78" i="61"/>
  <c r="D90" i="61"/>
  <c r="D7" i="61"/>
  <c r="D11" i="61"/>
  <c r="D15" i="61"/>
  <c r="D19" i="61"/>
  <c r="D23" i="61"/>
  <c r="D27" i="61"/>
  <c r="D31" i="61"/>
  <c r="D35" i="61"/>
  <c r="D39" i="61"/>
  <c r="D43" i="61"/>
  <c r="D47" i="61"/>
  <c r="D51" i="61"/>
  <c r="D55" i="61"/>
  <c r="D59" i="61"/>
  <c r="D63" i="61"/>
  <c r="D67" i="61"/>
  <c r="D71" i="61"/>
  <c r="D75" i="61"/>
  <c r="D79" i="61"/>
  <c r="D83" i="61"/>
  <c r="D87" i="61"/>
  <c r="D91" i="61"/>
  <c r="D95" i="61"/>
  <c r="D99" i="61"/>
  <c r="D86" i="61"/>
  <c r="D10" i="61"/>
  <c r="D34" i="61"/>
  <c r="D50" i="61"/>
  <c r="D98" i="61"/>
  <c r="D4" i="61"/>
  <c r="E4" i="61" s="1"/>
  <c r="D8" i="61"/>
  <c r="D12" i="61"/>
  <c r="D16" i="61"/>
  <c r="D20" i="61"/>
  <c r="D24" i="61"/>
  <c r="D28" i="61"/>
  <c r="D32" i="61"/>
  <c r="D36" i="61"/>
  <c r="D40" i="61"/>
  <c r="D44" i="61"/>
  <c r="D48" i="61"/>
  <c r="D52" i="61"/>
  <c r="D56" i="61"/>
  <c r="D60" i="61"/>
  <c r="D64" i="61"/>
  <c r="D68" i="61"/>
  <c r="D72" i="61"/>
  <c r="D76" i="61"/>
  <c r="D80" i="61"/>
  <c r="D84" i="61"/>
  <c r="D88" i="61"/>
  <c r="D92" i="61"/>
  <c r="D96" i="61"/>
  <c r="D100" i="61"/>
  <c r="D22" i="61"/>
  <c r="D46" i="61"/>
  <c r="D82" i="61"/>
  <c r="AM127" i="60"/>
  <c r="U24" i="3"/>
  <c r="AG127" i="60"/>
  <c r="Q24" i="3"/>
  <c r="AE127" i="60"/>
  <c r="R24" i="3"/>
  <c r="Z127" i="60"/>
  <c r="N24" i="3"/>
  <c r="Y127" i="60"/>
  <c r="M24" i="3"/>
  <c r="AF3" i="60"/>
  <c r="W127" i="60"/>
  <c r="K24" i="3"/>
  <c r="V127" i="60"/>
  <c r="J24" i="3"/>
  <c r="L24" i="3" s="1"/>
  <c r="X106" i="60"/>
  <c r="X127" i="60" s="1"/>
  <c r="X126" i="60"/>
  <c r="T127" i="60"/>
  <c r="I24" i="3"/>
  <c r="AS3" i="60"/>
  <c r="U126" i="60"/>
  <c r="AD3" i="60"/>
  <c r="AD126" i="60" s="1"/>
  <c r="S127" i="60"/>
  <c r="AI127" i="60"/>
  <c r="AU105" i="60"/>
  <c r="AB126" i="60"/>
  <c r="Q126" i="60"/>
  <c r="N127" i="60"/>
  <c r="G24" i="3"/>
  <c r="M8" i="63"/>
  <c r="G8" i="63" s="1"/>
  <c r="L9" i="63"/>
  <c r="F6" i="63"/>
  <c r="E7" i="63"/>
  <c r="AZ87" i="62"/>
  <c r="AX87" i="62"/>
  <c r="AZ85" i="62"/>
  <c r="AX85" i="62"/>
  <c r="AX105" i="62" s="1"/>
  <c r="AV105" i="62"/>
  <c r="AZ86" i="62"/>
  <c r="AX86" i="62"/>
  <c r="AZ3" i="62"/>
  <c r="AZ106" i="62" s="1"/>
  <c r="AZ127" i="62" s="1"/>
  <c r="AX3" i="62"/>
  <c r="AO106" i="62"/>
  <c r="AO127" i="62" s="1"/>
  <c r="J106" i="55"/>
  <c r="K105" i="55" s="1"/>
  <c r="AB44" i="56"/>
  <c r="AB36" i="56"/>
  <c r="AB14" i="56"/>
  <c r="AB96" i="56"/>
  <c r="AB88" i="56"/>
  <c r="AB80" i="56"/>
  <c r="AB72" i="56"/>
  <c r="AB64" i="56"/>
  <c r="AB56" i="56"/>
  <c r="AB48" i="56"/>
  <c r="AB40" i="56"/>
  <c r="AB32" i="56"/>
  <c r="AB24" i="56"/>
  <c r="AB16" i="56"/>
  <c r="AB8" i="56"/>
  <c r="AB5" i="56"/>
  <c r="AB61" i="56"/>
  <c r="AB29" i="56"/>
  <c r="AB98" i="56"/>
  <c r="AB90" i="56"/>
  <c r="AB82" i="56"/>
  <c r="AB74" i="56"/>
  <c r="AB66" i="56"/>
  <c r="AB58" i="56"/>
  <c r="AB50" i="56"/>
  <c r="AB42" i="56"/>
  <c r="AB34" i="56"/>
  <c r="AB26" i="56"/>
  <c r="AB18" i="56"/>
  <c r="AB10" i="56"/>
  <c r="AB69" i="56"/>
  <c r="AB45" i="56"/>
  <c r="AB13" i="56"/>
  <c r="N126" i="56"/>
  <c r="G23" i="57" s="1"/>
  <c r="AB103" i="56"/>
  <c r="AB95" i="56"/>
  <c r="AB87" i="56"/>
  <c r="AB79" i="56"/>
  <c r="AB71" i="56"/>
  <c r="AB63" i="56"/>
  <c r="AB55" i="56"/>
  <c r="AB47" i="56"/>
  <c r="AB39" i="56"/>
  <c r="AB31" i="56"/>
  <c r="AB23" i="56"/>
  <c r="AB15" i="56"/>
  <c r="AB7" i="56"/>
  <c r="AB101" i="56"/>
  <c r="AB85" i="56"/>
  <c r="AB28" i="56"/>
  <c r="AB93" i="56"/>
  <c r="AB53" i="56"/>
  <c r="AB21" i="56"/>
  <c r="AB97" i="56"/>
  <c r="AB89" i="56"/>
  <c r="AB81" i="56"/>
  <c r="AB73" i="56"/>
  <c r="AB65" i="56"/>
  <c r="AB57" i="56"/>
  <c r="AB49" i="56"/>
  <c r="AB41" i="56"/>
  <c r="AB33" i="56"/>
  <c r="AB17" i="56"/>
  <c r="AB9" i="56"/>
  <c r="AB77" i="56"/>
  <c r="AB37" i="56"/>
  <c r="AB102" i="56"/>
  <c r="AB94" i="56"/>
  <c r="AB86" i="56"/>
  <c r="AB78" i="56"/>
  <c r="AB70" i="56"/>
  <c r="AB62" i="56"/>
  <c r="AB54" i="56"/>
  <c r="AB46" i="56"/>
  <c r="AB38" i="56"/>
  <c r="AB30" i="56"/>
  <c r="AB22" i="56"/>
  <c r="AB6" i="56"/>
  <c r="AB104" i="56"/>
  <c r="N106" i="56"/>
  <c r="G23" i="3" s="1"/>
  <c r="AK23" i="57"/>
  <c r="AF23" i="57"/>
  <c r="AH23" i="57"/>
  <c r="AA104" i="56"/>
  <c r="X104" i="56"/>
  <c r="AN104" i="56" s="1"/>
  <c r="AF104" i="56"/>
  <c r="E104" i="56"/>
  <c r="L104" i="56" s="1"/>
  <c r="D105" i="61"/>
  <c r="D104" i="61"/>
  <c r="L4" i="61"/>
  <c r="AA106" i="60"/>
  <c r="AA127" i="60" s="1"/>
  <c r="AQ3" i="60"/>
  <c r="AQ6" i="60"/>
  <c r="R7" i="60"/>
  <c r="AS8" i="60"/>
  <c r="R15" i="60"/>
  <c r="AS16" i="60"/>
  <c r="E27" i="60"/>
  <c r="L27" i="60" s="1"/>
  <c r="AQ43" i="60"/>
  <c r="R43" i="60"/>
  <c r="AS43" i="60"/>
  <c r="R44" i="60"/>
  <c r="AQ44" i="60"/>
  <c r="AS44" i="60"/>
  <c r="AQ51" i="60"/>
  <c r="AW51" i="60" s="1"/>
  <c r="R51" i="60"/>
  <c r="AS51" i="60"/>
  <c r="R52" i="60"/>
  <c r="AQ52" i="60"/>
  <c r="AS52" i="60"/>
  <c r="AQ59" i="60"/>
  <c r="AW59" i="60" s="1"/>
  <c r="R59" i="60"/>
  <c r="AS59" i="60"/>
  <c r="AS60" i="60"/>
  <c r="R60" i="60"/>
  <c r="AQ60" i="60"/>
  <c r="AB106" i="60"/>
  <c r="AB127" i="60" s="1"/>
  <c r="AQ9" i="60"/>
  <c r="R10" i="60"/>
  <c r="AS11" i="60"/>
  <c r="AQ17" i="60"/>
  <c r="R18" i="60"/>
  <c r="AS19" i="60"/>
  <c r="AQ21" i="60"/>
  <c r="AS22" i="60"/>
  <c r="AQ22" i="60"/>
  <c r="AS24" i="60"/>
  <c r="AQ24" i="60"/>
  <c r="R30" i="60"/>
  <c r="AQ30" i="60"/>
  <c r="AW30" i="60" s="1"/>
  <c r="AS30" i="60"/>
  <c r="AQ35" i="60"/>
  <c r="AW35" i="60" s="1"/>
  <c r="R35" i="60"/>
  <c r="AS35" i="60"/>
  <c r="R36" i="60"/>
  <c r="AQ36" i="60"/>
  <c r="AW36" i="60" s="1"/>
  <c r="AS36" i="60"/>
  <c r="AL25" i="60"/>
  <c r="R5" i="60"/>
  <c r="R13" i="60"/>
  <c r="E39" i="60"/>
  <c r="L39" i="60" s="1"/>
  <c r="L3" i="60"/>
  <c r="AS9" i="60"/>
  <c r="AS17" i="60"/>
  <c r="R23" i="60"/>
  <c r="AR105" i="60"/>
  <c r="R11" i="60"/>
  <c r="AD106" i="60"/>
  <c r="R19" i="60"/>
  <c r="AS23" i="60"/>
  <c r="AQ47" i="60"/>
  <c r="AS47" i="60"/>
  <c r="R47" i="60"/>
  <c r="R48" i="60"/>
  <c r="AS48" i="60"/>
  <c r="AQ48" i="60"/>
  <c r="AQ55" i="60"/>
  <c r="AW55" i="60" s="1"/>
  <c r="AS55" i="60"/>
  <c r="R55" i="60"/>
  <c r="R56" i="60"/>
  <c r="AS56" i="60"/>
  <c r="AQ56" i="60"/>
  <c r="AW56" i="60" s="1"/>
  <c r="AQ27" i="60"/>
  <c r="E30" i="60"/>
  <c r="L30" i="60" s="1"/>
  <c r="E36" i="60"/>
  <c r="L36" i="60" s="1"/>
  <c r="E37" i="60"/>
  <c r="L37" i="60" s="1"/>
  <c r="AQ39" i="60"/>
  <c r="AS39" i="60"/>
  <c r="R39" i="60"/>
  <c r="R40" i="60"/>
  <c r="AS40" i="60"/>
  <c r="AQ40" i="60"/>
  <c r="R71" i="60"/>
  <c r="AS71" i="60"/>
  <c r="AQ71" i="60"/>
  <c r="AW71" i="60" s="1"/>
  <c r="U106" i="60"/>
  <c r="U127" i="60" s="1"/>
  <c r="AN3" i="60"/>
  <c r="AT105" i="60"/>
  <c r="R9" i="60"/>
  <c r="R17" i="60"/>
  <c r="AS27" i="60"/>
  <c r="R32" i="60"/>
  <c r="AS32" i="60"/>
  <c r="AQ32" i="60"/>
  <c r="AW32" i="60" s="1"/>
  <c r="AL53" i="60"/>
  <c r="AL66" i="60"/>
  <c r="AO66" i="60" s="1"/>
  <c r="R25" i="60"/>
  <c r="R38" i="60"/>
  <c r="R46" i="60"/>
  <c r="R54" i="60"/>
  <c r="E61" i="60"/>
  <c r="L61" i="60" s="1"/>
  <c r="AL88" i="60"/>
  <c r="R66" i="60"/>
  <c r="AQ66" i="60"/>
  <c r="AW66" i="60" s="1"/>
  <c r="AS66" i="60"/>
  <c r="AL71" i="60"/>
  <c r="AO71" i="60" s="1"/>
  <c r="E78" i="60"/>
  <c r="L78" i="60" s="1"/>
  <c r="AQ38" i="60"/>
  <c r="AW38" i="60" s="1"/>
  <c r="AQ46" i="60"/>
  <c r="AW46" i="60" s="1"/>
  <c r="AQ54" i="60"/>
  <c r="AL68" i="60"/>
  <c r="AS38" i="60"/>
  <c r="AS46" i="60"/>
  <c r="AS54" i="60"/>
  <c r="AQ62" i="60"/>
  <c r="AW62" i="60" s="1"/>
  <c r="E75" i="60"/>
  <c r="L75" i="60" s="1"/>
  <c r="E34" i="60"/>
  <c r="L34" i="60" s="1"/>
  <c r="E42" i="60"/>
  <c r="L42" i="60" s="1"/>
  <c r="E50" i="60"/>
  <c r="L50" i="60" s="1"/>
  <c r="E58" i="60"/>
  <c r="L58" i="60" s="1"/>
  <c r="AL75" i="60"/>
  <c r="R64" i="60"/>
  <c r="AL83" i="60"/>
  <c r="AL86" i="60"/>
  <c r="AO86" i="60" s="1"/>
  <c r="AL96" i="60"/>
  <c r="AO96" i="60" s="1"/>
  <c r="AL81" i="60"/>
  <c r="R87" i="60"/>
  <c r="AS87" i="60"/>
  <c r="AQ87" i="60"/>
  <c r="E91" i="60"/>
  <c r="L91" i="60" s="1"/>
  <c r="E94" i="60"/>
  <c r="L94" i="60" s="1"/>
  <c r="AL95" i="60"/>
  <c r="AO95" i="60" s="1"/>
  <c r="E102" i="60"/>
  <c r="L102" i="60" s="1"/>
  <c r="AL94" i="60"/>
  <c r="AO94" i="60" s="1"/>
  <c r="E99" i="60"/>
  <c r="L99" i="60" s="1"/>
  <c r="AH127" i="60"/>
  <c r="AL70" i="60"/>
  <c r="AO70" i="60" s="1"/>
  <c r="AL78" i="60"/>
  <c r="AO78" i="60" s="1"/>
  <c r="AL92" i="60"/>
  <c r="R95" i="60"/>
  <c r="AS95" i="60"/>
  <c r="AQ95" i="60"/>
  <c r="AW95" i="60" s="1"/>
  <c r="R103" i="60"/>
  <c r="AS103" i="60"/>
  <c r="AQ103" i="60"/>
  <c r="AW103" i="60" s="1"/>
  <c r="AF114" i="60"/>
  <c r="AL99" i="60"/>
  <c r="R79" i="60"/>
  <c r="AS79" i="60"/>
  <c r="AQ79" i="60"/>
  <c r="E83" i="60"/>
  <c r="L83" i="60" s="1"/>
  <c r="E86" i="60"/>
  <c r="L86" i="60" s="1"/>
  <c r="AU114" i="60"/>
  <c r="AL87" i="60"/>
  <c r="AO87" i="60" s="1"/>
  <c r="R72" i="60"/>
  <c r="R80" i="60"/>
  <c r="AS81" i="60"/>
  <c r="R88" i="60"/>
  <c r="AS89" i="60"/>
  <c r="R96" i="60"/>
  <c r="AS97" i="60"/>
  <c r="R104" i="60"/>
  <c r="AS68" i="60"/>
  <c r="AQ74" i="60"/>
  <c r="AW74" i="60" s="1"/>
  <c r="AS76" i="60"/>
  <c r="AQ82" i="60"/>
  <c r="AW82" i="60" s="1"/>
  <c r="AQ90" i="60"/>
  <c r="AW90" i="60" s="1"/>
  <c r="AQ98" i="60"/>
  <c r="AS100" i="60"/>
  <c r="AQ69" i="60"/>
  <c r="R70" i="60"/>
  <c r="AQ77" i="60"/>
  <c r="R78" i="60"/>
  <c r="R86" i="60"/>
  <c r="R94" i="60"/>
  <c r="AV96" i="60" a="1"/>
  <c r="AV96" i="60" s="1"/>
  <c r="R102" i="60"/>
  <c r="AF106" i="60"/>
  <c r="AS74" i="60"/>
  <c r="AQ80" i="60"/>
  <c r="AW80" i="60" s="1"/>
  <c r="AS82" i="60"/>
  <c r="AQ88" i="60"/>
  <c r="AW88" i="60" s="1"/>
  <c r="AS90" i="60"/>
  <c r="AQ96" i="60"/>
  <c r="AW96" i="60" s="1"/>
  <c r="R97" i="60"/>
  <c r="AS98" i="60"/>
  <c r="AQ104" i="60"/>
  <c r="AU106" i="60"/>
  <c r="AN103" i="43"/>
  <c r="AN102" i="43"/>
  <c r="AN101" i="43"/>
  <c r="AN100" i="43"/>
  <c r="AN99" i="43"/>
  <c r="AN98" i="43"/>
  <c r="AN97" i="43"/>
  <c r="AN96" i="43"/>
  <c r="AN95" i="43"/>
  <c r="AN94" i="43"/>
  <c r="AN93" i="43"/>
  <c r="AN92" i="43"/>
  <c r="AN91" i="43"/>
  <c r="AN90" i="43"/>
  <c r="AN89" i="43"/>
  <c r="AN88" i="43"/>
  <c r="AN87" i="43"/>
  <c r="AN86" i="43"/>
  <c r="AN85" i="43"/>
  <c r="AN84" i="43"/>
  <c r="AN83" i="43"/>
  <c r="AN82" i="43"/>
  <c r="AN81" i="43"/>
  <c r="AN80" i="43"/>
  <c r="AN79" i="43"/>
  <c r="AN78" i="43"/>
  <c r="AN77" i="43"/>
  <c r="AN76" i="43"/>
  <c r="AN75" i="43"/>
  <c r="AN74" i="43"/>
  <c r="AN73" i="43"/>
  <c r="AN72" i="43"/>
  <c r="AN71" i="43"/>
  <c r="AN70" i="43"/>
  <c r="AN69" i="43"/>
  <c r="AN68" i="43"/>
  <c r="AN67" i="43"/>
  <c r="AN66" i="43"/>
  <c r="AN65" i="43"/>
  <c r="AN64" i="43"/>
  <c r="AN63" i="43"/>
  <c r="AN62" i="43"/>
  <c r="AN61" i="43"/>
  <c r="AN60" i="43"/>
  <c r="AN59" i="43"/>
  <c r="AN58" i="43"/>
  <c r="AN57" i="43"/>
  <c r="AN56" i="43"/>
  <c r="AN55" i="43"/>
  <c r="AN54" i="43"/>
  <c r="AN53" i="43"/>
  <c r="AN52" i="43"/>
  <c r="AN51" i="43"/>
  <c r="AN50" i="43"/>
  <c r="AN49" i="43"/>
  <c r="AN48" i="43"/>
  <c r="AN47" i="43"/>
  <c r="AN46" i="43"/>
  <c r="AN45" i="43"/>
  <c r="AN44" i="43"/>
  <c r="AN43" i="43"/>
  <c r="AN42" i="43"/>
  <c r="AN41" i="43"/>
  <c r="AN40" i="43"/>
  <c r="AN39" i="43"/>
  <c r="AN38" i="43"/>
  <c r="AN37" i="43"/>
  <c r="AN36" i="43"/>
  <c r="AN35" i="43"/>
  <c r="AN34" i="43"/>
  <c r="AN33" i="43"/>
  <c r="AN32" i="43"/>
  <c r="AN31" i="43"/>
  <c r="AN30" i="43"/>
  <c r="AN29" i="43"/>
  <c r="AN28" i="43"/>
  <c r="AN27" i="43"/>
  <c r="AN26" i="43"/>
  <c r="AN25" i="43"/>
  <c r="AN24" i="43"/>
  <c r="AN23" i="43"/>
  <c r="AN22" i="43"/>
  <c r="AN21" i="43"/>
  <c r="AN20" i="43"/>
  <c r="AN19" i="43"/>
  <c r="AN18" i="43"/>
  <c r="AN17" i="43"/>
  <c r="AN16" i="43"/>
  <c r="AN15" i="43"/>
  <c r="AN14" i="43"/>
  <c r="AN13" i="43"/>
  <c r="AN12" i="43"/>
  <c r="AN11" i="43"/>
  <c r="AN10" i="43"/>
  <c r="AN9" i="43"/>
  <c r="AN8" i="43"/>
  <c r="AN7" i="43"/>
  <c r="AN6" i="43"/>
  <c r="AN5" i="43"/>
  <c r="AN4" i="43"/>
  <c r="AN3" i="43"/>
  <c r="AN3" i="35"/>
  <c r="AN122" i="35"/>
  <c r="AN121" i="35"/>
  <c r="AN120" i="35"/>
  <c r="AN119" i="35"/>
  <c r="AN118" i="35"/>
  <c r="AN117" i="35"/>
  <c r="AN116" i="35"/>
  <c r="AN115" i="35"/>
  <c r="AN111" i="35"/>
  <c r="AN110" i="35"/>
  <c r="AN109" i="35"/>
  <c r="AN108" i="35"/>
  <c r="AN107" i="35"/>
  <c r="AN103" i="35"/>
  <c r="AN102" i="35"/>
  <c r="AN101" i="35"/>
  <c r="AN100" i="35"/>
  <c r="AN99" i="35"/>
  <c r="AN98" i="35"/>
  <c r="AN97" i="35"/>
  <c r="AN96" i="35"/>
  <c r="AN95" i="35"/>
  <c r="AN94" i="35"/>
  <c r="AN93" i="35"/>
  <c r="AN92" i="35"/>
  <c r="AN91" i="35"/>
  <c r="AN90" i="35"/>
  <c r="AN89" i="35"/>
  <c r="AN88" i="35"/>
  <c r="AN87" i="35"/>
  <c r="AN86" i="35"/>
  <c r="AN85" i="35"/>
  <c r="AN84" i="35"/>
  <c r="AN83" i="35"/>
  <c r="AN82" i="35"/>
  <c r="AN81" i="35"/>
  <c r="AN80" i="35"/>
  <c r="AN79" i="35"/>
  <c r="AN78" i="35"/>
  <c r="AN77" i="35"/>
  <c r="AN76" i="35"/>
  <c r="AN75" i="35"/>
  <c r="AN74" i="35"/>
  <c r="AN73" i="35"/>
  <c r="AN72" i="35"/>
  <c r="AN71" i="35"/>
  <c r="AN70" i="35"/>
  <c r="AN69" i="35"/>
  <c r="AN68" i="35"/>
  <c r="AN67" i="35"/>
  <c r="AN66" i="35"/>
  <c r="AN65" i="35"/>
  <c r="AN64" i="35"/>
  <c r="AN63" i="35"/>
  <c r="AN62" i="35"/>
  <c r="AN61" i="35"/>
  <c r="AN60" i="35"/>
  <c r="AN59" i="35"/>
  <c r="AN58" i="35"/>
  <c r="AN57" i="35"/>
  <c r="AN56" i="35"/>
  <c r="AN55" i="35"/>
  <c r="AN54" i="35"/>
  <c r="AN53" i="35"/>
  <c r="AN52" i="35"/>
  <c r="AN51" i="35"/>
  <c r="AN50" i="35"/>
  <c r="AN49" i="35"/>
  <c r="AN48" i="35"/>
  <c r="AN47" i="35"/>
  <c r="AN46" i="35"/>
  <c r="AN45" i="35"/>
  <c r="AN44" i="35"/>
  <c r="AN43" i="35"/>
  <c r="AN42" i="35"/>
  <c r="AN41" i="35"/>
  <c r="AN40" i="35"/>
  <c r="AN39" i="35"/>
  <c r="AN38" i="35"/>
  <c r="AN37" i="35"/>
  <c r="AN36" i="35"/>
  <c r="AN35" i="35"/>
  <c r="AN34" i="35"/>
  <c r="AN33" i="35"/>
  <c r="AN32" i="35"/>
  <c r="AN31" i="35"/>
  <c r="AN30" i="35"/>
  <c r="AN29" i="35"/>
  <c r="AN28" i="35"/>
  <c r="AN27" i="35"/>
  <c r="AN26" i="35"/>
  <c r="AN25" i="35"/>
  <c r="AN24" i="35"/>
  <c r="AN23" i="35"/>
  <c r="AN22" i="35"/>
  <c r="AN21" i="35"/>
  <c r="AN20" i="35"/>
  <c r="AN19" i="35"/>
  <c r="AN18" i="35"/>
  <c r="AN17" i="35"/>
  <c r="AN16" i="35"/>
  <c r="AN15" i="35"/>
  <c r="AN14" i="35"/>
  <c r="AN13" i="35"/>
  <c r="AN12" i="35"/>
  <c r="AN11" i="35"/>
  <c r="AN10" i="35"/>
  <c r="AN9" i="35"/>
  <c r="AN8" i="35"/>
  <c r="AN7" i="35"/>
  <c r="AN6" i="35"/>
  <c r="AN5" i="35"/>
  <c r="AN4" i="35"/>
  <c r="AN117" i="30"/>
  <c r="AN116" i="30"/>
  <c r="AN115" i="30"/>
  <c r="AN114" i="30"/>
  <c r="AN113" i="30"/>
  <c r="AN112" i="30"/>
  <c r="AN111" i="30"/>
  <c r="AN110" i="30"/>
  <c r="AN106" i="30"/>
  <c r="AN105" i="30"/>
  <c r="AN104" i="30"/>
  <c r="AN103" i="30"/>
  <c r="AN102" i="30"/>
  <c r="AN98" i="30"/>
  <c r="AN97" i="30"/>
  <c r="AN96" i="30"/>
  <c r="AN95" i="30"/>
  <c r="AN94" i="30"/>
  <c r="AN93" i="30"/>
  <c r="AN92" i="30"/>
  <c r="AN91" i="30"/>
  <c r="AN90" i="30"/>
  <c r="AN89" i="30"/>
  <c r="AN88" i="30"/>
  <c r="AN87" i="30"/>
  <c r="AN86" i="30"/>
  <c r="AN85" i="30"/>
  <c r="AN84" i="30"/>
  <c r="AN83" i="30"/>
  <c r="AN82" i="30"/>
  <c r="AN81" i="30"/>
  <c r="AN80" i="30"/>
  <c r="AN79" i="30"/>
  <c r="AN78" i="30"/>
  <c r="AN77" i="30"/>
  <c r="AN76" i="30"/>
  <c r="AN75" i="30"/>
  <c r="AN74" i="30"/>
  <c r="AN73" i="30"/>
  <c r="AN72" i="30"/>
  <c r="AN71" i="30"/>
  <c r="AN70" i="30"/>
  <c r="AN69" i="30"/>
  <c r="AN68" i="30"/>
  <c r="AN67" i="30"/>
  <c r="AN66" i="30"/>
  <c r="AN65" i="30"/>
  <c r="AN64" i="30"/>
  <c r="AN63" i="30"/>
  <c r="AN62" i="30"/>
  <c r="AN61" i="30"/>
  <c r="AN60" i="30"/>
  <c r="AN59" i="30"/>
  <c r="AN58" i="30"/>
  <c r="AN57" i="30"/>
  <c r="AN56" i="30"/>
  <c r="AN55" i="30"/>
  <c r="AN54" i="30"/>
  <c r="AN53" i="30"/>
  <c r="AN52" i="30"/>
  <c r="AN51" i="30"/>
  <c r="AN50" i="30"/>
  <c r="AN49" i="30"/>
  <c r="AN48" i="30"/>
  <c r="AN47" i="30"/>
  <c r="AN46" i="30"/>
  <c r="AN45" i="30"/>
  <c r="AN44" i="30"/>
  <c r="AN43" i="30"/>
  <c r="AN42" i="30"/>
  <c r="AN41" i="30"/>
  <c r="AN40" i="30"/>
  <c r="AN39" i="30"/>
  <c r="AN38" i="30"/>
  <c r="AN37" i="30"/>
  <c r="AN36" i="30"/>
  <c r="AN35" i="30"/>
  <c r="AN34" i="30"/>
  <c r="AN33" i="30"/>
  <c r="AN32" i="30"/>
  <c r="AN31" i="30"/>
  <c r="AN30" i="30"/>
  <c r="AN29" i="30"/>
  <c r="AN28" i="30"/>
  <c r="AN27" i="30"/>
  <c r="AN26" i="30"/>
  <c r="AN25" i="30"/>
  <c r="AN24" i="30"/>
  <c r="AN23" i="30"/>
  <c r="AN22" i="30"/>
  <c r="AN21" i="30"/>
  <c r="AN20" i="30"/>
  <c r="AN19" i="30"/>
  <c r="AN18" i="30"/>
  <c r="AN17" i="30"/>
  <c r="AN16" i="30"/>
  <c r="AN15" i="30"/>
  <c r="AN14" i="30"/>
  <c r="AN13" i="30"/>
  <c r="AN12" i="30"/>
  <c r="AN11" i="30"/>
  <c r="AN10" i="30"/>
  <c r="AN9" i="30"/>
  <c r="AN8" i="30"/>
  <c r="AN7" i="30"/>
  <c r="AN6" i="30"/>
  <c r="AN5" i="30"/>
  <c r="AN4" i="30"/>
  <c r="AN3" i="30"/>
  <c r="AN117" i="28"/>
  <c r="AN116" i="28"/>
  <c r="AN115" i="28"/>
  <c r="AN114" i="28"/>
  <c r="AN113" i="28"/>
  <c r="AN112" i="28"/>
  <c r="AN111" i="28"/>
  <c r="AN110" i="28"/>
  <c r="AN106" i="28"/>
  <c r="AN105" i="28"/>
  <c r="AN104" i="28"/>
  <c r="AN103" i="28"/>
  <c r="AN102" i="28"/>
  <c r="AN98" i="28"/>
  <c r="AN97" i="28"/>
  <c r="AN96" i="28"/>
  <c r="AN95" i="28"/>
  <c r="AN94" i="28"/>
  <c r="AN93" i="28"/>
  <c r="AN92" i="28"/>
  <c r="AN91" i="28"/>
  <c r="AN90" i="28"/>
  <c r="AN89" i="28"/>
  <c r="AN88" i="28"/>
  <c r="AN87" i="28"/>
  <c r="AN86" i="28"/>
  <c r="AN85" i="28"/>
  <c r="AN84" i="28"/>
  <c r="AN83" i="28"/>
  <c r="AN82" i="28"/>
  <c r="AN81" i="28"/>
  <c r="AN80" i="28"/>
  <c r="AN79" i="28"/>
  <c r="AN78" i="28"/>
  <c r="AN77" i="28"/>
  <c r="AN76" i="28"/>
  <c r="AN75" i="28"/>
  <c r="AN74" i="28"/>
  <c r="AN73" i="28"/>
  <c r="AN72" i="28"/>
  <c r="AN71" i="28"/>
  <c r="AN70" i="28"/>
  <c r="AN69" i="28"/>
  <c r="AN68" i="28"/>
  <c r="AN67" i="28"/>
  <c r="AN66" i="28"/>
  <c r="AN65" i="28"/>
  <c r="AN64" i="28"/>
  <c r="AN63" i="28"/>
  <c r="AN62" i="28"/>
  <c r="AN61" i="28"/>
  <c r="AN60" i="28"/>
  <c r="AN59" i="28"/>
  <c r="AN58" i="28"/>
  <c r="AN57" i="28"/>
  <c r="AN56" i="28"/>
  <c r="AN55" i="28"/>
  <c r="AN54" i="28"/>
  <c r="AN53" i="28"/>
  <c r="AN52" i="28"/>
  <c r="AN51" i="28"/>
  <c r="AN50" i="28"/>
  <c r="AN49" i="28"/>
  <c r="AN48" i="28"/>
  <c r="AN47" i="28"/>
  <c r="AN46" i="28"/>
  <c r="AN45" i="28"/>
  <c r="AN44" i="28"/>
  <c r="AN43" i="28"/>
  <c r="AN42" i="28"/>
  <c r="AN41" i="28"/>
  <c r="AN40" i="28"/>
  <c r="AN39" i="28"/>
  <c r="AN38" i="28"/>
  <c r="AN37" i="28"/>
  <c r="AN36" i="28"/>
  <c r="AN35" i="28"/>
  <c r="AN34" i="28"/>
  <c r="AN33" i="28"/>
  <c r="AN32" i="28"/>
  <c r="AN31" i="28"/>
  <c r="AN30" i="28"/>
  <c r="AN29" i="28"/>
  <c r="AN28" i="28"/>
  <c r="AN27" i="28"/>
  <c r="AN26" i="28"/>
  <c r="AN25" i="28"/>
  <c r="AN24" i="28"/>
  <c r="AN23" i="28"/>
  <c r="AN22" i="28"/>
  <c r="AN21" i="28"/>
  <c r="AN20" i="28"/>
  <c r="AN19" i="28"/>
  <c r="AN18" i="28"/>
  <c r="AN17" i="28"/>
  <c r="AN16" i="28"/>
  <c r="AN15" i="28"/>
  <c r="AN14" i="28"/>
  <c r="AN13" i="28"/>
  <c r="AN12" i="28"/>
  <c r="AN11" i="28"/>
  <c r="AN10" i="28"/>
  <c r="AN9" i="28"/>
  <c r="AN8" i="28"/>
  <c r="AN7" i="28"/>
  <c r="AN6" i="28"/>
  <c r="AN5" i="28"/>
  <c r="AN4" i="28"/>
  <c r="AN3" i="28"/>
  <c r="D106" i="61" l="1"/>
  <c r="R126" i="60"/>
  <c r="AS105" i="60"/>
  <c r="AC90" i="60"/>
  <c r="AC84" i="60"/>
  <c r="AC98" i="60"/>
  <c r="AC17" i="60"/>
  <c r="AC26" i="60"/>
  <c r="AC58" i="60"/>
  <c r="AC10" i="60"/>
  <c r="AC19" i="60"/>
  <c r="AC31" i="60"/>
  <c r="AC33" i="60"/>
  <c r="AC43" i="60"/>
  <c r="AC63" i="60"/>
  <c r="AC65" i="60"/>
  <c r="AC75" i="60"/>
  <c r="AC95" i="60"/>
  <c r="AC50" i="60"/>
  <c r="AC82" i="60"/>
  <c r="AC18" i="60"/>
  <c r="AC42" i="60"/>
  <c r="AC74" i="60"/>
  <c r="AC101" i="60"/>
  <c r="AC8" i="60"/>
  <c r="AC64" i="60"/>
  <c r="AC37" i="60"/>
  <c r="AC35" i="60"/>
  <c r="AC28" i="60"/>
  <c r="AC12" i="60"/>
  <c r="AC93" i="60"/>
  <c r="AC51" i="60"/>
  <c r="AC66" i="60"/>
  <c r="AC32" i="60"/>
  <c r="AC61" i="60"/>
  <c r="AC20" i="60"/>
  <c r="AC67" i="60"/>
  <c r="AC6" i="60"/>
  <c r="AC69" i="60"/>
  <c r="AC100" i="60"/>
  <c r="AC29" i="60"/>
  <c r="AC104" i="60"/>
  <c r="AC49" i="60"/>
  <c r="AC25" i="60"/>
  <c r="AC40" i="60"/>
  <c r="AC80" i="60"/>
  <c r="AC96" i="60"/>
  <c r="AC48" i="60"/>
  <c r="AC59" i="60"/>
  <c r="AC9" i="60"/>
  <c r="AC24" i="60"/>
  <c r="AC88" i="60"/>
  <c r="AC39" i="60"/>
  <c r="AC57" i="60"/>
  <c r="AC72" i="60"/>
  <c r="AC85" i="60"/>
  <c r="AC103" i="60"/>
  <c r="AC47" i="60"/>
  <c r="AC71" i="60"/>
  <c r="AC81" i="60"/>
  <c r="AC7" i="60"/>
  <c r="AC92" i="60"/>
  <c r="AC55" i="60"/>
  <c r="AC53" i="60"/>
  <c r="AC11" i="60"/>
  <c r="AC91" i="60"/>
  <c r="AC23" i="60"/>
  <c r="AC97" i="60"/>
  <c r="AC87" i="60"/>
  <c r="AC62" i="60"/>
  <c r="AC21" i="60"/>
  <c r="AC83" i="60"/>
  <c r="AC5" i="60"/>
  <c r="AC89" i="60"/>
  <c r="AC34" i="60"/>
  <c r="AC56" i="60"/>
  <c r="AC73" i="60"/>
  <c r="AC13" i="60"/>
  <c r="AC4" i="60"/>
  <c r="AC38" i="60"/>
  <c r="AC79" i="60"/>
  <c r="AC41" i="60"/>
  <c r="AC15" i="60"/>
  <c r="AC77" i="60"/>
  <c r="AC45" i="60"/>
  <c r="AC16" i="60"/>
  <c r="AC27" i="60"/>
  <c r="AC68" i="60"/>
  <c r="AC44" i="60"/>
  <c r="AC46" i="60"/>
  <c r="AC52" i="60"/>
  <c r="AC102" i="60"/>
  <c r="AC54" i="60"/>
  <c r="AC30" i="60"/>
  <c r="AC78" i="60"/>
  <c r="AC22" i="60"/>
  <c r="AC36" i="60"/>
  <c r="AC94" i="60"/>
  <c r="AC60" i="60"/>
  <c r="AC99" i="60"/>
  <c r="AC70" i="60"/>
  <c r="AC14" i="60"/>
  <c r="AC76" i="60"/>
  <c r="AC86" i="60"/>
  <c r="O24" i="3"/>
  <c r="AF127" i="60"/>
  <c r="AN106" i="60"/>
  <c r="AN126" i="60"/>
  <c r="AD127" i="60"/>
  <c r="P24" i="3"/>
  <c r="AO81" i="60"/>
  <c r="AV81" i="60" s="1" a="1"/>
  <c r="AV81" i="60" s="1"/>
  <c r="AO88" i="60"/>
  <c r="AV88" i="60" s="1" a="1"/>
  <c r="AV88" i="60" s="1"/>
  <c r="AO25" i="60"/>
  <c r="AV25" i="60" s="1" a="1"/>
  <c r="AV25" i="60" s="1"/>
  <c r="AO75" i="60"/>
  <c r="AV75" i="60" s="1" a="1"/>
  <c r="AV75" i="60" s="1"/>
  <c r="AO99" i="60"/>
  <c r="AV99" i="60" s="1" a="1"/>
  <c r="AV99" i="60" s="1"/>
  <c r="AV68" i="60" a="1"/>
  <c r="AV68" i="60" s="1"/>
  <c r="AX68" i="60" s="1"/>
  <c r="AO68" i="60"/>
  <c r="AO92" i="60"/>
  <c r="AV92" i="60" s="1" a="1"/>
  <c r="AV92" i="60" s="1"/>
  <c r="AW92" i="60" s="1"/>
  <c r="AO83" i="60"/>
  <c r="AV83" i="60" s="1" a="1"/>
  <c r="AV83" i="60" s="1"/>
  <c r="AO53" i="60"/>
  <c r="AV53" i="60" s="1" a="1"/>
  <c r="AV53" i="60" s="1"/>
  <c r="AU127" i="60"/>
  <c r="AL91" i="60"/>
  <c r="AL44" i="60"/>
  <c r="AL37" i="60"/>
  <c r="AL30" i="60"/>
  <c r="AO30" i="60" s="1"/>
  <c r="AL102" i="60"/>
  <c r="AL67" i="60"/>
  <c r="L126" i="60"/>
  <c r="AL104" i="60"/>
  <c r="E126" i="60"/>
  <c r="AL80" i="60"/>
  <c r="AL40" i="60"/>
  <c r="AV30" i="60" a="1"/>
  <c r="AV30" i="60" s="1"/>
  <c r="AX30" i="60" s="1"/>
  <c r="AL84" i="60"/>
  <c r="AV66" i="60" a="1"/>
  <c r="AV66" i="60" s="1"/>
  <c r="AX66" i="60" s="1"/>
  <c r="AL52" i="60"/>
  <c r="AL28" i="60"/>
  <c r="AO28" i="60" s="1"/>
  <c r="AL56" i="60"/>
  <c r="AL32" i="60"/>
  <c r="AL47" i="60"/>
  <c r="AL72" i="60"/>
  <c r="AL64" i="60"/>
  <c r="E8" i="63"/>
  <c r="F7" i="63"/>
  <c r="M9" i="63"/>
  <c r="G9" i="63" s="1"/>
  <c r="L10" i="63"/>
  <c r="AJ23" i="57"/>
  <c r="AI23" i="57"/>
  <c r="AT104" i="56"/>
  <c r="U104" i="56"/>
  <c r="AU104" i="56"/>
  <c r="L5" i="61"/>
  <c r="M4" i="61"/>
  <c r="F4" i="61"/>
  <c r="E5" i="61"/>
  <c r="AV70" i="60" a="1"/>
  <c r="AV70" i="60" s="1"/>
  <c r="AZ70" i="60" s="1"/>
  <c r="AL23" i="60"/>
  <c r="AV86" i="60" a="1"/>
  <c r="AV86" i="60" s="1"/>
  <c r="AL48" i="60"/>
  <c r="AL76" i="60"/>
  <c r="AL45" i="60"/>
  <c r="AL21" i="60"/>
  <c r="AL55" i="60"/>
  <c r="AL62" i="60"/>
  <c r="AZ96" i="60"/>
  <c r="AX96" i="60"/>
  <c r="AV87" i="60" a="1"/>
  <c r="AV87" i="60" s="1"/>
  <c r="AW87" i="60" s="1"/>
  <c r="AL39" i="60"/>
  <c r="AL5" i="60"/>
  <c r="AL15" i="60"/>
  <c r="AV78" i="60" a="1"/>
  <c r="AV78" i="60" s="1"/>
  <c r="AW78" i="60" s="1"/>
  <c r="AL18" i="60"/>
  <c r="AL10" i="60"/>
  <c r="AL103" i="60"/>
  <c r="AO103" i="60" s="1"/>
  <c r="AV103" i="60" s="1" a="1"/>
  <c r="AV103" i="60" s="1"/>
  <c r="AL79" i="60"/>
  <c r="AL100" i="60"/>
  <c r="AL97" i="60"/>
  <c r="AL89" i="60"/>
  <c r="AL73" i="60"/>
  <c r="AL101" i="60"/>
  <c r="AL93" i="60"/>
  <c r="AL85" i="60"/>
  <c r="AL77" i="60"/>
  <c r="AL98" i="60"/>
  <c r="AL82" i="60"/>
  <c r="AL74" i="60"/>
  <c r="AL90" i="60"/>
  <c r="AL57" i="60"/>
  <c r="AL49" i="60"/>
  <c r="AL41" i="60"/>
  <c r="AL33" i="60"/>
  <c r="AL69" i="60"/>
  <c r="AL65" i="60"/>
  <c r="AL24" i="60"/>
  <c r="AL60" i="60"/>
  <c r="AL35" i="60"/>
  <c r="AL26" i="60"/>
  <c r="AL14" i="60"/>
  <c r="AL6" i="60"/>
  <c r="AL3" i="60"/>
  <c r="AO3" i="60" s="1"/>
  <c r="AL12" i="60"/>
  <c r="AL4" i="60"/>
  <c r="AL63" i="60"/>
  <c r="AL59" i="60"/>
  <c r="AL51" i="60"/>
  <c r="AO51" i="60" s="1"/>
  <c r="AV51" i="60" s="1" a="1"/>
  <c r="AV51" i="60" s="1"/>
  <c r="AL43" i="60"/>
  <c r="AL34" i="60"/>
  <c r="AL19" i="60"/>
  <c r="AL11" i="60"/>
  <c r="AL22" i="60"/>
  <c r="AL58" i="60"/>
  <c r="AL50" i="60"/>
  <c r="AL42" i="60"/>
  <c r="AL29" i="60"/>
  <c r="AL27" i="60"/>
  <c r="AL16" i="60"/>
  <c r="AL8" i="60"/>
  <c r="AL38" i="60"/>
  <c r="AL20" i="60"/>
  <c r="AL61" i="60"/>
  <c r="AL54" i="60"/>
  <c r="AL46" i="60"/>
  <c r="AV95" i="60" a="1"/>
  <c r="AV95" i="60" s="1"/>
  <c r="AQ105" i="60"/>
  <c r="AL36" i="60"/>
  <c r="AL17" i="60"/>
  <c r="AV94" i="60" a="1"/>
  <c r="AV94" i="60" s="1"/>
  <c r="E106" i="60"/>
  <c r="E127" i="60" s="1"/>
  <c r="AL31" i="60"/>
  <c r="AC3" i="60"/>
  <c r="AL9" i="60"/>
  <c r="AV71" i="60" a="1"/>
  <c r="AV71" i="60" s="1"/>
  <c r="L106" i="60"/>
  <c r="L127" i="60" s="1"/>
  <c r="AL7" i="60"/>
  <c r="AL13" i="60"/>
  <c r="AA125" i="52"/>
  <c r="AC21" i="57"/>
  <c r="Z21" i="57"/>
  <c r="X21" i="57"/>
  <c r="W21" i="57"/>
  <c r="U21" i="57"/>
  <c r="S21" i="57"/>
  <c r="R21" i="57"/>
  <c r="Q21" i="57"/>
  <c r="P21" i="57"/>
  <c r="N21" i="57"/>
  <c r="M21" i="57"/>
  <c r="K21" i="57"/>
  <c r="J21" i="57"/>
  <c r="I21" i="57"/>
  <c r="H21" i="57"/>
  <c r="G21" i="57"/>
  <c r="AZ125" i="49"/>
  <c r="AO125" i="49"/>
  <c r="AN125" i="49"/>
  <c r="AM125" i="49"/>
  <c r="AL125" i="49"/>
  <c r="AK125" i="49"/>
  <c r="AJ125" i="49"/>
  <c r="AI125" i="49"/>
  <c r="AH125" i="49"/>
  <c r="AU125" i="49" s="1"/>
  <c r="AG125" i="49"/>
  <c r="AE125" i="49"/>
  <c r="AF125" i="49" s="1"/>
  <c r="AD125" i="49"/>
  <c r="AC125" i="49"/>
  <c r="AB125" i="49"/>
  <c r="AA125" i="49"/>
  <c r="Z125" i="49"/>
  <c r="Y125" i="49"/>
  <c r="X125" i="49"/>
  <c r="W125" i="49"/>
  <c r="V125" i="49"/>
  <c r="U125" i="49"/>
  <c r="T125" i="49"/>
  <c r="S125" i="49"/>
  <c r="N125" i="49"/>
  <c r="L125" i="49"/>
  <c r="J125" i="49"/>
  <c r="I125" i="49"/>
  <c r="H125" i="49"/>
  <c r="G125" i="49"/>
  <c r="F125" i="49"/>
  <c r="E125" i="49"/>
  <c r="AC22" i="57"/>
  <c r="Z22" i="57"/>
  <c r="Z29" i="57" s="1"/>
  <c r="X22" i="57"/>
  <c r="W22" i="57"/>
  <c r="U22" i="57"/>
  <c r="S22" i="57"/>
  <c r="R22" i="57"/>
  <c r="Q22" i="57"/>
  <c r="Q29" i="57" s="1"/>
  <c r="P22" i="57"/>
  <c r="N22" i="57"/>
  <c r="N29" i="57" s="1"/>
  <c r="M22" i="57"/>
  <c r="K22" i="57"/>
  <c r="J22" i="57"/>
  <c r="I22" i="57"/>
  <c r="H22" i="57"/>
  <c r="G22" i="57"/>
  <c r="G29" i="57" s="1"/>
  <c r="AC22" i="3"/>
  <c r="Z22" i="3"/>
  <c r="X22" i="3"/>
  <c r="W22" i="3"/>
  <c r="U22" i="3"/>
  <c r="S22" i="3"/>
  <c r="R22" i="3"/>
  <c r="Q22" i="3"/>
  <c r="P22" i="3"/>
  <c r="N22" i="3"/>
  <c r="M22" i="3"/>
  <c r="K22" i="3"/>
  <c r="J22" i="3"/>
  <c r="I22" i="3"/>
  <c r="H22" i="3"/>
  <c r="G22" i="3"/>
  <c r="AG29" i="57"/>
  <c r="AD29" i="57"/>
  <c r="AC29" i="57"/>
  <c r="X29" i="57"/>
  <c r="V29" i="57"/>
  <c r="U29" i="57"/>
  <c r="T29" i="57"/>
  <c r="P29" i="57"/>
  <c r="M29" i="57"/>
  <c r="K29" i="57"/>
  <c r="J29" i="57"/>
  <c r="AD28" i="3"/>
  <c r="V28" i="3"/>
  <c r="T28" i="3"/>
  <c r="L22" i="57"/>
  <c r="J4" i="53"/>
  <c r="J10" i="53"/>
  <c r="J14" i="53"/>
  <c r="J7" i="53"/>
  <c r="J22" i="53"/>
  <c r="J6" i="53"/>
  <c r="J8" i="53"/>
  <c r="J13" i="53"/>
  <c r="J12" i="53"/>
  <c r="J5" i="53"/>
  <c r="J15" i="53"/>
  <c r="J16" i="53"/>
  <c r="J9" i="53"/>
  <c r="J23" i="53"/>
  <c r="J24" i="53"/>
  <c r="J53" i="53"/>
  <c r="J26" i="53"/>
  <c r="J27" i="53"/>
  <c r="J28" i="53"/>
  <c r="J54" i="53"/>
  <c r="J55" i="53"/>
  <c r="J56" i="53"/>
  <c r="J29" i="53"/>
  <c r="J37" i="53"/>
  <c r="J17" i="53"/>
  <c r="J57" i="53"/>
  <c r="J58" i="53"/>
  <c r="J59" i="53"/>
  <c r="J60" i="53"/>
  <c r="J38" i="53"/>
  <c r="J61" i="53"/>
  <c r="J62" i="53"/>
  <c r="J63" i="53"/>
  <c r="J64" i="53"/>
  <c r="J65" i="53"/>
  <c r="J39" i="53"/>
  <c r="J34" i="53"/>
  <c r="J45" i="53"/>
  <c r="J66" i="53"/>
  <c r="J67" i="53"/>
  <c r="J20" i="53"/>
  <c r="J25" i="53"/>
  <c r="J68" i="53"/>
  <c r="J30" i="53"/>
  <c r="J18" i="53"/>
  <c r="J19" i="53"/>
  <c r="J21" i="53"/>
  <c r="J69" i="53"/>
  <c r="J46" i="53"/>
  <c r="J31" i="53"/>
  <c r="J35" i="53"/>
  <c r="J70" i="53"/>
  <c r="J71" i="53"/>
  <c r="J72" i="53"/>
  <c r="J73" i="53"/>
  <c r="J74" i="53"/>
  <c r="J75" i="53"/>
  <c r="J47" i="53"/>
  <c r="J76" i="53"/>
  <c r="J77" i="53"/>
  <c r="J78" i="53"/>
  <c r="J79" i="53"/>
  <c r="J80" i="53"/>
  <c r="J81" i="53"/>
  <c r="J82" i="53"/>
  <c r="J40" i="53"/>
  <c r="J83" i="53"/>
  <c r="J84" i="53"/>
  <c r="J85" i="53"/>
  <c r="J86" i="53"/>
  <c r="J87" i="53"/>
  <c r="J32" i="53"/>
  <c r="J88" i="53"/>
  <c r="J36" i="53"/>
  <c r="J89" i="53"/>
  <c r="J41" i="53"/>
  <c r="J48" i="53"/>
  <c r="J90" i="53"/>
  <c r="J49" i="53"/>
  <c r="J91" i="53"/>
  <c r="J42" i="53"/>
  <c r="J92" i="53"/>
  <c r="J93" i="53"/>
  <c r="J43" i="53"/>
  <c r="J50" i="53"/>
  <c r="J44" i="53"/>
  <c r="J94" i="53"/>
  <c r="J104" i="53"/>
  <c r="J95" i="53"/>
  <c r="J96" i="53"/>
  <c r="J97" i="53"/>
  <c r="J98" i="53"/>
  <c r="J99" i="53"/>
  <c r="J100" i="53"/>
  <c r="J51" i="53"/>
  <c r="J101" i="53"/>
  <c r="J52" i="53"/>
  <c r="J102" i="53"/>
  <c r="J33" i="53"/>
  <c r="J103" i="53"/>
  <c r="J11" i="53"/>
  <c r="C4" i="53"/>
  <c r="C9" i="53"/>
  <c r="C14" i="53"/>
  <c r="C8" i="53"/>
  <c r="C21" i="53"/>
  <c r="C6" i="53"/>
  <c r="C11" i="53"/>
  <c r="C13" i="53"/>
  <c r="C12" i="53"/>
  <c r="C5" i="53"/>
  <c r="C15" i="53"/>
  <c r="C16" i="53"/>
  <c r="C7" i="53"/>
  <c r="C22" i="53"/>
  <c r="C23" i="53"/>
  <c r="C45" i="53"/>
  <c r="C26" i="53"/>
  <c r="C29" i="53"/>
  <c r="C30" i="53"/>
  <c r="C46" i="53"/>
  <c r="C78" i="53"/>
  <c r="C47" i="53"/>
  <c r="C83" i="53"/>
  <c r="C87" i="53"/>
  <c r="C20" i="53"/>
  <c r="C48" i="53"/>
  <c r="C49" i="53"/>
  <c r="C50" i="53"/>
  <c r="C51" i="53"/>
  <c r="C32" i="53"/>
  <c r="C52" i="53"/>
  <c r="C53" i="53"/>
  <c r="C54" i="53"/>
  <c r="C55" i="53"/>
  <c r="C91" i="53"/>
  <c r="C34" i="53"/>
  <c r="C28" i="53"/>
  <c r="C39" i="53"/>
  <c r="C95" i="53"/>
  <c r="C97" i="53"/>
  <c r="C24" i="53"/>
  <c r="C25" i="53"/>
  <c r="C56" i="53"/>
  <c r="C27" i="53"/>
  <c r="C18" i="53"/>
  <c r="C17" i="53"/>
  <c r="C19" i="53"/>
  <c r="C89" i="53"/>
  <c r="C88" i="53"/>
  <c r="C31" i="53"/>
  <c r="C36" i="53"/>
  <c r="C73" i="53"/>
  <c r="C57" i="53"/>
  <c r="C58" i="53"/>
  <c r="C100" i="53"/>
  <c r="C59" i="53"/>
  <c r="C94" i="53"/>
  <c r="C84" i="53"/>
  <c r="C60" i="53"/>
  <c r="C61" i="53"/>
  <c r="C62" i="53"/>
  <c r="C74" i="53"/>
  <c r="C76" i="53"/>
  <c r="C63" i="53"/>
  <c r="C64" i="53"/>
  <c r="C37" i="53"/>
  <c r="C65" i="53"/>
  <c r="C77" i="53"/>
  <c r="C66" i="53"/>
  <c r="C75" i="53"/>
  <c r="C82" i="53"/>
  <c r="C35" i="53"/>
  <c r="C102" i="53"/>
  <c r="C86" i="53"/>
  <c r="C101" i="53"/>
  <c r="C96" i="53"/>
  <c r="C80" i="53"/>
  <c r="C85" i="53"/>
  <c r="C40" i="53"/>
  <c r="C92" i="53"/>
  <c r="C98" i="53"/>
  <c r="C99" i="53"/>
  <c r="C93" i="53"/>
  <c r="C43" i="53"/>
  <c r="C38" i="53"/>
  <c r="C33" i="53"/>
  <c r="C81" i="53"/>
  <c r="C103" i="53"/>
  <c r="C104" i="53"/>
  <c r="C79" i="53"/>
  <c r="C67" i="53"/>
  <c r="C68" i="53"/>
  <c r="C69" i="53"/>
  <c r="C90" i="53"/>
  <c r="C44" i="53"/>
  <c r="C70" i="53"/>
  <c r="C42" i="53"/>
  <c r="C71" i="53"/>
  <c r="C41" i="53"/>
  <c r="C72" i="53"/>
  <c r="C10" i="53"/>
  <c r="W29" i="57" l="1"/>
  <c r="R29" i="57"/>
  <c r="S29" i="57"/>
  <c r="AK24" i="3"/>
  <c r="F24" i="3"/>
  <c r="AX75" i="60"/>
  <c r="AW75" i="60"/>
  <c r="AZ86" i="60"/>
  <c r="AW86" i="60"/>
  <c r="AH24" i="3"/>
  <c r="AZ88" i="60"/>
  <c r="AX88" i="60"/>
  <c r="AC126" i="60"/>
  <c r="AC106" i="60"/>
  <c r="AC127" i="60" s="1"/>
  <c r="AN127" i="60"/>
  <c r="AC24" i="3"/>
  <c r="AX83" i="60"/>
  <c r="AZ83" i="60"/>
  <c r="AZ68" i="60"/>
  <c r="AZ92" i="60"/>
  <c r="AX92" i="60"/>
  <c r="AZ81" i="60"/>
  <c r="AX81" i="60"/>
  <c r="AX99" i="60"/>
  <c r="AZ99" i="60"/>
  <c r="AX53" i="60"/>
  <c r="AZ53" i="60"/>
  <c r="AZ25" i="60"/>
  <c r="AX25" i="60"/>
  <c r="AO13" i="60"/>
  <c r="AV13" i="60" s="1" a="1"/>
  <c r="AV13" i="60" s="1"/>
  <c r="AW13" i="60" s="1"/>
  <c r="AO46" i="60"/>
  <c r="AV46" i="60" s="1" a="1"/>
  <c r="AV46" i="60" s="1"/>
  <c r="AO9" i="60"/>
  <c r="AV9" i="60" s="1" a="1"/>
  <c r="AV9" i="60" s="1"/>
  <c r="AW9" i="60" s="1"/>
  <c r="AO49" i="60"/>
  <c r="AV49" i="60" s="1" a="1"/>
  <c r="AV49" i="60" s="1"/>
  <c r="AW49" i="60" s="1"/>
  <c r="AO93" i="60"/>
  <c r="AV93" i="60" s="1" a="1"/>
  <c r="AV93" i="60" s="1"/>
  <c r="AO5" i="60"/>
  <c r="AV5" i="60" s="1" a="1"/>
  <c r="AV5" i="60" s="1"/>
  <c r="AW5" i="60" s="1"/>
  <c r="AO76" i="60"/>
  <c r="AV76" i="60" s="1" a="1"/>
  <c r="AV76" i="60" s="1"/>
  <c r="AO52" i="60"/>
  <c r="AV52" i="60" s="1" a="1"/>
  <c r="AV52" i="60" s="1"/>
  <c r="AW52" i="60" s="1"/>
  <c r="AO17" i="60"/>
  <c r="AV17" i="60" s="1" a="1"/>
  <c r="AV17" i="60" s="1"/>
  <c r="AW17" i="60" s="1"/>
  <c r="AO20" i="60"/>
  <c r="AV20" i="60" s="1" a="1"/>
  <c r="AV20" i="60" s="1"/>
  <c r="AW20" i="60" s="1"/>
  <c r="AO58" i="60"/>
  <c r="AV58" i="60" s="1" a="1"/>
  <c r="AV58" i="60" s="1"/>
  <c r="AO63" i="60"/>
  <c r="AV63" i="60" s="1" a="1"/>
  <c r="AV63" i="60" s="1"/>
  <c r="AO60" i="60"/>
  <c r="AV60" i="60" s="1" a="1"/>
  <c r="AV60" i="60" s="1"/>
  <c r="AO90" i="60"/>
  <c r="AV90" i="60" s="1" a="1"/>
  <c r="AV90" i="60" s="1"/>
  <c r="AO73" i="60"/>
  <c r="AV73" i="60" s="1" a="1"/>
  <c r="AV73" i="60" s="1"/>
  <c r="AW73" i="60" s="1"/>
  <c r="AZ75" i="60"/>
  <c r="AZ30" i="60"/>
  <c r="AO64" i="60"/>
  <c r="AV64" i="60" s="1" a="1"/>
  <c r="AV64" i="60" s="1"/>
  <c r="AZ64" i="60" s="1"/>
  <c r="AO84" i="60"/>
  <c r="AV84" i="60" s="1" a="1"/>
  <c r="AV84" i="60" s="1"/>
  <c r="AO102" i="60"/>
  <c r="AV102" i="60" s="1" a="1"/>
  <c r="AV102" i="60" s="1"/>
  <c r="AW102" i="60" s="1"/>
  <c r="AO38" i="60"/>
  <c r="AV38" i="60" s="1" a="1"/>
  <c r="AV38" i="60" s="1"/>
  <c r="AO22" i="60"/>
  <c r="AV22" i="60" s="1" a="1"/>
  <c r="AV22" i="60" s="1"/>
  <c r="AW22" i="60" s="1"/>
  <c r="AO4" i="60"/>
  <c r="AV4" i="60" s="1" a="1"/>
  <c r="AV4" i="60" s="1"/>
  <c r="AW4" i="60" s="1"/>
  <c r="AO24" i="60"/>
  <c r="AV24" i="60" s="1" a="1"/>
  <c r="AV24" i="60" s="1"/>
  <c r="AW24" i="60" s="1"/>
  <c r="AO74" i="60"/>
  <c r="AV74" i="60" s="1" a="1"/>
  <c r="AV74" i="60" s="1"/>
  <c r="AO89" i="60"/>
  <c r="AV89" i="60" s="1" a="1"/>
  <c r="AV89" i="60" s="1"/>
  <c r="AO10" i="60"/>
  <c r="AV10" i="60" s="1" a="1"/>
  <c r="AV10" i="60" s="1"/>
  <c r="AW10" i="60" s="1"/>
  <c r="AO62" i="60"/>
  <c r="AV62" i="60" s="1" a="1"/>
  <c r="AV62" i="60" s="1"/>
  <c r="AO23" i="60"/>
  <c r="AV23" i="60" s="1" a="1"/>
  <c r="AV23" i="60" s="1"/>
  <c r="AO72" i="60"/>
  <c r="AV72" i="60" s="1" a="1"/>
  <c r="AV72" i="60" s="1"/>
  <c r="AO16" i="60"/>
  <c r="AV16" i="60" s="1" a="1"/>
  <c r="AV16" i="60" s="1"/>
  <c r="AO69" i="60"/>
  <c r="AV69" i="60" s="1" a="1"/>
  <c r="AV69" i="60" s="1"/>
  <c r="AW69" i="60" s="1"/>
  <c r="AO98" i="60"/>
  <c r="AV98" i="60" s="1" a="1"/>
  <c r="AV98" i="60" s="1"/>
  <c r="AW98" i="60" s="1"/>
  <c r="AO100" i="60"/>
  <c r="AV100" i="60" s="1" a="1"/>
  <c r="AV100" i="60" s="1"/>
  <c r="AW100" i="60" s="1"/>
  <c r="AO55" i="60"/>
  <c r="AV55" i="60" s="1" a="1"/>
  <c r="AV55" i="60" s="1"/>
  <c r="AO32" i="60"/>
  <c r="AV32" i="60" s="1" a="1"/>
  <c r="AV32" i="60" s="1"/>
  <c r="AO80" i="60"/>
  <c r="AV80" i="60" s="1" a="1"/>
  <c r="AV80" i="60" s="1"/>
  <c r="AO44" i="60"/>
  <c r="AV44" i="60" s="1" a="1"/>
  <c r="AV44" i="60" s="1"/>
  <c r="AW44" i="60" s="1"/>
  <c r="AO36" i="60"/>
  <c r="AV36" i="60" s="1" a="1"/>
  <c r="AV36" i="60" s="1"/>
  <c r="AO8" i="60"/>
  <c r="AV8" i="60" s="1" a="1"/>
  <c r="AV8" i="60" s="1"/>
  <c r="AW8" i="60" s="1"/>
  <c r="AO11" i="60"/>
  <c r="AV11" i="60" s="1" a="1"/>
  <c r="AV11" i="60" s="1"/>
  <c r="AW11" i="60" s="1"/>
  <c r="AO12" i="60"/>
  <c r="AV12" i="60" s="1" a="1"/>
  <c r="AV12" i="60" s="1"/>
  <c r="AO65" i="60"/>
  <c r="AV65" i="60" s="1" a="1"/>
  <c r="AV65" i="60" s="1"/>
  <c r="AO82" i="60"/>
  <c r="AV82" i="60" s="1" a="1"/>
  <c r="AV82" i="60" s="1"/>
  <c r="AO97" i="60"/>
  <c r="AV97" i="60" s="1" a="1"/>
  <c r="AV97" i="60" s="1"/>
  <c r="AO18" i="60"/>
  <c r="AV18" i="60" s="1" a="1"/>
  <c r="AV18" i="60" s="1"/>
  <c r="AW18" i="60" s="1"/>
  <c r="AO47" i="60"/>
  <c r="AV47" i="60" s="1" a="1"/>
  <c r="AV47" i="60" s="1"/>
  <c r="AO40" i="60"/>
  <c r="AV40" i="60" s="1" a="1"/>
  <c r="AV40" i="60" s="1"/>
  <c r="AW40" i="60" s="1"/>
  <c r="AO37" i="60"/>
  <c r="AV37" i="60" s="1" a="1"/>
  <c r="AV37" i="60" s="1"/>
  <c r="AO19" i="60"/>
  <c r="AV19" i="60" s="1" a="1"/>
  <c r="AV19" i="60" s="1"/>
  <c r="AO27" i="60"/>
  <c r="AV27" i="60" s="1" a="1"/>
  <c r="AV27" i="60" s="1"/>
  <c r="AZ27" i="60" s="1"/>
  <c r="AO34" i="60"/>
  <c r="AV34" i="60" s="1" a="1"/>
  <c r="AV34" i="60" s="1"/>
  <c r="AW34" i="60" s="1"/>
  <c r="AO6" i="60"/>
  <c r="AV6" i="60" s="1" a="1"/>
  <c r="AV6" i="60" s="1"/>
  <c r="AW6" i="60" s="1"/>
  <c r="AO33" i="60"/>
  <c r="AV33" i="60" s="1" a="1"/>
  <c r="AV33" i="60" s="1"/>
  <c r="AW33" i="60" s="1"/>
  <c r="AO77" i="60"/>
  <c r="AV77" i="60" s="1" a="1"/>
  <c r="AV77" i="60" s="1"/>
  <c r="AW77" i="60" s="1"/>
  <c r="AO79" i="60"/>
  <c r="AV79" i="60" s="1" a="1"/>
  <c r="AV79" i="60" s="1"/>
  <c r="AW79" i="60" s="1"/>
  <c r="AO21" i="60"/>
  <c r="AV21" i="60" s="1" a="1"/>
  <c r="AV21" i="60" s="1"/>
  <c r="AW21" i="60" s="1"/>
  <c r="AO56" i="60"/>
  <c r="AV56" i="60" s="1" a="1"/>
  <c r="AV56" i="60" s="1"/>
  <c r="AZ56" i="60" s="1"/>
  <c r="AO91" i="60"/>
  <c r="AV91" i="60" s="1" a="1"/>
  <c r="AV91" i="60" s="1"/>
  <c r="AW91" i="60" s="1"/>
  <c r="AO31" i="60"/>
  <c r="AV31" i="60" s="1" a="1"/>
  <c r="AV31" i="60" s="1"/>
  <c r="AO43" i="60"/>
  <c r="AV43" i="60" s="1" a="1"/>
  <c r="AV43" i="60" s="1"/>
  <c r="AW43" i="60" s="1"/>
  <c r="AO14" i="60"/>
  <c r="AV14" i="60" s="1" a="1"/>
  <c r="AV14" i="60" s="1"/>
  <c r="AO41" i="60"/>
  <c r="AV41" i="60" s="1" a="1"/>
  <c r="AV41" i="60" s="1"/>
  <c r="AO85" i="60"/>
  <c r="AV85" i="60" s="1" a="1"/>
  <c r="AV85" i="60" s="1"/>
  <c r="AO15" i="60"/>
  <c r="AV15" i="60" s="1" a="1"/>
  <c r="AV15" i="60" s="1"/>
  <c r="AW15" i="60" s="1"/>
  <c r="AO45" i="60"/>
  <c r="AV45" i="60" s="1" a="1"/>
  <c r="AV45" i="60" s="1"/>
  <c r="AO104" i="60"/>
  <c r="AV104" i="60" s="1" a="1"/>
  <c r="AV104" i="60" s="1"/>
  <c r="AO29" i="60"/>
  <c r="AV29" i="60" s="1" a="1"/>
  <c r="AV29" i="60" s="1"/>
  <c r="AO7" i="60"/>
  <c r="AV7" i="60" s="1" a="1"/>
  <c r="AV7" i="60" s="1"/>
  <c r="AW7" i="60" s="1"/>
  <c r="AO54" i="60"/>
  <c r="AV54" i="60" s="1" a="1"/>
  <c r="AV54" i="60" s="1"/>
  <c r="AW54" i="60" s="1"/>
  <c r="AO42" i="60"/>
  <c r="AV42" i="60" s="1" a="1"/>
  <c r="AV42" i="60" s="1"/>
  <c r="AO26" i="60"/>
  <c r="AV26" i="60" s="1" a="1"/>
  <c r="AV26" i="60" s="1"/>
  <c r="AW26" i="60" s="1"/>
  <c r="AO61" i="60"/>
  <c r="AV61" i="60" s="1" a="1"/>
  <c r="AV61" i="60" s="1"/>
  <c r="AW61" i="60" s="1"/>
  <c r="AO50" i="60"/>
  <c r="AV50" i="60" s="1" a="1"/>
  <c r="AV50" i="60" s="1"/>
  <c r="AO59" i="60"/>
  <c r="AV59" i="60" s="1" a="1"/>
  <c r="AV59" i="60" s="1"/>
  <c r="AO35" i="60"/>
  <c r="AV35" i="60" s="1" a="1"/>
  <c r="AV35" i="60" s="1"/>
  <c r="AO57" i="60"/>
  <c r="AV57" i="60" s="1" a="1"/>
  <c r="AV57" i="60" s="1"/>
  <c r="AO101" i="60"/>
  <c r="AV101" i="60" s="1" a="1"/>
  <c r="AV101" i="60" s="1"/>
  <c r="AZ101" i="60" s="1"/>
  <c r="AO39" i="60"/>
  <c r="AV39" i="60" s="1" a="1"/>
  <c r="AV39" i="60" s="1"/>
  <c r="AO48" i="60"/>
  <c r="AV48" i="60" s="1" a="1"/>
  <c r="AV48" i="60" s="1"/>
  <c r="AW48" i="60" s="1"/>
  <c r="AO67" i="60"/>
  <c r="AV67" i="60" s="1" a="1"/>
  <c r="AV67" i="60" s="1"/>
  <c r="AX70" i="60"/>
  <c r="AX86" i="60"/>
  <c r="AZ66" i="60"/>
  <c r="AL126" i="60"/>
  <c r="E9" i="63"/>
  <c r="F8" i="63"/>
  <c r="M10" i="63"/>
  <c r="G10" i="63" s="1"/>
  <c r="L11" i="63"/>
  <c r="AS104" i="56"/>
  <c r="R104" i="56"/>
  <c r="AD104" i="56"/>
  <c r="AQ104" i="56"/>
  <c r="AW104" i="56" s="1"/>
  <c r="F5" i="61"/>
  <c r="E6" i="61"/>
  <c r="M5" i="61"/>
  <c r="G5" i="61" s="1"/>
  <c r="L6" i="61"/>
  <c r="AZ51" i="60"/>
  <c r="AX51" i="60"/>
  <c r="AZ87" i="60"/>
  <c r="AX87" i="60"/>
  <c r="AZ95" i="60"/>
  <c r="AX95" i="60"/>
  <c r="AZ78" i="60"/>
  <c r="AX78" i="60"/>
  <c r="AZ71" i="60"/>
  <c r="AX71" i="60"/>
  <c r="AZ94" i="60"/>
  <c r="AX94" i="60"/>
  <c r="AZ103" i="60"/>
  <c r="AX103" i="60"/>
  <c r="AL106" i="60"/>
  <c r="S24" i="3" s="1"/>
  <c r="AE24" i="3" s="1"/>
  <c r="I29" i="57"/>
  <c r="H29" i="57"/>
  <c r="O22" i="57"/>
  <c r="W36" i="57" s="1"/>
  <c r="AK16" i="57"/>
  <c r="AH16" i="57"/>
  <c r="F16" i="57"/>
  <c r="AH125" i="52"/>
  <c r="AI125" i="52"/>
  <c r="AJ125" i="52"/>
  <c r="AK125" i="52"/>
  <c r="AL125" i="52"/>
  <c r="AB125" i="52"/>
  <c r="N125" i="52"/>
  <c r="L125" i="52"/>
  <c r="F125" i="52"/>
  <c r="G125" i="52"/>
  <c r="H125" i="52"/>
  <c r="I125" i="52"/>
  <c r="J125" i="52"/>
  <c r="E125" i="52"/>
  <c r="E126" i="52"/>
  <c r="AB4" i="52"/>
  <c r="AB5" i="52"/>
  <c r="AB6" i="52"/>
  <c r="AB7" i="52"/>
  <c r="AB8" i="52"/>
  <c r="AB9" i="52"/>
  <c r="AB10" i="52"/>
  <c r="AB11" i="52"/>
  <c r="AB12" i="52"/>
  <c r="AB13" i="52"/>
  <c r="AB14" i="52"/>
  <c r="AB15" i="52"/>
  <c r="AB16" i="52"/>
  <c r="AB17" i="52"/>
  <c r="AB18" i="52"/>
  <c r="AB19" i="52"/>
  <c r="AB20" i="52"/>
  <c r="AB21" i="52"/>
  <c r="AB22" i="52"/>
  <c r="AB23" i="52"/>
  <c r="AB24" i="52"/>
  <c r="AB25" i="52"/>
  <c r="AB26" i="52"/>
  <c r="AB27" i="52"/>
  <c r="AB28" i="52"/>
  <c r="AB29" i="52"/>
  <c r="AB30" i="52"/>
  <c r="AB31" i="52"/>
  <c r="AB32" i="52"/>
  <c r="AB33" i="52"/>
  <c r="AB34" i="52"/>
  <c r="AB35" i="52"/>
  <c r="AB36" i="52"/>
  <c r="AB37" i="52"/>
  <c r="AB38" i="52"/>
  <c r="AB39" i="52"/>
  <c r="AB40" i="52"/>
  <c r="AB41" i="52"/>
  <c r="AB42" i="52"/>
  <c r="AB43" i="52"/>
  <c r="AB44" i="52"/>
  <c r="AB45" i="52"/>
  <c r="AB46" i="52"/>
  <c r="AB47" i="52"/>
  <c r="AB48" i="52"/>
  <c r="AB49" i="52"/>
  <c r="AB50" i="52"/>
  <c r="AB51" i="52"/>
  <c r="AB52" i="52"/>
  <c r="AB53" i="52"/>
  <c r="AB54" i="52"/>
  <c r="AB55" i="52"/>
  <c r="AB56" i="52"/>
  <c r="AB57" i="52"/>
  <c r="AB58" i="52"/>
  <c r="AB59" i="52"/>
  <c r="AB60" i="52"/>
  <c r="AB61" i="52"/>
  <c r="AB62" i="52"/>
  <c r="AB63" i="52"/>
  <c r="AB64" i="52"/>
  <c r="AB65" i="52"/>
  <c r="AB66" i="52"/>
  <c r="AB67" i="52"/>
  <c r="AB68" i="52"/>
  <c r="AB69" i="52"/>
  <c r="AB70" i="52"/>
  <c r="AB71" i="52"/>
  <c r="AB72" i="52"/>
  <c r="AB73" i="52"/>
  <c r="AB74" i="52"/>
  <c r="AB75" i="52"/>
  <c r="AB76" i="52"/>
  <c r="AB77" i="52"/>
  <c r="AB78" i="52"/>
  <c r="AB79" i="52"/>
  <c r="AB80" i="52"/>
  <c r="AB81" i="52"/>
  <c r="AB82" i="52"/>
  <c r="AB83" i="52"/>
  <c r="AB84" i="52"/>
  <c r="AB85" i="52"/>
  <c r="AB86" i="52"/>
  <c r="AB87" i="52"/>
  <c r="AB88" i="52"/>
  <c r="AB89" i="52"/>
  <c r="AB90" i="52"/>
  <c r="AB91" i="52"/>
  <c r="AB92" i="52"/>
  <c r="AB93" i="52"/>
  <c r="AB94" i="52"/>
  <c r="AB95" i="52"/>
  <c r="AB96" i="52"/>
  <c r="AB97" i="52"/>
  <c r="AB98" i="52"/>
  <c r="AB99" i="52"/>
  <c r="AB100" i="52"/>
  <c r="AB101" i="52"/>
  <c r="AB102" i="52"/>
  <c r="AB103" i="52"/>
  <c r="X36" i="57" l="1"/>
  <c r="AW16" i="60"/>
  <c r="AZ16" i="60"/>
  <c r="AX16" i="60"/>
  <c r="AZ104" i="60"/>
  <c r="AW104" i="60"/>
  <c r="AZ50" i="60"/>
  <c r="AW50" i="60"/>
  <c r="AZ55" i="60"/>
  <c r="AX55" i="60"/>
  <c r="AZ84" i="60"/>
  <c r="AW84" i="60"/>
  <c r="AZ12" i="60"/>
  <c r="AW12" i="60"/>
  <c r="AZ89" i="60"/>
  <c r="AW89" i="60"/>
  <c r="AX89" i="60"/>
  <c r="AZ39" i="60"/>
  <c r="AW39" i="60"/>
  <c r="AX39" i="60"/>
  <c r="AZ41" i="60"/>
  <c r="AW41" i="60"/>
  <c r="AX41" i="60"/>
  <c r="AX14" i="60"/>
  <c r="AW14" i="60"/>
  <c r="AZ60" i="60"/>
  <c r="AW60" i="60"/>
  <c r="AZ47" i="60"/>
  <c r="AW47" i="60"/>
  <c r="AX45" i="60"/>
  <c r="AW45" i="60"/>
  <c r="AX27" i="60"/>
  <c r="AW27" i="60"/>
  <c r="AZ18" i="60"/>
  <c r="AX18" i="60"/>
  <c r="AX46" i="60"/>
  <c r="AZ46" i="60"/>
  <c r="AX59" i="60"/>
  <c r="AZ59" i="60"/>
  <c r="AX19" i="60"/>
  <c r="AZ19" i="60"/>
  <c r="AZ65" i="60"/>
  <c r="AX65" i="60"/>
  <c r="AZ20" i="60"/>
  <c r="AX20" i="60"/>
  <c r="AZ77" i="60"/>
  <c r="AX77" i="60"/>
  <c r="AX4" i="60"/>
  <c r="AZ4" i="60"/>
  <c r="AZ17" i="60"/>
  <c r="AX17" i="60"/>
  <c r="AZ33" i="60"/>
  <c r="AX33" i="60"/>
  <c r="AZ22" i="60"/>
  <c r="AX22" i="60"/>
  <c r="AZ13" i="60"/>
  <c r="AX13" i="60"/>
  <c r="AX100" i="60"/>
  <c r="AZ100" i="60"/>
  <c r="AZ90" i="60"/>
  <c r="AX90" i="60"/>
  <c r="AX91" i="60"/>
  <c r="AZ91" i="60"/>
  <c r="AZ10" i="60"/>
  <c r="AX10" i="60"/>
  <c r="AZ5" i="60"/>
  <c r="AX5" i="60"/>
  <c r="AZ42" i="60"/>
  <c r="AX42" i="60"/>
  <c r="AX36" i="60"/>
  <c r="AZ36" i="60"/>
  <c r="AZ93" i="60"/>
  <c r="AX93" i="60"/>
  <c r="AZ54" i="60"/>
  <c r="AX54" i="60"/>
  <c r="AX44" i="60"/>
  <c r="AZ44" i="60"/>
  <c r="AZ14" i="60"/>
  <c r="AX84" i="60"/>
  <c r="AX60" i="60"/>
  <c r="AX47" i="60"/>
  <c r="AZ31" i="60"/>
  <c r="AX31" i="60"/>
  <c r="AX62" i="60"/>
  <c r="AZ62" i="60"/>
  <c r="AZ67" i="60"/>
  <c r="AX67" i="60"/>
  <c r="AZ37" i="60"/>
  <c r="AX37" i="60"/>
  <c r="AZ58" i="60"/>
  <c r="AX58" i="60"/>
  <c r="AX85" i="60"/>
  <c r="AZ85" i="60"/>
  <c r="AZ6" i="60"/>
  <c r="AX6" i="60"/>
  <c r="AZ73" i="60"/>
  <c r="AX73" i="60"/>
  <c r="AZ29" i="60"/>
  <c r="AX29" i="60"/>
  <c r="AZ32" i="60"/>
  <c r="AX32" i="60"/>
  <c r="AZ102" i="60"/>
  <c r="AX102" i="60"/>
  <c r="AZ49" i="60"/>
  <c r="AX49" i="60"/>
  <c r="AZ61" i="60"/>
  <c r="AX61" i="60"/>
  <c r="AZ21" i="60"/>
  <c r="AX21" i="60"/>
  <c r="AZ11" i="60"/>
  <c r="AX11" i="60"/>
  <c r="AZ74" i="60"/>
  <c r="AX74" i="60"/>
  <c r="AZ9" i="60"/>
  <c r="AX9" i="60"/>
  <c r="AX7" i="60"/>
  <c r="AZ7" i="60"/>
  <c r="AX38" i="60"/>
  <c r="AZ38" i="60"/>
  <c r="AZ79" i="60"/>
  <c r="AX79" i="60"/>
  <c r="AZ8" i="60"/>
  <c r="AX8" i="60"/>
  <c r="AX24" i="60"/>
  <c r="AZ24" i="60"/>
  <c r="AZ52" i="60"/>
  <c r="AX52" i="60"/>
  <c r="AX35" i="60"/>
  <c r="AZ35" i="60"/>
  <c r="AX82" i="60"/>
  <c r="AZ82" i="60"/>
  <c r="AX63" i="60"/>
  <c r="AZ63" i="60"/>
  <c r="AZ15" i="60"/>
  <c r="AX15" i="60"/>
  <c r="AZ98" i="60"/>
  <c r="AX98" i="60"/>
  <c r="AX48" i="60"/>
  <c r="AZ48" i="60"/>
  <c r="AX40" i="60"/>
  <c r="AZ40" i="60"/>
  <c r="AZ69" i="60"/>
  <c r="AX69" i="60"/>
  <c r="AZ80" i="60"/>
  <c r="AX80" i="60"/>
  <c r="AZ34" i="60"/>
  <c r="AX34" i="60"/>
  <c r="AX26" i="60"/>
  <c r="AZ26" i="60"/>
  <c r="AX57" i="60"/>
  <c r="AZ57" i="60"/>
  <c r="AZ43" i="60"/>
  <c r="AX43" i="60"/>
  <c r="AZ97" i="60"/>
  <c r="AX97" i="60"/>
  <c r="AZ23" i="60"/>
  <c r="AX23" i="60"/>
  <c r="AZ76" i="60"/>
  <c r="AX76" i="60"/>
  <c r="AX12" i="60"/>
  <c r="AX50" i="60"/>
  <c r="AX56" i="60"/>
  <c r="AZ45" i="60"/>
  <c r="AX104" i="60"/>
  <c r="AX101" i="60"/>
  <c r="AX64" i="60"/>
  <c r="AZ72" i="60"/>
  <c r="AX72" i="60"/>
  <c r="AF24" i="3"/>
  <c r="AV28" i="60"/>
  <c r="AW28" i="60" s="1"/>
  <c r="AO126" i="60"/>
  <c r="F9" i="63"/>
  <c r="E10" i="63"/>
  <c r="L12" i="63"/>
  <c r="M11" i="63"/>
  <c r="G11" i="63" s="1"/>
  <c r="M6" i="61"/>
  <c r="L7" i="61"/>
  <c r="E7" i="61"/>
  <c r="F6" i="61"/>
  <c r="AO106" i="60"/>
  <c r="AO127" i="60" s="1"/>
  <c r="AV3" i="60"/>
  <c r="AW3" i="60" s="1"/>
  <c r="O29" i="57"/>
  <c r="AH22" i="57"/>
  <c r="F22" i="57"/>
  <c r="AE22" i="57"/>
  <c r="AF22" i="57"/>
  <c r="AK22" i="57"/>
  <c r="O21" i="57"/>
  <c r="F20" i="57"/>
  <c r="F21" i="57"/>
  <c r="F9" i="57"/>
  <c r="AH11" i="57"/>
  <c r="AH6" i="57"/>
  <c r="AK13" i="57"/>
  <c r="AK14" i="57"/>
  <c r="AK15" i="57"/>
  <c r="AH8" i="57"/>
  <c r="AK20" i="57"/>
  <c r="AH20" i="57"/>
  <c r="AH14" i="57"/>
  <c r="AH15" i="57"/>
  <c r="N31" i="57"/>
  <c r="AK5" i="57"/>
  <c r="F14" i="57"/>
  <c r="AH5" i="57"/>
  <c r="AK6" i="57"/>
  <c r="AH7" i="57"/>
  <c r="L21" i="57"/>
  <c r="L29" i="57" s="1"/>
  <c r="AH10" i="57"/>
  <c r="AH17" i="57"/>
  <c r="F17" i="57"/>
  <c r="AK17" i="57"/>
  <c r="AK19" i="57"/>
  <c r="AJ6" i="57"/>
  <c r="AI6" i="57"/>
  <c r="F7" i="57"/>
  <c r="AK8" i="57"/>
  <c r="F18" i="57"/>
  <c r="AH18" i="57"/>
  <c r="AK18" i="57"/>
  <c r="F19" i="57"/>
  <c r="AH19" i="57"/>
  <c r="F8" i="57"/>
  <c r="AK10" i="57"/>
  <c r="F13" i="57"/>
  <c r="AH13" i="57"/>
  <c r="F10" i="57"/>
  <c r="F12" i="57"/>
  <c r="AK12" i="57"/>
  <c r="AH12" i="57"/>
  <c r="F5" i="57"/>
  <c r="AE21" i="57"/>
  <c r="AK9" i="57"/>
  <c r="F6" i="57"/>
  <c r="F11" i="57"/>
  <c r="AK11" i="57"/>
  <c r="AF21" i="57"/>
  <c r="AH9" i="57"/>
  <c r="F15" i="57"/>
  <c r="W35" i="57" l="1"/>
  <c r="X35" i="57"/>
  <c r="AE29" i="57"/>
  <c r="AW105" i="60"/>
  <c r="AZ28" i="60"/>
  <c r="AX28" i="60"/>
  <c r="AX105" i="60" s="1"/>
  <c r="AV105" i="60"/>
  <c r="AI24" i="3"/>
  <c r="AJ24" i="3"/>
  <c r="L13" i="63"/>
  <c r="M12" i="63"/>
  <c r="G12" i="63" s="1"/>
  <c r="F10" i="63"/>
  <c r="E11" i="63"/>
  <c r="E8" i="61"/>
  <c r="F7" i="61"/>
  <c r="M7" i="61"/>
  <c r="L8" i="61"/>
  <c r="AZ3" i="60"/>
  <c r="AX3" i="60"/>
  <c r="AK21" i="57"/>
  <c r="AH21" i="57"/>
  <c r="AI21" i="57"/>
  <c r="AJ21" i="57"/>
  <c r="F29" i="57"/>
  <c r="AI22" i="57"/>
  <c r="AJ22" i="57"/>
  <c r="AF29" i="57"/>
  <c r="AK7" i="57"/>
  <c r="AJ12" i="57"/>
  <c r="AI12" i="57"/>
  <c r="AJ10" i="57"/>
  <c r="AI10" i="57"/>
  <c r="AI8" i="57"/>
  <c r="AJ8" i="57"/>
  <c r="AI20" i="57"/>
  <c r="AJ20" i="57"/>
  <c r="AJ16" i="57"/>
  <c r="AI16" i="57"/>
  <c r="AJ13" i="57"/>
  <c r="AI13" i="57"/>
  <c r="AJ7" i="57"/>
  <c r="AI7" i="57"/>
  <c r="AG17" i="57"/>
  <c r="AI17" i="57"/>
  <c r="AJ17" i="57"/>
  <c r="AJ15" i="57"/>
  <c r="AI15" i="57"/>
  <c r="F4" i="57"/>
  <c r="AK4" i="57"/>
  <c r="AJ18" i="57"/>
  <c r="AI18" i="57"/>
  <c r="AI9" i="57"/>
  <c r="AJ9" i="57"/>
  <c r="AI14" i="57"/>
  <c r="AJ14" i="57"/>
  <c r="AI5" i="57"/>
  <c r="AJ5" i="57"/>
  <c r="AG6" i="57"/>
  <c r="AJ19" i="57"/>
  <c r="AI19" i="57"/>
  <c r="AH4" i="57"/>
  <c r="AZ106" i="60" l="1"/>
  <c r="AZ127" i="60" s="1"/>
  <c r="F11" i="63"/>
  <c r="E12" i="63"/>
  <c r="M13" i="63"/>
  <c r="G13" i="63" s="1"/>
  <c r="L14" i="63"/>
  <c r="M8" i="61"/>
  <c r="L9" i="61"/>
  <c r="E9" i="61"/>
  <c r="F8" i="61"/>
  <c r="W32" i="57"/>
  <c r="AK29" i="57"/>
  <c r="Z31" i="57"/>
  <c r="W31" i="57"/>
  <c r="X31" i="57"/>
  <c r="R31" i="57"/>
  <c r="V31" i="57"/>
  <c r="U31" i="57"/>
  <c r="AH29" i="57"/>
  <c r="Q31" i="57"/>
  <c r="P31" i="57"/>
  <c r="T31" i="57"/>
  <c r="AI11" i="57"/>
  <c r="AJ11" i="57"/>
  <c r="AI4" i="57"/>
  <c r="AG4" i="57"/>
  <c r="AJ4" i="57"/>
  <c r="AG9" i="57"/>
  <c r="S31" i="57"/>
  <c r="AC31" i="57"/>
  <c r="X99" i="52"/>
  <c r="AA99" i="52"/>
  <c r="AF99" i="52" s="1"/>
  <c r="AA100" i="52"/>
  <c r="F12" i="63" l="1"/>
  <c r="E13" i="63"/>
  <c r="M14" i="63"/>
  <c r="G14" i="63" s="1"/>
  <c r="L15" i="63"/>
  <c r="F9" i="61"/>
  <c r="E10" i="61"/>
  <c r="M9" i="61"/>
  <c r="L10" i="61"/>
  <c r="U100" i="52"/>
  <c r="AD100" i="52" s="1"/>
  <c r="X100" i="52"/>
  <c r="U103" i="52"/>
  <c r="AD103" i="52" s="1"/>
  <c r="X101" i="52"/>
  <c r="X102" i="52"/>
  <c r="AA103" i="52"/>
  <c r="AF103" i="52" s="1"/>
  <c r="U101" i="52"/>
  <c r="AD101" i="52" s="1"/>
  <c r="AA101" i="52"/>
  <c r="AF101" i="52" s="1"/>
  <c r="X103" i="52"/>
  <c r="AA102" i="52"/>
  <c r="AF102" i="52" s="1"/>
  <c r="U99" i="52"/>
  <c r="AD99" i="52" s="1"/>
  <c r="U102" i="52"/>
  <c r="AD102" i="52" s="1"/>
  <c r="AF100" i="52"/>
  <c r="AG32" i="57"/>
  <c r="AJ29" i="57"/>
  <c r="AI29" i="57"/>
  <c r="AG31" i="57"/>
  <c r="G4" i="61" l="1"/>
  <c r="M15" i="63"/>
  <c r="G15" i="63" s="1"/>
  <c r="L16" i="63"/>
  <c r="F13" i="63"/>
  <c r="E14" i="63"/>
  <c r="L11" i="61"/>
  <c r="M10" i="61"/>
  <c r="F10" i="61"/>
  <c r="E11" i="61"/>
  <c r="U49" i="52"/>
  <c r="AD49" i="52" s="1"/>
  <c r="AA49" i="52"/>
  <c r="U50" i="52"/>
  <c r="AD50" i="52" s="1"/>
  <c r="AA53" i="52"/>
  <c r="X54" i="52"/>
  <c r="U58" i="52"/>
  <c r="AD58" i="52" s="1"/>
  <c r="X62" i="52"/>
  <c r="X65" i="52"/>
  <c r="U67" i="52"/>
  <c r="AD67" i="52" s="1"/>
  <c r="X73" i="52"/>
  <c r="G10" i="61" l="1"/>
  <c r="G6" i="61"/>
  <c r="M16" i="63"/>
  <c r="G16" i="63" s="1"/>
  <c r="L17" i="63"/>
  <c r="F14" i="63"/>
  <c r="E15" i="63"/>
  <c r="F11" i="61"/>
  <c r="E12" i="61"/>
  <c r="L12" i="61"/>
  <c r="M11" i="61"/>
  <c r="G11" i="61" s="1"/>
  <c r="U63" i="52"/>
  <c r="AD63" i="52" s="1"/>
  <c r="U55" i="52"/>
  <c r="AD55" i="52" s="1"/>
  <c r="X58" i="52"/>
  <c r="X50" i="52"/>
  <c r="U59" i="52"/>
  <c r="AD59" i="52" s="1"/>
  <c r="U51" i="52"/>
  <c r="AD51" i="52" s="1"/>
  <c r="AA68" i="52"/>
  <c r="AF68" i="52" s="1"/>
  <c r="AA60" i="52"/>
  <c r="AF60" i="52" s="1"/>
  <c r="AA52" i="52"/>
  <c r="AF52" i="52" s="1"/>
  <c r="AA74" i="52"/>
  <c r="AF74" i="52" s="1"/>
  <c r="U72" i="52"/>
  <c r="AD72" i="52" s="1"/>
  <c r="X71" i="52"/>
  <c r="AA70" i="52"/>
  <c r="AF70" i="52" s="1"/>
  <c r="U68" i="52"/>
  <c r="AD68" i="52" s="1"/>
  <c r="X67" i="52"/>
  <c r="AA66" i="52"/>
  <c r="AF66" i="52" s="1"/>
  <c r="U64" i="52"/>
  <c r="AD64" i="52" s="1"/>
  <c r="X63" i="52"/>
  <c r="AA62" i="52"/>
  <c r="AF62" i="52" s="1"/>
  <c r="U60" i="52"/>
  <c r="AD60" i="52" s="1"/>
  <c r="X59" i="52"/>
  <c r="AA58" i="52"/>
  <c r="AF58" i="52" s="1"/>
  <c r="U56" i="52"/>
  <c r="AD56" i="52" s="1"/>
  <c r="X55" i="52"/>
  <c r="AA54" i="52"/>
  <c r="AF54" i="52" s="1"/>
  <c r="U52" i="52"/>
  <c r="AD52" i="52" s="1"/>
  <c r="X66" i="52"/>
  <c r="AF53" i="52"/>
  <c r="U70" i="52"/>
  <c r="AD70" i="52" s="1"/>
  <c r="X57" i="52"/>
  <c r="X51" i="52"/>
  <c r="AA50" i="52"/>
  <c r="AF50" i="52" s="1"/>
  <c r="X74" i="52"/>
  <c r="AA73" i="52"/>
  <c r="AF73" i="52" s="1"/>
  <c r="U71" i="52"/>
  <c r="AD71" i="52" s="1"/>
  <c r="X70" i="52"/>
  <c r="AA61" i="52"/>
  <c r="AF61" i="52" s="1"/>
  <c r="AA57" i="52"/>
  <c r="AF57" i="52" s="1"/>
  <c r="U66" i="52"/>
  <c r="AD66" i="52" s="1"/>
  <c r="X53" i="52"/>
  <c r="U53" i="52"/>
  <c r="AD53" i="52" s="1"/>
  <c r="U73" i="52"/>
  <c r="AD73" i="52" s="1"/>
  <c r="X72" i="52"/>
  <c r="AA71" i="52"/>
  <c r="AF71" i="52" s="1"/>
  <c r="U69" i="52"/>
  <c r="AD69" i="52" s="1"/>
  <c r="X68" i="52"/>
  <c r="AA67" i="52"/>
  <c r="AF67" i="52" s="1"/>
  <c r="AA69" i="52"/>
  <c r="AF69" i="52" s="1"/>
  <c r="AA65" i="52"/>
  <c r="AF65" i="52" s="1"/>
  <c r="AF49" i="52"/>
  <c r="U62" i="52"/>
  <c r="AD62" i="52" s="1"/>
  <c r="U54" i="52"/>
  <c r="AD54" i="52" s="1"/>
  <c r="X49" i="52"/>
  <c r="U74" i="52"/>
  <c r="AD74" i="52" s="1"/>
  <c r="AA72" i="52"/>
  <c r="AF72" i="52" s="1"/>
  <c r="X69" i="52"/>
  <c r="AA64" i="52"/>
  <c r="AF64" i="52" s="1"/>
  <c r="X61" i="52"/>
  <c r="AA56" i="52"/>
  <c r="AF56" i="52" s="1"/>
  <c r="U65" i="52"/>
  <c r="AD65" i="52" s="1"/>
  <c r="X64" i="52"/>
  <c r="AA63" i="52"/>
  <c r="AF63" i="52" s="1"/>
  <c r="U61" i="52"/>
  <c r="AD61" i="52" s="1"/>
  <c r="X60" i="52"/>
  <c r="AA59" i="52"/>
  <c r="AF59" i="52" s="1"/>
  <c r="U57" i="52"/>
  <c r="AD57" i="52" s="1"/>
  <c r="X56" i="52"/>
  <c r="AA55" i="52"/>
  <c r="AF55" i="52" s="1"/>
  <c r="X52" i="52"/>
  <c r="AA51" i="52"/>
  <c r="AF51" i="52" s="1"/>
  <c r="U90" i="52"/>
  <c r="AD90" i="52" s="1"/>
  <c r="AA92" i="52"/>
  <c r="AF92" i="52" s="1"/>
  <c r="X93" i="52"/>
  <c r="U36" i="52"/>
  <c r="AD36" i="52" s="1"/>
  <c r="AA36" i="52"/>
  <c r="AF36" i="52" s="1"/>
  <c r="AA39" i="52"/>
  <c r="E16" i="63" l="1"/>
  <c r="F15" i="63"/>
  <c r="L18" i="63"/>
  <c r="M17" i="63"/>
  <c r="G17" i="63" s="1"/>
  <c r="L13" i="61"/>
  <c r="M12" i="61"/>
  <c r="F12" i="61"/>
  <c r="E13" i="61"/>
  <c r="AA93" i="52"/>
  <c r="AF93" i="52" s="1"/>
  <c r="U89" i="52"/>
  <c r="AD89" i="52" s="1"/>
  <c r="U39" i="52"/>
  <c r="AD39" i="52" s="1"/>
  <c r="X35" i="52"/>
  <c r="U35" i="52"/>
  <c r="AD35" i="52" s="1"/>
  <c r="AA38" i="52"/>
  <c r="AF38" i="52" s="1"/>
  <c r="AA89" i="52"/>
  <c r="X90" i="52"/>
  <c r="U91" i="52"/>
  <c r="AD91" i="52" s="1"/>
  <c r="U38" i="52"/>
  <c r="AD38" i="52" s="1"/>
  <c r="X39" i="52"/>
  <c r="U92" i="52"/>
  <c r="AD92" i="52" s="1"/>
  <c r="X89" i="52"/>
  <c r="U40" i="52"/>
  <c r="AD40" i="52" s="1"/>
  <c r="X38" i="52"/>
  <c r="AA37" i="52"/>
  <c r="AF37" i="52" s="1"/>
  <c r="X37" i="52"/>
  <c r="U93" i="52"/>
  <c r="AD93" i="52" s="1"/>
  <c r="X92" i="52"/>
  <c r="AA91" i="52"/>
  <c r="AF91" i="52" s="1"/>
  <c r="AA40" i="52"/>
  <c r="AF40" i="52" s="1"/>
  <c r="U37" i="52"/>
  <c r="AD37" i="52" s="1"/>
  <c r="X36" i="52"/>
  <c r="AA35" i="52"/>
  <c r="AF35" i="52" s="1"/>
  <c r="X91" i="52"/>
  <c r="AA90" i="52"/>
  <c r="AF90" i="52" s="1"/>
  <c r="AF39" i="52"/>
  <c r="X40" i="52"/>
  <c r="AF89" i="52"/>
  <c r="Z125" i="52"/>
  <c r="W125" i="52"/>
  <c r="G8" i="61" l="1"/>
  <c r="E17" i="63"/>
  <c r="F16" i="63"/>
  <c r="M18" i="63"/>
  <c r="G18" i="63" s="1"/>
  <c r="L19" i="63"/>
  <c r="F13" i="61"/>
  <c r="E14" i="61"/>
  <c r="M13" i="61"/>
  <c r="G13" i="61" s="1"/>
  <c r="L14" i="61"/>
  <c r="T125" i="52"/>
  <c r="U4" i="52"/>
  <c r="AD4" i="52" s="1"/>
  <c r="X4" i="52"/>
  <c r="AA4" i="52"/>
  <c r="U5" i="52"/>
  <c r="AD5" i="52" s="1"/>
  <c r="X5" i="52"/>
  <c r="AA5" i="52"/>
  <c r="AF5" i="52" s="1"/>
  <c r="U6" i="52"/>
  <c r="AD6" i="52" s="1"/>
  <c r="X6" i="52"/>
  <c r="AA6" i="52"/>
  <c r="U7" i="52"/>
  <c r="AD7" i="52" s="1"/>
  <c r="X7" i="52"/>
  <c r="AA7" i="52"/>
  <c r="U8" i="52"/>
  <c r="AD8" i="52" s="1"/>
  <c r="X8" i="52"/>
  <c r="AA8" i="52"/>
  <c r="U9" i="52"/>
  <c r="AD9" i="52" s="1"/>
  <c r="X9" i="52"/>
  <c r="AA9" i="52"/>
  <c r="U10" i="52"/>
  <c r="AD10" i="52" s="1"/>
  <c r="X10" i="52"/>
  <c r="AA10" i="52"/>
  <c r="AF10" i="52" s="1"/>
  <c r="U11" i="52"/>
  <c r="AD11" i="52" s="1"/>
  <c r="X11" i="52"/>
  <c r="AA11" i="52"/>
  <c r="U12" i="52"/>
  <c r="AD12" i="52" s="1"/>
  <c r="X12" i="52"/>
  <c r="AA12" i="52"/>
  <c r="AF12" i="52" s="1"/>
  <c r="U13" i="52"/>
  <c r="AD13" i="52" s="1"/>
  <c r="X13" i="52"/>
  <c r="AA13" i="52"/>
  <c r="AF13" i="52" s="1"/>
  <c r="U14" i="52"/>
  <c r="AD14" i="52" s="1"/>
  <c r="X14" i="52"/>
  <c r="AA14" i="52"/>
  <c r="U15" i="52"/>
  <c r="AD15" i="52" s="1"/>
  <c r="X15" i="52"/>
  <c r="AA15" i="52"/>
  <c r="U16" i="52"/>
  <c r="AD16" i="52" s="1"/>
  <c r="X16" i="52"/>
  <c r="AA16" i="52"/>
  <c r="U17" i="52"/>
  <c r="AD17" i="52" s="1"/>
  <c r="X17" i="52"/>
  <c r="AA17" i="52"/>
  <c r="U18" i="52"/>
  <c r="AD18" i="52" s="1"/>
  <c r="X18" i="52"/>
  <c r="AA18" i="52"/>
  <c r="AF18" i="52" s="1"/>
  <c r="U19" i="52"/>
  <c r="AD19" i="52" s="1"/>
  <c r="X19" i="52"/>
  <c r="AA19" i="52"/>
  <c r="AF19" i="52" s="1"/>
  <c r="U20" i="52"/>
  <c r="AD20" i="52" s="1"/>
  <c r="X20" i="52"/>
  <c r="AA20" i="52"/>
  <c r="AF20" i="52" s="1"/>
  <c r="U21" i="52"/>
  <c r="AD21" i="52" s="1"/>
  <c r="X21" i="52"/>
  <c r="AA21" i="52"/>
  <c r="AF21" i="52" s="1"/>
  <c r="U22" i="52"/>
  <c r="AD22" i="52" s="1"/>
  <c r="X22" i="52"/>
  <c r="AA22" i="52"/>
  <c r="U23" i="52"/>
  <c r="AD23" i="52" s="1"/>
  <c r="X23" i="52"/>
  <c r="AA23" i="52"/>
  <c r="AF23" i="52" s="1"/>
  <c r="U24" i="52"/>
  <c r="AD24" i="52" s="1"/>
  <c r="X24" i="52"/>
  <c r="AA24" i="52"/>
  <c r="AF24" i="52" s="1"/>
  <c r="U25" i="52"/>
  <c r="AD25" i="52" s="1"/>
  <c r="X25" i="52"/>
  <c r="AA25" i="52"/>
  <c r="AF25" i="52" s="1"/>
  <c r="U26" i="52"/>
  <c r="AD26" i="52" s="1"/>
  <c r="X26" i="52"/>
  <c r="AA26" i="52"/>
  <c r="AF26" i="52" s="1"/>
  <c r="U27" i="52"/>
  <c r="AD27" i="52" s="1"/>
  <c r="X27" i="52"/>
  <c r="AA27" i="52"/>
  <c r="U28" i="52"/>
  <c r="AD28" i="52" s="1"/>
  <c r="X28" i="52"/>
  <c r="AA28" i="52"/>
  <c r="AF28" i="52" s="1"/>
  <c r="U29" i="52"/>
  <c r="AD29" i="52" s="1"/>
  <c r="X29" i="52"/>
  <c r="AA29" i="52"/>
  <c r="AF29" i="52" s="1"/>
  <c r="U30" i="52"/>
  <c r="AD30" i="52" s="1"/>
  <c r="X30" i="52"/>
  <c r="AA30" i="52"/>
  <c r="AF30" i="52" s="1"/>
  <c r="U31" i="52"/>
  <c r="AD31" i="52" s="1"/>
  <c r="X31" i="52"/>
  <c r="AA31" i="52"/>
  <c r="AF31" i="52" s="1"/>
  <c r="U32" i="52"/>
  <c r="AD32" i="52" s="1"/>
  <c r="X32" i="52"/>
  <c r="AA32" i="52"/>
  <c r="AF32" i="52" s="1"/>
  <c r="U33" i="52"/>
  <c r="AD33" i="52" s="1"/>
  <c r="X33" i="52"/>
  <c r="AA33" i="52"/>
  <c r="AF33" i="52" s="1"/>
  <c r="U34" i="52"/>
  <c r="AD34" i="52" s="1"/>
  <c r="X34" i="52"/>
  <c r="AA34" i="52"/>
  <c r="AF34" i="52" s="1"/>
  <c r="U41" i="52"/>
  <c r="AD41" i="52" s="1"/>
  <c r="X41" i="52"/>
  <c r="AA41" i="52"/>
  <c r="U42" i="52"/>
  <c r="AD42" i="52" s="1"/>
  <c r="X42" i="52"/>
  <c r="AA42" i="52"/>
  <c r="AF42" i="52" s="1"/>
  <c r="U43" i="52"/>
  <c r="AD43" i="52" s="1"/>
  <c r="X43" i="52"/>
  <c r="AA43" i="52"/>
  <c r="AF43" i="52" s="1"/>
  <c r="U44" i="52"/>
  <c r="AD44" i="52" s="1"/>
  <c r="X44" i="52"/>
  <c r="AA44" i="52"/>
  <c r="U45" i="52"/>
  <c r="AD45" i="52" s="1"/>
  <c r="X45" i="52"/>
  <c r="AA45" i="52"/>
  <c r="U46" i="52"/>
  <c r="AD46" i="52" s="1"/>
  <c r="X46" i="52"/>
  <c r="AA46" i="52"/>
  <c r="AF46" i="52" s="1"/>
  <c r="U47" i="52"/>
  <c r="AD47" i="52" s="1"/>
  <c r="X47" i="52"/>
  <c r="AA47" i="52"/>
  <c r="U48" i="52"/>
  <c r="AD48" i="52" s="1"/>
  <c r="X48" i="52"/>
  <c r="AA48" i="52"/>
  <c r="U75" i="52"/>
  <c r="AD75" i="52" s="1"/>
  <c r="X75" i="52"/>
  <c r="AA75" i="52"/>
  <c r="U76" i="52"/>
  <c r="AD76" i="52" s="1"/>
  <c r="X76" i="52"/>
  <c r="AA76" i="52"/>
  <c r="AF76" i="52" s="1"/>
  <c r="U77" i="52"/>
  <c r="AD77" i="52" s="1"/>
  <c r="X77" i="52"/>
  <c r="AA77" i="52"/>
  <c r="U78" i="52"/>
  <c r="AD78" i="52" s="1"/>
  <c r="X78" i="52"/>
  <c r="AA78" i="52"/>
  <c r="AF78" i="52" s="1"/>
  <c r="U79" i="52"/>
  <c r="AD79" i="52" s="1"/>
  <c r="X79" i="52"/>
  <c r="AA79" i="52"/>
  <c r="AF79" i="52" s="1"/>
  <c r="U80" i="52"/>
  <c r="AD80" i="52" s="1"/>
  <c r="X80" i="52"/>
  <c r="AA80" i="52"/>
  <c r="U81" i="52"/>
  <c r="AD81" i="52" s="1"/>
  <c r="X81" i="52"/>
  <c r="AA81" i="52"/>
  <c r="AF81" i="52" s="1"/>
  <c r="U82" i="52"/>
  <c r="AD82" i="52" s="1"/>
  <c r="X82" i="52"/>
  <c r="AA82" i="52"/>
  <c r="U83" i="52"/>
  <c r="AD83" i="52" s="1"/>
  <c r="X83" i="52"/>
  <c r="AA83" i="52"/>
  <c r="AF83" i="52" s="1"/>
  <c r="U84" i="52"/>
  <c r="AD84" i="52" s="1"/>
  <c r="X84" i="52"/>
  <c r="AA84" i="52"/>
  <c r="U85" i="52"/>
  <c r="AD85" i="52" s="1"/>
  <c r="X85" i="52"/>
  <c r="AA85" i="52"/>
  <c r="AF85" i="52" s="1"/>
  <c r="U86" i="52"/>
  <c r="AD86" i="52" s="1"/>
  <c r="X86" i="52"/>
  <c r="AA86" i="52"/>
  <c r="AF86" i="52" s="1"/>
  <c r="U87" i="52"/>
  <c r="AD87" i="52" s="1"/>
  <c r="X87" i="52"/>
  <c r="AA87" i="52"/>
  <c r="AF87" i="52" s="1"/>
  <c r="U88" i="52"/>
  <c r="AD88" i="52" s="1"/>
  <c r="X88" i="52"/>
  <c r="AA88" i="52"/>
  <c r="U94" i="52"/>
  <c r="AD94" i="52" s="1"/>
  <c r="X94" i="52"/>
  <c r="AA94" i="52"/>
  <c r="AF94" i="52" s="1"/>
  <c r="U95" i="52"/>
  <c r="AD95" i="52" s="1"/>
  <c r="X95" i="52"/>
  <c r="AA95" i="52"/>
  <c r="AF95" i="52" s="1"/>
  <c r="U96" i="52"/>
  <c r="AD96" i="52" s="1"/>
  <c r="X96" i="52"/>
  <c r="AA96" i="52"/>
  <c r="AF96" i="52" s="1"/>
  <c r="U97" i="52"/>
  <c r="AD97" i="52" s="1"/>
  <c r="X97" i="52"/>
  <c r="AA97" i="52"/>
  <c r="AF97" i="52" s="1"/>
  <c r="U98" i="52"/>
  <c r="AD98" i="52" s="1"/>
  <c r="X98" i="52"/>
  <c r="AA98" i="52"/>
  <c r="G12" i="61" l="1"/>
  <c r="L20" i="63"/>
  <c r="M19" i="63"/>
  <c r="G19" i="63" s="1"/>
  <c r="F17" i="63"/>
  <c r="E18" i="63"/>
  <c r="M14" i="61"/>
  <c r="L15" i="61"/>
  <c r="F14" i="61"/>
  <c r="E15" i="61"/>
  <c r="AF80" i="52"/>
  <c r="S125" i="52"/>
  <c r="AU125" i="52" s="1"/>
  <c r="AF27" i="52"/>
  <c r="AF11" i="52"/>
  <c r="AF88" i="52"/>
  <c r="V125" i="52"/>
  <c r="AF77" i="52"/>
  <c r="Y125" i="52"/>
  <c r="AF4" i="52"/>
  <c r="AE125" i="52"/>
  <c r="AF44" i="52"/>
  <c r="AG125" i="52"/>
  <c r="AM125" i="52"/>
  <c r="AF45" i="52"/>
  <c r="AF17" i="52"/>
  <c r="AF9" i="52"/>
  <c r="AF84" i="52"/>
  <c r="AF47" i="52"/>
  <c r="AF22" i="52"/>
  <c r="AF14" i="52"/>
  <c r="AF6" i="52"/>
  <c r="AF82" i="52"/>
  <c r="AF48" i="52"/>
  <c r="AF15" i="52"/>
  <c r="AF7" i="52"/>
  <c r="AF75" i="52"/>
  <c r="AF41" i="52"/>
  <c r="AF16" i="52"/>
  <c r="AF8" i="52"/>
  <c r="AF98" i="52"/>
  <c r="G14" i="61" l="1"/>
  <c r="G7" i="61"/>
  <c r="F18" i="63"/>
  <c r="E19" i="63"/>
  <c r="L21" i="63"/>
  <c r="M20" i="63"/>
  <c r="G20" i="63" s="1"/>
  <c r="E16" i="61"/>
  <c r="F15" i="61"/>
  <c r="M15" i="61"/>
  <c r="L16" i="61"/>
  <c r="F105" i="52"/>
  <c r="F126" i="52" s="1"/>
  <c r="G105" i="52"/>
  <c r="G126" i="52" s="1"/>
  <c r="H105" i="52"/>
  <c r="H126" i="52" s="1"/>
  <c r="F113" i="52"/>
  <c r="G113" i="52"/>
  <c r="H113" i="52"/>
  <c r="F124" i="52"/>
  <c r="G124" i="52"/>
  <c r="H124" i="52"/>
  <c r="J105" i="52"/>
  <c r="J126" i="52" s="1"/>
  <c r="I105" i="52"/>
  <c r="I126" i="52" s="1"/>
  <c r="I113" i="52"/>
  <c r="J113" i="52"/>
  <c r="I124" i="52"/>
  <c r="J124" i="52"/>
  <c r="P127" i="56"/>
  <c r="O127" i="56"/>
  <c r="M127" i="56"/>
  <c r="K127" i="56"/>
  <c r="AZ125" i="56"/>
  <c r="AO125" i="56"/>
  <c r="AN125" i="56"/>
  <c r="AM125" i="56"/>
  <c r="AL125" i="56"/>
  <c r="AK125" i="56"/>
  <c r="AJ125" i="56"/>
  <c r="AI125" i="56"/>
  <c r="AH125" i="56"/>
  <c r="AU125" i="56" s="1"/>
  <c r="AG125" i="56"/>
  <c r="AE125" i="56"/>
  <c r="AD125" i="56"/>
  <c r="AC125" i="56"/>
  <c r="AB125" i="56"/>
  <c r="AA125" i="56"/>
  <c r="Z125" i="56"/>
  <c r="Y125" i="56"/>
  <c r="X125" i="56"/>
  <c r="W125" i="56"/>
  <c r="V125" i="56"/>
  <c r="U125" i="56"/>
  <c r="T125" i="56"/>
  <c r="S125" i="56"/>
  <c r="N125" i="56"/>
  <c r="L125" i="56"/>
  <c r="E125" i="56"/>
  <c r="AX124" i="56"/>
  <c r="AW124" i="56"/>
  <c r="AV124" i="56"/>
  <c r="AU124" i="56"/>
  <c r="AT124" i="56"/>
  <c r="AS124" i="56"/>
  <c r="AR124" i="56"/>
  <c r="AQ124" i="56"/>
  <c r="AZ114" i="56"/>
  <c r="AO114" i="56"/>
  <c r="AN114" i="56"/>
  <c r="AM114" i="56"/>
  <c r="AL114" i="56"/>
  <c r="AK114" i="56"/>
  <c r="AJ114" i="56"/>
  <c r="AI114" i="56"/>
  <c r="AI127" i="56" s="1"/>
  <c r="AH114" i="56"/>
  <c r="AG114" i="56"/>
  <c r="AE114" i="56"/>
  <c r="AD114" i="56"/>
  <c r="AC114" i="56"/>
  <c r="AB114" i="56"/>
  <c r="AA114" i="56"/>
  <c r="Z114" i="56"/>
  <c r="Y114" i="56"/>
  <c r="X114" i="56"/>
  <c r="W114" i="56"/>
  <c r="V114" i="56"/>
  <c r="U114" i="56"/>
  <c r="T114" i="56"/>
  <c r="S114" i="56"/>
  <c r="N114" i="56"/>
  <c r="L114" i="56"/>
  <c r="E114" i="56"/>
  <c r="AX113" i="56"/>
  <c r="AW113" i="56"/>
  <c r="AV113" i="56"/>
  <c r="AU113" i="56"/>
  <c r="AT113" i="56"/>
  <c r="AS113" i="56"/>
  <c r="AR113" i="56"/>
  <c r="AQ113" i="56"/>
  <c r="AK127" i="56"/>
  <c r="AJ127" i="56"/>
  <c r="AH127" i="56"/>
  <c r="N127" i="56"/>
  <c r="AR103" i="56"/>
  <c r="Q103" i="56"/>
  <c r="E103" i="56"/>
  <c r="L103" i="56" s="1"/>
  <c r="AR102" i="56"/>
  <c r="Q102" i="56"/>
  <c r="E102" i="56"/>
  <c r="L102" i="56" s="1"/>
  <c r="AR101" i="56"/>
  <c r="Q101" i="56"/>
  <c r="E101" i="56"/>
  <c r="L101" i="56" s="1"/>
  <c r="AR100" i="56"/>
  <c r="Q100" i="56"/>
  <c r="E100" i="56"/>
  <c r="L100" i="56" s="1"/>
  <c r="AR99" i="56"/>
  <c r="Q99" i="56"/>
  <c r="E99" i="56"/>
  <c r="L99" i="56" s="1"/>
  <c r="AR98" i="56"/>
  <c r="Q98" i="56"/>
  <c r="E98" i="56"/>
  <c r="L98" i="56" s="1"/>
  <c r="AR97" i="56"/>
  <c r="Q97" i="56"/>
  <c r="E97" i="56"/>
  <c r="L97" i="56" s="1"/>
  <c r="AR96" i="56"/>
  <c r="Q96" i="56"/>
  <c r="E96" i="56"/>
  <c r="L96" i="56" s="1"/>
  <c r="AR95" i="56"/>
  <c r="Q95" i="56"/>
  <c r="E95" i="56"/>
  <c r="L95" i="56" s="1"/>
  <c r="AR94" i="56"/>
  <c r="Q94" i="56"/>
  <c r="E94" i="56"/>
  <c r="L94" i="56" s="1"/>
  <c r="AR93" i="56"/>
  <c r="Q93" i="56"/>
  <c r="E93" i="56"/>
  <c r="L93" i="56" s="1"/>
  <c r="AR92" i="56"/>
  <c r="Q92" i="56"/>
  <c r="E92" i="56"/>
  <c r="L92" i="56" s="1"/>
  <c r="AR91" i="56"/>
  <c r="Q91" i="56"/>
  <c r="E91" i="56"/>
  <c r="L91" i="56" s="1"/>
  <c r="AR90" i="56"/>
  <c r="Q90" i="56"/>
  <c r="E90" i="56"/>
  <c r="L90" i="56" s="1"/>
  <c r="AR89" i="56"/>
  <c r="Q89" i="56"/>
  <c r="E89" i="56"/>
  <c r="L89" i="56" s="1"/>
  <c r="AR88" i="56"/>
  <c r="Q88" i="56"/>
  <c r="E88" i="56"/>
  <c r="L88" i="56" s="1"/>
  <c r="AR87" i="56"/>
  <c r="Q87" i="56"/>
  <c r="E87" i="56"/>
  <c r="L87" i="56" s="1"/>
  <c r="AR86" i="56"/>
  <c r="Q86" i="56"/>
  <c r="E86" i="56"/>
  <c r="L86" i="56" s="1"/>
  <c r="AR85" i="56"/>
  <c r="Q85" i="56"/>
  <c r="E85" i="56"/>
  <c r="L85" i="56" s="1"/>
  <c r="AR84" i="56"/>
  <c r="Q84" i="56"/>
  <c r="E84" i="56"/>
  <c r="L84" i="56" s="1"/>
  <c r="AR83" i="56"/>
  <c r="Q83" i="56"/>
  <c r="E83" i="56"/>
  <c r="L83" i="56" s="1"/>
  <c r="AR82" i="56"/>
  <c r="Q82" i="56"/>
  <c r="E82" i="56"/>
  <c r="L82" i="56" s="1"/>
  <c r="AR81" i="56"/>
  <c r="Q81" i="56"/>
  <c r="E81" i="56"/>
  <c r="L81" i="56" s="1"/>
  <c r="AR80" i="56"/>
  <c r="Q80" i="56"/>
  <c r="E80" i="56"/>
  <c r="L80" i="56" s="1"/>
  <c r="AR79" i="56"/>
  <c r="Q79" i="56"/>
  <c r="E79" i="56"/>
  <c r="L79" i="56" s="1"/>
  <c r="AR78" i="56"/>
  <c r="Q78" i="56"/>
  <c r="E78" i="56"/>
  <c r="L78" i="56" s="1"/>
  <c r="AR77" i="56"/>
  <c r="Q77" i="56"/>
  <c r="E77" i="56"/>
  <c r="L77" i="56" s="1"/>
  <c r="AR76" i="56"/>
  <c r="Q76" i="56"/>
  <c r="E76" i="56"/>
  <c r="L76" i="56" s="1"/>
  <c r="AR75" i="56"/>
  <c r="Q75" i="56"/>
  <c r="E75" i="56"/>
  <c r="L75" i="56" s="1"/>
  <c r="AR74" i="56"/>
  <c r="Q74" i="56"/>
  <c r="E74" i="56"/>
  <c r="L74" i="56" s="1"/>
  <c r="AR73" i="56"/>
  <c r="Q73" i="56"/>
  <c r="E73" i="56"/>
  <c r="L73" i="56" s="1"/>
  <c r="AR72" i="56"/>
  <c r="Q72" i="56"/>
  <c r="E72" i="56"/>
  <c r="L72" i="56" s="1"/>
  <c r="AR71" i="56"/>
  <c r="Q71" i="56"/>
  <c r="E71" i="56"/>
  <c r="L71" i="56" s="1"/>
  <c r="AR70" i="56"/>
  <c r="Q70" i="56"/>
  <c r="E70" i="56"/>
  <c r="L70" i="56" s="1"/>
  <c r="AR69" i="56"/>
  <c r="Q69" i="56"/>
  <c r="E69" i="56"/>
  <c r="L69" i="56" s="1"/>
  <c r="AR68" i="56"/>
  <c r="Q68" i="56"/>
  <c r="E68" i="56"/>
  <c r="L68" i="56" s="1"/>
  <c r="AR67" i="56"/>
  <c r="Q67" i="56"/>
  <c r="E67" i="56"/>
  <c r="L67" i="56" s="1"/>
  <c r="AR66" i="56"/>
  <c r="Q66" i="56"/>
  <c r="E66" i="56"/>
  <c r="L66" i="56" s="1"/>
  <c r="AR65" i="56"/>
  <c r="Q65" i="56"/>
  <c r="E65" i="56"/>
  <c r="L65" i="56" s="1"/>
  <c r="AR64" i="56"/>
  <c r="Q64" i="56"/>
  <c r="E64" i="56"/>
  <c r="L64" i="56" s="1"/>
  <c r="AR63" i="56"/>
  <c r="Q63" i="56"/>
  <c r="E63" i="56"/>
  <c r="L63" i="56" s="1"/>
  <c r="AR62" i="56"/>
  <c r="Q62" i="56"/>
  <c r="E62" i="56"/>
  <c r="L62" i="56" s="1"/>
  <c r="AR61" i="56"/>
  <c r="Q61" i="56"/>
  <c r="E61" i="56"/>
  <c r="L61" i="56" s="1"/>
  <c r="AR60" i="56"/>
  <c r="Q60" i="56"/>
  <c r="E60" i="56"/>
  <c r="L60" i="56" s="1"/>
  <c r="AR59" i="56"/>
  <c r="Q59" i="56"/>
  <c r="E59" i="56"/>
  <c r="L59" i="56" s="1"/>
  <c r="AR58" i="56"/>
  <c r="Q58" i="56"/>
  <c r="E58" i="56"/>
  <c r="L58" i="56" s="1"/>
  <c r="AR57" i="56"/>
  <c r="Q57" i="56"/>
  <c r="E57" i="56"/>
  <c r="L57" i="56" s="1"/>
  <c r="AR56" i="56"/>
  <c r="Q56" i="56"/>
  <c r="E56" i="56"/>
  <c r="L56" i="56" s="1"/>
  <c r="AR55" i="56"/>
  <c r="Q55" i="56"/>
  <c r="E55" i="56"/>
  <c r="L55" i="56" s="1"/>
  <c r="AR54" i="56"/>
  <c r="Q54" i="56"/>
  <c r="E54" i="56"/>
  <c r="L54" i="56" s="1"/>
  <c r="AR53" i="56"/>
  <c r="Q53" i="56"/>
  <c r="E53" i="56"/>
  <c r="L53" i="56" s="1"/>
  <c r="AR52" i="56"/>
  <c r="Q52" i="56"/>
  <c r="E52" i="56"/>
  <c r="L52" i="56" s="1"/>
  <c r="AR51" i="56"/>
  <c r="Q51" i="56"/>
  <c r="E51" i="56"/>
  <c r="L51" i="56" s="1"/>
  <c r="AR50" i="56"/>
  <c r="Q50" i="56"/>
  <c r="E50" i="56"/>
  <c r="L50" i="56" s="1"/>
  <c r="AR49" i="56"/>
  <c r="Q49" i="56"/>
  <c r="E49" i="56"/>
  <c r="L49" i="56" s="1"/>
  <c r="AR48" i="56"/>
  <c r="Q48" i="56"/>
  <c r="E48" i="56"/>
  <c r="L48" i="56" s="1"/>
  <c r="AR47" i="56"/>
  <c r="Q47" i="56"/>
  <c r="E47" i="56"/>
  <c r="L47" i="56" s="1"/>
  <c r="AR46" i="56"/>
  <c r="Q46" i="56"/>
  <c r="E46" i="56"/>
  <c r="L46" i="56" s="1"/>
  <c r="AR45" i="56"/>
  <c r="Q45" i="56"/>
  <c r="E45" i="56"/>
  <c r="L45" i="56" s="1"/>
  <c r="AR44" i="56"/>
  <c r="Q44" i="56"/>
  <c r="E44" i="56"/>
  <c r="L44" i="56" s="1"/>
  <c r="AR43" i="56"/>
  <c r="Q43" i="56"/>
  <c r="E43" i="56"/>
  <c r="L43" i="56" s="1"/>
  <c r="AR42" i="56"/>
  <c r="Q42" i="56"/>
  <c r="E42" i="56"/>
  <c r="L42" i="56" s="1"/>
  <c r="AR41" i="56"/>
  <c r="Q41" i="56"/>
  <c r="E41" i="56"/>
  <c r="L41" i="56" s="1"/>
  <c r="AR40" i="56"/>
  <c r="Q40" i="56"/>
  <c r="E40" i="56"/>
  <c r="L40" i="56" s="1"/>
  <c r="AR39" i="56"/>
  <c r="Q39" i="56"/>
  <c r="E39" i="56"/>
  <c r="L39" i="56" s="1"/>
  <c r="AR38" i="56"/>
  <c r="Q38" i="56"/>
  <c r="E38" i="56"/>
  <c r="L38" i="56" s="1"/>
  <c r="AR37" i="56"/>
  <c r="Q37" i="56"/>
  <c r="E37" i="56"/>
  <c r="L37" i="56" s="1"/>
  <c r="AR36" i="56"/>
  <c r="Q36" i="56"/>
  <c r="E36" i="56"/>
  <c r="L36" i="56" s="1"/>
  <c r="AR35" i="56"/>
  <c r="Q35" i="56"/>
  <c r="E35" i="56"/>
  <c r="L35" i="56" s="1"/>
  <c r="AR34" i="56"/>
  <c r="Q34" i="56"/>
  <c r="E34" i="56"/>
  <c r="L34" i="56" s="1"/>
  <c r="AR33" i="56"/>
  <c r="Q33" i="56"/>
  <c r="E33" i="56"/>
  <c r="L33" i="56" s="1"/>
  <c r="AR32" i="56"/>
  <c r="Q32" i="56"/>
  <c r="E32" i="56"/>
  <c r="L32" i="56" s="1"/>
  <c r="AR31" i="56"/>
  <c r="Q31" i="56"/>
  <c r="E31" i="56"/>
  <c r="L31" i="56" s="1"/>
  <c r="AR30" i="56"/>
  <c r="Q30" i="56"/>
  <c r="E30" i="56"/>
  <c r="L30" i="56" s="1"/>
  <c r="AR29" i="56"/>
  <c r="Q29" i="56"/>
  <c r="E29" i="56"/>
  <c r="L29" i="56" s="1"/>
  <c r="AR28" i="56"/>
  <c r="Q28" i="56"/>
  <c r="E28" i="56"/>
  <c r="L28" i="56" s="1"/>
  <c r="AR27" i="56"/>
  <c r="Q27" i="56"/>
  <c r="E27" i="56"/>
  <c r="L27" i="56" s="1"/>
  <c r="AR26" i="56"/>
  <c r="Q26" i="56"/>
  <c r="E26" i="56"/>
  <c r="L26" i="56" s="1"/>
  <c r="AR25" i="56"/>
  <c r="Q25" i="56"/>
  <c r="E25" i="56"/>
  <c r="L25" i="56" s="1"/>
  <c r="AR24" i="56"/>
  <c r="Q24" i="56"/>
  <c r="E24" i="56"/>
  <c r="L24" i="56" s="1"/>
  <c r="AR23" i="56"/>
  <c r="Q23" i="56"/>
  <c r="E23" i="56"/>
  <c r="L23" i="56" s="1"/>
  <c r="AR22" i="56"/>
  <c r="Q22" i="56"/>
  <c r="E22" i="56"/>
  <c r="L22" i="56" s="1"/>
  <c r="AR21" i="56"/>
  <c r="Q21" i="56"/>
  <c r="E21" i="56"/>
  <c r="L21" i="56" s="1"/>
  <c r="AR20" i="56"/>
  <c r="Q20" i="56"/>
  <c r="E20" i="56"/>
  <c r="L20" i="56" s="1"/>
  <c r="AR19" i="56"/>
  <c r="Q19" i="56"/>
  <c r="E19" i="56"/>
  <c r="L19" i="56" s="1"/>
  <c r="AR18" i="56"/>
  <c r="Q18" i="56"/>
  <c r="E18" i="56"/>
  <c r="L18" i="56" s="1"/>
  <c r="AR17" i="56"/>
  <c r="Q17" i="56"/>
  <c r="E17" i="56"/>
  <c r="L17" i="56" s="1"/>
  <c r="AR16" i="56"/>
  <c r="Q16" i="56"/>
  <c r="E16" i="56"/>
  <c r="L16" i="56" s="1"/>
  <c r="AR15" i="56"/>
  <c r="Q15" i="56"/>
  <c r="E15" i="56"/>
  <c r="L15" i="56" s="1"/>
  <c r="AR14" i="56"/>
  <c r="Q14" i="56"/>
  <c r="E14" i="56"/>
  <c r="L14" i="56" s="1"/>
  <c r="AR13" i="56"/>
  <c r="Q13" i="56"/>
  <c r="E13" i="56"/>
  <c r="L13" i="56" s="1"/>
  <c r="AR12" i="56"/>
  <c r="Q12" i="56"/>
  <c r="E12" i="56"/>
  <c r="L12" i="56" s="1"/>
  <c r="AR11" i="56"/>
  <c r="Q11" i="56"/>
  <c r="E11" i="56"/>
  <c r="L11" i="56" s="1"/>
  <c r="AR10" i="56"/>
  <c r="Q10" i="56"/>
  <c r="E10" i="56"/>
  <c r="L10" i="56" s="1"/>
  <c r="AR9" i="56"/>
  <c r="Q9" i="56"/>
  <c r="E9" i="56"/>
  <c r="L9" i="56" s="1"/>
  <c r="AR8" i="56"/>
  <c r="Q8" i="56"/>
  <c r="E8" i="56"/>
  <c r="L8" i="56" s="1"/>
  <c r="AR7" i="56"/>
  <c r="Q7" i="56"/>
  <c r="E7" i="56"/>
  <c r="L7" i="56" s="1"/>
  <c r="AR6" i="56"/>
  <c r="Q6" i="56"/>
  <c r="E6" i="56"/>
  <c r="L6" i="56" s="1"/>
  <c r="AR5" i="56"/>
  <c r="Q5" i="56"/>
  <c r="E5" i="56"/>
  <c r="L5" i="56" s="1"/>
  <c r="AR4" i="56"/>
  <c r="Q4" i="56"/>
  <c r="E4" i="56"/>
  <c r="L4" i="56" s="1"/>
  <c r="AR3" i="56"/>
  <c r="AB3" i="56"/>
  <c r="Q3" i="56"/>
  <c r="E3" i="56"/>
  <c r="K102" i="55"/>
  <c r="D98" i="55"/>
  <c r="K104" i="55"/>
  <c r="K103" i="55"/>
  <c r="K101" i="55"/>
  <c r="K100" i="55"/>
  <c r="K99" i="55"/>
  <c r="K98" i="55"/>
  <c r="K97" i="55"/>
  <c r="K96" i="55"/>
  <c r="K95" i="55"/>
  <c r="K94" i="55"/>
  <c r="K93" i="55"/>
  <c r="K92" i="55"/>
  <c r="K91" i="55"/>
  <c r="D91" i="55"/>
  <c r="K90" i="55"/>
  <c r="K89" i="55"/>
  <c r="K88" i="55"/>
  <c r="K87" i="55"/>
  <c r="K86" i="55"/>
  <c r="D86" i="55"/>
  <c r="K85" i="55"/>
  <c r="K84" i="55"/>
  <c r="K83" i="55"/>
  <c r="K82" i="55"/>
  <c r="D82" i="55"/>
  <c r="K81" i="55"/>
  <c r="K80" i="55"/>
  <c r="K79" i="55"/>
  <c r="K78" i="55"/>
  <c r="D78" i="55"/>
  <c r="K77" i="55"/>
  <c r="K76" i="55"/>
  <c r="K75" i="55"/>
  <c r="K74" i="55"/>
  <c r="D74" i="55"/>
  <c r="K73" i="55"/>
  <c r="D73" i="55"/>
  <c r="K72" i="55"/>
  <c r="K71" i="55"/>
  <c r="K70" i="55"/>
  <c r="D70" i="55"/>
  <c r="K69" i="55"/>
  <c r="D69" i="55"/>
  <c r="K68" i="55"/>
  <c r="K67" i="55"/>
  <c r="K66" i="55"/>
  <c r="D66" i="55"/>
  <c r="K65" i="55"/>
  <c r="D65" i="55"/>
  <c r="K64" i="55"/>
  <c r="K63" i="55"/>
  <c r="K62" i="55"/>
  <c r="D62" i="55"/>
  <c r="K61" i="55"/>
  <c r="D61" i="55"/>
  <c r="K60" i="55"/>
  <c r="D60" i="55"/>
  <c r="K59" i="55"/>
  <c r="D59" i="55"/>
  <c r="K58" i="55"/>
  <c r="D58" i="55"/>
  <c r="K57" i="55"/>
  <c r="D57" i="55"/>
  <c r="K56" i="55"/>
  <c r="D56" i="55"/>
  <c r="K55" i="55"/>
  <c r="D55" i="55"/>
  <c r="K54" i="55"/>
  <c r="D54" i="55"/>
  <c r="K53" i="55"/>
  <c r="D53" i="55"/>
  <c r="K52" i="55"/>
  <c r="D52" i="55"/>
  <c r="K51" i="55"/>
  <c r="D51" i="55"/>
  <c r="K50" i="55"/>
  <c r="D50" i="55"/>
  <c r="K49" i="55"/>
  <c r="D49" i="55"/>
  <c r="K48" i="55"/>
  <c r="D48" i="55"/>
  <c r="K47" i="55"/>
  <c r="D47" i="55"/>
  <c r="K46" i="55"/>
  <c r="D46" i="55"/>
  <c r="K45" i="55"/>
  <c r="D45" i="55"/>
  <c r="K44" i="55"/>
  <c r="D44" i="55"/>
  <c r="K43" i="55"/>
  <c r="D43" i="55"/>
  <c r="K42" i="55"/>
  <c r="D42" i="55"/>
  <c r="K41" i="55"/>
  <c r="D41" i="55"/>
  <c r="K40" i="55"/>
  <c r="D40" i="55"/>
  <c r="K39" i="55"/>
  <c r="D39" i="55"/>
  <c r="K38" i="55"/>
  <c r="D38" i="55"/>
  <c r="K37" i="55"/>
  <c r="D37" i="55"/>
  <c r="K36" i="55"/>
  <c r="D36" i="55"/>
  <c r="K35" i="55"/>
  <c r="D35" i="55"/>
  <c r="K34" i="55"/>
  <c r="D34" i="55"/>
  <c r="K33" i="55"/>
  <c r="D33" i="55"/>
  <c r="K32" i="55"/>
  <c r="D32" i="55"/>
  <c r="K31" i="55"/>
  <c r="D31" i="55"/>
  <c r="K30" i="55"/>
  <c r="D30" i="55"/>
  <c r="K29" i="55"/>
  <c r="D29" i="55"/>
  <c r="K28" i="55"/>
  <c r="D28" i="55"/>
  <c r="K27" i="55"/>
  <c r="D27" i="55"/>
  <c r="K26" i="55"/>
  <c r="D26" i="55"/>
  <c r="K25" i="55"/>
  <c r="D25" i="55"/>
  <c r="K24" i="55"/>
  <c r="D24" i="55"/>
  <c r="K23" i="55"/>
  <c r="D23" i="55"/>
  <c r="K22" i="55"/>
  <c r="D22" i="55"/>
  <c r="K21" i="55"/>
  <c r="D21" i="55"/>
  <c r="K20" i="55"/>
  <c r="D20" i="55"/>
  <c r="K19" i="55"/>
  <c r="D19" i="55"/>
  <c r="K18" i="55"/>
  <c r="D18" i="55"/>
  <c r="K17" i="55"/>
  <c r="D17" i="55"/>
  <c r="K16" i="55"/>
  <c r="D16" i="55"/>
  <c r="K15" i="55"/>
  <c r="D15" i="55"/>
  <c r="K14" i="55"/>
  <c r="D14" i="55"/>
  <c r="K13" i="55"/>
  <c r="D13" i="55"/>
  <c r="K12" i="55"/>
  <c r="D12" i="55"/>
  <c r="K11" i="55"/>
  <c r="D11" i="55"/>
  <c r="K10" i="55"/>
  <c r="D10" i="55"/>
  <c r="K9" i="55"/>
  <c r="D9" i="55"/>
  <c r="K8" i="55"/>
  <c r="D8" i="55"/>
  <c r="K7" i="55"/>
  <c r="D7" i="55"/>
  <c r="K6" i="55"/>
  <c r="D6" i="55"/>
  <c r="K5" i="55"/>
  <c r="D5" i="55"/>
  <c r="K4" i="55"/>
  <c r="D4" i="55"/>
  <c r="M21" i="63" l="1"/>
  <c r="G21" i="63" s="1"/>
  <c r="L22" i="63"/>
  <c r="F19" i="63"/>
  <c r="E20" i="63"/>
  <c r="K106" i="55"/>
  <c r="D87" i="55"/>
  <c r="D99" i="55"/>
  <c r="D63" i="55"/>
  <c r="D67" i="55"/>
  <c r="D71" i="55"/>
  <c r="D75" i="55"/>
  <c r="D79" i="55"/>
  <c r="D83" i="55"/>
  <c r="D88" i="55"/>
  <c r="D64" i="55"/>
  <c r="D68" i="55"/>
  <c r="D72" i="55"/>
  <c r="D76" i="55"/>
  <c r="D80" i="55"/>
  <c r="D84" i="55"/>
  <c r="D95" i="55"/>
  <c r="D77" i="55"/>
  <c r="D81" i="55"/>
  <c r="D92" i="55"/>
  <c r="D96" i="55"/>
  <c r="D100" i="55"/>
  <c r="D85" i="55"/>
  <c r="D89" i="55"/>
  <c r="D93" i="55"/>
  <c r="D97" i="55"/>
  <c r="D101" i="55"/>
  <c r="D90" i="55"/>
  <c r="D94" i="55"/>
  <c r="D102" i="55"/>
  <c r="D105" i="55"/>
  <c r="Q126" i="56"/>
  <c r="Q106" i="56"/>
  <c r="Q127" i="56" s="1"/>
  <c r="AB106" i="56"/>
  <c r="AB127" i="56" s="1"/>
  <c r="AB126" i="56"/>
  <c r="L3" i="56"/>
  <c r="L106" i="56" s="1"/>
  <c r="L127" i="56" s="1"/>
  <c r="E106" i="56"/>
  <c r="E127" i="56" s="1"/>
  <c r="M16" i="61"/>
  <c r="G16" i="61" s="1"/>
  <c r="L17" i="61"/>
  <c r="E17" i="61"/>
  <c r="F16" i="61"/>
  <c r="AO104" i="56"/>
  <c r="AV104" i="56" s="1" a="1"/>
  <c r="AV104" i="56" s="1"/>
  <c r="AR105" i="56"/>
  <c r="AU114" i="56"/>
  <c r="L4" i="55"/>
  <c r="E4" i="55"/>
  <c r="D104" i="55"/>
  <c r="D103" i="55"/>
  <c r="E5" i="54"/>
  <c r="E17" i="54"/>
  <c r="E33" i="54"/>
  <c r="E41" i="54"/>
  <c r="E54" i="54"/>
  <c r="E66" i="54"/>
  <c r="E69" i="54"/>
  <c r="E73" i="54"/>
  <c r="I105" i="54"/>
  <c r="I126" i="54" s="1"/>
  <c r="E82" i="54"/>
  <c r="E85" i="54"/>
  <c r="E97" i="54"/>
  <c r="E98" i="54"/>
  <c r="E101" i="54"/>
  <c r="I113" i="54"/>
  <c r="J113" i="54"/>
  <c r="I124" i="54"/>
  <c r="J124" i="54"/>
  <c r="E4" i="54"/>
  <c r="E29" i="54"/>
  <c r="E31" i="54"/>
  <c r="E49" i="54"/>
  <c r="E57" i="54"/>
  <c r="E81" i="54"/>
  <c r="E93" i="54"/>
  <c r="E65" i="54"/>
  <c r="E89" i="54"/>
  <c r="E13" i="54"/>
  <c r="E20" i="54"/>
  <c r="E21" i="54"/>
  <c r="E24" i="54"/>
  <c r="E32" i="54"/>
  <c r="E36" i="54"/>
  <c r="E37" i="54"/>
  <c r="E53" i="54"/>
  <c r="E61" i="54"/>
  <c r="E7" i="54"/>
  <c r="E15" i="54"/>
  <c r="E23" i="54"/>
  <c r="E30" i="54"/>
  <c r="E50" i="54"/>
  <c r="E74" i="54"/>
  <c r="E90" i="54"/>
  <c r="H124" i="54"/>
  <c r="G124" i="54"/>
  <c r="F124" i="54"/>
  <c r="E124" i="54"/>
  <c r="H113" i="54"/>
  <c r="G113" i="54"/>
  <c r="F113" i="54"/>
  <c r="E113" i="54"/>
  <c r="E62" i="54"/>
  <c r="E58" i="54"/>
  <c r="E42" i="54"/>
  <c r="E40" i="54"/>
  <c r="E38" i="54"/>
  <c r="E34" i="54"/>
  <c r="E28" i="54"/>
  <c r="E26" i="54"/>
  <c r="E25" i="54"/>
  <c r="E22" i="54"/>
  <c r="E18" i="54"/>
  <c r="E16" i="54"/>
  <c r="E14" i="54"/>
  <c r="E12" i="54"/>
  <c r="E10" i="54"/>
  <c r="E9" i="54"/>
  <c r="E8" i="54"/>
  <c r="E6" i="54"/>
  <c r="M22" i="63" l="1"/>
  <c r="G22" i="63" s="1"/>
  <c r="L23" i="63"/>
  <c r="F20" i="63"/>
  <c r="E21" i="63"/>
  <c r="D106" i="55"/>
  <c r="F17" i="61"/>
  <c r="E18" i="61"/>
  <c r="M17" i="61"/>
  <c r="G17" i="61" s="1"/>
  <c r="L18" i="61"/>
  <c r="AZ104" i="56"/>
  <c r="AX104" i="56"/>
  <c r="AL3" i="56"/>
  <c r="F4" i="55"/>
  <c r="E5" i="55"/>
  <c r="M4" i="55"/>
  <c r="L5" i="55"/>
  <c r="E96" i="54"/>
  <c r="E64" i="54"/>
  <c r="E102" i="54"/>
  <c r="E94" i="54"/>
  <c r="E86" i="54"/>
  <c r="E78" i="54"/>
  <c r="E70" i="54"/>
  <c r="E52" i="54"/>
  <c r="J105" i="54"/>
  <c r="J126" i="54" s="1"/>
  <c r="E77" i="54"/>
  <c r="E46" i="54"/>
  <c r="E45" i="54"/>
  <c r="E100" i="54"/>
  <c r="E92" i="54"/>
  <c r="E84" i="54"/>
  <c r="E76" i="54"/>
  <c r="E68" i="54"/>
  <c r="E60" i="54"/>
  <c r="E44" i="54"/>
  <c r="G105" i="54"/>
  <c r="H105" i="54"/>
  <c r="H126" i="54" s="1"/>
  <c r="E88" i="54"/>
  <c r="E80" i="54"/>
  <c r="E72" i="54"/>
  <c r="E56" i="54"/>
  <c r="E48" i="54"/>
  <c r="E71" i="54"/>
  <c r="E63" i="54"/>
  <c r="E55" i="54"/>
  <c r="E47" i="54"/>
  <c r="F105" i="54"/>
  <c r="F126" i="54" s="1"/>
  <c r="E39" i="54"/>
  <c r="E95" i="54"/>
  <c r="E87" i="54"/>
  <c r="E79" i="54"/>
  <c r="E103" i="54"/>
  <c r="E99" i="54"/>
  <c r="E91" i="54"/>
  <c r="E83" i="54"/>
  <c r="E75" i="54"/>
  <c r="E67" i="54"/>
  <c r="E59" i="54"/>
  <c r="E51" i="54"/>
  <c r="E43" i="54"/>
  <c r="E35" i="54"/>
  <c r="E27" i="54"/>
  <c r="E19" i="54"/>
  <c r="E11" i="54"/>
  <c r="E3" i="54"/>
  <c r="G126" i="54"/>
  <c r="J4" i="48"/>
  <c r="J11" i="48"/>
  <c r="J15" i="48"/>
  <c r="J8" i="48"/>
  <c r="J22" i="48"/>
  <c r="J6" i="48"/>
  <c r="J9" i="48"/>
  <c r="J13" i="48"/>
  <c r="J12" i="48"/>
  <c r="J5" i="48"/>
  <c r="J19" i="48"/>
  <c r="J18" i="48"/>
  <c r="J7" i="48"/>
  <c r="J24" i="48"/>
  <c r="J21" i="48"/>
  <c r="J69" i="48"/>
  <c r="J33" i="48"/>
  <c r="J29" i="48"/>
  <c r="J28" i="48"/>
  <c r="J70" i="48"/>
  <c r="J71" i="48"/>
  <c r="J72" i="48"/>
  <c r="J27" i="48"/>
  <c r="J41" i="48"/>
  <c r="J14" i="48"/>
  <c r="J73" i="48"/>
  <c r="J74" i="48"/>
  <c r="J75" i="48"/>
  <c r="J76" i="48"/>
  <c r="J30" i="48"/>
  <c r="J55" i="48"/>
  <c r="J77" i="48"/>
  <c r="J78" i="48"/>
  <c r="J79" i="48"/>
  <c r="J56" i="48"/>
  <c r="J57" i="48"/>
  <c r="J48" i="48"/>
  <c r="J80" i="48"/>
  <c r="J42" i="48"/>
  <c r="J49" i="48"/>
  <c r="J23" i="48"/>
  <c r="J26" i="48"/>
  <c r="J81" i="48"/>
  <c r="J43" i="48"/>
  <c r="J16" i="48"/>
  <c r="J20" i="48"/>
  <c r="J17" i="48"/>
  <c r="J82" i="48"/>
  <c r="J37" i="48"/>
  <c r="J58" i="48"/>
  <c r="J34" i="48"/>
  <c r="J83" i="48"/>
  <c r="J84" i="48"/>
  <c r="J85" i="48"/>
  <c r="J59" i="48"/>
  <c r="J86" i="48"/>
  <c r="J87" i="48"/>
  <c r="J44" i="48"/>
  <c r="J88" i="48"/>
  <c r="J89" i="48"/>
  <c r="J90" i="48"/>
  <c r="J91" i="48"/>
  <c r="J92" i="48"/>
  <c r="J93" i="48"/>
  <c r="J94" i="48"/>
  <c r="J50" i="48"/>
  <c r="J51" i="48"/>
  <c r="J60" i="48"/>
  <c r="J61" i="48"/>
  <c r="J52" i="48"/>
  <c r="J95" i="48"/>
  <c r="J35" i="48"/>
  <c r="J38" i="48"/>
  <c r="J31" i="48"/>
  <c r="J45" i="48"/>
  <c r="J46" i="48"/>
  <c r="J36" i="48"/>
  <c r="J62" i="48"/>
  <c r="J53" i="48"/>
  <c r="J63" i="48"/>
  <c r="J39" i="48"/>
  <c r="J96" i="48"/>
  <c r="J64" i="48"/>
  <c r="J65" i="48"/>
  <c r="J97" i="48"/>
  <c r="J32" i="48"/>
  <c r="J54" i="48"/>
  <c r="J66" i="48"/>
  <c r="J67" i="48"/>
  <c r="J47" i="48"/>
  <c r="J98" i="48"/>
  <c r="J99" i="48"/>
  <c r="J100" i="48"/>
  <c r="J101" i="48"/>
  <c r="J68" i="48"/>
  <c r="J102" i="48"/>
  <c r="J40" i="48"/>
  <c r="J103" i="48"/>
  <c r="J25" i="48"/>
  <c r="J104" i="48"/>
  <c r="J10" i="48"/>
  <c r="C4" i="48"/>
  <c r="C10" i="48"/>
  <c r="C14" i="48"/>
  <c r="C9" i="48"/>
  <c r="C22" i="48"/>
  <c r="C6" i="48"/>
  <c r="C11" i="48"/>
  <c r="C12" i="48"/>
  <c r="C13" i="48"/>
  <c r="C5" i="48"/>
  <c r="C19" i="48"/>
  <c r="C17" i="48"/>
  <c r="C7" i="48"/>
  <c r="C23" i="48"/>
  <c r="C20" i="48"/>
  <c r="C54" i="48"/>
  <c r="C100" i="48"/>
  <c r="C103" i="48"/>
  <c r="C33" i="48"/>
  <c r="C55" i="48"/>
  <c r="C56" i="48"/>
  <c r="C57" i="48"/>
  <c r="C27" i="48"/>
  <c r="C84" i="48"/>
  <c r="C16" i="48"/>
  <c r="C58" i="48"/>
  <c r="C59" i="48"/>
  <c r="C60" i="48"/>
  <c r="C61" i="48"/>
  <c r="C29" i="48"/>
  <c r="C45" i="48"/>
  <c r="C62" i="48"/>
  <c r="C63" i="48"/>
  <c r="C86" i="48"/>
  <c r="C48" i="48"/>
  <c r="C87" i="48"/>
  <c r="C37" i="48"/>
  <c r="C90" i="48"/>
  <c r="C39" i="48"/>
  <c r="C42" i="48"/>
  <c r="C25" i="48"/>
  <c r="C24" i="48"/>
  <c r="C64" i="48"/>
  <c r="C38" i="48"/>
  <c r="C18" i="48"/>
  <c r="C21" i="48"/>
  <c r="C15" i="48"/>
  <c r="C65" i="48"/>
  <c r="C52" i="48"/>
  <c r="C104" i="48"/>
  <c r="C32" i="48"/>
  <c r="C85" i="48"/>
  <c r="C66" i="48"/>
  <c r="C67" i="48"/>
  <c r="C91" i="48"/>
  <c r="C68" i="48"/>
  <c r="C83" i="48"/>
  <c r="C41" i="48"/>
  <c r="C69" i="48"/>
  <c r="C70" i="48"/>
  <c r="C71" i="48"/>
  <c r="C81" i="48"/>
  <c r="C82" i="48"/>
  <c r="C72" i="48"/>
  <c r="C73" i="48"/>
  <c r="C40" i="48"/>
  <c r="C34" i="48"/>
  <c r="C53" i="48"/>
  <c r="C47" i="48"/>
  <c r="C44" i="48"/>
  <c r="C74" i="48"/>
  <c r="C43" i="48"/>
  <c r="C101" i="48"/>
  <c r="C49" i="48"/>
  <c r="C96" i="48"/>
  <c r="C95" i="48"/>
  <c r="C31" i="48"/>
  <c r="C50" i="48"/>
  <c r="C36" i="48"/>
  <c r="C46" i="48"/>
  <c r="C97" i="48"/>
  <c r="C102" i="48"/>
  <c r="C94" i="48"/>
  <c r="C93" i="48"/>
  <c r="C88" i="48"/>
  <c r="C26" i="48"/>
  <c r="C35" i="48"/>
  <c r="C92" i="48"/>
  <c r="C99" i="48"/>
  <c r="C30" i="48"/>
  <c r="C75" i="48"/>
  <c r="C76" i="48"/>
  <c r="C77" i="48"/>
  <c r="C89" i="48"/>
  <c r="C51" i="48"/>
  <c r="C78" i="48"/>
  <c r="C28" i="48"/>
  <c r="C79" i="48"/>
  <c r="C98" i="48"/>
  <c r="C80" i="48"/>
  <c r="C8" i="48"/>
  <c r="AB4" i="49"/>
  <c r="AB5" i="49"/>
  <c r="AB6" i="49"/>
  <c r="AB7" i="49"/>
  <c r="AB8" i="49"/>
  <c r="AB9" i="49"/>
  <c r="AB10" i="49"/>
  <c r="AB11" i="49"/>
  <c r="AB12" i="49"/>
  <c r="AB13" i="49"/>
  <c r="AB14" i="49"/>
  <c r="AB15" i="49"/>
  <c r="AB16" i="49"/>
  <c r="AB17" i="49"/>
  <c r="AB18" i="49"/>
  <c r="AB19" i="49"/>
  <c r="AB20" i="49"/>
  <c r="AB21" i="49"/>
  <c r="AB22" i="49"/>
  <c r="AB23" i="49"/>
  <c r="AB24" i="49"/>
  <c r="AB25" i="49"/>
  <c r="AB26" i="49"/>
  <c r="AB27" i="49"/>
  <c r="AB28" i="49"/>
  <c r="AB29" i="49"/>
  <c r="AB30" i="49"/>
  <c r="AB31" i="49"/>
  <c r="AB32" i="49"/>
  <c r="AB33" i="49"/>
  <c r="AB34" i="49"/>
  <c r="AB35" i="49"/>
  <c r="AB36" i="49"/>
  <c r="AB37" i="49"/>
  <c r="AB38" i="49"/>
  <c r="AB39" i="49"/>
  <c r="AB40" i="49"/>
  <c r="AB41" i="49"/>
  <c r="AB42" i="49"/>
  <c r="AB43" i="49"/>
  <c r="AB44" i="49"/>
  <c r="AB45" i="49"/>
  <c r="AB46" i="49"/>
  <c r="AB47" i="49"/>
  <c r="AB48" i="49"/>
  <c r="AB49" i="49"/>
  <c r="AB50" i="49"/>
  <c r="AB51" i="49"/>
  <c r="AB52" i="49"/>
  <c r="AB53" i="49"/>
  <c r="AB54" i="49"/>
  <c r="AB55" i="49"/>
  <c r="AB56" i="49"/>
  <c r="AB57" i="49"/>
  <c r="AB58" i="49"/>
  <c r="AB59" i="49"/>
  <c r="AB60" i="49"/>
  <c r="AB61" i="49"/>
  <c r="AB62" i="49"/>
  <c r="AB63" i="49"/>
  <c r="AB64" i="49"/>
  <c r="AB65" i="49"/>
  <c r="AB66" i="49"/>
  <c r="AB67" i="49"/>
  <c r="AB68" i="49"/>
  <c r="AB69" i="49"/>
  <c r="AB70" i="49"/>
  <c r="AB71" i="49"/>
  <c r="AB72" i="49"/>
  <c r="AB73" i="49"/>
  <c r="AB74" i="49"/>
  <c r="AB75" i="49"/>
  <c r="AB76" i="49"/>
  <c r="AB77" i="49"/>
  <c r="AB78" i="49"/>
  <c r="AB79" i="49"/>
  <c r="AB80" i="49"/>
  <c r="AB81" i="49"/>
  <c r="AB82" i="49"/>
  <c r="AB83" i="49"/>
  <c r="AB84" i="49"/>
  <c r="AB85" i="49"/>
  <c r="AB86" i="49"/>
  <c r="AB87" i="49"/>
  <c r="AB88" i="49"/>
  <c r="AB89" i="49"/>
  <c r="AB90" i="49"/>
  <c r="AB91" i="49"/>
  <c r="AB92" i="49"/>
  <c r="AB93" i="49"/>
  <c r="AB94" i="49"/>
  <c r="AB95" i="49"/>
  <c r="AB96" i="49"/>
  <c r="AB97" i="49"/>
  <c r="AB98" i="49"/>
  <c r="AB99" i="49"/>
  <c r="AB100" i="49"/>
  <c r="AB101" i="49"/>
  <c r="AB102" i="49"/>
  <c r="AB103" i="49"/>
  <c r="Z21" i="3"/>
  <c r="X21" i="3"/>
  <c r="W21" i="3"/>
  <c r="S21" i="3"/>
  <c r="G21" i="3"/>
  <c r="M23" i="63" l="1"/>
  <c r="G23" i="63" s="1"/>
  <c r="L24" i="63"/>
  <c r="E22" i="63"/>
  <c r="F21" i="63"/>
  <c r="L19" i="61"/>
  <c r="M18" i="61"/>
  <c r="G18" i="61" s="1"/>
  <c r="F18" i="61"/>
  <c r="E19" i="61"/>
  <c r="AL106" i="56"/>
  <c r="L6" i="55"/>
  <c r="M5" i="55"/>
  <c r="G5" i="55" s="1"/>
  <c r="F5" i="55"/>
  <c r="E6" i="55"/>
  <c r="E105" i="54"/>
  <c r="E126" i="54" s="1"/>
  <c r="X99" i="49"/>
  <c r="AA99" i="49"/>
  <c r="AF99" i="49" s="1"/>
  <c r="U100" i="49"/>
  <c r="AD100" i="49" s="1"/>
  <c r="X100" i="49"/>
  <c r="U101" i="49"/>
  <c r="AD101" i="49" s="1"/>
  <c r="F22" i="63" l="1"/>
  <c r="E23" i="63"/>
  <c r="M24" i="63"/>
  <c r="G24" i="63" s="1"/>
  <c r="L25" i="63"/>
  <c r="F19" i="61"/>
  <c r="E20" i="61"/>
  <c r="L20" i="61"/>
  <c r="M19" i="61"/>
  <c r="E7" i="55"/>
  <c r="F6" i="55"/>
  <c r="L7" i="55"/>
  <c r="M6" i="55"/>
  <c r="AA103" i="49"/>
  <c r="AF103" i="49" s="1"/>
  <c r="U103" i="49"/>
  <c r="AD103" i="49" s="1"/>
  <c r="U99" i="49"/>
  <c r="AD99" i="49" s="1"/>
  <c r="X102" i="49"/>
  <c r="U102" i="49"/>
  <c r="AD102" i="49" s="1"/>
  <c r="X101" i="49"/>
  <c r="AA100" i="49"/>
  <c r="AF100" i="49" s="1"/>
  <c r="X103" i="49"/>
  <c r="AA102" i="49"/>
  <c r="AF102" i="49" s="1"/>
  <c r="AA101" i="49"/>
  <c r="AF101" i="49" s="1"/>
  <c r="E24" i="63" l="1"/>
  <c r="F23" i="63"/>
  <c r="M25" i="63"/>
  <c r="G25" i="63" s="1"/>
  <c r="L26" i="63"/>
  <c r="L21" i="61"/>
  <c r="M20" i="61"/>
  <c r="F20" i="61"/>
  <c r="E21" i="61"/>
  <c r="M7" i="55"/>
  <c r="L8" i="55"/>
  <c r="F7" i="55"/>
  <c r="E8" i="55"/>
  <c r="U49" i="49"/>
  <c r="AD49" i="49" s="1"/>
  <c r="X49" i="49"/>
  <c r="U50" i="49"/>
  <c r="AD50" i="49" s="1"/>
  <c r="X50" i="49"/>
  <c r="X53" i="49"/>
  <c r="AA53" i="49"/>
  <c r="U54" i="49"/>
  <c r="AD54" i="49" s="1"/>
  <c r="X54" i="49"/>
  <c r="U55" i="49"/>
  <c r="AD55" i="49" s="1"/>
  <c r="AA57" i="49"/>
  <c r="AF57" i="49" s="1"/>
  <c r="X58" i="49"/>
  <c r="U59" i="49"/>
  <c r="AD59" i="49" s="1"/>
  <c r="X62" i="49"/>
  <c r="U63" i="49"/>
  <c r="AD63" i="49" s="1"/>
  <c r="AA63" i="49"/>
  <c r="AF63" i="49" s="1"/>
  <c r="X66" i="49"/>
  <c r="U67" i="49"/>
  <c r="AD67" i="49" s="1"/>
  <c r="U71" i="49"/>
  <c r="AD71" i="49" s="1"/>
  <c r="G9" i="61" l="1"/>
  <c r="M26" i="63"/>
  <c r="G26" i="63" s="1"/>
  <c r="L27" i="63"/>
  <c r="E25" i="63"/>
  <c r="F24" i="63"/>
  <c r="F21" i="61"/>
  <c r="E22" i="61"/>
  <c r="M21" i="61"/>
  <c r="L22" i="61"/>
  <c r="F8" i="55"/>
  <c r="E9" i="55"/>
  <c r="M8" i="55"/>
  <c r="L9" i="55"/>
  <c r="U74" i="49"/>
  <c r="AD74" i="49" s="1"/>
  <c r="X73" i="49"/>
  <c r="AA72" i="49"/>
  <c r="X69" i="49"/>
  <c r="AA68" i="49"/>
  <c r="AF68" i="49" s="1"/>
  <c r="U66" i="49"/>
  <c r="AD66" i="49" s="1"/>
  <c r="X65" i="49"/>
  <c r="AA64" i="49"/>
  <c r="AF64" i="49" s="1"/>
  <c r="U62" i="49"/>
  <c r="AD62" i="49" s="1"/>
  <c r="X61" i="49"/>
  <c r="AA60" i="49"/>
  <c r="AF60" i="49" s="1"/>
  <c r="U58" i="49"/>
  <c r="AD58" i="49" s="1"/>
  <c r="X57" i="49"/>
  <c r="AA56" i="49"/>
  <c r="AF56" i="49" s="1"/>
  <c r="AA52" i="49"/>
  <c r="AF52" i="49" s="1"/>
  <c r="U53" i="49"/>
  <c r="AD53" i="49" s="1"/>
  <c r="AA74" i="49"/>
  <c r="AF74" i="49" s="1"/>
  <c r="U72" i="49"/>
  <c r="AD72" i="49" s="1"/>
  <c r="X71" i="49"/>
  <c r="AA70" i="49"/>
  <c r="AF70" i="49" s="1"/>
  <c r="U68" i="49"/>
  <c r="AD68" i="49" s="1"/>
  <c r="X67" i="49"/>
  <c r="AA66" i="49"/>
  <c r="AF66" i="49" s="1"/>
  <c r="U64" i="49"/>
  <c r="AD64" i="49" s="1"/>
  <c r="X63" i="49"/>
  <c r="AA62" i="49"/>
  <c r="AF62" i="49" s="1"/>
  <c r="U60" i="49"/>
  <c r="AD60" i="49" s="1"/>
  <c r="X59" i="49"/>
  <c r="AA58" i="49"/>
  <c r="AF58" i="49" s="1"/>
  <c r="U56" i="49"/>
  <c r="AD56" i="49" s="1"/>
  <c r="X55" i="49"/>
  <c r="AA54" i="49"/>
  <c r="AF54" i="49" s="1"/>
  <c r="U52" i="49"/>
  <c r="AD52" i="49" s="1"/>
  <c r="X51" i="49"/>
  <c r="AA50" i="49"/>
  <c r="AF50" i="49" s="1"/>
  <c r="U51" i="49"/>
  <c r="AD51" i="49" s="1"/>
  <c r="AA49" i="49"/>
  <c r="AF49" i="49" s="1"/>
  <c r="X70" i="49"/>
  <c r="AA69" i="49"/>
  <c r="AF69" i="49" s="1"/>
  <c r="AA65" i="49"/>
  <c r="AF65" i="49" s="1"/>
  <c r="AA61" i="49"/>
  <c r="AF61" i="49" s="1"/>
  <c r="AF53" i="49"/>
  <c r="X74" i="49"/>
  <c r="AA73" i="49"/>
  <c r="AF73" i="49" s="1"/>
  <c r="U70" i="49"/>
  <c r="AD70" i="49" s="1"/>
  <c r="AF72" i="49"/>
  <c r="U73" i="49"/>
  <c r="AD73" i="49" s="1"/>
  <c r="X72" i="49"/>
  <c r="AA71" i="49"/>
  <c r="AF71" i="49" s="1"/>
  <c r="U69" i="49"/>
  <c r="AD69" i="49" s="1"/>
  <c r="X68" i="49"/>
  <c r="AA67" i="49"/>
  <c r="AF67" i="49" s="1"/>
  <c r="U65" i="49"/>
  <c r="AD65" i="49" s="1"/>
  <c r="X64" i="49"/>
  <c r="U61" i="49"/>
  <c r="AD61" i="49" s="1"/>
  <c r="X60" i="49"/>
  <c r="AA59" i="49"/>
  <c r="AF59" i="49" s="1"/>
  <c r="U57" i="49"/>
  <c r="AD57" i="49" s="1"/>
  <c r="X56" i="49"/>
  <c r="AA55" i="49"/>
  <c r="AF55" i="49" s="1"/>
  <c r="X52" i="49"/>
  <c r="AA51" i="49"/>
  <c r="AF51" i="49" s="1"/>
  <c r="U89" i="49"/>
  <c r="AD89" i="49" s="1"/>
  <c r="X89" i="49"/>
  <c r="AA89" i="49"/>
  <c r="U90" i="49"/>
  <c r="AD90" i="49" s="1"/>
  <c r="X90" i="49"/>
  <c r="U91" i="49"/>
  <c r="AD91" i="49" s="1"/>
  <c r="X93" i="49"/>
  <c r="X39" i="49"/>
  <c r="AA39" i="49"/>
  <c r="G15" i="61" l="1"/>
  <c r="F25" i="63"/>
  <c r="E26" i="63"/>
  <c r="L28" i="63"/>
  <c r="M27" i="63"/>
  <c r="G27" i="63" s="1"/>
  <c r="M22" i="61"/>
  <c r="L23" i="61"/>
  <c r="E23" i="61"/>
  <c r="F22" i="61"/>
  <c r="M9" i="55"/>
  <c r="L10" i="55"/>
  <c r="E10" i="55"/>
  <c r="F9" i="55"/>
  <c r="U39" i="49"/>
  <c r="AD39" i="49" s="1"/>
  <c r="U36" i="49"/>
  <c r="AD36" i="49" s="1"/>
  <c r="X35" i="49"/>
  <c r="AA93" i="49"/>
  <c r="X38" i="49"/>
  <c r="U40" i="49"/>
  <c r="AD40" i="49" s="1"/>
  <c r="AA37" i="49"/>
  <c r="AF37" i="49" s="1"/>
  <c r="AA92" i="49"/>
  <c r="AF92" i="49" s="1"/>
  <c r="U38" i="49"/>
  <c r="AD38" i="49" s="1"/>
  <c r="X37" i="49"/>
  <c r="AA36" i="49"/>
  <c r="AF36" i="49" s="1"/>
  <c r="U93" i="49"/>
  <c r="AD93" i="49" s="1"/>
  <c r="X92" i="49"/>
  <c r="AA91" i="49"/>
  <c r="AF91" i="49" s="1"/>
  <c r="AA40" i="49"/>
  <c r="AF40" i="49" s="1"/>
  <c r="U37" i="49"/>
  <c r="AD37" i="49" s="1"/>
  <c r="X36" i="49"/>
  <c r="AA35" i="49"/>
  <c r="AF35" i="49" s="1"/>
  <c r="U92" i="49"/>
  <c r="AD92" i="49" s="1"/>
  <c r="X91" i="49"/>
  <c r="AA90" i="49"/>
  <c r="AF90" i="49" s="1"/>
  <c r="AF39" i="49"/>
  <c r="X40" i="49"/>
  <c r="AA38" i="49"/>
  <c r="AF38" i="49" s="1"/>
  <c r="AF93" i="49"/>
  <c r="AF89" i="49"/>
  <c r="U35" i="49"/>
  <c r="AD35" i="49" s="1"/>
  <c r="L29" i="63" l="1"/>
  <c r="M28" i="63"/>
  <c r="G28" i="63" s="1"/>
  <c r="F26" i="63"/>
  <c r="E27" i="63"/>
  <c r="G8" i="55"/>
  <c r="E24" i="61"/>
  <c r="F23" i="61"/>
  <c r="M23" i="61"/>
  <c r="L24" i="61"/>
  <c r="E11" i="55"/>
  <c r="F10" i="55"/>
  <c r="L11" i="55"/>
  <c r="M10" i="55"/>
  <c r="U4" i="49"/>
  <c r="AD4" i="49" s="1"/>
  <c r="X4" i="49"/>
  <c r="AA4" i="49"/>
  <c r="AF4" i="49" s="1"/>
  <c r="U5" i="49"/>
  <c r="AD5" i="49" s="1"/>
  <c r="X5" i="49"/>
  <c r="AA5" i="49"/>
  <c r="AF5" i="49" s="1"/>
  <c r="U6" i="49"/>
  <c r="AD6" i="49" s="1"/>
  <c r="X6" i="49"/>
  <c r="AA6" i="49"/>
  <c r="U7" i="49"/>
  <c r="AD7" i="49" s="1"/>
  <c r="X7" i="49"/>
  <c r="AA7" i="49"/>
  <c r="U8" i="49"/>
  <c r="AD8" i="49" s="1"/>
  <c r="X8" i="49"/>
  <c r="AA8" i="49"/>
  <c r="U9" i="49"/>
  <c r="AD9" i="49" s="1"/>
  <c r="X9" i="49"/>
  <c r="AA9" i="49"/>
  <c r="U10" i="49"/>
  <c r="AD10" i="49" s="1"/>
  <c r="X10" i="49"/>
  <c r="AA10" i="49"/>
  <c r="AF10" i="49" s="1"/>
  <c r="U11" i="49"/>
  <c r="AD11" i="49" s="1"/>
  <c r="X11" i="49"/>
  <c r="AA11" i="49"/>
  <c r="AF11" i="49" s="1"/>
  <c r="U12" i="49"/>
  <c r="AD12" i="49" s="1"/>
  <c r="X12" i="49"/>
  <c r="AA12" i="49"/>
  <c r="AF12" i="49" s="1"/>
  <c r="U13" i="49"/>
  <c r="AD13" i="49" s="1"/>
  <c r="X13" i="49"/>
  <c r="AA13" i="49"/>
  <c r="AF13" i="49" s="1"/>
  <c r="U14" i="49"/>
  <c r="AD14" i="49" s="1"/>
  <c r="X14" i="49"/>
  <c r="AA14" i="49"/>
  <c r="U15" i="49"/>
  <c r="AD15" i="49" s="1"/>
  <c r="X15" i="49"/>
  <c r="AA15" i="49"/>
  <c r="U16" i="49"/>
  <c r="AD16" i="49" s="1"/>
  <c r="X16" i="49"/>
  <c r="AA16" i="49"/>
  <c r="U17" i="49"/>
  <c r="AD17" i="49" s="1"/>
  <c r="X17" i="49"/>
  <c r="AA17" i="49"/>
  <c r="U18" i="49"/>
  <c r="AD18" i="49" s="1"/>
  <c r="X18" i="49"/>
  <c r="AA18" i="49"/>
  <c r="AF18" i="49" s="1"/>
  <c r="U19" i="49"/>
  <c r="AD19" i="49" s="1"/>
  <c r="X19" i="49"/>
  <c r="AA19" i="49"/>
  <c r="AF19" i="49" s="1"/>
  <c r="U20" i="49"/>
  <c r="AD20" i="49" s="1"/>
  <c r="X20" i="49"/>
  <c r="AA20" i="49"/>
  <c r="AF20" i="49" s="1"/>
  <c r="U21" i="49"/>
  <c r="AD21" i="49" s="1"/>
  <c r="X21" i="49"/>
  <c r="AA21" i="49"/>
  <c r="AF21" i="49" s="1"/>
  <c r="U22" i="49"/>
  <c r="AD22" i="49" s="1"/>
  <c r="X22" i="49"/>
  <c r="AA22" i="49"/>
  <c r="U23" i="49"/>
  <c r="AD23" i="49" s="1"/>
  <c r="X23" i="49"/>
  <c r="AA23" i="49"/>
  <c r="AF23" i="49" s="1"/>
  <c r="U24" i="49"/>
  <c r="AD24" i="49" s="1"/>
  <c r="X24" i="49"/>
  <c r="AA24" i="49"/>
  <c r="AF24" i="49" s="1"/>
  <c r="U25" i="49"/>
  <c r="AD25" i="49" s="1"/>
  <c r="X25" i="49"/>
  <c r="AA25" i="49"/>
  <c r="AF25" i="49" s="1"/>
  <c r="U26" i="49"/>
  <c r="AD26" i="49" s="1"/>
  <c r="X26" i="49"/>
  <c r="AA26" i="49"/>
  <c r="AF26" i="49" s="1"/>
  <c r="U27" i="49"/>
  <c r="AD27" i="49" s="1"/>
  <c r="X27" i="49"/>
  <c r="AA27" i="49"/>
  <c r="AF27" i="49" s="1"/>
  <c r="U28" i="49"/>
  <c r="AD28" i="49" s="1"/>
  <c r="X28" i="49"/>
  <c r="AA28" i="49"/>
  <c r="AF28" i="49" s="1"/>
  <c r="U29" i="49"/>
  <c r="AD29" i="49" s="1"/>
  <c r="X29" i="49"/>
  <c r="AA29" i="49"/>
  <c r="AF29" i="49" s="1"/>
  <c r="U30" i="49"/>
  <c r="AD30" i="49" s="1"/>
  <c r="X30" i="49"/>
  <c r="AA30" i="49"/>
  <c r="AF30" i="49" s="1"/>
  <c r="U31" i="49"/>
  <c r="AD31" i="49" s="1"/>
  <c r="X31" i="49"/>
  <c r="AA31" i="49"/>
  <c r="AF31" i="49" s="1"/>
  <c r="U32" i="49"/>
  <c r="AD32" i="49" s="1"/>
  <c r="X32" i="49"/>
  <c r="AA32" i="49"/>
  <c r="AF32" i="49" s="1"/>
  <c r="U33" i="49"/>
  <c r="AD33" i="49" s="1"/>
  <c r="X33" i="49"/>
  <c r="AA33" i="49"/>
  <c r="U34" i="49"/>
  <c r="AD34" i="49" s="1"/>
  <c r="X34" i="49"/>
  <c r="AA34" i="49"/>
  <c r="AF34" i="49" s="1"/>
  <c r="U41" i="49"/>
  <c r="AD41" i="49" s="1"/>
  <c r="X41" i="49"/>
  <c r="AA41" i="49"/>
  <c r="AF41" i="49" s="1"/>
  <c r="U42" i="49"/>
  <c r="AD42" i="49" s="1"/>
  <c r="X42" i="49"/>
  <c r="AA42" i="49"/>
  <c r="U43" i="49"/>
  <c r="AD43" i="49" s="1"/>
  <c r="X43" i="49"/>
  <c r="AA43" i="49"/>
  <c r="U44" i="49"/>
  <c r="AD44" i="49" s="1"/>
  <c r="X44" i="49"/>
  <c r="AA44" i="49"/>
  <c r="AF44" i="49" s="1"/>
  <c r="U45" i="49"/>
  <c r="AD45" i="49" s="1"/>
  <c r="X45" i="49"/>
  <c r="AA45" i="49"/>
  <c r="AF45" i="49" s="1"/>
  <c r="U46" i="49"/>
  <c r="AD46" i="49" s="1"/>
  <c r="X46" i="49"/>
  <c r="AA46" i="49"/>
  <c r="AF46" i="49" s="1"/>
  <c r="U47" i="49"/>
  <c r="AD47" i="49" s="1"/>
  <c r="X47" i="49"/>
  <c r="AA47" i="49"/>
  <c r="U48" i="49"/>
  <c r="AD48" i="49" s="1"/>
  <c r="X48" i="49"/>
  <c r="AA48" i="49"/>
  <c r="U75" i="49"/>
  <c r="AD75" i="49" s="1"/>
  <c r="X75" i="49"/>
  <c r="AA75" i="49"/>
  <c r="U76" i="49"/>
  <c r="AD76" i="49" s="1"/>
  <c r="X76" i="49"/>
  <c r="AA76" i="49"/>
  <c r="U77" i="49"/>
  <c r="AD77" i="49" s="1"/>
  <c r="X77" i="49"/>
  <c r="AA77" i="49"/>
  <c r="U78" i="49"/>
  <c r="AD78" i="49" s="1"/>
  <c r="X78" i="49"/>
  <c r="AA78" i="49"/>
  <c r="AF78" i="49" s="1"/>
  <c r="U79" i="49"/>
  <c r="AD79" i="49" s="1"/>
  <c r="X79" i="49"/>
  <c r="AA79" i="49"/>
  <c r="AF79" i="49" s="1"/>
  <c r="U80" i="49"/>
  <c r="AD80" i="49" s="1"/>
  <c r="X80" i="49"/>
  <c r="AA80" i="49"/>
  <c r="AF80" i="49" s="1"/>
  <c r="U81" i="49"/>
  <c r="AD81" i="49" s="1"/>
  <c r="X81" i="49"/>
  <c r="AA81" i="49"/>
  <c r="U82" i="49"/>
  <c r="AD82" i="49" s="1"/>
  <c r="X82" i="49"/>
  <c r="AA82" i="49"/>
  <c r="U83" i="49"/>
  <c r="AD83" i="49" s="1"/>
  <c r="X83" i="49"/>
  <c r="AA83" i="49"/>
  <c r="U84" i="49"/>
  <c r="AD84" i="49" s="1"/>
  <c r="X84" i="49"/>
  <c r="AA84" i="49"/>
  <c r="U85" i="49"/>
  <c r="AD85" i="49" s="1"/>
  <c r="X85" i="49"/>
  <c r="AA85" i="49"/>
  <c r="AF85" i="49" s="1"/>
  <c r="U86" i="49"/>
  <c r="AD86" i="49" s="1"/>
  <c r="X86" i="49"/>
  <c r="AA86" i="49"/>
  <c r="AF86" i="49" s="1"/>
  <c r="U87" i="49"/>
  <c r="AD87" i="49" s="1"/>
  <c r="X87" i="49"/>
  <c r="AA87" i="49"/>
  <c r="AF87" i="49" s="1"/>
  <c r="U88" i="49"/>
  <c r="AD88" i="49" s="1"/>
  <c r="X88" i="49"/>
  <c r="AA88" i="49"/>
  <c r="AF88" i="49" s="1"/>
  <c r="U94" i="49"/>
  <c r="AD94" i="49" s="1"/>
  <c r="X94" i="49"/>
  <c r="AA94" i="49"/>
  <c r="AF94" i="49" s="1"/>
  <c r="U95" i="49"/>
  <c r="AD95" i="49" s="1"/>
  <c r="X95" i="49"/>
  <c r="AA95" i="49"/>
  <c r="AF95" i="49" s="1"/>
  <c r="U96" i="49"/>
  <c r="AD96" i="49" s="1"/>
  <c r="X96" i="49"/>
  <c r="AA96" i="49"/>
  <c r="AF96" i="49" s="1"/>
  <c r="U97" i="49"/>
  <c r="AD97" i="49" s="1"/>
  <c r="X97" i="49"/>
  <c r="AA97" i="49"/>
  <c r="AF97" i="49" s="1"/>
  <c r="U98" i="49"/>
  <c r="AD98" i="49" s="1"/>
  <c r="X98" i="49"/>
  <c r="AA98" i="49"/>
  <c r="G19" i="61" l="1"/>
  <c r="F27" i="63"/>
  <c r="E28" i="63"/>
  <c r="M29" i="63"/>
  <c r="G29" i="63" s="1"/>
  <c r="L30" i="63"/>
  <c r="G10" i="55"/>
  <c r="G4" i="55"/>
  <c r="M24" i="61"/>
  <c r="L25" i="61"/>
  <c r="E25" i="61"/>
  <c r="F24" i="61"/>
  <c r="M11" i="55"/>
  <c r="L12" i="55"/>
  <c r="F11" i="55"/>
  <c r="E12" i="55"/>
  <c r="AF81" i="49"/>
  <c r="AF47" i="49"/>
  <c r="AF22" i="49"/>
  <c r="AF14" i="49"/>
  <c r="AF6" i="49"/>
  <c r="AF82" i="49"/>
  <c r="AF48" i="49"/>
  <c r="AF15" i="49"/>
  <c r="AF7" i="49"/>
  <c r="AF83" i="49"/>
  <c r="AF75" i="49"/>
  <c r="AF16" i="49"/>
  <c r="AF8" i="49"/>
  <c r="AF84" i="49"/>
  <c r="AF76" i="49"/>
  <c r="AF42" i="49"/>
  <c r="AF33" i="49"/>
  <c r="AF17" i="49"/>
  <c r="AF9" i="49"/>
  <c r="AF98" i="49"/>
  <c r="AF77" i="49"/>
  <c r="AF43" i="49"/>
  <c r="F28" i="63" l="1"/>
  <c r="E29" i="63"/>
  <c r="M30" i="63"/>
  <c r="G30" i="63" s="1"/>
  <c r="L31" i="63"/>
  <c r="G11" i="55"/>
  <c r="G6" i="55"/>
  <c r="F25" i="61"/>
  <c r="E26" i="61"/>
  <c r="M25" i="61"/>
  <c r="L26" i="61"/>
  <c r="F12" i="55"/>
  <c r="E13" i="55"/>
  <c r="M12" i="55"/>
  <c r="L13" i="55"/>
  <c r="F105" i="49"/>
  <c r="F126" i="49" s="1"/>
  <c r="G105" i="49"/>
  <c r="G126" i="49" s="1"/>
  <c r="H105" i="49"/>
  <c r="H126" i="49" s="1"/>
  <c r="F113" i="49"/>
  <c r="G113" i="49"/>
  <c r="H113" i="49"/>
  <c r="F124" i="49"/>
  <c r="G124" i="49"/>
  <c r="H124" i="49"/>
  <c r="I113" i="49"/>
  <c r="J113" i="49"/>
  <c r="I124" i="49"/>
  <c r="J124" i="49"/>
  <c r="F29" i="63" l="1"/>
  <c r="E30" i="63"/>
  <c r="M31" i="63"/>
  <c r="G31" i="63" s="1"/>
  <c r="L32" i="63"/>
  <c r="L27" i="61"/>
  <c r="M26" i="61"/>
  <c r="F26" i="61"/>
  <c r="E27" i="61"/>
  <c r="L14" i="55"/>
  <c r="M13" i="55"/>
  <c r="G13" i="55" s="1"/>
  <c r="F13" i="55"/>
  <c r="E14" i="55"/>
  <c r="I105" i="49"/>
  <c r="I126" i="49" s="1"/>
  <c r="J105" i="49"/>
  <c r="J126" i="49" s="1"/>
  <c r="J105" i="53"/>
  <c r="K104" i="53" s="1"/>
  <c r="C105" i="53"/>
  <c r="D102" i="53" s="1"/>
  <c r="R126" i="52"/>
  <c r="Q126" i="52"/>
  <c r="P126" i="52"/>
  <c r="O126" i="52"/>
  <c r="M126" i="52"/>
  <c r="K126" i="52"/>
  <c r="AZ124" i="52"/>
  <c r="AO124" i="52"/>
  <c r="AN124" i="52"/>
  <c r="AM124" i="52"/>
  <c r="AL124" i="52"/>
  <c r="AK124" i="52"/>
  <c r="AJ124" i="52"/>
  <c r="AI124" i="52"/>
  <c r="AH124" i="52"/>
  <c r="AU124" i="52" s="1"/>
  <c r="AG124" i="52"/>
  <c r="AE124" i="52"/>
  <c r="AF124" i="52" s="1"/>
  <c r="AD124" i="52"/>
  <c r="AC124" i="52"/>
  <c r="AB124" i="52"/>
  <c r="AA124" i="52"/>
  <c r="Z124" i="52"/>
  <c r="Y124" i="52"/>
  <c r="X124" i="52"/>
  <c r="W124" i="52"/>
  <c r="V124" i="52"/>
  <c r="U124" i="52"/>
  <c r="T124" i="52"/>
  <c r="S124" i="52"/>
  <c r="N124" i="52"/>
  <c r="L124" i="52"/>
  <c r="E124" i="52"/>
  <c r="AX123" i="52"/>
  <c r="AW123" i="52"/>
  <c r="AV123" i="52"/>
  <c r="AU123" i="52"/>
  <c r="AT123" i="52"/>
  <c r="AS123" i="52"/>
  <c r="AR123" i="52"/>
  <c r="AQ123" i="52"/>
  <c r="AZ113" i="52"/>
  <c r="AO113" i="52"/>
  <c r="AN113" i="52"/>
  <c r="AM113" i="52"/>
  <c r="AL113" i="52"/>
  <c r="AK113" i="52"/>
  <c r="AK126" i="52" s="1"/>
  <c r="AJ113" i="52"/>
  <c r="AI113" i="52"/>
  <c r="AH113" i="52"/>
  <c r="AU113" i="52" s="1"/>
  <c r="AG113" i="52"/>
  <c r="AE113" i="52"/>
  <c r="AF113" i="52" s="1"/>
  <c r="AD113" i="52"/>
  <c r="AC113" i="52"/>
  <c r="AB113" i="52"/>
  <c r="AA113" i="52"/>
  <c r="Z113" i="52"/>
  <c r="Y113" i="52"/>
  <c r="X113" i="52"/>
  <c r="W113" i="52"/>
  <c r="V113" i="52"/>
  <c r="U113" i="52"/>
  <c r="T113" i="52"/>
  <c r="S113" i="52"/>
  <c r="N113" i="52"/>
  <c r="L113" i="52"/>
  <c r="E113" i="52"/>
  <c r="AX112" i="52"/>
  <c r="AW112" i="52"/>
  <c r="AV112" i="52"/>
  <c r="AU112" i="52"/>
  <c r="AT112" i="52"/>
  <c r="AS112" i="52"/>
  <c r="AR112" i="52"/>
  <c r="AQ112" i="52"/>
  <c r="AM105" i="52"/>
  <c r="AK105" i="52"/>
  <c r="AJ105" i="52"/>
  <c r="AJ126" i="52" s="1"/>
  <c r="AI105" i="52"/>
  <c r="AH105" i="52"/>
  <c r="AH126" i="52" s="1"/>
  <c r="AG105" i="52"/>
  <c r="AE105" i="52"/>
  <c r="Z105" i="52"/>
  <c r="Y105" i="52"/>
  <c r="W105" i="52"/>
  <c r="V105" i="52"/>
  <c r="T105" i="52"/>
  <c r="S105" i="52"/>
  <c r="N105" i="52"/>
  <c r="AL28" i="52"/>
  <c r="AU103" i="52"/>
  <c r="AT103" i="52"/>
  <c r="AR103" i="52"/>
  <c r="AN103" i="52"/>
  <c r="Q103" i="52"/>
  <c r="E103" i="52"/>
  <c r="L103" i="52" s="1"/>
  <c r="AU102" i="52"/>
  <c r="AT102" i="52"/>
  <c r="AR102" i="52"/>
  <c r="AN102" i="52"/>
  <c r="R102" i="52"/>
  <c r="Q102" i="52"/>
  <c r="E102" i="52"/>
  <c r="L102" i="52" s="1"/>
  <c r="AU101" i="52"/>
  <c r="AT101" i="52"/>
  <c r="AR101" i="52"/>
  <c r="AN101" i="52"/>
  <c r="R101" i="52"/>
  <c r="Q101" i="52"/>
  <c r="E101" i="52"/>
  <c r="L101" i="52" s="1"/>
  <c r="AU100" i="52"/>
  <c r="AT100" i="52"/>
  <c r="AR100" i="52"/>
  <c r="AN100" i="52"/>
  <c r="R100" i="52"/>
  <c r="Q100" i="52"/>
  <c r="E100" i="52"/>
  <c r="L100" i="52" s="1"/>
  <c r="AU99" i="52"/>
  <c r="AT99" i="52"/>
  <c r="AR99" i="52"/>
  <c r="AN99" i="52"/>
  <c r="R99" i="52"/>
  <c r="Q99" i="52"/>
  <c r="E99" i="52"/>
  <c r="L99" i="52" s="1"/>
  <c r="AU98" i="52"/>
  <c r="AT98" i="52"/>
  <c r="AR98" i="52"/>
  <c r="AN98" i="52"/>
  <c r="R98" i="52"/>
  <c r="Q98" i="52"/>
  <c r="E98" i="52"/>
  <c r="L98" i="52" s="1"/>
  <c r="AU97" i="52"/>
  <c r="AT97" i="52"/>
  <c r="AR97" i="52"/>
  <c r="AN97" i="52"/>
  <c r="Q97" i="52"/>
  <c r="E97" i="52"/>
  <c r="L97" i="52" s="1"/>
  <c r="AU96" i="52"/>
  <c r="AT96" i="52"/>
  <c r="AR96" i="52"/>
  <c r="AN96" i="52"/>
  <c r="R96" i="52"/>
  <c r="Q96" i="52"/>
  <c r="E96" i="52"/>
  <c r="L96" i="52" s="1"/>
  <c r="AU95" i="52"/>
  <c r="AT95" i="52"/>
  <c r="AR95" i="52"/>
  <c r="AN95" i="52"/>
  <c r="Q95" i="52"/>
  <c r="E95" i="52"/>
  <c r="L95" i="52" s="1"/>
  <c r="AU94" i="52"/>
  <c r="AT94" i="52"/>
  <c r="AR94" i="52"/>
  <c r="AN94" i="52"/>
  <c r="R94" i="52"/>
  <c r="Q94" i="52"/>
  <c r="E94" i="52"/>
  <c r="L94" i="52" s="1"/>
  <c r="AU93" i="52"/>
  <c r="AT93" i="52"/>
  <c r="AR93" i="52"/>
  <c r="AN93" i="52"/>
  <c r="R93" i="52"/>
  <c r="Q93" i="52"/>
  <c r="E93" i="52"/>
  <c r="L93" i="52" s="1"/>
  <c r="AU92" i="52"/>
  <c r="AT92" i="52"/>
  <c r="AR92" i="52"/>
  <c r="AN92" i="52"/>
  <c r="R92" i="52"/>
  <c r="Q92" i="52"/>
  <c r="E92" i="52"/>
  <c r="L92" i="52" s="1"/>
  <c r="AU91" i="52"/>
  <c r="AT91" i="52"/>
  <c r="AR91" i="52"/>
  <c r="AN91" i="52"/>
  <c r="R91" i="52"/>
  <c r="Q91" i="52"/>
  <c r="E91" i="52"/>
  <c r="L91" i="52" s="1"/>
  <c r="AU90" i="52"/>
  <c r="AT90" i="52"/>
  <c r="AR90" i="52"/>
  <c r="AN90" i="52"/>
  <c r="R90" i="52"/>
  <c r="Q90" i="52"/>
  <c r="E90" i="52"/>
  <c r="L90" i="52" s="1"/>
  <c r="AU89" i="52"/>
  <c r="AT89" i="52"/>
  <c r="AR89" i="52"/>
  <c r="AN89" i="52"/>
  <c r="Q89" i="52"/>
  <c r="E89" i="52"/>
  <c r="L89" i="52" s="1"/>
  <c r="AU88" i="52"/>
  <c r="AT88" i="52"/>
  <c r="AR88" i="52"/>
  <c r="AN88" i="52"/>
  <c r="R88" i="52"/>
  <c r="Q88" i="52"/>
  <c r="E88" i="52"/>
  <c r="L88" i="52" s="1"/>
  <c r="AU87" i="52"/>
  <c r="AT87" i="52"/>
  <c r="AR87" i="52"/>
  <c r="AN87" i="52"/>
  <c r="Q87" i="52"/>
  <c r="E87" i="52"/>
  <c r="L87" i="52" s="1"/>
  <c r="AU86" i="52"/>
  <c r="AT86" i="52"/>
  <c r="AR86" i="52"/>
  <c r="AN86" i="52"/>
  <c r="R86" i="52"/>
  <c r="Q86" i="52"/>
  <c r="E86" i="52"/>
  <c r="L86" i="52" s="1"/>
  <c r="AU85" i="52"/>
  <c r="AT85" i="52"/>
  <c r="AR85" i="52"/>
  <c r="AN85" i="52"/>
  <c r="R85" i="52"/>
  <c r="Q85" i="52"/>
  <c r="E85" i="52"/>
  <c r="L85" i="52" s="1"/>
  <c r="AU84" i="52"/>
  <c r="AT84" i="52"/>
  <c r="AR84" i="52"/>
  <c r="AN84" i="52"/>
  <c r="R84" i="52"/>
  <c r="Q84" i="52"/>
  <c r="E84" i="52"/>
  <c r="L84" i="52" s="1"/>
  <c r="AU83" i="52"/>
  <c r="AT83" i="52"/>
  <c r="AR83" i="52"/>
  <c r="AN83" i="52"/>
  <c r="R83" i="52"/>
  <c r="Q83" i="52"/>
  <c r="E83" i="52"/>
  <c r="L83" i="52" s="1"/>
  <c r="AU82" i="52"/>
  <c r="AT82" i="52"/>
  <c r="AR82" i="52"/>
  <c r="AN82" i="52"/>
  <c r="R82" i="52"/>
  <c r="Q82" i="52"/>
  <c r="E82" i="52"/>
  <c r="L82" i="52" s="1"/>
  <c r="AU81" i="52"/>
  <c r="AT81" i="52"/>
  <c r="AR81" i="52"/>
  <c r="AN81" i="52"/>
  <c r="Q81" i="52"/>
  <c r="E81" i="52"/>
  <c r="L81" i="52" s="1"/>
  <c r="AU80" i="52"/>
  <c r="AT80" i="52"/>
  <c r="AR80" i="52"/>
  <c r="AN80" i="52"/>
  <c r="R80" i="52"/>
  <c r="Q80" i="52"/>
  <c r="E80" i="52"/>
  <c r="L80" i="52" s="1"/>
  <c r="AU79" i="52"/>
  <c r="AT79" i="52"/>
  <c r="AR79" i="52"/>
  <c r="AN79" i="52"/>
  <c r="Q79" i="52"/>
  <c r="E79" i="52"/>
  <c r="L79" i="52" s="1"/>
  <c r="AU78" i="52"/>
  <c r="AT78" i="52"/>
  <c r="AR78" i="52"/>
  <c r="AN78" i="52"/>
  <c r="R78" i="52"/>
  <c r="Q78" i="52"/>
  <c r="E78" i="52"/>
  <c r="L78" i="52" s="1"/>
  <c r="AU77" i="52"/>
  <c r="AT77" i="52"/>
  <c r="AR77" i="52"/>
  <c r="AN77" i="52"/>
  <c r="R77" i="52"/>
  <c r="Q77" i="52"/>
  <c r="E77" i="52"/>
  <c r="L77" i="52" s="1"/>
  <c r="AU76" i="52"/>
  <c r="AT76" i="52"/>
  <c r="AR76" i="52"/>
  <c r="AN76" i="52"/>
  <c r="R76" i="52"/>
  <c r="Q76" i="52"/>
  <c r="E76" i="52"/>
  <c r="L76" i="52" s="1"/>
  <c r="AU75" i="52"/>
  <c r="AT75" i="52"/>
  <c r="AR75" i="52"/>
  <c r="AN75" i="52"/>
  <c r="R75" i="52"/>
  <c r="Q75" i="52"/>
  <c r="E75" i="52"/>
  <c r="L75" i="52" s="1"/>
  <c r="AU74" i="52"/>
  <c r="AT74" i="52"/>
  <c r="AR74" i="52"/>
  <c r="AN74" i="52"/>
  <c r="R74" i="52"/>
  <c r="Q74" i="52"/>
  <c r="E74" i="52"/>
  <c r="L74" i="52" s="1"/>
  <c r="AU73" i="52"/>
  <c r="AT73" i="52"/>
  <c r="AR73" i="52"/>
  <c r="AN73" i="52"/>
  <c r="Q73" i="52"/>
  <c r="E73" i="52"/>
  <c r="L73" i="52" s="1"/>
  <c r="AU72" i="52"/>
  <c r="AT72" i="52"/>
  <c r="AR72" i="52"/>
  <c r="AN72" i="52"/>
  <c r="R72" i="52"/>
  <c r="Q72" i="52"/>
  <c r="E72" i="52"/>
  <c r="L72" i="52" s="1"/>
  <c r="AU71" i="52"/>
  <c r="AT71" i="52"/>
  <c r="AR71" i="52"/>
  <c r="AN71" i="52"/>
  <c r="Q71" i="52"/>
  <c r="E71" i="52"/>
  <c r="L71" i="52" s="1"/>
  <c r="AU70" i="52"/>
  <c r="AT70" i="52"/>
  <c r="AR70" i="52"/>
  <c r="AN70" i="52"/>
  <c r="R70" i="52"/>
  <c r="Q70" i="52"/>
  <c r="E70" i="52"/>
  <c r="L70" i="52" s="1"/>
  <c r="AU69" i="52"/>
  <c r="AT69" i="52"/>
  <c r="AR69" i="52"/>
  <c r="AN69" i="52"/>
  <c r="R69" i="52"/>
  <c r="Q69" i="52"/>
  <c r="E69" i="52"/>
  <c r="L69" i="52" s="1"/>
  <c r="AU68" i="52"/>
  <c r="AT68" i="52"/>
  <c r="AR68" i="52"/>
  <c r="AN68" i="52"/>
  <c r="R68" i="52"/>
  <c r="Q68" i="52"/>
  <c r="E68" i="52"/>
  <c r="L68" i="52" s="1"/>
  <c r="AU67" i="52"/>
  <c r="AT67" i="52"/>
  <c r="AR67" i="52"/>
  <c r="AN67" i="52"/>
  <c r="R67" i="52"/>
  <c r="Q67" i="52"/>
  <c r="E67" i="52"/>
  <c r="L67" i="52" s="1"/>
  <c r="AU66" i="52"/>
  <c r="AT66" i="52"/>
  <c r="AR66" i="52"/>
  <c r="AN66" i="52"/>
  <c r="R66" i="52"/>
  <c r="Q66" i="52"/>
  <c r="E66" i="52"/>
  <c r="L66" i="52" s="1"/>
  <c r="AU65" i="52"/>
  <c r="AT65" i="52"/>
  <c r="AS65" i="52"/>
  <c r="AR65" i="52"/>
  <c r="AN65" i="52"/>
  <c r="AQ65" i="52"/>
  <c r="AW65" i="52" s="1"/>
  <c r="R65" i="52"/>
  <c r="Q65" i="52"/>
  <c r="E65" i="52"/>
  <c r="L65" i="52" s="1"/>
  <c r="AU64" i="52"/>
  <c r="AT64" i="52"/>
  <c r="AS64" i="52"/>
  <c r="AR64" i="52"/>
  <c r="AN64" i="52"/>
  <c r="AQ64" i="52"/>
  <c r="AW64" i="52" s="1"/>
  <c r="R64" i="52"/>
  <c r="Q64" i="52"/>
  <c r="E64" i="52"/>
  <c r="L64" i="52" s="1"/>
  <c r="AU63" i="52"/>
  <c r="AT63" i="52"/>
  <c r="AS63" i="52"/>
  <c r="AR63" i="52"/>
  <c r="AN63" i="52"/>
  <c r="AQ63" i="52"/>
  <c r="AW63" i="52" s="1"/>
  <c r="R63" i="52"/>
  <c r="Q63" i="52"/>
  <c r="E63" i="52"/>
  <c r="L63" i="52" s="1"/>
  <c r="AU62" i="52"/>
  <c r="AT62" i="52"/>
  <c r="AS62" i="52"/>
  <c r="AR62" i="52"/>
  <c r="AN62" i="52"/>
  <c r="AQ62" i="52"/>
  <c r="AW62" i="52" s="1"/>
  <c r="R62" i="52"/>
  <c r="Q62" i="52"/>
  <c r="E62" i="52"/>
  <c r="L62" i="52" s="1"/>
  <c r="AU61" i="52"/>
  <c r="AT61" i="52"/>
  <c r="AS61" i="52"/>
  <c r="AR61" i="52"/>
  <c r="AN61" i="52"/>
  <c r="AQ61" i="52"/>
  <c r="R61" i="52"/>
  <c r="Q61" i="52"/>
  <c r="E61" i="52"/>
  <c r="L61" i="52" s="1"/>
  <c r="AU60" i="52"/>
  <c r="AT60" i="52"/>
  <c r="AS60" i="52"/>
  <c r="AR60" i="52"/>
  <c r="AN60" i="52"/>
  <c r="AQ60" i="52"/>
  <c r="AW60" i="52" s="1"/>
  <c r="R60" i="52"/>
  <c r="Q60" i="52"/>
  <c r="E60" i="52"/>
  <c r="L60" i="52" s="1"/>
  <c r="AU59" i="52"/>
  <c r="AT59" i="52"/>
  <c r="AS59" i="52"/>
  <c r="AR59" i="52"/>
  <c r="AN59" i="52"/>
  <c r="AQ59" i="52"/>
  <c r="AW59" i="52" s="1"/>
  <c r="R59" i="52"/>
  <c r="Q59" i="52"/>
  <c r="E59" i="52"/>
  <c r="L59" i="52" s="1"/>
  <c r="AU58" i="52"/>
  <c r="AT58" i="52"/>
  <c r="AS58" i="52"/>
  <c r="AR58" i="52"/>
  <c r="AN58" i="52"/>
  <c r="AQ58" i="52"/>
  <c r="AW58" i="52" s="1"/>
  <c r="R58" i="52"/>
  <c r="Q58" i="52"/>
  <c r="E58" i="52"/>
  <c r="L58" i="52" s="1"/>
  <c r="AU57" i="52"/>
  <c r="AT57" i="52"/>
  <c r="AS57" i="52"/>
  <c r="AR57" i="52"/>
  <c r="AN57" i="52"/>
  <c r="AQ57" i="52"/>
  <c r="AW57" i="52" s="1"/>
  <c r="R57" i="52"/>
  <c r="Q57" i="52"/>
  <c r="E57" i="52"/>
  <c r="L57" i="52" s="1"/>
  <c r="AU56" i="52"/>
  <c r="AT56" i="52"/>
  <c r="AS56" i="52"/>
  <c r="AR56" i="52"/>
  <c r="AN56" i="52"/>
  <c r="AQ56" i="52"/>
  <c r="AW56" i="52" s="1"/>
  <c r="R56" i="52"/>
  <c r="Q56" i="52"/>
  <c r="E56" i="52"/>
  <c r="L56" i="52" s="1"/>
  <c r="AU55" i="52"/>
  <c r="AT55" i="52"/>
  <c r="AS55" i="52"/>
  <c r="AR55" i="52"/>
  <c r="AN55" i="52"/>
  <c r="AQ55" i="52"/>
  <c r="AW55" i="52" s="1"/>
  <c r="R55" i="52"/>
  <c r="Q55" i="52"/>
  <c r="E55" i="52"/>
  <c r="L55" i="52" s="1"/>
  <c r="AU54" i="52"/>
  <c r="AT54" i="52"/>
  <c r="AS54" i="52"/>
  <c r="AR54" i="52"/>
  <c r="AN54" i="52"/>
  <c r="AQ54" i="52"/>
  <c r="R54" i="52"/>
  <c r="Q54" i="52"/>
  <c r="E54" i="52"/>
  <c r="L54" i="52" s="1"/>
  <c r="AU53" i="52"/>
  <c r="AT53" i="52"/>
  <c r="AS53" i="52"/>
  <c r="AR53" i="52"/>
  <c r="AN53" i="52"/>
  <c r="AQ53" i="52"/>
  <c r="R53" i="52"/>
  <c r="Q53" i="52"/>
  <c r="E53" i="52"/>
  <c r="L53" i="52" s="1"/>
  <c r="AU52" i="52"/>
  <c r="AT52" i="52"/>
  <c r="AS52" i="52"/>
  <c r="AR52" i="52"/>
  <c r="AN52" i="52"/>
  <c r="AQ52" i="52"/>
  <c r="R52" i="52"/>
  <c r="Q52" i="52"/>
  <c r="E52" i="52"/>
  <c r="L52" i="52" s="1"/>
  <c r="AU51" i="52"/>
  <c r="AT51" i="52"/>
  <c r="AS51" i="52"/>
  <c r="AR51" i="52"/>
  <c r="AN51" i="52"/>
  <c r="AQ51" i="52"/>
  <c r="AW51" i="52" s="1"/>
  <c r="R51" i="52"/>
  <c r="Q51" i="52"/>
  <c r="E51" i="52"/>
  <c r="L51" i="52" s="1"/>
  <c r="AU50" i="52"/>
  <c r="AT50" i="52"/>
  <c r="AS50" i="52"/>
  <c r="AR50" i="52"/>
  <c r="AN50" i="52"/>
  <c r="AQ50" i="52"/>
  <c r="R50" i="52"/>
  <c r="Q50" i="52"/>
  <c r="E50" i="52"/>
  <c r="L50" i="52" s="1"/>
  <c r="AU49" i="52"/>
  <c r="AT49" i="52"/>
  <c r="AS49" i="52"/>
  <c r="AR49" i="52"/>
  <c r="AN49" i="52"/>
  <c r="AQ49" i="52"/>
  <c r="R49" i="52"/>
  <c r="Q49" i="52"/>
  <c r="E49" i="52"/>
  <c r="L49" i="52" s="1"/>
  <c r="AU48" i="52"/>
  <c r="AT48" i="52"/>
  <c r="AS48" i="52"/>
  <c r="AR48" i="52"/>
  <c r="AN48" i="52"/>
  <c r="AQ48" i="52"/>
  <c r="R48" i="52"/>
  <c r="Q48" i="52"/>
  <c r="E48" i="52"/>
  <c r="L48" i="52" s="1"/>
  <c r="AU47" i="52"/>
  <c r="AT47" i="52"/>
  <c r="AS47" i="52"/>
  <c r="AR47" i="52"/>
  <c r="AN47" i="52"/>
  <c r="AQ47" i="52"/>
  <c r="R47" i="52"/>
  <c r="Q47" i="52"/>
  <c r="E47" i="52"/>
  <c r="L47" i="52" s="1"/>
  <c r="AU46" i="52"/>
  <c r="AT46" i="52"/>
  <c r="AS46" i="52"/>
  <c r="AR46" i="52"/>
  <c r="AN46" i="52"/>
  <c r="AQ46" i="52"/>
  <c r="AW46" i="52" s="1"/>
  <c r="R46" i="52"/>
  <c r="Q46" i="52"/>
  <c r="E46" i="52"/>
  <c r="L46" i="52" s="1"/>
  <c r="AU45" i="52"/>
  <c r="AT45" i="52"/>
  <c r="AS45" i="52"/>
  <c r="AR45" i="52"/>
  <c r="AN45" i="52"/>
  <c r="AQ45" i="52"/>
  <c r="R45" i="52"/>
  <c r="Q45" i="52"/>
  <c r="E45" i="52"/>
  <c r="L45" i="52" s="1"/>
  <c r="AU44" i="52"/>
  <c r="AT44" i="52"/>
  <c r="AS44" i="52"/>
  <c r="AR44" i="52"/>
  <c r="AQ44" i="52"/>
  <c r="AN44" i="52"/>
  <c r="R44" i="52"/>
  <c r="Q44" i="52"/>
  <c r="E44" i="52"/>
  <c r="L44" i="52" s="1"/>
  <c r="AU43" i="52"/>
  <c r="AT43" i="52"/>
  <c r="AS43" i="52"/>
  <c r="AR43" i="52"/>
  <c r="AQ43" i="52"/>
  <c r="AW43" i="52" s="1"/>
  <c r="AN43" i="52"/>
  <c r="R43" i="52"/>
  <c r="Q43" i="52"/>
  <c r="E43" i="52"/>
  <c r="L43" i="52" s="1"/>
  <c r="AU42" i="52"/>
  <c r="AT42" i="52"/>
  <c r="AS42" i="52"/>
  <c r="AR42" i="52"/>
  <c r="AQ42" i="52"/>
  <c r="AW42" i="52" s="1"/>
  <c r="AN42" i="52"/>
  <c r="R42" i="52"/>
  <c r="Q42" i="52"/>
  <c r="E42" i="52"/>
  <c r="L42" i="52" s="1"/>
  <c r="AU41" i="52"/>
  <c r="AT41" i="52"/>
  <c r="AR41" i="52"/>
  <c r="AN41" i="52"/>
  <c r="Q41" i="52"/>
  <c r="E41" i="52"/>
  <c r="L41" i="52" s="1"/>
  <c r="AU40" i="52"/>
  <c r="AT40" i="52"/>
  <c r="AR40" i="52"/>
  <c r="AN40" i="52"/>
  <c r="Q40" i="52"/>
  <c r="E40" i="52"/>
  <c r="L40" i="52" s="1"/>
  <c r="AU39" i="52"/>
  <c r="AT39" i="52"/>
  <c r="AR39" i="52"/>
  <c r="AN39" i="52"/>
  <c r="Q39" i="52"/>
  <c r="E39" i="52"/>
  <c r="L39" i="52" s="1"/>
  <c r="AU38" i="52"/>
  <c r="AT38" i="52"/>
  <c r="AR38" i="52"/>
  <c r="AN38" i="52"/>
  <c r="Q38" i="52"/>
  <c r="E38" i="52"/>
  <c r="L38" i="52" s="1"/>
  <c r="AU37" i="52"/>
  <c r="AT37" i="52"/>
  <c r="AR37" i="52"/>
  <c r="AN37" i="52"/>
  <c r="Q37" i="52"/>
  <c r="E37" i="52"/>
  <c r="L37" i="52" s="1"/>
  <c r="AU36" i="52"/>
  <c r="AT36" i="52"/>
  <c r="AR36" i="52"/>
  <c r="AN36" i="52"/>
  <c r="Q36" i="52"/>
  <c r="E36" i="52"/>
  <c r="L36" i="52" s="1"/>
  <c r="AU35" i="52"/>
  <c r="AT35" i="52"/>
  <c r="AR35" i="52"/>
  <c r="AN35" i="52"/>
  <c r="Q35" i="52"/>
  <c r="E35" i="52"/>
  <c r="L35" i="52" s="1"/>
  <c r="AU34" i="52"/>
  <c r="AT34" i="52"/>
  <c r="AR34" i="52"/>
  <c r="AN34" i="52"/>
  <c r="Q34" i="52"/>
  <c r="E34" i="52"/>
  <c r="L34" i="52" s="1"/>
  <c r="AU33" i="52"/>
  <c r="AT33" i="52"/>
  <c r="AR33" i="52"/>
  <c r="AN33" i="52"/>
  <c r="Q33" i="52"/>
  <c r="E33" i="52"/>
  <c r="L33" i="52" s="1"/>
  <c r="AU32" i="52"/>
  <c r="AT32" i="52"/>
  <c r="AR32" i="52"/>
  <c r="AN32" i="52"/>
  <c r="Q32" i="52"/>
  <c r="E32" i="52"/>
  <c r="L32" i="52" s="1"/>
  <c r="AU31" i="52"/>
  <c r="AT31" i="52"/>
  <c r="AR31" i="52"/>
  <c r="AN31" i="52"/>
  <c r="Q31" i="52"/>
  <c r="E31" i="52"/>
  <c r="L31" i="52" s="1"/>
  <c r="AU30" i="52"/>
  <c r="AT30" i="52"/>
  <c r="AR30" i="52"/>
  <c r="AN30" i="52"/>
  <c r="Q30" i="52"/>
  <c r="E30" i="52"/>
  <c r="L30" i="52" s="1"/>
  <c r="AU29" i="52"/>
  <c r="AT29" i="52"/>
  <c r="AR29" i="52"/>
  <c r="AN29" i="52"/>
  <c r="Q29" i="52"/>
  <c r="E29" i="52"/>
  <c r="L29" i="52" s="1"/>
  <c r="AU28" i="52"/>
  <c r="AT28" i="52"/>
  <c r="AR28" i="52"/>
  <c r="AN28" i="52"/>
  <c r="R28" i="52"/>
  <c r="Q28" i="52"/>
  <c r="E28" i="52"/>
  <c r="L28" i="52" s="1"/>
  <c r="AU27" i="52"/>
  <c r="AT27" i="52"/>
  <c r="AR27" i="52"/>
  <c r="AN27" i="52"/>
  <c r="Q27" i="52"/>
  <c r="E27" i="52"/>
  <c r="L27" i="52" s="1"/>
  <c r="AU26" i="52"/>
  <c r="AT26" i="52"/>
  <c r="AR26" i="52"/>
  <c r="AN26" i="52"/>
  <c r="R26" i="52"/>
  <c r="Q26" i="52"/>
  <c r="E26" i="52"/>
  <c r="L26" i="52" s="1"/>
  <c r="AU25" i="52"/>
  <c r="AT25" i="52"/>
  <c r="AR25" i="52"/>
  <c r="AN25" i="52"/>
  <c r="R25" i="52"/>
  <c r="Q25" i="52"/>
  <c r="E25" i="52"/>
  <c r="L25" i="52" s="1"/>
  <c r="AU24" i="52"/>
  <c r="AT24" i="52"/>
  <c r="AR24" i="52"/>
  <c r="AN24" i="52"/>
  <c r="Q24" i="52"/>
  <c r="E24" i="52"/>
  <c r="L24" i="52" s="1"/>
  <c r="AU23" i="52"/>
  <c r="AT23" i="52"/>
  <c r="AR23" i="52"/>
  <c r="AN23" i="52"/>
  <c r="R23" i="52"/>
  <c r="Q23" i="52"/>
  <c r="E23" i="52"/>
  <c r="L23" i="52" s="1"/>
  <c r="AU22" i="52"/>
  <c r="AT22" i="52"/>
  <c r="AR22" i="52"/>
  <c r="AN22" i="52"/>
  <c r="Q22" i="52"/>
  <c r="E22" i="52"/>
  <c r="L22" i="52" s="1"/>
  <c r="AU21" i="52"/>
  <c r="AT21" i="52"/>
  <c r="AR21" i="52"/>
  <c r="AN21" i="52"/>
  <c r="R21" i="52"/>
  <c r="Q21" i="52"/>
  <c r="E21" i="52"/>
  <c r="L21" i="52" s="1"/>
  <c r="AU20" i="52"/>
  <c r="AT20" i="52"/>
  <c r="AR20" i="52"/>
  <c r="AN20" i="52"/>
  <c r="R20" i="52"/>
  <c r="Q20" i="52"/>
  <c r="E20" i="52"/>
  <c r="L20" i="52" s="1"/>
  <c r="AU19" i="52"/>
  <c r="AT19" i="52"/>
  <c r="AR19" i="52"/>
  <c r="AN19" i="52"/>
  <c r="Q19" i="52"/>
  <c r="E19" i="52"/>
  <c r="L19" i="52" s="1"/>
  <c r="AU18" i="52"/>
  <c r="AT18" i="52"/>
  <c r="AR18" i="52"/>
  <c r="AN18" i="52"/>
  <c r="R18" i="52"/>
  <c r="Q18" i="52"/>
  <c r="E18" i="52"/>
  <c r="L18" i="52" s="1"/>
  <c r="AU17" i="52"/>
  <c r="AT17" i="52"/>
  <c r="AR17" i="52"/>
  <c r="AN17" i="52"/>
  <c r="Q17" i="52"/>
  <c r="E17" i="52"/>
  <c r="L17" i="52" s="1"/>
  <c r="AU16" i="52"/>
  <c r="AT16" i="52"/>
  <c r="AR16" i="52"/>
  <c r="AN16" i="52"/>
  <c r="R16" i="52"/>
  <c r="Q16" i="52"/>
  <c r="E16" i="52"/>
  <c r="L16" i="52" s="1"/>
  <c r="AU15" i="52"/>
  <c r="AT15" i="52"/>
  <c r="AR15" i="52"/>
  <c r="AN15" i="52"/>
  <c r="Q15" i="52"/>
  <c r="E15" i="52"/>
  <c r="L15" i="52" s="1"/>
  <c r="AU14" i="52"/>
  <c r="AT14" i="52"/>
  <c r="AR14" i="52"/>
  <c r="AN14" i="52"/>
  <c r="R14" i="52"/>
  <c r="Q14" i="52"/>
  <c r="E14" i="52"/>
  <c r="L14" i="52" s="1"/>
  <c r="AU13" i="52"/>
  <c r="AT13" i="52"/>
  <c r="AR13" i="52"/>
  <c r="AN13" i="52"/>
  <c r="Q13" i="52"/>
  <c r="E13" i="52"/>
  <c r="L13" i="52" s="1"/>
  <c r="AU12" i="52"/>
  <c r="AT12" i="52"/>
  <c r="AR12" i="52"/>
  <c r="AN12" i="52"/>
  <c r="R12" i="52"/>
  <c r="Q12" i="52"/>
  <c r="E12" i="52"/>
  <c r="L12" i="52" s="1"/>
  <c r="AU11" i="52"/>
  <c r="AT11" i="52"/>
  <c r="AR11" i="52"/>
  <c r="AN11" i="52"/>
  <c r="R11" i="52"/>
  <c r="Q11" i="52"/>
  <c r="E11" i="52"/>
  <c r="L11" i="52" s="1"/>
  <c r="AU10" i="52"/>
  <c r="AT10" i="52"/>
  <c r="AR10" i="52"/>
  <c r="AN10" i="52"/>
  <c r="AQ10" i="52"/>
  <c r="Q10" i="52"/>
  <c r="E10" i="52"/>
  <c r="L10" i="52" s="1"/>
  <c r="AU9" i="52"/>
  <c r="AT9" i="52"/>
  <c r="AR9" i="52"/>
  <c r="AN9" i="52"/>
  <c r="Q9" i="52"/>
  <c r="E9" i="52"/>
  <c r="L9" i="52" s="1"/>
  <c r="AU8" i="52"/>
  <c r="AT8" i="52"/>
  <c r="AR8" i="52"/>
  <c r="AN8" i="52"/>
  <c r="Q8" i="52"/>
  <c r="E8" i="52"/>
  <c r="L8" i="52" s="1"/>
  <c r="AU7" i="52"/>
  <c r="AT7" i="52"/>
  <c r="AR7" i="52"/>
  <c r="AR104" i="52" s="1"/>
  <c r="AN7" i="52"/>
  <c r="Q7" i="52"/>
  <c r="E7" i="52"/>
  <c r="L7" i="52" s="1"/>
  <c r="AU6" i="52"/>
  <c r="AT6" i="52"/>
  <c r="AR6" i="52"/>
  <c r="AN6" i="52"/>
  <c r="Q6" i="52"/>
  <c r="E6" i="52"/>
  <c r="L6" i="52" s="1"/>
  <c r="AU5" i="52"/>
  <c r="AT5" i="52"/>
  <c r="AR5" i="52"/>
  <c r="AN5" i="52"/>
  <c r="Q5" i="52"/>
  <c r="E5" i="52"/>
  <c r="L5" i="52" s="1"/>
  <c r="AU4" i="52"/>
  <c r="AT4" i="52"/>
  <c r="AR4" i="52"/>
  <c r="AN4" i="52"/>
  <c r="Q4" i="52"/>
  <c r="E4" i="52"/>
  <c r="L4" i="52" s="1"/>
  <c r="AU3" i="52"/>
  <c r="AT3" i="52"/>
  <c r="AR3" i="52"/>
  <c r="AL3" i="52"/>
  <c r="AB3" i="52"/>
  <c r="AA3" i="52"/>
  <c r="X3" i="52"/>
  <c r="U3" i="52"/>
  <c r="U125" i="52" s="1"/>
  <c r="Q3" i="52"/>
  <c r="E3" i="52"/>
  <c r="L3" i="52" s="1"/>
  <c r="M32" i="63" l="1"/>
  <c r="G32" i="63" s="1"/>
  <c r="L33" i="63"/>
  <c r="F30" i="63"/>
  <c r="E31" i="63"/>
  <c r="G12" i="55"/>
  <c r="F27" i="61"/>
  <c r="E28" i="61"/>
  <c r="L28" i="61"/>
  <c r="M27" i="61"/>
  <c r="K98" i="53"/>
  <c r="K9" i="53"/>
  <c r="K17" i="53"/>
  <c r="K25" i="53"/>
  <c r="K33" i="53"/>
  <c r="K41" i="53"/>
  <c r="K49" i="53"/>
  <c r="K57" i="53"/>
  <c r="K65" i="53"/>
  <c r="K73" i="53"/>
  <c r="K81" i="53"/>
  <c r="K89" i="53"/>
  <c r="K97" i="53"/>
  <c r="K18" i="53"/>
  <c r="K34" i="53"/>
  <c r="K50" i="53"/>
  <c r="K66" i="53"/>
  <c r="K11" i="53"/>
  <c r="K19" i="53"/>
  <c r="K27" i="53"/>
  <c r="K35" i="53"/>
  <c r="K43" i="53"/>
  <c r="K51" i="53"/>
  <c r="K59" i="53"/>
  <c r="K67" i="53"/>
  <c r="K75" i="53"/>
  <c r="K83" i="53"/>
  <c r="K91" i="53"/>
  <c r="K99" i="53"/>
  <c r="K74" i="53"/>
  <c r="K4" i="53"/>
  <c r="K12" i="53"/>
  <c r="K20" i="53"/>
  <c r="K28" i="53"/>
  <c r="K36" i="53"/>
  <c r="K44" i="53"/>
  <c r="K52" i="53"/>
  <c r="K60" i="53"/>
  <c r="K68" i="53"/>
  <c r="K76" i="53"/>
  <c r="K84" i="53"/>
  <c r="K92" i="53"/>
  <c r="K100" i="53"/>
  <c r="K5" i="53"/>
  <c r="K13" i="53"/>
  <c r="K21" i="53"/>
  <c r="K29" i="53"/>
  <c r="K37" i="53"/>
  <c r="K45" i="53"/>
  <c r="K53" i="53"/>
  <c r="K61" i="53"/>
  <c r="K69" i="53"/>
  <c r="K77" i="53"/>
  <c r="K85" i="53"/>
  <c r="K93" i="53"/>
  <c r="K101" i="53"/>
  <c r="K58" i="53"/>
  <c r="K6" i="53"/>
  <c r="K14" i="53"/>
  <c r="K22" i="53"/>
  <c r="K30" i="53"/>
  <c r="K38" i="53"/>
  <c r="K46" i="53"/>
  <c r="K54" i="53"/>
  <c r="K62" i="53"/>
  <c r="K70" i="53"/>
  <c r="K78" i="53"/>
  <c r="K86" i="53"/>
  <c r="K94" i="53"/>
  <c r="K102" i="53"/>
  <c r="K10" i="53"/>
  <c r="K26" i="53"/>
  <c r="K42" i="53"/>
  <c r="K82" i="53"/>
  <c r="K7" i="53"/>
  <c r="K15" i="53"/>
  <c r="K23" i="53"/>
  <c r="K31" i="53"/>
  <c r="K39" i="53"/>
  <c r="K47" i="53"/>
  <c r="K55" i="53"/>
  <c r="K63" i="53"/>
  <c r="K71" i="53"/>
  <c r="K79" i="53"/>
  <c r="K87" i="53"/>
  <c r="K95" i="53"/>
  <c r="K103" i="53"/>
  <c r="K90" i="53"/>
  <c r="K8" i="53"/>
  <c r="K16" i="53"/>
  <c r="K24" i="53"/>
  <c r="K32" i="53"/>
  <c r="K40" i="53"/>
  <c r="K48" i="53"/>
  <c r="K56" i="53"/>
  <c r="K64" i="53"/>
  <c r="K72" i="53"/>
  <c r="K80" i="53"/>
  <c r="K88" i="53"/>
  <c r="K96" i="53"/>
  <c r="D16" i="53"/>
  <c r="D36" i="53"/>
  <c r="D48" i="53"/>
  <c r="D68" i="53"/>
  <c r="D96" i="53"/>
  <c r="D5" i="53"/>
  <c r="D9" i="53"/>
  <c r="D13" i="53"/>
  <c r="D17" i="53"/>
  <c r="D21" i="53"/>
  <c r="D25" i="53"/>
  <c r="D29" i="53"/>
  <c r="D33" i="53"/>
  <c r="D37" i="53"/>
  <c r="D41" i="53"/>
  <c r="D45" i="53"/>
  <c r="D49" i="53"/>
  <c r="D53" i="53"/>
  <c r="D57" i="53"/>
  <c r="D61" i="53"/>
  <c r="D65" i="53"/>
  <c r="D69" i="53"/>
  <c r="D73" i="53"/>
  <c r="D77" i="53"/>
  <c r="D81" i="53"/>
  <c r="D85" i="53"/>
  <c r="D89" i="53"/>
  <c r="D93" i="53"/>
  <c r="D97" i="53"/>
  <c r="D101" i="53"/>
  <c r="D28" i="53"/>
  <c r="D84" i="53"/>
  <c r="D32" i="53"/>
  <c r="D60" i="53"/>
  <c r="D92" i="53"/>
  <c r="D6" i="53"/>
  <c r="D10" i="53"/>
  <c r="D14" i="53"/>
  <c r="D18" i="53"/>
  <c r="D22" i="53"/>
  <c r="D26" i="53"/>
  <c r="D30" i="53"/>
  <c r="D34" i="53"/>
  <c r="D38" i="53"/>
  <c r="D42" i="53"/>
  <c r="D46" i="53"/>
  <c r="D50" i="53"/>
  <c r="D54" i="53"/>
  <c r="D58" i="53"/>
  <c r="D62" i="53"/>
  <c r="D66" i="53"/>
  <c r="D70" i="53"/>
  <c r="D74" i="53"/>
  <c r="D78" i="53"/>
  <c r="D82" i="53"/>
  <c r="D86" i="53"/>
  <c r="D90" i="53"/>
  <c r="D94" i="53"/>
  <c r="D98" i="53"/>
  <c r="D20" i="53"/>
  <c r="D56" i="53"/>
  <c r="D100" i="53"/>
  <c r="D103" i="53"/>
  <c r="D12" i="53"/>
  <c r="D24" i="53"/>
  <c r="D44" i="53"/>
  <c r="D52" i="53"/>
  <c r="D72" i="53"/>
  <c r="D88" i="53"/>
  <c r="D7" i="53"/>
  <c r="D11" i="53"/>
  <c r="D15" i="53"/>
  <c r="D19" i="53"/>
  <c r="D23" i="53"/>
  <c r="D27" i="53"/>
  <c r="D31" i="53"/>
  <c r="D35" i="53"/>
  <c r="D39" i="53"/>
  <c r="D43" i="53"/>
  <c r="D47" i="53"/>
  <c r="D51" i="53"/>
  <c r="D55" i="53"/>
  <c r="D59" i="53"/>
  <c r="D63" i="53"/>
  <c r="D67" i="53"/>
  <c r="D71" i="53"/>
  <c r="D75" i="53"/>
  <c r="D79" i="53"/>
  <c r="D83" i="53"/>
  <c r="D87" i="53"/>
  <c r="D91" i="53"/>
  <c r="D95" i="53"/>
  <c r="D99" i="53"/>
  <c r="D8" i="53"/>
  <c r="D40" i="53"/>
  <c r="D64" i="53"/>
  <c r="D76" i="53"/>
  <c r="D80" i="53"/>
  <c r="D4" i="53"/>
  <c r="S126" i="52"/>
  <c r="AA105" i="52"/>
  <c r="AA126" i="52" s="1"/>
  <c r="AC23" i="52" s="1"/>
  <c r="AF125" i="52"/>
  <c r="T126" i="52"/>
  <c r="V126" i="52"/>
  <c r="L22" i="3"/>
  <c r="W126" i="52"/>
  <c r="Y126" i="52"/>
  <c r="O22" i="3"/>
  <c r="AM126" i="52"/>
  <c r="AN3" i="52"/>
  <c r="AN125" i="52" s="1"/>
  <c r="X125" i="52"/>
  <c r="AE126" i="52"/>
  <c r="AG126" i="52"/>
  <c r="AC7" i="52"/>
  <c r="AC15" i="52"/>
  <c r="AC47" i="52"/>
  <c r="AC61" i="52"/>
  <c r="AC79" i="52"/>
  <c r="AC69" i="52"/>
  <c r="AC87" i="52"/>
  <c r="AC84" i="52"/>
  <c r="AC4" i="52"/>
  <c r="AC11" i="52"/>
  <c r="AC40" i="52"/>
  <c r="AC102" i="52"/>
  <c r="AC95" i="52"/>
  <c r="AC44" i="52"/>
  <c r="AC65" i="52"/>
  <c r="AC49" i="52"/>
  <c r="AC17" i="52"/>
  <c r="AC36" i="52"/>
  <c r="AC85" i="52"/>
  <c r="AC82" i="52"/>
  <c r="AC25" i="52"/>
  <c r="AC70" i="52"/>
  <c r="AC38" i="52"/>
  <c r="AC27" i="52"/>
  <c r="AC13" i="52"/>
  <c r="AC96" i="52"/>
  <c r="AC33" i="52"/>
  <c r="AC54" i="52"/>
  <c r="AC19" i="52"/>
  <c r="AC28" i="52"/>
  <c r="AC93" i="52"/>
  <c r="AC75" i="52"/>
  <c r="AC22" i="52"/>
  <c r="AC103" i="52"/>
  <c r="AC90" i="52"/>
  <c r="AC10" i="52"/>
  <c r="AC92" i="52"/>
  <c r="AC57" i="52"/>
  <c r="AC62" i="52"/>
  <c r="AC30" i="52"/>
  <c r="AC80" i="52"/>
  <c r="AC9" i="52"/>
  <c r="AC78" i="52"/>
  <c r="AC32" i="52"/>
  <c r="AC6" i="52"/>
  <c r="AC5" i="52"/>
  <c r="AC99" i="52"/>
  <c r="AC91" i="52"/>
  <c r="AC41" i="52"/>
  <c r="AC60" i="52"/>
  <c r="AC37" i="52"/>
  <c r="AC86" i="52"/>
  <c r="AC20" i="52"/>
  <c r="AC76" i="52"/>
  <c r="AC51" i="52"/>
  <c r="AC53" i="52"/>
  <c r="AC35" i="52"/>
  <c r="AC21" i="52"/>
  <c r="AC72" i="52"/>
  <c r="AC48" i="52"/>
  <c r="AC29" i="52"/>
  <c r="AC58" i="52"/>
  <c r="AC77" i="52"/>
  <c r="AC68" i="52"/>
  <c r="AC83" i="52"/>
  <c r="AC101" i="52"/>
  <c r="AC18" i="52"/>
  <c r="AC88" i="52"/>
  <c r="AC34" i="52"/>
  <c r="AC67" i="52"/>
  <c r="AC64" i="52"/>
  <c r="AC46" i="52"/>
  <c r="AC42" i="52"/>
  <c r="AC26" i="52"/>
  <c r="AC81" i="52"/>
  <c r="AC56" i="52"/>
  <c r="AC89" i="52"/>
  <c r="AC8" i="52"/>
  <c r="AC43" i="52"/>
  <c r="AC24" i="52"/>
  <c r="AC74" i="52"/>
  <c r="AC14" i="52"/>
  <c r="AC52" i="52"/>
  <c r="AC59" i="52"/>
  <c r="AC45" i="52"/>
  <c r="AC16" i="52"/>
  <c r="AC73" i="52"/>
  <c r="AC12" i="52"/>
  <c r="AC97" i="52"/>
  <c r="AC50" i="52"/>
  <c r="AC100" i="52"/>
  <c r="AC98" i="52"/>
  <c r="AC94" i="52"/>
  <c r="AC66" i="52"/>
  <c r="AQ3" i="52"/>
  <c r="R3" i="52"/>
  <c r="AU104" i="52"/>
  <c r="AI126" i="52"/>
  <c r="L105" i="52"/>
  <c r="L126" i="52" s="1"/>
  <c r="E15" i="55"/>
  <c r="F14" i="55"/>
  <c r="L15" i="55"/>
  <c r="M14" i="55"/>
  <c r="D104" i="53"/>
  <c r="U105" i="52"/>
  <c r="U126" i="52" s="1"/>
  <c r="AS12" i="52"/>
  <c r="R31" i="52"/>
  <c r="AS31" i="52"/>
  <c r="AQ31" i="52"/>
  <c r="AW31" i="52" s="1"/>
  <c r="R39" i="52"/>
  <c r="AS39" i="52"/>
  <c r="AQ39" i="52"/>
  <c r="R34" i="52"/>
  <c r="AS34" i="52"/>
  <c r="AQ34" i="52"/>
  <c r="AW34" i="52" s="1"/>
  <c r="X105" i="52"/>
  <c r="X126" i="52" s="1"/>
  <c r="AQ4" i="52"/>
  <c r="AQ5" i="52"/>
  <c r="AQ6" i="52"/>
  <c r="AQ7" i="52"/>
  <c r="AQ8" i="52"/>
  <c r="AQ9" i="52"/>
  <c r="AL11" i="52"/>
  <c r="R13" i="52"/>
  <c r="R15" i="52"/>
  <c r="R17" i="52"/>
  <c r="R19" i="52"/>
  <c r="R22" i="52"/>
  <c r="R24" i="52"/>
  <c r="R27" i="52"/>
  <c r="AO28" i="52"/>
  <c r="AV28" i="52" s="1"/>
  <c r="AS28" i="52"/>
  <c r="AQ28" i="52"/>
  <c r="R36" i="52"/>
  <c r="AS36" i="52"/>
  <c r="AQ36" i="52"/>
  <c r="AW36" i="52" s="1"/>
  <c r="R41" i="52"/>
  <c r="AS41" i="52"/>
  <c r="AQ41" i="52"/>
  <c r="AS16" i="52"/>
  <c r="AQ16" i="52"/>
  <c r="AS18" i="52"/>
  <c r="AQ18" i="52"/>
  <c r="AS21" i="52"/>
  <c r="AQ21" i="52"/>
  <c r="AS25" i="52"/>
  <c r="AQ25" i="52"/>
  <c r="AW25" i="52" s="1"/>
  <c r="R33" i="52"/>
  <c r="AS33" i="52"/>
  <c r="AQ33" i="52"/>
  <c r="AB105" i="52"/>
  <c r="AB126" i="52" s="1"/>
  <c r="AS4" i="52"/>
  <c r="AS5" i="52"/>
  <c r="AS6" i="52"/>
  <c r="AS7" i="52"/>
  <c r="AS8" i="52"/>
  <c r="AS9" i="52"/>
  <c r="R30" i="52"/>
  <c r="AS30" i="52"/>
  <c r="AQ30" i="52"/>
  <c r="AW30" i="52" s="1"/>
  <c r="R38" i="52"/>
  <c r="AS38" i="52"/>
  <c r="AQ38" i="52"/>
  <c r="AW38" i="52" s="1"/>
  <c r="AS14" i="52"/>
  <c r="AQ14" i="52"/>
  <c r="AS20" i="52"/>
  <c r="AQ20" i="52"/>
  <c r="AS23" i="52"/>
  <c r="AQ23" i="52"/>
  <c r="AW23" i="52" s="1"/>
  <c r="AS26" i="52"/>
  <c r="AQ26" i="52"/>
  <c r="AC3" i="52"/>
  <c r="AT104" i="52"/>
  <c r="AQ11" i="52"/>
  <c r="AL12" i="52"/>
  <c r="R35" i="52"/>
  <c r="AS35" i="52"/>
  <c r="AQ35" i="52"/>
  <c r="AW35" i="52" s="1"/>
  <c r="AL89" i="52"/>
  <c r="AO89" i="52" s="1"/>
  <c r="AV89" i="52" s="1" a="1"/>
  <c r="AV89" i="52" s="1"/>
  <c r="AS13" i="52"/>
  <c r="AQ13" i="52"/>
  <c r="AS15" i="52"/>
  <c r="AQ15" i="52"/>
  <c r="AS22" i="52"/>
  <c r="AQ22" i="52"/>
  <c r="AS3" i="52"/>
  <c r="AS11" i="52"/>
  <c r="R32" i="52"/>
  <c r="AS32" i="52"/>
  <c r="AQ32" i="52"/>
  <c r="AW32" i="52" s="1"/>
  <c r="R40" i="52"/>
  <c r="AS40" i="52"/>
  <c r="AQ40" i="52"/>
  <c r="AS10" i="52"/>
  <c r="AS17" i="52"/>
  <c r="AQ17" i="52"/>
  <c r="AS19" i="52"/>
  <c r="AQ19" i="52"/>
  <c r="AW19" i="52" s="1"/>
  <c r="AS24" i="52"/>
  <c r="AQ24" i="52"/>
  <c r="AW24" i="52" s="1"/>
  <c r="AS27" i="52"/>
  <c r="AQ27" i="52"/>
  <c r="AL96" i="52"/>
  <c r="AL88" i="52"/>
  <c r="AL80" i="52"/>
  <c r="AL72" i="52"/>
  <c r="AL66" i="52"/>
  <c r="AL103" i="52"/>
  <c r="AO103" i="52" s="1"/>
  <c r="AV103" i="52" s="1" a="1"/>
  <c r="AV103" i="52" s="1"/>
  <c r="AL95" i="52"/>
  <c r="AL87" i="52"/>
  <c r="AL79" i="52"/>
  <c r="AO79" i="52" s="1"/>
  <c r="AV79" i="52" s="1" a="1"/>
  <c r="AV79" i="52" s="1"/>
  <c r="AL71" i="52"/>
  <c r="AL102" i="52"/>
  <c r="AL94" i="52"/>
  <c r="AL86" i="52"/>
  <c r="AL78" i="52"/>
  <c r="AL70" i="52"/>
  <c r="AO70" i="52" s="1"/>
  <c r="AV70" i="52" s="1" a="1"/>
  <c r="AV70" i="52" s="1"/>
  <c r="AZ70" i="52" s="1"/>
  <c r="AL101" i="52"/>
  <c r="AO101" i="52" s="1"/>
  <c r="AV101" i="52" s="1" a="1"/>
  <c r="AV101" i="52" s="1"/>
  <c r="AL93" i="52"/>
  <c r="AO93" i="52" s="1"/>
  <c r="AV93" i="52" s="1" a="1"/>
  <c r="AV93" i="52" s="1"/>
  <c r="AZ93" i="52" s="1"/>
  <c r="AL85" i="52"/>
  <c r="AL77" i="52"/>
  <c r="AL69" i="52"/>
  <c r="AL100" i="52"/>
  <c r="AL92" i="52"/>
  <c r="AO92" i="52" s="1"/>
  <c r="AV92" i="52" s="1" a="1"/>
  <c r="AV92" i="52" s="1"/>
  <c r="AZ92" i="52" s="1"/>
  <c r="AL84" i="52"/>
  <c r="AO84" i="52" s="1"/>
  <c r="AV84" i="52" s="1" a="1"/>
  <c r="AV84" i="52" s="1"/>
  <c r="AL76" i="52"/>
  <c r="AO76" i="52" s="1"/>
  <c r="AV76" i="52" s="1" a="1"/>
  <c r="AV76" i="52" s="1"/>
  <c r="AZ76" i="52" s="1"/>
  <c r="AL68" i="52"/>
  <c r="AO68" i="52" s="1"/>
  <c r="AV68" i="52" s="1" a="1"/>
  <c r="AV68" i="52" s="1"/>
  <c r="AL98" i="52"/>
  <c r="AL90" i="52"/>
  <c r="AL82" i="52"/>
  <c r="AL74" i="52"/>
  <c r="AO74" i="52" s="1"/>
  <c r="AV74" i="52" s="1" a="1"/>
  <c r="AV74" i="52" s="1"/>
  <c r="AZ74" i="52" s="1"/>
  <c r="AL67" i="52"/>
  <c r="AO67" i="52" s="1"/>
  <c r="AV67" i="52" s="1" a="1"/>
  <c r="AV67" i="52" s="1"/>
  <c r="AL83" i="52"/>
  <c r="AO83" i="52" s="1"/>
  <c r="AV83" i="52" s="1" a="1"/>
  <c r="AV83" i="52" s="1"/>
  <c r="AZ83" i="52" s="1"/>
  <c r="AL65" i="52"/>
  <c r="AO65" i="52" s="1"/>
  <c r="AV65" i="52" s="1" a="1"/>
  <c r="AV65" i="52" s="1"/>
  <c r="AZ65" i="52" s="1"/>
  <c r="AL64" i="52"/>
  <c r="AO64" i="52" s="1"/>
  <c r="AV64" i="52" s="1" a="1"/>
  <c r="AV64" i="52" s="1"/>
  <c r="AL63" i="52"/>
  <c r="AL62" i="52"/>
  <c r="AL61" i="52"/>
  <c r="AO61" i="52" s="1"/>
  <c r="AV61" i="52" s="1" a="1"/>
  <c r="AV61" i="52" s="1"/>
  <c r="AW61" i="52" s="1"/>
  <c r="AL60" i="52"/>
  <c r="AL59" i="52"/>
  <c r="AO59" i="52" s="1"/>
  <c r="AV59" i="52" s="1" a="1"/>
  <c r="AV59" i="52" s="1"/>
  <c r="AL58" i="52"/>
  <c r="AO58" i="52" s="1"/>
  <c r="AV58" i="52" s="1" a="1"/>
  <c r="AV58" i="52" s="1"/>
  <c r="AZ58" i="52" s="1"/>
  <c r="AL57" i="52"/>
  <c r="AO57" i="52" s="1"/>
  <c r="AV57" i="52" s="1" a="1"/>
  <c r="AV57" i="52" s="1"/>
  <c r="AZ57" i="52" s="1"/>
  <c r="AL56" i="52"/>
  <c r="AO56" i="52" s="1"/>
  <c r="AV56" i="52" s="1" a="1"/>
  <c r="AV56" i="52" s="1"/>
  <c r="AL55" i="52"/>
  <c r="AL54" i="52"/>
  <c r="AL53" i="52"/>
  <c r="AO53" i="52" s="1"/>
  <c r="AV53" i="52" s="1" a="1"/>
  <c r="AV53" i="52" s="1"/>
  <c r="AW53" i="52" s="1"/>
  <c r="AL52" i="52"/>
  <c r="AO52" i="52" s="1"/>
  <c r="AV52" i="52" s="1" a="1"/>
  <c r="AV52" i="52" s="1"/>
  <c r="AZ52" i="52" s="1"/>
  <c r="AL51" i="52"/>
  <c r="AO51" i="52" s="1"/>
  <c r="AV51" i="52" s="1" a="1"/>
  <c r="AV51" i="52" s="1"/>
  <c r="AL50" i="52"/>
  <c r="AO50" i="52" s="1"/>
  <c r="AV50" i="52" s="1" a="1"/>
  <c r="AV50" i="52" s="1"/>
  <c r="AZ50" i="52" s="1"/>
  <c r="AL49" i="52"/>
  <c r="AO49" i="52" s="1"/>
  <c r="AV49" i="52" s="1" a="1"/>
  <c r="AV49" i="52" s="1"/>
  <c r="AZ49" i="52" s="1"/>
  <c r="AL48" i="52"/>
  <c r="AO48" i="52" s="1"/>
  <c r="AV48" i="52" s="1" a="1"/>
  <c r="AV48" i="52" s="1"/>
  <c r="AW48" i="52" s="1"/>
  <c r="AL47" i="52"/>
  <c r="AL46" i="52"/>
  <c r="AL45" i="52"/>
  <c r="AO45" i="52" s="1"/>
  <c r="AV45" i="52" s="1" a="1"/>
  <c r="AV45" i="52" s="1"/>
  <c r="AW45" i="52" s="1"/>
  <c r="AL40" i="52"/>
  <c r="AL39" i="52"/>
  <c r="AL38" i="52"/>
  <c r="AL37" i="52"/>
  <c r="AL36" i="52"/>
  <c r="AL35" i="52"/>
  <c r="AL34" i="52"/>
  <c r="AL33" i="52"/>
  <c r="AL32" i="52"/>
  <c r="AL31" i="52"/>
  <c r="AL30" i="52"/>
  <c r="AL29" i="52"/>
  <c r="AL97" i="52"/>
  <c r="AO97" i="52" s="1"/>
  <c r="AV97" i="52" s="1" a="1"/>
  <c r="AV97" i="52" s="1"/>
  <c r="AL41" i="52"/>
  <c r="AL91" i="52"/>
  <c r="AL44" i="52"/>
  <c r="AO44" i="52" s="1"/>
  <c r="AV44" i="52" s="1" a="1"/>
  <c r="AV44" i="52" s="1"/>
  <c r="AW44" i="52" s="1"/>
  <c r="AL73" i="52"/>
  <c r="AL43" i="52"/>
  <c r="AO43" i="52" s="1"/>
  <c r="AV43" i="52" s="1" a="1"/>
  <c r="AV43" i="52" s="1"/>
  <c r="AL99" i="52"/>
  <c r="AL42" i="52"/>
  <c r="AO42" i="52" s="1"/>
  <c r="AV42" i="52" s="1" a="1"/>
  <c r="AV42" i="52" s="1"/>
  <c r="AL81" i="52"/>
  <c r="AO81" i="52" s="1"/>
  <c r="AV81" i="52" s="1" a="1"/>
  <c r="AV81" i="52" s="1"/>
  <c r="AL75" i="52"/>
  <c r="E105" i="52"/>
  <c r="AD3" i="52"/>
  <c r="AF3" i="52"/>
  <c r="R4" i="52"/>
  <c r="AL4" i="52"/>
  <c r="R5" i="52"/>
  <c r="AL5" i="52"/>
  <c r="R6" i="52"/>
  <c r="AL6" i="52"/>
  <c r="AO6" i="52" s="1"/>
  <c r="AV6" i="52" s="1" a="1"/>
  <c r="AV6" i="52" s="1"/>
  <c r="R7" i="52"/>
  <c r="AL7" i="52"/>
  <c r="R8" i="52"/>
  <c r="AL8" i="52"/>
  <c r="R9" i="52"/>
  <c r="AL9" i="52"/>
  <c r="R10" i="52"/>
  <c r="AL10" i="52"/>
  <c r="AL13" i="52"/>
  <c r="AL14" i="52"/>
  <c r="AL15" i="52"/>
  <c r="AL16" i="52"/>
  <c r="AL17" i="52"/>
  <c r="AL18" i="52"/>
  <c r="AL19" i="52"/>
  <c r="AL20" i="52"/>
  <c r="AL21" i="52"/>
  <c r="AL22" i="52"/>
  <c r="AL23" i="52"/>
  <c r="AL24" i="52"/>
  <c r="AL25" i="52"/>
  <c r="AL26" i="52"/>
  <c r="AL27" i="52"/>
  <c r="R29" i="52"/>
  <c r="AS29" i="52"/>
  <c r="AQ29" i="52"/>
  <c r="AW29" i="52" s="1"/>
  <c r="R37" i="52"/>
  <c r="AS37" i="52"/>
  <c r="AQ37" i="52"/>
  <c r="AW37" i="52" s="1"/>
  <c r="AO12" i="52"/>
  <c r="AV12" i="52" s="1" a="1"/>
  <c r="AV12" i="52" s="1"/>
  <c r="AQ12" i="52"/>
  <c r="AS95" i="52"/>
  <c r="AQ95" i="52"/>
  <c r="AW95" i="52" s="1"/>
  <c r="R95" i="52"/>
  <c r="AS97" i="52"/>
  <c r="AQ97" i="52"/>
  <c r="AW97" i="52" s="1"/>
  <c r="R97" i="52"/>
  <c r="AS87" i="52"/>
  <c r="AQ87" i="52"/>
  <c r="R87" i="52"/>
  <c r="AS89" i="52"/>
  <c r="AQ89" i="52"/>
  <c r="R89" i="52"/>
  <c r="AS79" i="52"/>
  <c r="AQ79" i="52"/>
  <c r="R79" i="52"/>
  <c r="AO60" i="52"/>
  <c r="AV60" i="52" s="1" a="1"/>
  <c r="AV60" i="52" s="1"/>
  <c r="AZ60" i="52" s="1"/>
  <c r="AO62" i="52"/>
  <c r="AV62" i="52" s="1" a="1"/>
  <c r="AV62" i="52" s="1"/>
  <c r="AZ62" i="52" s="1"/>
  <c r="AO63" i="52"/>
  <c r="AV63" i="52" s="1" a="1"/>
  <c r="AV63" i="52" s="1"/>
  <c r="AZ63" i="52" s="1"/>
  <c r="AS81" i="52"/>
  <c r="AQ81" i="52"/>
  <c r="AW81" i="52" s="1"/>
  <c r="R81" i="52"/>
  <c r="AS103" i="52"/>
  <c r="AQ103" i="52"/>
  <c r="AW103" i="52" s="1"/>
  <c r="R103" i="52"/>
  <c r="AO46" i="52"/>
  <c r="AV46" i="52" s="1" a="1"/>
  <c r="AV46" i="52" s="1"/>
  <c r="AZ46" i="52" s="1"/>
  <c r="AO47" i="52"/>
  <c r="AV47" i="52" s="1" a="1"/>
  <c r="AV47" i="52" s="1"/>
  <c r="AZ47" i="52" s="1"/>
  <c r="AO54" i="52"/>
  <c r="AV54" i="52" s="1" a="1"/>
  <c r="AV54" i="52" s="1"/>
  <c r="AZ54" i="52" s="1"/>
  <c r="AO55" i="52"/>
  <c r="AV55" i="52" s="1" a="1"/>
  <c r="AV55" i="52" s="1"/>
  <c r="AZ55" i="52" s="1"/>
  <c r="AS71" i="52"/>
  <c r="AQ71" i="52"/>
  <c r="AW71" i="52" s="1"/>
  <c r="R71" i="52"/>
  <c r="AS73" i="52"/>
  <c r="AQ73" i="52"/>
  <c r="AW73" i="52" s="1"/>
  <c r="AO73" i="52"/>
  <c r="AV73" i="52" s="1" a="1"/>
  <c r="AV73" i="52" s="1"/>
  <c r="R73" i="52"/>
  <c r="AS66" i="52"/>
  <c r="AQ66" i="52"/>
  <c r="AW66" i="52" s="1"/>
  <c r="AS72" i="52"/>
  <c r="AQ72" i="52"/>
  <c r="AW72" i="52" s="1"/>
  <c r="AS80" i="52"/>
  <c r="AQ80" i="52"/>
  <c r="AW80" i="52" s="1"/>
  <c r="AS88" i="52"/>
  <c r="AQ88" i="52"/>
  <c r="AS96" i="52"/>
  <c r="AQ96" i="52"/>
  <c r="AW96" i="52" s="1"/>
  <c r="Z126" i="52"/>
  <c r="AS67" i="52"/>
  <c r="AQ67" i="52"/>
  <c r="AW67" i="52" s="1"/>
  <c r="AS74" i="52"/>
  <c r="AQ74" i="52"/>
  <c r="AW74" i="52" s="1"/>
  <c r="AS82" i="52"/>
  <c r="AQ82" i="52"/>
  <c r="AS90" i="52"/>
  <c r="AQ90" i="52"/>
  <c r="AW90" i="52" s="1"/>
  <c r="AS98" i="52"/>
  <c r="AQ98" i="52"/>
  <c r="N126" i="52"/>
  <c r="AS75" i="52"/>
  <c r="AQ75" i="52"/>
  <c r="AS83" i="52"/>
  <c r="AQ83" i="52"/>
  <c r="AW83" i="52" s="1"/>
  <c r="AS91" i="52"/>
  <c r="AQ91" i="52"/>
  <c r="AS99" i="52"/>
  <c r="AQ99" i="52"/>
  <c r="AW99" i="52" s="1"/>
  <c r="AF126" i="52"/>
  <c r="AO66" i="52"/>
  <c r="AV66" i="52" s="1" a="1"/>
  <c r="AV66" i="52" s="1"/>
  <c r="AS68" i="52"/>
  <c r="AQ68" i="52"/>
  <c r="AW68" i="52" s="1"/>
  <c r="AS76" i="52"/>
  <c r="AQ76" i="52"/>
  <c r="AW76" i="52" s="1"/>
  <c r="AO80" i="52"/>
  <c r="AV80" i="52" s="1" a="1"/>
  <c r="AV80" i="52" s="1"/>
  <c r="AS84" i="52"/>
  <c r="AQ84" i="52"/>
  <c r="AW84" i="52" s="1"/>
  <c r="AS92" i="52"/>
  <c r="AQ92" i="52"/>
  <c r="AW92" i="52" s="1"/>
  <c r="AS100" i="52"/>
  <c r="AQ100" i="52"/>
  <c r="AS69" i="52"/>
  <c r="AQ69" i="52"/>
  <c r="AS77" i="52"/>
  <c r="AQ77" i="52"/>
  <c r="AS85" i="52"/>
  <c r="AQ85" i="52"/>
  <c r="AW85" i="52" s="1"/>
  <c r="AS93" i="52"/>
  <c r="AQ93" i="52"/>
  <c r="AW93" i="52" s="1"/>
  <c r="AS101" i="52"/>
  <c r="AQ101" i="52"/>
  <c r="AW101" i="52" s="1"/>
  <c r="AS70" i="52"/>
  <c r="AQ70" i="52"/>
  <c r="AW70" i="52" s="1"/>
  <c r="AS78" i="52"/>
  <c r="AQ78" i="52"/>
  <c r="AW78" i="52" s="1"/>
  <c r="AS86" i="52"/>
  <c r="AQ86" i="52"/>
  <c r="AW86" i="52" s="1"/>
  <c r="AS94" i="52"/>
  <c r="AQ94" i="52"/>
  <c r="AW94" i="52" s="1"/>
  <c r="AS102" i="52"/>
  <c r="AQ102" i="52"/>
  <c r="AO69" i="52"/>
  <c r="AV69" i="52" s="1" a="1"/>
  <c r="AV69" i="52" s="1"/>
  <c r="AO71" i="52"/>
  <c r="AV71" i="52" s="1" a="1"/>
  <c r="AV71" i="52" s="1"/>
  <c r="AZ71" i="52" s="1"/>
  <c r="AO72" i="52"/>
  <c r="AV72" i="52" s="1" a="1"/>
  <c r="AV72" i="52" s="1"/>
  <c r="AZ72" i="52" s="1"/>
  <c r="AO75" i="52"/>
  <c r="AV75" i="52" s="1" a="1"/>
  <c r="AV75" i="52" s="1"/>
  <c r="AZ75" i="52" s="1"/>
  <c r="AO77" i="52"/>
  <c r="AV77" i="52" s="1" a="1"/>
  <c r="AV77" i="52" s="1"/>
  <c r="AO78" i="52"/>
  <c r="AV78" i="52" s="1" a="1"/>
  <c r="AV78" i="52" s="1"/>
  <c r="AZ78" i="52" s="1"/>
  <c r="AO82" i="52"/>
  <c r="AV82" i="52" s="1" a="1"/>
  <c r="AV82" i="52" s="1"/>
  <c r="AZ82" i="52" s="1"/>
  <c r="AO85" i="52"/>
  <c r="AV85" i="52" s="1" a="1"/>
  <c r="AV85" i="52" s="1"/>
  <c r="AO86" i="52"/>
  <c r="AV86" i="52" s="1" a="1"/>
  <c r="AV86" i="52" s="1"/>
  <c r="AZ86" i="52" s="1"/>
  <c r="AO87" i="52"/>
  <c r="AV87" i="52" s="1" a="1"/>
  <c r="AV87" i="52" s="1"/>
  <c r="AZ87" i="52" s="1"/>
  <c r="AO88" i="52"/>
  <c r="AV88" i="52" s="1" a="1"/>
  <c r="AV88" i="52" s="1"/>
  <c r="AO90" i="52"/>
  <c r="AV90" i="52" s="1" a="1"/>
  <c r="AV90" i="52" s="1"/>
  <c r="AZ90" i="52" s="1"/>
  <c r="AO91" i="52"/>
  <c r="AV91" i="52" s="1" a="1"/>
  <c r="AV91" i="52" s="1"/>
  <c r="AZ91" i="52" s="1"/>
  <c r="AO94" i="52"/>
  <c r="AV94" i="52" s="1" a="1"/>
  <c r="AV94" i="52" s="1"/>
  <c r="AZ94" i="52" s="1"/>
  <c r="AO96" i="52"/>
  <c r="AV96" i="52" s="1" a="1"/>
  <c r="AV96" i="52" s="1"/>
  <c r="AZ96" i="52" s="1"/>
  <c r="AO98" i="52"/>
  <c r="AV98" i="52" s="1" a="1"/>
  <c r="AV98" i="52" s="1"/>
  <c r="AO99" i="52"/>
  <c r="AV99" i="52" s="1" a="1"/>
  <c r="AV99" i="52" s="1"/>
  <c r="AZ99" i="52" s="1"/>
  <c r="AO100" i="52"/>
  <c r="AV100" i="52" s="1" a="1"/>
  <c r="AV100" i="52" s="1"/>
  <c r="AZ100" i="52" s="1"/>
  <c r="AO102" i="52"/>
  <c r="AV102" i="52" s="1" a="1"/>
  <c r="AV102" i="52" s="1"/>
  <c r="AZ102" i="52" s="1"/>
  <c r="AF105" i="52"/>
  <c r="AU105" i="52"/>
  <c r="Q4" i="43"/>
  <c r="Q5" i="43"/>
  <c r="Q6" i="43"/>
  <c r="Q7" i="43"/>
  <c r="Q8" i="43"/>
  <c r="Q9" i="43"/>
  <c r="Q10" i="43"/>
  <c r="Q11" i="43"/>
  <c r="Q12" i="43"/>
  <c r="Q13" i="43"/>
  <c r="Q14" i="43"/>
  <c r="Q15" i="43"/>
  <c r="Q16" i="43"/>
  <c r="Q17" i="43"/>
  <c r="Q18" i="43"/>
  <c r="Q20" i="43"/>
  <c r="Q21" i="43"/>
  <c r="Q22" i="43"/>
  <c r="Q24" i="43"/>
  <c r="Q26" i="43"/>
  <c r="Q27" i="43"/>
  <c r="Q28" i="43"/>
  <c r="Q30" i="43"/>
  <c r="Q33" i="43"/>
  <c r="Q34" i="43"/>
  <c r="Q37" i="43"/>
  <c r="Q38" i="43"/>
  <c r="Q39" i="43"/>
  <c r="Q40" i="43"/>
  <c r="Q41" i="43"/>
  <c r="Q42" i="43"/>
  <c r="Q43" i="43"/>
  <c r="Q44" i="43"/>
  <c r="Q45" i="43"/>
  <c r="Q47" i="43"/>
  <c r="Q48" i="43"/>
  <c r="Q49" i="43"/>
  <c r="Q50" i="43"/>
  <c r="Q51" i="43"/>
  <c r="Q52" i="43"/>
  <c r="Q53" i="43"/>
  <c r="Q54" i="43"/>
  <c r="Q55" i="43"/>
  <c r="Q58" i="43"/>
  <c r="Q60" i="43"/>
  <c r="Q61" i="43"/>
  <c r="Q65" i="43"/>
  <c r="Q67" i="43"/>
  <c r="Q69" i="43"/>
  <c r="Q70" i="43"/>
  <c r="Q71" i="43"/>
  <c r="Q72" i="43"/>
  <c r="Q73" i="43"/>
  <c r="Q74" i="43"/>
  <c r="Q75" i="43"/>
  <c r="Q76" i="43"/>
  <c r="Q77" i="43"/>
  <c r="Q78" i="43"/>
  <c r="Q79" i="43"/>
  <c r="Q80" i="43"/>
  <c r="Q81" i="43"/>
  <c r="Q82" i="43"/>
  <c r="Q83" i="43"/>
  <c r="Q84" i="43"/>
  <c r="Q85" i="43"/>
  <c r="Q86" i="43"/>
  <c r="Q87" i="43"/>
  <c r="Q88" i="43"/>
  <c r="Q89" i="43"/>
  <c r="Q90" i="43"/>
  <c r="Q91" i="43"/>
  <c r="Q92" i="43"/>
  <c r="Q93" i="43"/>
  <c r="Q97" i="43"/>
  <c r="Q98" i="43"/>
  <c r="Q100" i="43"/>
  <c r="Q102" i="43"/>
  <c r="Q3" i="43"/>
  <c r="G22" i="61" l="1"/>
  <c r="E32" i="63"/>
  <c r="F31" i="63"/>
  <c r="M33" i="63"/>
  <c r="G33" i="63" s="1"/>
  <c r="L34" i="63"/>
  <c r="G14" i="55"/>
  <c r="G7" i="55"/>
  <c r="L29" i="61"/>
  <c r="M28" i="61"/>
  <c r="F28" i="61"/>
  <c r="E29" i="61"/>
  <c r="AK22" i="3"/>
  <c r="K105" i="53"/>
  <c r="L4" i="53"/>
  <c r="D105" i="53"/>
  <c r="E4" i="53"/>
  <c r="AU126" i="52"/>
  <c r="AC55" i="52"/>
  <c r="AC71" i="52"/>
  <c r="AC125" i="52"/>
  <c r="AN105" i="52"/>
  <c r="AW82" i="52"/>
  <c r="AC39" i="52"/>
  <c r="AC63" i="52"/>
  <c r="AW54" i="52"/>
  <c r="AO3" i="52"/>
  <c r="AD125" i="52"/>
  <c r="F22" i="3"/>
  <c r="AC31" i="52"/>
  <c r="AC105" i="52" s="1"/>
  <c r="AC126" i="52" s="1"/>
  <c r="AW69" i="52"/>
  <c r="AW98" i="52"/>
  <c r="AW87" i="52"/>
  <c r="AW12" i="52"/>
  <c r="AW49" i="52"/>
  <c r="AW100" i="52"/>
  <c r="AW79" i="52"/>
  <c r="AW91" i="52"/>
  <c r="AW75" i="52"/>
  <c r="AW88" i="52"/>
  <c r="AW89" i="52"/>
  <c r="AW6" i="52"/>
  <c r="AW52" i="52"/>
  <c r="AW102" i="52"/>
  <c r="AW77" i="52"/>
  <c r="AW50" i="52"/>
  <c r="AW28" i="52"/>
  <c r="AW47" i="52"/>
  <c r="AO95" i="52"/>
  <c r="AV95" i="52" s="1" a="1"/>
  <c r="AV95" i="52" s="1"/>
  <c r="AZ95" i="52" s="1"/>
  <c r="AO37" i="52"/>
  <c r="AV37" i="52" s="1" a="1"/>
  <c r="AV37" i="52" s="1"/>
  <c r="AX37" i="52" s="1"/>
  <c r="AO11" i="52"/>
  <c r="AV11" i="52" s="1" a="1"/>
  <c r="AV11" i="52" s="1"/>
  <c r="AZ11" i="52" s="1"/>
  <c r="AZ98" i="52"/>
  <c r="AX98" i="52"/>
  <c r="AO7" i="52"/>
  <c r="AV7" i="52" s="1" a="1"/>
  <c r="AV7" i="52" s="1"/>
  <c r="AZ7" i="52" s="1"/>
  <c r="AO21" i="52"/>
  <c r="AV21" i="52" s="1" a="1"/>
  <c r="AV21" i="52" s="1"/>
  <c r="AZ21" i="52" s="1"/>
  <c r="AX92" i="52"/>
  <c r="AX72" i="52"/>
  <c r="AL105" i="52"/>
  <c r="AO33" i="52"/>
  <c r="AV33" i="52" s="1" a="1"/>
  <c r="AV33" i="52" s="1"/>
  <c r="AZ33" i="52" s="1"/>
  <c r="AX100" i="52"/>
  <c r="AO27" i="52"/>
  <c r="AV27" i="52" s="1" a="1"/>
  <c r="AV27" i="52" s="1"/>
  <c r="AX27" i="52" s="1"/>
  <c r="AO5" i="52"/>
  <c r="AV5" i="52" s="1" a="1"/>
  <c r="AV5" i="52" s="1"/>
  <c r="AX5" i="52" s="1"/>
  <c r="AO32" i="52"/>
  <c r="AV32" i="52" s="1" a="1"/>
  <c r="AV32" i="52" s="1"/>
  <c r="AX32" i="52" s="1"/>
  <c r="AX74" i="52"/>
  <c r="AO9" i="52"/>
  <c r="AV9" i="52" s="1" a="1"/>
  <c r="AV9" i="52" s="1"/>
  <c r="AZ9" i="52" s="1"/>
  <c r="AO25" i="52"/>
  <c r="AV25" i="52" s="1" a="1"/>
  <c r="AV25" i="52" s="1"/>
  <c r="AX25" i="52" s="1"/>
  <c r="AO8" i="52"/>
  <c r="AV8" i="52" s="1" a="1"/>
  <c r="AV8" i="52" s="1"/>
  <c r="AX8" i="52" s="1"/>
  <c r="AO40" i="52"/>
  <c r="AV40" i="52" s="1" a="1"/>
  <c r="AV40" i="52" s="1"/>
  <c r="AZ40" i="52" s="1"/>
  <c r="M15" i="55"/>
  <c r="L16" i="55"/>
  <c r="F15" i="55"/>
  <c r="E16" i="55"/>
  <c r="L5" i="53"/>
  <c r="M4" i="53"/>
  <c r="AZ88" i="52"/>
  <c r="AX88" i="52"/>
  <c r="AZ48" i="52"/>
  <c r="AX48" i="52"/>
  <c r="AZ85" i="52"/>
  <c r="AX85" i="52"/>
  <c r="AZ51" i="52"/>
  <c r="AX51" i="52"/>
  <c r="AZ59" i="52"/>
  <c r="AX59" i="52"/>
  <c r="AZ103" i="52"/>
  <c r="AX103" i="52"/>
  <c r="AZ89" i="52"/>
  <c r="AX89" i="52"/>
  <c r="AZ97" i="52"/>
  <c r="AX97" i="52"/>
  <c r="AZ80" i="52"/>
  <c r="AX80" i="52"/>
  <c r="AZ84" i="52"/>
  <c r="AX84" i="52"/>
  <c r="AZ101" i="52"/>
  <c r="AX101" i="52"/>
  <c r="AZ73" i="52"/>
  <c r="AX73" i="52"/>
  <c r="AZ69" i="52"/>
  <c r="AX69" i="52"/>
  <c r="AZ67" i="52"/>
  <c r="AX67" i="52"/>
  <c r="AZ56" i="52"/>
  <c r="AX56" i="52"/>
  <c r="AZ44" i="52"/>
  <c r="AX44" i="52"/>
  <c r="AZ45" i="52"/>
  <c r="AX45" i="52"/>
  <c r="AZ53" i="52"/>
  <c r="AX53" i="52"/>
  <c r="AZ61" i="52"/>
  <c r="AX61" i="52"/>
  <c r="AZ66" i="52"/>
  <c r="AX66" i="52"/>
  <c r="AZ81" i="52"/>
  <c r="AX81" i="52"/>
  <c r="AZ12" i="52"/>
  <c r="AX12" i="52"/>
  <c r="AZ77" i="52"/>
  <c r="AX77" i="52"/>
  <c r="AZ64" i="52"/>
  <c r="AX64" i="52"/>
  <c r="AZ68" i="52"/>
  <c r="AX68" i="52"/>
  <c r="AZ79" i="52"/>
  <c r="AX79" i="52"/>
  <c r="AZ6" i="52"/>
  <c r="AX6" i="52"/>
  <c r="AZ37" i="52"/>
  <c r="AX54" i="52"/>
  <c r="AX60" i="52"/>
  <c r="AS104" i="52"/>
  <c r="AZ28" i="52"/>
  <c r="AX28" i="52"/>
  <c r="AV3" i="52"/>
  <c r="AW3" i="52" s="1"/>
  <c r="AO31" i="52"/>
  <c r="AV31" i="52" s="1" a="1"/>
  <c r="AV31" i="52" s="1"/>
  <c r="AX96" i="52"/>
  <c r="AX50" i="52"/>
  <c r="AO19" i="52"/>
  <c r="AV19" i="52" s="1" a="1"/>
  <c r="AV19" i="52" s="1"/>
  <c r="AO22" i="52"/>
  <c r="AV22" i="52" s="1" a="1"/>
  <c r="AV22" i="52" s="1"/>
  <c r="AW22" i="52" s="1"/>
  <c r="AX87" i="52"/>
  <c r="AO23" i="52"/>
  <c r="AV23" i="52" s="1" a="1"/>
  <c r="AV23" i="52" s="1"/>
  <c r="AX57" i="52"/>
  <c r="AO38" i="52"/>
  <c r="AV38" i="52" s="1" a="1"/>
  <c r="AV38" i="52" s="1"/>
  <c r="AO16" i="52"/>
  <c r="AV16" i="52" s="1" a="1"/>
  <c r="AV16" i="52" s="1"/>
  <c r="AW16" i="52" s="1"/>
  <c r="AX75" i="52"/>
  <c r="AX102" i="52"/>
  <c r="AX86" i="52"/>
  <c r="AX70" i="52"/>
  <c r="AX99" i="52"/>
  <c r="AZ42" i="52"/>
  <c r="AX42" i="52"/>
  <c r="AZ43" i="52"/>
  <c r="AX43" i="52"/>
  <c r="AX55" i="52"/>
  <c r="AX62" i="52"/>
  <c r="AX52" i="52"/>
  <c r="AO4" i="52"/>
  <c r="AV4" i="52" s="1" a="1"/>
  <c r="AV4" i="52" s="1"/>
  <c r="AW4" i="52" s="1"/>
  <c r="AX82" i="52"/>
  <c r="AX90" i="52"/>
  <c r="AX71" i="52"/>
  <c r="AX58" i="52"/>
  <c r="AO36" i="52"/>
  <c r="AV36" i="52" s="1" a="1"/>
  <c r="AV36" i="52" s="1"/>
  <c r="AO39" i="52"/>
  <c r="AV39" i="52" s="1" a="1"/>
  <c r="AV39" i="52" s="1"/>
  <c r="AW39" i="52" s="1"/>
  <c r="AX93" i="52"/>
  <c r="AX83" i="52"/>
  <c r="AO29" i="52"/>
  <c r="AV29" i="52" s="1" a="1"/>
  <c r="AV29" i="52" s="1"/>
  <c r="AO17" i="52"/>
  <c r="AV17" i="52" s="1" a="1"/>
  <c r="AV17" i="52" s="1"/>
  <c r="AW17" i="52" s="1"/>
  <c r="AO15" i="52"/>
  <c r="AV15" i="52" s="1" a="1"/>
  <c r="AV15" i="52" s="1"/>
  <c r="AW15" i="52" s="1"/>
  <c r="AO10" i="52"/>
  <c r="AV10" i="52" s="1" a="1"/>
  <c r="AV10" i="52" s="1"/>
  <c r="AW10" i="52" s="1"/>
  <c r="AO20" i="52"/>
  <c r="AV20" i="52" s="1" a="1"/>
  <c r="AV20" i="52" s="1"/>
  <c r="AW20" i="52" s="1"/>
  <c r="AQ104" i="52"/>
  <c r="AX46" i="52"/>
  <c r="AX63" i="52"/>
  <c r="AD105" i="52"/>
  <c r="AO35" i="52"/>
  <c r="AV35" i="52" s="1" a="1"/>
  <c r="AV35" i="52" s="1"/>
  <c r="AX49" i="52"/>
  <c r="AO24" i="52"/>
  <c r="AV24" i="52" s="1" a="1"/>
  <c r="AV24" i="52" s="1"/>
  <c r="AO26" i="52"/>
  <c r="AV26" i="52" s="1" a="1"/>
  <c r="AV26" i="52" s="1"/>
  <c r="AW26" i="52" s="1"/>
  <c r="AX47" i="52"/>
  <c r="AO30" i="52"/>
  <c r="AV30" i="52" s="1" a="1"/>
  <c r="AV30" i="52" s="1"/>
  <c r="AO18" i="52"/>
  <c r="AV18" i="52" s="1" a="1"/>
  <c r="AV18" i="52" s="1"/>
  <c r="AW18" i="52" s="1"/>
  <c r="AO41" i="52"/>
  <c r="AV41" i="52" s="1" a="1"/>
  <c r="AV41" i="52" s="1"/>
  <c r="AW41" i="52" s="1"/>
  <c r="AO34" i="52"/>
  <c r="AV34" i="52" s="1" a="1"/>
  <c r="AV34" i="52" s="1"/>
  <c r="AX94" i="52"/>
  <c r="AX78" i="52"/>
  <c r="AX65" i="52"/>
  <c r="AX76" i="52"/>
  <c r="AX91" i="52"/>
  <c r="AO13" i="52"/>
  <c r="AV13" i="52" s="1" a="1"/>
  <c r="AV13" i="52" s="1"/>
  <c r="AW13" i="52" s="1"/>
  <c r="AO14" i="52"/>
  <c r="AV14" i="52" s="1" a="1"/>
  <c r="AV14" i="52" s="1"/>
  <c r="AW14" i="52" s="1"/>
  <c r="G105" i="51"/>
  <c r="G126" i="51" s="1"/>
  <c r="F105" i="51"/>
  <c r="F126" i="51" s="1"/>
  <c r="H105" i="51"/>
  <c r="H126" i="51" s="1"/>
  <c r="E45" i="51"/>
  <c r="E47" i="51"/>
  <c r="E49" i="51"/>
  <c r="E53" i="51"/>
  <c r="E57" i="51"/>
  <c r="E66" i="51"/>
  <c r="E73" i="51"/>
  <c r="E85" i="51"/>
  <c r="F113" i="51"/>
  <c r="G113" i="51"/>
  <c r="H113" i="51"/>
  <c r="F124" i="51"/>
  <c r="G124" i="51"/>
  <c r="H124" i="51"/>
  <c r="I105" i="51"/>
  <c r="I126" i="51" s="1"/>
  <c r="E14" i="51"/>
  <c r="E18" i="51"/>
  <c r="E26" i="51"/>
  <c r="E34" i="51"/>
  <c r="J105" i="51"/>
  <c r="J126" i="51" s="1"/>
  <c r="I113" i="51"/>
  <c r="J113" i="51"/>
  <c r="I124" i="51"/>
  <c r="J124" i="51"/>
  <c r="E20" i="51"/>
  <c r="E15" i="51"/>
  <c r="E36" i="51"/>
  <c r="E8" i="51"/>
  <c r="E32" i="51"/>
  <c r="E124" i="51"/>
  <c r="E113" i="51"/>
  <c r="E69" i="51"/>
  <c r="E41" i="51"/>
  <c r="E23" i="51"/>
  <c r="E22" i="51"/>
  <c r="E33" i="63" l="1"/>
  <c r="F32" i="63"/>
  <c r="M34" i="63"/>
  <c r="G34" i="63" s="1"/>
  <c r="L35" i="63"/>
  <c r="F29" i="61"/>
  <c r="E30" i="61"/>
  <c r="M29" i="61"/>
  <c r="L30" i="61"/>
  <c r="F4" i="53"/>
  <c r="E5" i="53"/>
  <c r="AN126" i="52"/>
  <c r="AW7" i="52"/>
  <c r="AO125" i="52"/>
  <c r="AW21" i="52"/>
  <c r="AD126" i="52"/>
  <c r="AH22" i="3"/>
  <c r="AW5" i="52"/>
  <c r="AW33" i="52"/>
  <c r="AW40" i="52"/>
  <c r="AW11" i="52"/>
  <c r="AX95" i="52"/>
  <c r="AW9" i="52"/>
  <c r="AW27" i="52"/>
  <c r="AW8" i="52"/>
  <c r="AZ27" i="52"/>
  <c r="AZ32" i="52"/>
  <c r="AX11" i="52"/>
  <c r="AX9" i="52"/>
  <c r="AX7" i="52"/>
  <c r="AX40" i="52"/>
  <c r="AZ25" i="52"/>
  <c r="AZ8" i="52"/>
  <c r="AX33" i="52"/>
  <c r="AZ5" i="52"/>
  <c r="AX21" i="52"/>
  <c r="F16" i="55"/>
  <c r="E17" i="55"/>
  <c r="M16" i="55"/>
  <c r="G16" i="55" s="1"/>
  <c r="L17" i="55"/>
  <c r="M5" i="53"/>
  <c r="G5" i="53" s="1"/>
  <c r="L6" i="53"/>
  <c r="AZ15" i="52"/>
  <c r="AX15" i="52"/>
  <c r="AZ14" i="52"/>
  <c r="AX14" i="52"/>
  <c r="AZ19" i="52"/>
  <c r="AX19" i="52"/>
  <c r="AZ13" i="52"/>
  <c r="AX13" i="52"/>
  <c r="AZ18" i="52"/>
  <c r="AX18" i="52"/>
  <c r="AZ29" i="52"/>
  <c r="AX29" i="52"/>
  <c r="AZ34" i="52"/>
  <c r="AX34" i="52"/>
  <c r="AZ41" i="52"/>
  <c r="AX41" i="52"/>
  <c r="AZ30" i="52"/>
  <c r="AX30" i="52"/>
  <c r="AZ4" i="52"/>
  <c r="AX4" i="52"/>
  <c r="AZ16" i="52"/>
  <c r="AX16" i="52"/>
  <c r="AZ35" i="52"/>
  <c r="AX35" i="52"/>
  <c r="AZ38" i="52"/>
  <c r="AX38" i="52"/>
  <c r="AZ31" i="52"/>
  <c r="AX31" i="52"/>
  <c r="AZ22" i="52"/>
  <c r="AX22" i="52"/>
  <c r="AZ17" i="52"/>
  <c r="AX17" i="52"/>
  <c r="AZ26" i="52"/>
  <c r="AX26" i="52"/>
  <c r="AZ39" i="52"/>
  <c r="AX39" i="52"/>
  <c r="AZ3" i="52"/>
  <c r="AX3" i="52"/>
  <c r="AZ24" i="52"/>
  <c r="AX24" i="52"/>
  <c r="AZ20" i="52"/>
  <c r="AX20" i="52"/>
  <c r="AZ36" i="52"/>
  <c r="AX36" i="52"/>
  <c r="AZ23" i="52"/>
  <c r="AX23" i="52"/>
  <c r="AO105" i="52"/>
  <c r="AO126" i="52" s="1"/>
  <c r="AV104" i="52"/>
  <c r="AZ10" i="52"/>
  <c r="AX10" i="52"/>
  <c r="E38" i="51"/>
  <c r="E6" i="51"/>
  <c r="E77" i="51"/>
  <c r="E97" i="51"/>
  <c r="E89" i="51"/>
  <c r="E68" i="51"/>
  <c r="E7" i="51"/>
  <c r="E10" i="51"/>
  <c r="E24" i="51"/>
  <c r="E28" i="51"/>
  <c r="E35" i="51"/>
  <c r="E100" i="51"/>
  <c r="E39" i="51"/>
  <c r="E55" i="51"/>
  <c r="E61" i="51"/>
  <c r="E67" i="51"/>
  <c r="E102" i="51"/>
  <c r="E31" i="51"/>
  <c r="E37" i="51"/>
  <c r="E40" i="51"/>
  <c r="E43" i="51"/>
  <c r="E58" i="51"/>
  <c r="E83" i="51"/>
  <c r="E4" i="51"/>
  <c r="E71" i="51"/>
  <c r="E91" i="51"/>
  <c r="E93" i="51"/>
  <c r="E48" i="51"/>
  <c r="E51" i="51"/>
  <c r="E54" i="51"/>
  <c r="E65" i="51"/>
  <c r="E87" i="51"/>
  <c r="E12" i="51"/>
  <c r="E33" i="51"/>
  <c r="E98" i="51"/>
  <c r="E16" i="51"/>
  <c r="E30" i="51"/>
  <c r="E103" i="51"/>
  <c r="E11" i="51"/>
  <c r="E19" i="51"/>
  <c r="E27" i="51"/>
  <c r="E13" i="51"/>
  <c r="E9" i="51"/>
  <c r="E17" i="51"/>
  <c r="E25" i="51"/>
  <c r="E3" i="51"/>
  <c r="E21" i="51"/>
  <c r="E29" i="51"/>
  <c r="E5" i="51"/>
  <c r="E44" i="51"/>
  <c r="E52" i="51"/>
  <c r="E63" i="51"/>
  <c r="E42" i="51"/>
  <c r="E50" i="51"/>
  <c r="E56" i="51"/>
  <c r="E64" i="51"/>
  <c r="E62" i="51"/>
  <c r="E59" i="51"/>
  <c r="E46" i="51"/>
  <c r="E60" i="51"/>
  <c r="E72" i="51"/>
  <c r="E70" i="51"/>
  <c r="E74" i="51"/>
  <c r="E75" i="51"/>
  <c r="E76" i="51"/>
  <c r="E80" i="51"/>
  <c r="E81" i="51"/>
  <c r="E95" i="51"/>
  <c r="E78" i="51"/>
  <c r="E79" i="51"/>
  <c r="E82" i="51"/>
  <c r="E86" i="51"/>
  <c r="E88" i="51"/>
  <c r="E90" i="51"/>
  <c r="E99" i="51"/>
  <c r="E101" i="51"/>
  <c r="E92" i="51"/>
  <c r="E94" i="51"/>
  <c r="E96" i="51"/>
  <c r="E84" i="51"/>
  <c r="J4" i="50"/>
  <c r="J10" i="50"/>
  <c r="J14" i="50"/>
  <c r="J7" i="50"/>
  <c r="J22" i="50"/>
  <c r="J5" i="50"/>
  <c r="J9" i="50"/>
  <c r="J15" i="50"/>
  <c r="J12" i="50"/>
  <c r="J6" i="50"/>
  <c r="J17" i="50"/>
  <c r="J18" i="50"/>
  <c r="J8" i="50"/>
  <c r="J26" i="50"/>
  <c r="J16" i="50"/>
  <c r="J77" i="50"/>
  <c r="J66" i="50"/>
  <c r="J78" i="50"/>
  <c r="J67" i="50"/>
  <c r="J79" i="50"/>
  <c r="J71" i="50"/>
  <c r="J80" i="50"/>
  <c r="J25" i="50"/>
  <c r="J29" i="50"/>
  <c r="J13" i="50"/>
  <c r="J81" i="50"/>
  <c r="J72" i="50"/>
  <c r="J73" i="50"/>
  <c r="J82" i="50"/>
  <c r="J43" i="50"/>
  <c r="J83" i="50"/>
  <c r="J84" i="50"/>
  <c r="J85" i="50"/>
  <c r="J49" i="50"/>
  <c r="J56" i="50"/>
  <c r="J32" i="50"/>
  <c r="J39" i="50"/>
  <c r="J57" i="50"/>
  <c r="J38" i="50"/>
  <c r="J30" i="50"/>
  <c r="J23" i="50"/>
  <c r="J21" i="50"/>
  <c r="J86" i="50"/>
  <c r="J27" i="50"/>
  <c r="J19" i="50"/>
  <c r="J20" i="50"/>
  <c r="J24" i="50"/>
  <c r="J58" i="50"/>
  <c r="J34" i="50"/>
  <c r="J47" i="50"/>
  <c r="J36" i="50"/>
  <c r="J87" i="50"/>
  <c r="J88" i="50"/>
  <c r="J89" i="50"/>
  <c r="J37" i="50"/>
  <c r="J90" i="50"/>
  <c r="J52" i="50"/>
  <c r="J68" i="50"/>
  <c r="J91" i="50"/>
  <c r="J92" i="50"/>
  <c r="J93" i="50"/>
  <c r="J94" i="50"/>
  <c r="J95" i="50"/>
  <c r="J69" i="50"/>
  <c r="J96" i="50"/>
  <c r="J59" i="50"/>
  <c r="J54" i="50"/>
  <c r="J40" i="50"/>
  <c r="J50" i="50"/>
  <c r="J60" i="50"/>
  <c r="J97" i="50"/>
  <c r="J41" i="50"/>
  <c r="J48" i="50"/>
  <c r="J61" i="50"/>
  <c r="J55" i="50"/>
  <c r="J62" i="50"/>
  <c r="J42" i="50"/>
  <c r="J33" i="50"/>
  <c r="J63" i="50"/>
  <c r="J64" i="50"/>
  <c r="J74" i="50"/>
  <c r="J46" i="50"/>
  <c r="J65" i="50"/>
  <c r="J31" i="50"/>
  <c r="J44" i="50"/>
  <c r="J35" i="50"/>
  <c r="J98" i="50"/>
  <c r="J53" i="50"/>
  <c r="J99" i="50"/>
  <c r="J51" i="50"/>
  <c r="J75" i="50"/>
  <c r="J100" i="50"/>
  <c r="J101" i="50"/>
  <c r="J70" i="50"/>
  <c r="J76" i="50"/>
  <c r="J102" i="50"/>
  <c r="J45" i="50"/>
  <c r="J103" i="50"/>
  <c r="J28" i="50"/>
  <c r="J104" i="50"/>
  <c r="J11" i="50"/>
  <c r="J4" i="47"/>
  <c r="J11" i="47"/>
  <c r="J16" i="47"/>
  <c r="J8" i="47"/>
  <c r="J20" i="47"/>
  <c r="J6" i="47"/>
  <c r="J9" i="47"/>
  <c r="J13" i="47"/>
  <c r="J10" i="47"/>
  <c r="J5" i="47"/>
  <c r="J15" i="47"/>
  <c r="J17" i="47"/>
  <c r="J7" i="47"/>
  <c r="J24" i="47"/>
  <c r="J19" i="47"/>
  <c r="J65" i="47"/>
  <c r="J45" i="47"/>
  <c r="J66" i="47"/>
  <c r="J53" i="47"/>
  <c r="J67" i="47"/>
  <c r="J54" i="47"/>
  <c r="J68" i="47"/>
  <c r="J26" i="47"/>
  <c r="J38" i="47"/>
  <c r="J14" i="47"/>
  <c r="J69" i="47"/>
  <c r="J70" i="47"/>
  <c r="J71" i="47"/>
  <c r="J72" i="47"/>
  <c r="J42" i="47"/>
  <c r="J55" i="47"/>
  <c r="J73" i="47"/>
  <c r="J74" i="47"/>
  <c r="J75" i="47"/>
  <c r="J46" i="47"/>
  <c r="J39" i="47"/>
  <c r="J30" i="47"/>
  <c r="J76" i="47"/>
  <c r="J31" i="47"/>
  <c r="J34" i="47"/>
  <c r="J22" i="47"/>
  <c r="J25" i="47"/>
  <c r="J77" i="47"/>
  <c r="J29" i="47"/>
  <c r="J21" i="47"/>
  <c r="J18" i="47"/>
  <c r="J23" i="47"/>
  <c r="J56" i="47"/>
  <c r="J33" i="47"/>
  <c r="J35" i="47"/>
  <c r="J40" i="47"/>
  <c r="J78" i="47"/>
  <c r="J79" i="47"/>
  <c r="J80" i="47"/>
  <c r="J43" i="47"/>
  <c r="J81" i="47"/>
  <c r="J57" i="47"/>
  <c r="J82" i="47"/>
  <c r="J83" i="47"/>
  <c r="J84" i="47"/>
  <c r="J85" i="47"/>
  <c r="J86" i="47"/>
  <c r="J87" i="47"/>
  <c r="J58" i="47"/>
  <c r="J88" i="47"/>
  <c r="J89" i="47"/>
  <c r="J47" i="47"/>
  <c r="J36" i="47"/>
  <c r="J90" i="47"/>
  <c r="J59" i="47"/>
  <c r="J91" i="47"/>
  <c r="J60" i="47"/>
  <c r="J41" i="47"/>
  <c r="J61" i="47"/>
  <c r="J92" i="47"/>
  <c r="J48" i="47"/>
  <c r="J49" i="47"/>
  <c r="J44" i="47"/>
  <c r="J50" i="47"/>
  <c r="J51" i="47"/>
  <c r="J62" i="47"/>
  <c r="J52" i="47"/>
  <c r="J93" i="47"/>
  <c r="J32" i="47"/>
  <c r="J63" i="47"/>
  <c r="J28" i="47"/>
  <c r="J94" i="47"/>
  <c r="J64" i="47"/>
  <c r="J95" i="47"/>
  <c r="J104" i="47"/>
  <c r="J96" i="47"/>
  <c r="J97" i="47"/>
  <c r="J98" i="47"/>
  <c r="J99" i="47"/>
  <c r="J100" i="47"/>
  <c r="J101" i="47"/>
  <c r="J37" i="47"/>
  <c r="J102" i="47"/>
  <c r="J27" i="47"/>
  <c r="J103" i="47"/>
  <c r="J12" i="47"/>
  <c r="C4" i="47"/>
  <c r="C9" i="47"/>
  <c r="C15" i="47"/>
  <c r="C8" i="47"/>
  <c r="C20" i="47"/>
  <c r="C6" i="47"/>
  <c r="C12" i="47"/>
  <c r="C13" i="47"/>
  <c r="C10" i="47"/>
  <c r="C5" i="47"/>
  <c r="C14" i="47"/>
  <c r="C17" i="47"/>
  <c r="C7" i="47"/>
  <c r="C24" i="47"/>
  <c r="C18" i="47"/>
  <c r="C50" i="47"/>
  <c r="C83" i="47"/>
  <c r="C97" i="47"/>
  <c r="C94" i="47"/>
  <c r="C51" i="47"/>
  <c r="C43" i="47"/>
  <c r="C52" i="47"/>
  <c r="C100" i="47"/>
  <c r="C84" i="47"/>
  <c r="C16" i="47"/>
  <c r="C53" i="47"/>
  <c r="C54" i="47"/>
  <c r="C55" i="47"/>
  <c r="C56" i="47"/>
  <c r="C104" i="47"/>
  <c r="C44" i="47"/>
  <c r="C57" i="47"/>
  <c r="C58" i="47"/>
  <c r="C81" i="47"/>
  <c r="C42" i="47"/>
  <c r="C33" i="47"/>
  <c r="C28" i="47"/>
  <c r="C85" i="47"/>
  <c r="C30" i="47"/>
  <c r="C31" i="47"/>
  <c r="C22" i="47"/>
  <c r="C25" i="47"/>
  <c r="C59" i="47"/>
  <c r="C27" i="47"/>
  <c r="C23" i="47"/>
  <c r="C19" i="47"/>
  <c r="C21" i="47"/>
  <c r="C45" i="47"/>
  <c r="C39" i="47"/>
  <c r="C98" i="47"/>
  <c r="C37" i="47"/>
  <c r="C60" i="47"/>
  <c r="C61" i="47"/>
  <c r="C62" i="47"/>
  <c r="C46" i="47"/>
  <c r="C63" i="47"/>
  <c r="C48" i="47"/>
  <c r="C90" i="47"/>
  <c r="C64" i="47"/>
  <c r="C65" i="47"/>
  <c r="C66" i="47"/>
  <c r="C77" i="47"/>
  <c r="C75" i="47"/>
  <c r="C41" i="47"/>
  <c r="C67" i="47"/>
  <c r="C78" i="47"/>
  <c r="C36" i="47"/>
  <c r="C35" i="47"/>
  <c r="C80" i="47"/>
  <c r="C49" i="47"/>
  <c r="C68" i="47"/>
  <c r="C92" i="47"/>
  <c r="C101" i="47"/>
  <c r="C96" i="47"/>
  <c r="C89" i="47"/>
  <c r="C95" i="47"/>
  <c r="C86" i="47"/>
  <c r="C40" i="47"/>
  <c r="C38" i="47"/>
  <c r="C34" i="47"/>
  <c r="C103" i="47"/>
  <c r="C99" i="47"/>
  <c r="C91" i="47"/>
  <c r="C32" i="47"/>
  <c r="C47" i="47"/>
  <c r="C26" i="47"/>
  <c r="C76" i="47"/>
  <c r="C87" i="47"/>
  <c r="C88" i="47"/>
  <c r="C93" i="47"/>
  <c r="C69" i="47"/>
  <c r="C70" i="47"/>
  <c r="C71" i="47"/>
  <c r="C82" i="47"/>
  <c r="C79" i="47"/>
  <c r="C72" i="47"/>
  <c r="C29" i="47"/>
  <c r="C73" i="47"/>
  <c r="C102" i="47"/>
  <c r="C74" i="47"/>
  <c r="C11" i="47"/>
  <c r="Z20" i="3"/>
  <c r="X20" i="3"/>
  <c r="W20" i="3"/>
  <c r="S20" i="3"/>
  <c r="AL4" i="42"/>
  <c r="AL5" i="42"/>
  <c r="AL6" i="42"/>
  <c r="AL7" i="42"/>
  <c r="AB8" i="42"/>
  <c r="AL8" i="42"/>
  <c r="AL9" i="42"/>
  <c r="AL10" i="42"/>
  <c r="AL11" i="42"/>
  <c r="AL12" i="42"/>
  <c r="AL13" i="42"/>
  <c r="AL14" i="42"/>
  <c r="AL15" i="42"/>
  <c r="AB16" i="42"/>
  <c r="AL16" i="42"/>
  <c r="AL17" i="42"/>
  <c r="AL18" i="42"/>
  <c r="AL19" i="42"/>
  <c r="AL20" i="42"/>
  <c r="AL21" i="42"/>
  <c r="AL22" i="42"/>
  <c r="AL23" i="42"/>
  <c r="AB24" i="42"/>
  <c r="AL24" i="42"/>
  <c r="AL25" i="42"/>
  <c r="AL26" i="42"/>
  <c r="AL27" i="42"/>
  <c r="AL28" i="42"/>
  <c r="AL29" i="42"/>
  <c r="AL30" i="42"/>
  <c r="AL31" i="42"/>
  <c r="AB32" i="42"/>
  <c r="AL32" i="42"/>
  <c r="AL33" i="42"/>
  <c r="AL34" i="42"/>
  <c r="AL35" i="42"/>
  <c r="AL36" i="42"/>
  <c r="AL37" i="42"/>
  <c r="AL38" i="42"/>
  <c r="AL39" i="42"/>
  <c r="AB40" i="42"/>
  <c r="AL40" i="42"/>
  <c r="AL41" i="42"/>
  <c r="AL42" i="42"/>
  <c r="AL43" i="42"/>
  <c r="AL44" i="42"/>
  <c r="AL45" i="42"/>
  <c r="AL46" i="42"/>
  <c r="AL47" i="42"/>
  <c r="AB48" i="42"/>
  <c r="AL48" i="42"/>
  <c r="AL49" i="42"/>
  <c r="AL50" i="42"/>
  <c r="AL51" i="42"/>
  <c r="AL52" i="42"/>
  <c r="AL53" i="42"/>
  <c r="AL54" i="42"/>
  <c r="AL55" i="42"/>
  <c r="AB56" i="42"/>
  <c r="AL56" i="42"/>
  <c r="AL57" i="42"/>
  <c r="AL58" i="42"/>
  <c r="AL59" i="42"/>
  <c r="AL60" i="42"/>
  <c r="AL61" i="42"/>
  <c r="AL62" i="42"/>
  <c r="AL63" i="42"/>
  <c r="AB64" i="42"/>
  <c r="AL64" i="42"/>
  <c r="AL65" i="42"/>
  <c r="AL66" i="42"/>
  <c r="AL67" i="42"/>
  <c r="AL68" i="42"/>
  <c r="AL69" i="42"/>
  <c r="AL70" i="42"/>
  <c r="AL71" i="42"/>
  <c r="AB72" i="42"/>
  <c r="AL72" i="42"/>
  <c r="AL73" i="42"/>
  <c r="AL74" i="42"/>
  <c r="AL75" i="42"/>
  <c r="AL76" i="42"/>
  <c r="AL77" i="42"/>
  <c r="AL78" i="42"/>
  <c r="AL79" i="42"/>
  <c r="AB80" i="42"/>
  <c r="AL80" i="42"/>
  <c r="AL81" i="42"/>
  <c r="AL82" i="42"/>
  <c r="AL83" i="42"/>
  <c r="AL84" i="42"/>
  <c r="AL85" i="42"/>
  <c r="AL86" i="42"/>
  <c r="AL87" i="42"/>
  <c r="AB88" i="42"/>
  <c r="AL88" i="42"/>
  <c r="AL89" i="42"/>
  <c r="AL90" i="42"/>
  <c r="AL91" i="42"/>
  <c r="AL92" i="42"/>
  <c r="AL93" i="42"/>
  <c r="AL94" i="42"/>
  <c r="AL95" i="42"/>
  <c r="AB96" i="42"/>
  <c r="AL96" i="42"/>
  <c r="AL97" i="42"/>
  <c r="AL98" i="42"/>
  <c r="AL99" i="42"/>
  <c r="AL100" i="42"/>
  <c r="AL101" i="42"/>
  <c r="AL102" i="42"/>
  <c r="AL103" i="42"/>
  <c r="AB4" i="42"/>
  <c r="AB5" i="42"/>
  <c r="AB6" i="42"/>
  <c r="AB7" i="42"/>
  <c r="AB9" i="42"/>
  <c r="AB10" i="42"/>
  <c r="AB11" i="42"/>
  <c r="AB12" i="42"/>
  <c r="AB13" i="42"/>
  <c r="AB14" i="42"/>
  <c r="AB15" i="42"/>
  <c r="AB17" i="42"/>
  <c r="AB18" i="42"/>
  <c r="AB19" i="42"/>
  <c r="AB20" i="42"/>
  <c r="AB21" i="42"/>
  <c r="AB22" i="42"/>
  <c r="AB23" i="42"/>
  <c r="AB25" i="42"/>
  <c r="AB26" i="42"/>
  <c r="AB27" i="42"/>
  <c r="AB28" i="42"/>
  <c r="AB29" i="42"/>
  <c r="AB30" i="42"/>
  <c r="AB31" i="42"/>
  <c r="AB33" i="42"/>
  <c r="AB34" i="42"/>
  <c r="AB35" i="42"/>
  <c r="AB36" i="42"/>
  <c r="AB37" i="42"/>
  <c r="AB38" i="42"/>
  <c r="AB39" i="42"/>
  <c r="AB41" i="42"/>
  <c r="AB42" i="42"/>
  <c r="AB43" i="42"/>
  <c r="AB44" i="42"/>
  <c r="AB45" i="42"/>
  <c r="AB46" i="42"/>
  <c r="AB47" i="42"/>
  <c r="AB49" i="42"/>
  <c r="AB50" i="42"/>
  <c r="AB51" i="42"/>
  <c r="AB52" i="42"/>
  <c r="AB53" i="42"/>
  <c r="AB54" i="42"/>
  <c r="AB55" i="42"/>
  <c r="AB57" i="42"/>
  <c r="AB58" i="42"/>
  <c r="AB59" i="42"/>
  <c r="AB60" i="42"/>
  <c r="AB61" i="42"/>
  <c r="AB62" i="42"/>
  <c r="AB63" i="42"/>
  <c r="AB65" i="42"/>
  <c r="AB66" i="42"/>
  <c r="AB67" i="42"/>
  <c r="AB68" i="42"/>
  <c r="AB69" i="42"/>
  <c r="AB70" i="42"/>
  <c r="AB71" i="42"/>
  <c r="AB73" i="42"/>
  <c r="AB74" i="42"/>
  <c r="AB75" i="42"/>
  <c r="AB76" i="42"/>
  <c r="AB77" i="42"/>
  <c r="AB78" i="42"/>
  <c r="AB79" i="42"/>
  <c r="AB81" i="42"/>
  <c r="AB82" i="42"/>
  <c r="AB83" i="42"/>
  <c r="AB84" i="42"/>
  <c r="AB85" i="42"/>
  <c r="AB86" i="42"/>
  <c r="AB87" i="42"/>
  <c r="AB89" i="42"/>
  <c r="AB90" i="42"/>
  <c r="AB91" i="42"/>
  <c r="AB92" i="42"/>
  <c r="AB93" i="42"/>
  <c r="AB94" i="42"/>
  <c r="AB95" i="42"/>
  <c r="AB97" i="42"/>
  <c r="AB98" i="42"/>
  <c r="AB99" i="42"/>
  <c r="AB100" i="42"/>
  <c r="AB101" i="42"/>
  <c r="AB102" i="42"/>
  <c r="AB103" i="42"/>
  <c r="Q3" i="42"/>
  <c r="F105" i="42"/>
  <c r="F126" i="42" s="1"/>
  <c r="G105" i="42"/>
  <c r="G126" i="42" s="1"/>
  <c r="H105" i="42"/>
  <c r="H126" i="42" s="1"/>
  <c r="F113" i="42"/>
  <c r="G113" i="42"/>
  <c r="H113" i="42"/>
  <c r="F124" i="42"/>
  <c r="G124" i="42"/>
  <c r="H124" i="42"/>
  <c r="I105" i="42"/>
  <c r="I126" i="42" s="1"/>
  <c r="J105" i="42"/>
  <c r="J126" i="42" s="1"/>
  <c r="I113" i="42"/>
  <c r="J113" i="42"/>
  <c r="I124" i="42"/>
  <c r="J124" i="42"/>
  <c r="R126" i="49"/>
  <c r="Q126" i="49"/>
  <c r="P126" i="49"/>
  <c r="O126" i="49"/>
  <c r="M126" i="49"/>
  <c r="K126" i="49"/>
  <c r="AZ124" i="49"/>
  <c r="AO124" i="49"/>
  <c r="AN124" i="49"/>
  <c r="AM124" i="49"/>
  <c r="AL124" i="49"/>
  <c r="AK124" i="49"/>
  <c r="AJ124" i="49"/>
  <c r="AI124" i="49"/>
  <c r="AH124" i="49"/>
  <c r="AU124" i="49" s="1"/>
  <c r="AG124" i="49"/>
  <c r="AE124" i="49"/>
  <c r="AF124" i="49" s="1"/>
  <c r="AD124" i="49"/>
  <c r="AC124" i="49"/>
  <c r="AB124" i="49"/>
  <c r="AA124" i="49"/>
  <c r="Z124" i="49"/>
  <c r="Y124" i="49"/>
  <c r="X124" i="49"/>
  <c r="W124" i="49"/>
  <c r="V124" i="49"/>
  <c r="U124" i="49"/>
  <c r="T124" i="49"/>
  <c r="S124" i="49"/>
  <c r="N124" i="49"/>
  <c r="L124" i="49"/>
  <c r="E124" i="49"/>
  <c r="AX123" i="49"/>
  <c r="AW123" i="49"/>
  <c r="AV123" i="49"/>
  <c r="AU123" i="49"/>
  <c r="AT123" i="49"/>
  <c r="AS123" i="49"/>
  <c r="AR123" i="49"/>
  <c r="AQ123" i="49"/>
  <c r="AZ113" i="49"/>
  <c r="AO113" i="49"/>
  <c r="AN113" i="49"/>
  <c r="AM113" i="49"/>
  <c r="AL113" i="49"/>
  <c r="AK113" i="49"/>
  <c r="AJ113" i="49"/>
  <c r="AI113" i="49"/>
  <c r="AH113" i="49"/>
  <c r="AU113" i="49" s="1"/>
  <c r="AG113" i="49"/>
  <c r="AE113" i="49"/>
  <c r="AD113" i="49"/>
  <c r="AC113" i="49"/>
  <c r="AB113" i="49"/>
  <c r="AA113" i="49"/>
  <c r="AF113" i="49" s="1"/>
  <c r="Z113" i="49"/>
  <c r="Y113" i="49"/>
  <c r="X113" i="49"/>
  <c r="W113" i="49"/>
  <c r="V113" i="49"/>
  <c r="U113" i="49"/>
  <c r="T113" i="49"/>
  <c r="S113" i="49"/>
  <c r="N113" i="49"/>
  <c r="L113" i="49"/>
  <c r="E113" i="49"/>
  <c r="AX112" i="49"/>
  <c r="AW112" i="49"/>
  <c r="AV112" i="49"/>
  <c r="AU112" i="49"/>
  <c r="AT112" i="49"/>
  <c r="AS112" i="49"/>
  <c r="AR112" i="49"/>
  <c r="AQ112" i="49"/>
  <c r="AM105" i="49"/>
  <c r="AK105" i="49"/>
  <c r="AK126" i="49" s="1"/>
  <c r="AJ105" i="49"/>
  <c r="AJ126" i="49" s="1"/>
  <c r="AI105" i="49"/>
  <c r="AH105" i="49"/>
  <c r="AH126" i="49" s="1"/>
  <c r="AG105" i="49"/>
  <c r="AE105" i="49"/>
  <c r="Z105" i="49"/>
  <c r="Y105" i="49"/>
  <c r="W105" i="49"/>
  <c r="V105" i="49"/>
  <c r="T105" i="49"/>
  <c r="S105" i="49"/>
  <c r="H21" i="3" s="1"/>
  <c r="N105" i="49"/>
  <c r="N126" i="49" s="1"/>
  <c r="AU103" i="49"/>
  <c r="AT103" i="49"/>
  <c r="AR103" i="49"/>
  <c r="AN103" i="49"/>
  <c r="AS103" i="49"/>
  <c r="Q103" i="49"/>
  <c r="E103" i="49"/>
  <c r="L103" i="49" s="1"/>
  <c r="AU102" i="49"/>
  <c r="AT102" i="49"/>
  <c r="AR102" i="49"/>
  <c r="AN102" i="49"/>
  <c r="AS102" i="49"/>
  <c r="Q102" i="49"/>
  <c r="E102" i="49"/>
  <c r="L102" i="49" s="1"/>
  <c r="AU101" i="49"/>
  <c r="AT101" i="49"/>
  <c r="AR101" i="49"/>
  <c r="AN101" i="49"/>
  <c r="AS101" i="49"/>
  <c r="Q101" i="49"/>
  <c r="E101" i="49"/>
  <c r="L101" i="49" s="1"/>
  <c r="AU100" i="49"/>
  <c r="AT100" i="49"/>
  <c r="AR100" i="49"/>
  <c r="AN100" i="49"/>
  <c r="AS100" i="49"/>
  <c r="Q100" i="49"/>
  <c r="E100" i="49"/>
  <c r="L100" i="49" s="1"/>
  <c r="AU99" i="49"/>
  <c r="AT99" i="49"/>
  <c r="AR99" i="49"/>
  <c r="AN99" i="49"/>
  <c r="AS99" i="49"/>
  <c r="Q99" i="49"/>
  <c r="E99" i="49"/>
  <c r="L99" i="49" s="1"/>
  <c r="AU98" i="49"/>
  <c r="AT98" i="49"/>
  <c r="AR98" i="49"/>
  <c r="AN98" i="49"/>
  <c r="AS98" i="49"/>
  <c r="Q98" i="49"/>
  <c r="E98" i="49"/>
  <c r="L98" i="49" s="1"/>
  <c r="AU97" i="49"/>
  <c r="AT97" i="49"/>
  <c r="AR97" i="49"/>
  <c r="AQ97" i="49"/>
  <c r="AW97" i="49" s="1"/>
  <c r="AN97" i="49"/>
  <c r="AS97" i="49"/>
  <c r="Q97" i="49"/>
  <c r="E97" i="49"/>
  <c r="L97" i="49" s="1"/>
  <c r="AU96" i="49"/>
  <c r="AT96" i="49"/>
  <c r="AR96" i="49"/>
  <c r="AQ96" i="49"/>
  <c r="AW96" i="49" s="1"/>
  <c r="AN96" i="49"/>
  <c r="AS96" i="49"/>
  <c r="Q96" i="49"/>
  <c r="E96" i="49"/>
  <c r="L96" i="49" s="1"/>
  <c r="AU95" i="49"/>
  <c r="AT95" i="49"/>
  <c r="AR95" i="49"/>
  <c r="AQ95" i="49"/>
  <c r="AW95" i="49" s="1"/>
  <c r="AN95" i="49"/>
  <c r="AS95" i="49"/>
  <c r="Q95" i="49"/>
  <c r="E95" i="49"/>
  <c r="L95" i="49" s="1"/>
  <c r="AU94" i="49"/>
  <c r="AT94" i="49"/>
  <c r="AR94" i="49"/>
  <c r="AQ94" i="49"/>
  <c r="AW94" i="49" s="1"/>
  <c r="AN94" i="49"/>
  <c r="AS94" i="49"/>
  <c r="Q94" i="49"/>
  <c r="E94" i="49"/>
  <c r="L94" i="49" s="1"/>
  <c r="AU93" i="49"/>
  <c r="AT93" i="49"/>
  <c r="AR93" i="49"/>
  <c r="AQ93" i="49"/>
  <c r="AN93" i="49"/>
  <c r="AS93" i="49"/>
  <c r="Q93" i="49"/>
  <c r="E93" i="49"/>
  <c r="L93" i="49" s="1"/>
  <c r="AU92" i="49"/>
  <c r="AT92" i="49"/>
  <c r="AR92" i="49"/>
  <c r="AQ92" i="49"/>
  <c r="AN92" i="49"/>
  <c r="AS92" i="49"/>
  <c r="Q92" i="49"/>
  <c r="E92" i="49"/>
  <c r="L92" i="49" s="1"/>
  <c r="AU91" i="49"/>
  <c r="AT91" i="49"/>
  <c r="AR91" i="49"/>
  <c r="AQ91" i="49"/>
  <c r="AN91" i="49"/>
  <c r="AS91" i="49"/>
  <c r="Q91" i="49"/>
  <c r="E91" i="49"/>
  <c r="L91" i="49" s="1"/>
  <c r="AU90" i="49"/>
  <c r="AT90" i="49"/>
  <c r="AR90" i="49"/>
  <c r="AQ90" i="49"/>
  <c r="AN90" i="49"/>
  <c r="AS90" i="49"/>
  <c r="Q90" i="49"/>
  <c r="E90" i="49"/>
  <c r="L90" i="49" s="1"/>
  <c r="AU89" i="49"/>
  <c r="AT89" i="49"/>
  <c r="AR89" i="49"/>
  <c r="AQ89" i="49"/>
  <c r="AN89" i="49"/>
  <c r="AS89" i="49"/>
  <c r="Q89" i="49"/>
  <c r="L89" i="49"/>
  <c r="E89" i="49"/>
  <c r="AU88" i="49"/>
  <c r="AT88" i="49"/>
  <c r="AR88" i="49"/>
  <c r="AQ88" i="49"/>
  <c r="AW88" i="49" s="1"/>
  <c r="AN88" i="49"/>
  <c r="AS88" i="49"/>
  <c r="Q88" i="49"/>
  <c r="E88" i="49"/>
  <c r="L88" i="49" s="1"/>
  <c r="AU87" i="49"/>
  <c r="AT87" i="49"/>
  <c r="AR87" i="49"/>
  <c r="AQ87" i="49"/>
  <c r="AN87" i="49"/>
  <c r="AS87" i="49"/>
  <c r="Q87" i="49"/>
  <c r="E87" i="49"/>
  <c r="L87" i="49" s="1"/>
  <c r="AU86" i="49"/>
  <c r="AT86" i="49"/>
  <c r="AR86" i="49"/>
  <c r="AQ86" i="49"/>
  <c r="AN86" i="49"/>
  <c r="Q86" i="49"/>
  <c r="E86" i="49"/>
  <c r="L86" i="49" s="1"/>
  <c r="AU85" i="49"/>
  <c r="AT85" i="49"/>
  <c r="AR85" i="49"/>
  <c r="AN85" i="49"/>
  <c r="AQ85" i="49"/>
  <c r="AW85" i="49" s="1"/>
  <c r="Q85" i="49"/>
  <c r="E85" i="49"/>
  <c r="L85" i="49" s="1"/>
  <c r="AU84" i="49"/>
  <c r="AT84" i="49"/>
  <c r="AR84" i="49"/>
  <c r="AN84" i="49"/>
  <c r="AQ84" i="49"/>
  <c r="Q84" i="49"/>
  <c r="E84" i="49"/>
  <c r="L84" i="49" s="1"/>
  <c r="AU83" i="49"/>
  <c r="AT83" i="49"/>
  <c r="AR83" i="49"/>
  <c r="AQ83" i="49"/>
  <c r="AN83" i="49"/>
  <c r="Q83" i="49"/>
  <c r="E83" i="49"/>
  <c r="L83" i="49" s="1"/>
  <c r="AU82" i="49"/>
  <c r="AT82" i="49"/>
  <c r="AR82" i="49"/>
  <c r="AN82" i="49"/>
  <c r="Q82" i="49"/>
  <c r="E82" i="49"/>
  <c r="L82" i="49" s="1"/>
  <c r="AU81" i="49"/>
  <c r="AT81" i="49"/>
  <c r="AR81" i="49"/>
  <c r="AN81" i="49"/>
  <c r="AQ81" i="49"/>
  <c r="Q81" i="49"/>
  <c r="E81" i="49"/>
  <c r="L81" i="49" s="1"/>
  <c r="AU80" i="49"/>
  <c r="AT80" i="49"/>
  <c r="AR80" i="49"/>
  <c r="AQ80" i="49"/>
  <c r="AN80" i="49"/>
  <c r="Q80" i="49"/>
  <c r="E80" i="49"/>
  <c r="L80" i="49" s="1"/>
  <c r="AU79" i="49"/>
  <c r="AT79" i="49"/>
  <c r="AR79" i="49"/>
  <c r="AN79" i="49"/>
  <c r="AQ79" i="49"/>
  <c r="Q79" i="49"/>
  <c r="E79" i="49"/>
  <c r="L79" i="49" s="1"/>
  <c r="AU78" i="49"/>
  <c r="AT78" i="49"/>
  <c r="AR78" i="49"/>
  <c r="AQ78" i="49"/>
  <c r="AN78" i="49"/>
  <c r="Q78" i="49"/>
  <c r="E78" i="49"/>
  <c r="L78" i="49" s="1"/>
  <c r="AU77" i="49"/>
  <c r="AT77" i="49"/>
  <c r="AR77" i="49"/>
  <c r="AN77" i="49"/>
  <c r="AQ77" i="49"/>
  <c r="Q77" i="49"/>
  <c r="E77" i="49"/>
  <c r="L77" i="49" s="1"/>
  <c r="AU76" i="49"/>
  <c r="AT76" i="49"/>
  <c r="AR76" i="49"/>
  <c r="AN76" i="49"/>
  <c r="AQ76" i="49"/>
  <c r="Q76" i="49"/>
  <c r="E76" i="49"/>
  <c r="L76" i="49" s="1"/>
  <c r="AU75" i="49"/>
  <c r="AT75" i="49"/>
  <c r="AR75" i="49"/>
  <c r="AQ75" i="49"/>
  <c r="AN75" i="49"/>
  <c r="Q75" i="49"/>
  <c r="E75" i="49"/>
  <c r="L75" i="49" s="1"/>
  <c r="AU74" i="49"/>
  <c r="AT74" i="49"/>
  <c r="AR74" i="49"/>
  <c r="AN74" i="49"/>
  <c r="Q74" i="49"/>
  <c r="E74" i="49"/>
  <c r="L74" i="49" s="1"/>
  <c r="AU73" i="49"/>
  <c r="AT73" i="49"/>
  <c r="AR73" i="49"/>
  <c r="AQ73" i="49"/>
  <c r="AN73" i="49"/>
  <c r="AS73" i="49"/>
  <c r="R73" i="49"/>
  <c r="Q73" i="49"/>
  <c r="E73" i="49"/>
  <c r="L73" i="49" s="1"/>
  <c r="AU72" i="49"/>
  <c r="AT72" i="49"/>
  <c r="AR72" i="49"/>
  <c r="AN72" i="49"/>
  <c r="AS72" i="49"/>
  <c r="Q72" i="49"/>
  <c r="E72" i="49"/>
  <c r="L72" i="49" s="1"/>
  <c r="AU71" i="49"/>
  <c r="AT71" i="49"/>
  <c r="AR71" i="49"/>
  <c r="AN71" i="49"/>
  <c r="Q71" i="49"/>
  <c r="E71" i="49"/>
  <c r="L71" i="49" s="1"/>
  <c r="AU70" i="49"/>
  <c r="AT70" i="49"/>
  <c r="AR70" i="49"/>
  <c r="AN70" i="49"/>
  <c r="AS70" i="49"/>
  <c r="Q70" i="49"/>
  <c r="E70" i="49"/>
  <c r="L70" i="49" s="1"/>
  <c r="AU69" i="49"/>
  <c r="AT69" i="49"/>
  <c r="AR69" i="49"/>
  <c r="AN69" i="49"/>
  <c r="AS69" i="49"/>
  <c r="Q69" i="49"/>
  <c r="E69" i="49"/>
  <c r="L69" i="49" s="1"/>
  <c r="AU68" i="49"/>
  <c r="AT68" i="49"/>
  <c r="AR68" i="49"/>
  <c r="AN68" i="49"/>
  <c r="AS68" i="49"/>
  <c r="R68" i="49"/>
  <c r="Q68" i="49"/>
  <c r="E68" i="49"/>
  <c r="L68" i="49" s="1"/>
  <c r="AU67" i="49"/>
  <c r="AT67" i="49"/>
  <c r="AR67" i="49"/>
  <c r="AN67" i="49"/>
  <c r="AS67" i="49"/>
  <c r="Q67" i="49"/>
  <c r="E67" i="49"/>
  <c r="L67" i="49" s="1"/>
  <c r="AU66" i="49"/>
  <c r="AT66" i="49"/>
  <c r="AR66" i="49"/>
  <c r="AN66" i="49"/>
  <c r="AS66" i="49"/>
  <c r="R66" i="49"/>
  <c r="Q66" i="49"/>
  <c r="E66" i="49"/>
  <c r="L66" i="49" s="1"/>
  <c r="AU65" i="49"/>
  <c r="AT65" i="49"/>
  <c r="AS65" i="49"/>
  <c r="AR65" i="49"/>
  <c r="AQ65" i="49"/>
  <c r="AW65" i="49" s="1"/>
  <c r="AN65" i="49"/>
  <c r="R65" i="49"/>
  <c r="Q65" i="49"/>
  <c r="E65" i="49"/>
  <c r="L65" i="49" s="1"/>
  <c r="AU64" i="49"/>
  <c r="AT64" i="49"/>
  <c r="AS64" i="49"/>
  <c r="AR64" i="49"/>
  <c r="AQ64" i="49"/>
  <c r="AW64" i="49" s="1"/>
  <c r="AN64" i="49"/>
  <c r="R64" i="49"/>
  <c r="Q64" i="49"/>
  <c r="E64" i="49"/>
  <c r="L64" i="49" s="1"/>
  <c r="AU63" i="49"/>
  <c r="AT63" i="49"/>
  <c r="AS63" i="49"/>
  <c r="AR63" i="49"/>
  <c r="AQ63" i="49"/>
  <c r="AW63" i="49" s="1"/>
  <c r="AN63" i="49"/>
  <c r="R63" i="49"/>
  <c r="Q63" i="49"/>
  <c r="E63" i="49"/>
  <c r="L63" i="49" s="1"/>
  <c r="AU62" i="49"/>
  <c r="AT62" i="49"/>
  <c r="AS62" i="49"/>
  <c r="AR62" i="49"/>
  <c r="AQ62" i="49"/>
  <c r="AW62" i="49" s="1"/>
  <c r="AN62" i="49"/>
  <c r="R62" i="49"/>
  <c r="Q62" i="49"/>
  <c r="E62" i="49"/>
  <c r="L62" i="49" s="1"/>
  <c r="AU61" i="49"/>
  <c r="AT61" i="49"/>
  <c r="AS61" i="49"/>
  <c r="AR61" i="49"/>
  <c r="AQ61" i="49"/>
  <c r="AN61" i="49"/>
  <c r="R61" i="49"/>
  <c r="Q61" i="49"/>
  <c r="E61" i="49"/>
  <c r="L61" i="49" s="1"/>
  <c r="AU60" i="49"/>
  <c r="AT60" i="49"/>
  <c r="AS60" i="49"/>
  <c r="AR60" i="49"/>
  <c r="AQ60" i="49"/>
  <c r="AW60" i="49" s="1"/>
  <c r="AN60" i="49"/>
  <c r="R60" i="49"/>
  <c r="Q60" i="49"/>
  <c r="E60" i="49"/>
  <c r="L60" i="49" s="1"/>
  <c r="AU59" i="49"/>
  <c r="AT59" i="49"/>
  <c r="AS59" i="49"/>
  <c r="AR59" i="49"/>
  <c r="AQ59" i="49"/>
  <c r="AW59" i="49" s="1"/>
  <c r="AN59" i="49"/>
  <c r="R59" i="49"/>
  <c r="Q59" i="49"/>
  <c r="E59" i="49"/>
  <c r="L59" i="49" s="1"/>
  <c r="AU58" i="49"/>
  <c r="AT58" i="49"/>
  <c r="AS58" i="49"/>
  <c r="AR58" i="49"/>
  <c r="AQ58" i="49"/>
  <c r="AN58" i="49"/>
  <c r="R58" i="49"/>
  <c r="Q58" i="49"/>
  <c r="E58" i="49"/>
  <c r="L58" i="49" s="1"/>
  <c r="AU57" i="49"/>
  <c r="AT57" i="49"/>
  <c r="AS57" i="49"/>
  <c r="AR57" i="49"/>
  <c r="AQ57" i="49"/>
  <c r="AW57" i="49" s="1"/>
  <c r="AN57" i="49"/>
  <c r="R57" i="49"/>
  <c r="Q57" i="49"/>
  <c r="E57" i="49"/>
  <c r="L57" i="49" s="1"/>
  <c r="AU56" i="49"/>
  <c r="AT56" i="49"/>
  <c r="AS56" i="49"/>
  <c r="AR56" i="49"/>
  <c r="AQ56" i="49"/>
  <c r="AW56" i="49" s="1"/>
  <c r="AN56" i="49"/>
  <c r="R56" i="49"/>
  <c r="Q56" i="49"/>
  <c r="E56" i="49"/>
  <c r="L56" i="49" s="1"/>
  <c r="AU55" i="49"/>
  <c r="AT55" i="49"/>
  <c r="AS55" i="49"/>
  <c r="AR55" i="49"/>
  <c r="AQ55" i="49"/>
  <c r="AW55" i="49" s="1"/>
  <c r="AN55" i="49"/>
  <c r="R55" i="49"/>
  <c r="Q55" i="49"/>
  <c r="E55" i="49"/>
  <c r="L55" i="49" s="1"/>
  <c r="AU54" i="49"/>
  <c r="AT54" i="49"/>
  <c r="AS54" i="49"/>
  <c r="AR54" i="49"/>
  <c r="AQ54" i="49"/>
  <c r="AN54" i="49"/>
  <c r="R54" i="49"/>
  <c r="Q54" i="49"/>
  <c r="E54" i="49"/>
  <c r="L54" i="49" s="1"/>
  <c r="AU53" i="49"/>
  <c r="AT53" i="49"/>
  <c r="AS53" i="49"/>
  <c r="AR53" i="49"/>
  <c r="AQ53" i="49"/>
  <c r="AN53" i="49"/>
  <c r="R53" i="49"/>
  <c r="Q53" i="49"/>
  <c r="E53" i="49"/>
  <c r="L53" i="49" s="1"/>
  <c r="AU52" i="49"/>
  <c r="AT52" i="49"/>
  <c r="AS52" i="49"/>
  <c r="AR52" i="49"/>
  <c r="AQ52" i="49"/>
  <c r="AN52" i="49"/>
  <c r="R52" i="49"/>
  <c r="Q52" i="49"/>
  <c r="E52" i="49"/>
  <c r="L52" i="49" s="1"/>
  <c r="AU51" i="49"/>
  <c r="AT51" i="49"/>
  <c r="AS51" i="49"/>
  <c r="AR51" i="49"/>
  <c r="AQ51" i="49"/>
  <c r="AW51" i="49" s="1"/>
  <c r="AN51" i="49"/>
  <c r="R51" i="49"/>
  <c r="Q51" i="49"/>
  <c r="E51" i="49"/>
  <c r="L51" i="49" s="1"/>
  <c r="AU50" i="49"/>
  <c r="AT50" i="49"/>
  <c r="AS50" i="49"/>
  <c r="AR50" i="49"/>
  <c r="AQ50" i="49"/>
  <c r="AN50" i="49"/>
  <c r="R50" i="49"/>
  <c r="Q50" i="49"/>
  <c r="E50" i="49"/>
  <c r="L50" i="49" s="1"/>
  <c r="AU49" i="49"/>
  <c r="AT49" i="49"/>
  <c r="AS49" i="49"/>
  <c r="AR49" i="49"/>
  <c r="AQ49" i="49"/>
  <c r="AN49" i="49"/>
  <c r="R49" i="49"/>
  <c r="Q49" i="49"/>
  <c r="E49" i="49"/>
  <c r="L49" i="49" s="1"/>
  <c r="AU48" i="49"/>
  <c r="AT48" i="49"/>
  <c r="AS48" i="49"/>
  <c r="AR48" i="49"/>
  <c r="AQ48" i="49"/>
  <c r="AN48" i="49"/>
  <c r="R48" i="49"/>
  <c r="Q48" i="49"/>
  <c r="E48" i="49"/>
  <c r="L48" i="49" s="1"/>
  <c r="AU47" i="49"/>
  <c r="AT47" i="49"/>
  <c r="AS47" i="49"/>
  <c r="AR47" i="49"/>
  <c r="AQ47" i="49"/>
  <c r="AN47" i="49"/>
  <c r="R47" i="49"/>
  <c r="Q47" i="49"/>
  <c r="E47" i="49"/>
  <c r="L47" i="49" s="1"/>
  <c r="AU46" i="49"/>
  <c r="AT46" i="49"/>
  <c r="AS46" i="49"/>
  <c r="AR46" i="49"/>
  <c r="AQ46" i="49"/>
  <c r="AW46" i="49" s="1"/>
  <c r="AN46" i="49"/>
  <c r="R46" i="49"/>
  <c r="Q46" i="49"/>
  <c r="E46" i="49"/>
  <c r="L46" i="49" s="1"/>
  <c r="AU45" i="49"/>
  <c r="AT45" i="49"/>
  <c r="AS45" i="49"/>
  <c r="AR45" i="49"/>
  <c r="AQ45" i="49"/>
  <c r="AN45" i="49"/>
  <c r="R45" i="49"/>
  <c r="Q45" i="49"/>
  <c r="E45" i="49"/>
  <c r="L45" i="49" s="1"/>
  <c r="AU44" i="49"/>
  <c r="AT44" i="49"/>
  <c r="AS44" i="49"/>
  <c r="AR44" i="49"/>
  <c r="AQ44" i="49"/>
  <c r="AN44" i="49"/>
  <c r="R44" i="49"/>
  <c r="Q44" i="49"/>
  <c r="E44" i="49"/>
  <c r="L44" i="49" s="1"/>
  <c r="AU43" i="49"/>
  <c r="AT43" i="49"/>
  <c r="AS43" i="49"/>
  <c r="AR43" i="49"/>
  <c r="AQ43" i="49"/>
  <c r="AN43" i="49"/>
  <c r="R43" i="49"/>
  <c r="Q43" i="49"/>
  <c r="E43" i="49"/>
  <c r="L43" i="49" s="1"/>
  <c r="AU42" i="49"/>
  <c r="AT42" i="49"/>
  <c r="AS42" i="49"/>
  <c r="AR42" i="49"/>
  <c r="AQ42" i="49"/>
  <c r="AN42" i="49"/>
  <c r="R42" i="49"/>
  <c r="Q42" i="49"/>
  <c r="E42" i="49"/>
  <c r="L42" i="49" s="1"/>
  <c r="AU41" i="49"/>
  <c r="AT41" i="49"/>
  <c r="AS41" i="49"/>
  <c r="AR41" i="49"/>
  <c r="AQ41" i="49"/>
  <c r="AW41" i="49" s="1"/>
  <c r="AN41" i="49"/>
  <c r="R41" i="49"/>
  <c r="Q41" i="49"/>
  <c r="E41" i="49"/>
  <c r="L41" i="49" s="1"/>
  <c r="AU40" i="49"/>
  <c r="AT40" i="49"/>
  <c r="AS40" i="49"/>
  <c r="AR40" i="49"/>
  <c r="AQ40" i="49"/>
  <c r="AN40" i="49"/>
  <c r="R40" i="49"/>
  <c r="Q40" i="49"/>
  <c r="E40" i="49"/>
  <c r="L40" i="49" s="1"/>
  <c r="AU39" i="49"/>
  <c r="AT39" i="49"/>
  <c r="AS39" i="49"/>
  <c r="AR39" i="49"/>
  <c r="AQ39" i="49"/>
  <c r="AN39" i="49"/>
  <c r="R39" i="49"/>
  <c r="Q39" i="49"/>
  <c r="E39" i="49"/>
  <c r="L39" i="49" s="1"/>
  <c r="AU38" i="49"/>
  <c r="AT38" i="49"/>
  <c r="AS38" i="49"/>
  <c r="AR38" i="49"/>
  <c r="AQ38" i="49"/>
  <c r="AN38" i="49"/>
  <c r="R38" i="49"/>
  <c r="Q38" i="49"/>
  <c r="E38" i="49"/>
  <c r="L38" i="49" s="1"/>
  <c r="AU37" i="49"/>
  <c r="AT37" i="49"/>
  <c r="AS37" i="49"/>
  <c r="AR37" i="49"/>
  <c r="AQ37" i="49"/>
  <c r="AW37" i="49" s="1"/>
  <c r="AN37" i="49"/>
  <c r="R37" i="49"/>
  <c r="Q37" i="49"/>
  <c r="E37" i="49"/>
  <c r="L37" i="49" s="1"/>
  <c r="AU36" i="49"/>
  <c r="AT36" i="49"/>
  <c r="AS36" i="49"/>
  <c r="AR36" i="49"/>
  <c r="AQ36" i="49"/>
  <c r="AW36" i="49" s="1"/>
  <c r="AN36" i="49"/>
  <c r="R36" i="49"/>
  <c r="Q36" i="49"/>
  <c r="E36" i="49"/>
  <c r="L36" i="49" s="1"/>
  <c r="AU35" i="49"/>
  <c r="AT35" i="49"/>
  <c r="AS35" i="49"/>
  <c r="AR35" i="49"/>
  <c r="AQ35" i="49"/>
  <c r="AW35" i="49" s="1"/>
  <c r="AN35" i="49"/>
  <c r="R35" i="49"/>
  <c r="Q35" i="49"/>
  <c r="E35" i="49"/>
  <c r="L35" i="49" s="1"/>
  <c r="AU34" i="49"/>
  <c r="AT34" i="49"/>
  <c r="AS34" i="49"/>
  <c r="AR34" i="49"/>
  <c r="AQ34" i="49"/>
  <c r="AW34" i="49" s="1"/>
  <c r="AN34" i="49"/>
  <c r="R34" i="49"/>
  <c r="Q34" i="49"/>
  <c r="E34" i="49"/>
  <c r="L34" i="49" s="1"/>
  <c r="AU33" i="49"/>
  <c r="AT33" i="49"/>
  <c r="AS33" i="49"/>
  <c r="AR33" i="49"/>
  <c r="AQ33" i="49"/>
  <c r="AN33" i="49"/>
  <c r="R33" i="49"/>
  <c r="Q33" i="49"/>
  <c r="E33" i="49"/>
  <c r="L33" i="49" s="1"/>
  <c r="AU32" i="49"/>
  <c r="AT32" i="49"/>
  <c r="AS32" i="49"/>
  <c r="AR32" i="49"/>
  <c r="AQ32" i="49"/>
  <c r="AW32" i="49" s="1"/>
  <c r="AN32" i="49"/>
  <c r="R32" i="49"/>
  <c r="Q32" i="49"/>
  <c r="E32" i="49"/>
  <c r="L32" i="49" s="1"/>
  <c r="AU31" i="49"/>
  <c r="AT31" i="49"/>
  <c r="AS31" i="49"/>
  <c r="AR31" i="49"/>
  <c r="AQ31" i="49"/>
  <c r="AW31" i="49" s="1"/>
  <c r="AN31" i="49"/>
  <c r="R31" i="49"/>
  <c r="Q31" i="49"/>
  <c r="E31" i="49"/>
  <c r="L31" i="49" s="1"/>
  <c r="AU30" i="49"/>
  <c r="AT30" i="49"/>
  <c r="AS30" i="49"/>
  <c r="AR30" i="49"/>
  <c r="AQ30" i="49"/>
  <c r="AW30" i="49" s="1"/>
  <c r="AN30" i="49"/>
  <c r="R30" i="49"/>
  <c r="Q30" i="49"/>
  <c r="E30" i="49"/>
  <c r="L30" i="49" s="1"/>
  <c r="AU29" i="49"/>
  <c r="AT29" i="49"/>
  <c r="AS29" i="49"/>
  <c r="AR29" i="49"/>
  <c r="AQ29" i="49"/>
  <c r="AW29" i="49" s="1"/>
  <c r="AN29" i="49"/>
  <c r="R29" i="49"/>
  <c r="Q29" i="49"/>
  <c r="E29" i="49"/>
  <c r="L29" i="49" s="1"/>
  <c r="AU28" i="49"/>
  <c r="AT28" i="49"/>
  <c r="AS28" i="49"/>
  <c r="AR28" i="49"/>
  <c r="AQ28" i="49"/>
  <c r="AN28" i="49"/>
  <c r="Q28" i="49"/>
  <c r="E28" i="49"/>
  <c r="L28" i="49" s="1"/>
  <c r="AU27" i="49"/>
  <c r="AT27" i="49"/>
  <c r="AS27" i="49"/>
  <c r="AR27" i="49"/>
  <c r="AN27" i="49"/>
  <c r="R27" i="49"/>
  <c r="Q27" i="49"/>
  <c r="E27" i="49"/>
  <c r="L27" i="49" s="1"/>
  <c r="AU26" i="49"/>
  <c r="AT26" i="49"/>
  <c r="AS26" i="49"/>
  <c r="AR26" i="49"/>
  <c r="AN26" i="49"/>
  <c r="Q26" i="49"/>
  <c r="E26" i="49"/>
  <c r="L26" i="49" s="1"/>
  <c r="AU25" i="49"/>
  <c r="AT25" i="49"/>
  <c r="AS25" i="49"/>
  <c r="AR25" i="49"/>
  <c r="AN25" i="49"/>
  <c r="Q25" i="49"/>
  <c r="E25" i="49"/>
  <c r="L25" i="49" s="1"/>
  <c r="AU24" i="49"/>
  <c r="AT24" i="49"/>
  <c r="AS24" i="49"/>
  <c r="AR24" i="49"/>
  <c r="AN24" i="49"/>
  <c r="Q24" i="49"/>
  <c r="E24" i="49"/>
  <c r="L24" i="49" s="1"/>
  <c r="AU23" i="49"/>
  <c r="AT23" i="49"/>
  <c r="AS23" i="49"/>
  <c r="AR23" i="49"/>
  <c r="AN23" i="49"/>
  <c r="Q23" i="49"/>
  <c r="E23" i="49"/>
  <c r="L23" i="49" s="1"/>
  <c r="AU22" i="49"/>
  <c r="AT22" i="49"/>
  <c r="AS22" i="49"/>
  <c r="AR22" i="49"/>
  <c r="AN22" i="49"/>
  <c r="Q22" i="49"/>
  <c r="E22" i="49"/>
  <c r="L22" i="49" s="1"/>
  <c r="AU21" i="49"/>
  <c r="AT21" i="49"/>
  <c r="AS21" i="49"/>
  <c r="AR21" i="49"/>
  <c r="AN21" i="49"/>
  <c r="Q21" i="49"/>
  <c r="E21" i="49"/>
  <c r="L21" i="49" s="1"/>
  <c r="AU20" i="49"/>
  <c r="AT20" i="49"/>
  <c r="AS20" i="49"/>
  <c r="AR20" i="49"/>
  <c r="AN20" i="49"/>
  <c r="Q20" i="49"/>
  <c r="E20" i="49"/>
  <c r="L20" i="49" s="1"/>
  <c r="AU19" i="49"/>
  <c r="AT19" i="49"/>
  <c r="AS19" i="49"/>
  <c r="AR19" i="49"/>
  <c r="AN19" i="49"/>
  <c r="Q19" i="49"/>
  <c r="E19" i="49"/>
  <c r="L19" i="49" s="1"/>
  <c r="AU18" i="49"/>
  <c r="AT18" i="49"/>
  <c r="AS18" i="49"/>
  <c r="AR18" i="49"/>
  <c r="AN18" i="49"/>
  <c r="Q18" i="49"/>
  <c r="E18" i="49"/>
  <c r="L18" i="49" s="1"/>
  <c r="AU17" i="49"/>
  <c r="AT17" i="49"/>
  <c r="AS17" i="49"/>
  <c r="AR17" i="49"/>
  <c r="AN17" i="49"/>
  <c r="Q17" i="49"/>
  <c r="E17" i="49"/>
  <c r="L17" i="49" s="1"/>
  <c r="AU16" i="49"/>
  <c r="AT16" i="49"/>
  <c r="AS16" i="49"/>
  <c r="AR16" i="49"/>
  <c r="AN16" i="49"/>
  <c r="Q16" i="49"/>
  <c r="E16" i="49"/>
  <c r="L16" i="49" s="1"/>
  <c r="AU15" i="49"/>
  <c r="AT15" i="49"/>
  <c r="AS15" i="49"/>
  <c r="AR15" i="49"/>
  <c r="AN15" i="49"/>
  <c r="Q15" i="49"/>
  <c r="E15" i="49"/>
  <c r="L15" i="49" s="1"/>
  <c r="AU14" i="49"/>
  <c r="AT14" i="49"/>
  <c r="AS14" i="49"/>
  <c r="AR14" i="49"/>
  <c r="AN14" i="49"/>
  <c r="Q14" i="49"/>
  <c r="E14" i="49"/>
  <c r="L14" i="49" s="1"/>
  <c r="AU13" i="49"/>
  <c r="AT13" i="49"/>
  <c r="AS13" i="49"/>
  <c r="AR13" i="49"/>
  <c r="AN13" i="49"/>
  <c r="Q13" i="49"/>
  <c r="E13" i="49"/>
  <c r="L13" i="49" s="1"/>
  <c r="AU12" i="49"/>
  <c r="AT12" i="49"/>
  <c r="AS12" i="49"/>
  <c r="AR12" i="49"/>
  <c r="AN12" i="49"/>
  <c r="Q12" i="49"/>
  <c r="E12" i="49"/>
  <c r="L12" i="49" s="1"/>
  <c r="AU11" i="49"/>
  <c r="AT11" i="49"/>
  <c r="AS11" i="49"/>
  <c r="AR11" i="49"/>
  <c r="AN11" i="49"/>
  <c r="Q11" i="49"/>
  <c r="E11" i="49"/>
  <c r="L11" i="49" s="1"/>
  <c r="AU10" i="49"/>
  <c r="AT10" i="49"/>
  <c r="AS10" i="49"/>
  <c r="AR10" i="49"/>
  <c r="AN10" i="49"/>
  <c r="Q10" i="49"/>
  <c r="E10" i="49"/>
  <c r="L10" i="49" s="1"/>
  <c r="AU9" i="49"/>
  <c r="AT9" i="49"/>
  <c r="AS9" i="49"/>
  <c r="AR9" i="49"/>
  <c r="AN9" i="49"/>
  <c r="Q9" i="49"/>
  <c r="E9" i="49"/>
  <c r="L9" i="49" s="1"/>
  <c r="AU8" i="49"/>
  <c r="AT8" i="49"/>
  <c r="AS8" i="49"/>
  <c r="AR8" i="49"/>
  <c r="AN8" i="49"/>
  <c r="Q8" i="49"/>
  <c r="E8" i="49"/>
  <c r="L8" i="49" s="1"/>
  <c r="AU7" i="49"/>
  <c r="AT7" i="49"/>
  <c r="AS7" i="49"/>
  <c r="AR7" i="49"/>
  <c r="AN7" i="49"/>
  <c r="Q7" i="49"/>
  <c r="E7" i="49"/>
  <c r="L7" i="49" s="1"/>
  <c r="AU6" i="49"/>
  <c r="AT6" i="49"/>
  <c r="AS6" i="49"/>
  <c r="AR6" i="49"/>
  <c r="AN6" i="49"/>
  <c r="Q6" i="49"/>
  <c r="E6" i="49"/>
  <c r="L6" i="49" s="1"/>
  <c r="AU5" i="49"/>
  <c r="AT5" i="49"/>
  <c r="AS5" i="49"/>
  <c r="AR5" i="49"/>
  <c r="AN5" i="49"/>
  <c r="Q5" i="49"/>
  <c r="E5" i="49"/>
  <c r="L5" i="49" s="1"/>
  <c r="AU4" i="49"/>
  <c r="AT4" i="49"/>
  <c r="AS4" i="49"/>
  <c r="AR4" i="49"/>
  <c r="AN4" i="49"/>
  <c r="Q4" i="49"/>
  <c r="E4" i="49"/>
  <c r="L4" i="49" s="1"/>
  <c r="AU3" i="49"/>
  <c r="AT3" i="49"/>
  <c r="AR3" i="49"/>
  <c r="AB3" i="49"/>
  <c r="AA3" i="49"/>
  <c r="AF3" i="49" s="1"/>
  <c r="X3" i="49"/>
  <c r="AN3" i="49" s="1"/>
  <c r="U3" i="49"/>
  <c r="U105" i="49" s="1"/>
  <c r="U126" i="49" s="1"/>
  <c r="Q3" i="49"/>
  <c r="E3" i="49"/>
  <c r="L3" i="49" s="1"/>
  <c r="J105" i="48"/>
  <c r="K98" i="48" s="1"/>
  <c r="C105" i="48"/>
  <c r="D102" i="48" s="1"/>
  <c r="D85" i="48"/>
  <c r="K72" i="48"/>
  <c r="D48" i="48"/>
  <c r="D44" i="48"/>
  <c r="D37" i="48"/>
  <c r="D35" i="48"/>
  <c r="K29" i="48"/>
  <c r="D28" i="48"/>
  <c r="K25" i="48"/>
  <c r="D23" i="48"/>
  <c r="K21" i="48"/>
  <c r="K17" i="48"/>
  <c r="D17" i="48"/>
  <c r="D15" i="48"/>
  <c r="K13" i="48"/>
  <c r="D10" i="48"/>
  <c r="K9" i="48"/>
  <c r="D9" i="48"/>
  <c r="K6" i="48"/>
  <c r="K5" i="48"/>
  <c r="D5" i="48"/>
  <c r="K4" i="48"/>
  <c r="D4" i="48"/>
  <c r="G29" i="61" l="1"/>
  <c r="G23" i="61"/>
  <c r="L36" i="63"/>
  <c r="L39" i="63"/>
  <c r="M35" i="63"/>
  <c r="G35" i="63" s="1"/>
  <c r="F33" i="63"/>
  <c r="E34" i="63"/>
  <c r="M30" i="61"/>
  <c r="L31" i="61"/>
  <c r="E31" i="61"/>
  <c r="F30" i="61"/>
  <c r="F5" i="53"/>
  <c r="E6" i="53"/>
  <c r="AZ125" i="52"/>
  <c r="AF22" i="3"/>
  <c r="AE22" i="3"/>
  <c r="AW104" i="52"/>
  <c r="AX104" i="52"/>
  <c r="M17" i="55"/>
  <c r="G17" i="55" s="1"/>
  <c r="L18" i="55"/>
  <c r="E18" i="55"/>
  <c r="F17" i="55"/>
  <c r="D16" i="48"/>
  <c r="D22" i="48"/>
  <c r="D29" i="48"/>
  <c r="D36" i="48"/>
  <c r="D47" i="48"/>
  <c r="D90" i="48"/>
  <c r="D11" i="48"/>
  <c r="D24" i="48"/>
  <c r="D30" i="48"/>
  <c r="D38" i="48"/>
  <c r="D53" i="48"/>
  <c r="D6" i="48"/>
  <c r="D12" i="48"/>
  <c r="D18" i="48"/>
  <c r="D25" i="48"/>
  <c r="D31" i="48"/>
  <c r="D39" i="48"/>
  <c r="D58" i="48"/>
  <c r="D13" i="48"/>
  <c r="D19" i="48"/>
  <c r="D32" i="48"/>
  <c r="D40" i="48"/>
  <c r="D69" i="48"/>
  <c r="D7" i="48"/>
  <c r="D20" i="48"/>
  <c r="D26" i="48"/>
  <c r="D33" i="48"/>
  <c r="D41" i="48"/>
  <c r="D8" i="48"/>
  <c r="D14" i="48"/>
  <c r="D21" i="48"/>
  <c r="D27" i="48"/>
  <c r="D34" i="48"/>
  <c r="D43" i="48"/>
  <c r="D74" i="48"/>
  <c r="K68" i="48"/>
  <c r="K96" i="48"/>
  <c r="K10" i="48"/>
  <c r="K14" i="48"/>
  <c r="K18" i="48"/>
  <c r="K22" i="48"/>
  <c r="K26" i="48"/>
  <c r="K37" i="48"/>
  <c r="K44" i="48"/>
  <c r="K7" i="48"/>
  <c r="K11" i="48"/>
  <c r="K15" i="48"/>
  <c r="K19" i="48"/>
  <c r="K23" i="48"/>
  <c r="K27" i="48"/>
  <c r="K33" i="48"/>
  <c r="K51" i="48"/>
  <c r="K82" i="48"/>
  <c r="K8" i="48"/>
  <c r="K12" i="48"/>
  <c r="K16" i="48"/>
  <c r="K20" i="48"/>
  <c r="K24" i="48"/>
  <c r="K28" i="48"/>
  <c r="K41" i="48"/>
  <c r="K55" i="48"/>
  <c r="K86" i="48"/>
  <c r="K32" i="48"/>
  <c r="K36" i="48"/>
  <c r="K40" i="48"/>
  <c r="K45" i="48"/>
  <c r="K84" i="48"/>
  <c r="K99" i="48"/>
  <c r="K46" i="48"/>
  <c r="K53" i="48"/>
  <c r="K69" i="48"/>
  <c r="K42" i="48"/>
  <c r="K47" i="48"/>
  <c r="K89" i="48"/>
  <c r="K30" i="48"/>
  <c r="K34" i="48"/>
  <c r="K38" i="48"/>
  <c r="K60" i="48"/>
  <c r="K74" i="48"/>
  <c r="K43" i="48"/>
  <c r="K48" i="48"/>
  <c r="K62" i="48"/>
  <c r="K76" i="48"/>
  <c r="K90" i="48"/>
  <c r="K31" i="48"/>
  <c r="K35" i="48"/>
  <c r="K39" i="48"/>
  <c r="K49" i="48"/>
  <c r="K65" i="48"/>
  <c r="K79" i="48"/>
  <c r="K93" i="48"/>
  <c r="K56" i="48"/>
  <c r="K63" i="48"/>
  <c r="K70" i="48"/>
  <c r="K77" i="48"/>
  <c r="K91" i="48"/>
  <c r="K100" i="48"/>
  <c r="L4" i="48"/>
  <c r="M4" i="48" s="1"/>
  <c r="K50" i="48"/>
  <c r="K57" i="48"/>
  <c r="K64" i="48"/>
  <c r="K71" i="48"/>
  <c r="K78" i="48"/>
  <c r="K85" i="48"/>
  <c r="K92" i="48"/>
  <c r="K52" i="48"/>
  <c r="K58" i="48"/>
  <c r="K66" i="48"/>
  <c r="K73" i="48"/>
  <c r="K80" i="48"/>
  <c r="K87" i="48"/>
  <c r="K94" i="48"/>
  <c r="K59" i="48"/>
  <c r="K67" i="48"/>
  <c r="K81" i="48"/>
  <c r="K88" i="48"/>
  <c r="K95" i="48"/>
  <c r="K54" i="48"/>
  <c r="K61" i="48"/>
  <c r="K75" i="48"/>
  <c r="K83" i="48"/>
  <c r="K97" i="48"/>
  <c r="D57" i="48"/>
  <c r="D62" i="48"/>
  <c r="D73" i="48"/>
  <c r="D78" i="48"/>
  <c r="D89" i="48"/>
  <c r="D94" i="48"/>
  <c r="D103" i="48"/>
  <c r="D45" i="48"/>
  <c r="D49" i="48"/>
  <c r="D54" i="48"/>
  <c r="D65" i="48"/>
  <c r="D70" i="48"/>
  <c r="D81" i="48"/>
  <c r="D86" i="48"/>
  <c r="D97" i="48"/>
  <c r="D42" i="48"/>
  <c r="D46" i="48"/>
  <c r="D50" i="48"/>
  <c r="D61" i="48"/>
  <c r="D66" i="48"/>
  <c r="D77" i="48"/>
  <c r="D82" i="48"/>
  <c r="D93" i="48"/>
  <c r="D98" i="48"/>
  <c r="D104" i="48"/>
  <c r="D99" i="48"/>
  <c r="D51" i="48"/>
  <c r="D55" i="48"/>
  <c r="D59" i="48"/>
  <c r="D63" i="48"/>
  <c r="D67" i="48"/>
  <c r="D71" i="48"/>
  <c r="D75" i="48"/>
  <c r="D79" i="48"/>
  <c r="D83" i="48"/>
  <c r="D87" i="48"/>
  <c r="D91" i="48"/>
  <c r="D95" i="48"/>
  <c r="D100" i="48"/>
  <c r="D52" i="48"/>
  <c r="D56" i="48"/>
  <c r="D60" i="48"/>
  <c r="D64" i="48"/>
  <c r="D68" i="48"/>
  <c r="D72" i="48"/>
  <c r="D76" i="48"/>
  <c r="D80" i="48"/>
  <c r="D84" i="48"/>
  <c r="D88" i="48"/>
  <c r="D92" i="48"/>
  <c r="D96" i="48"/>
  <c r="D101" i="48"/>
  <c r="AM126" i="49"/>
  <c r="U21" i="3"/>
  <c r="AG126" i="49"/>
  <c r="Q21" i="3"/>
  <c r="AE126" i="49"/>
  <c r="R21" i="3"/>
  <c r="Z126" i="49"/>
  <c r="N21" i="3"/>
  <c r="Y126" i="49"/>
  <c r="M21" i="3"/>
  <c r="W126" i="49"/>
  <c r="K21" i="3"/>
  <c r="V126" i="49"/>
  <c r="J21" i="3"/>
  <c r="T126" i="49"/>
  <c r="I21" i="3"/>
  <c r="AD3" i="49"/>
  <c r="S126" i="49"/>
  <c r="AI126" i="49"/>
  <c r="AU104" i="49"/>
  <c r="AL103" i="49"/>
  <c r="AO103" i="49" s="1"/>
  <c r="AV103" i="49" s="1" a="1"/>
  <c r="AV103" i="49" s="1"/>
  <c r="AZ103" i="49" s="1"/>
  <c r="AL81" i="49"/>
  <c r="AL78" i="49"/>
  <c r="AL73" i="49"/>
  <c r="AL66" i="49"/>
  <c r="AO66" i="49" s="1"/>
  <c r="AV66" i="49" s="1" a="1"/>
  <c r="AV66" i="49" s="1"/>
  <c r="AL65" i="49"/>
  <c r="AO65" i="49" s="1"/>
  <c r="AV65" i="49" s="1" a="1"/>
  <c r="AV65" i="49" s="1"/>
  <c r="AL64" i="49"/>
  <c r="AO64" i="49" s="1"/>
  <c r="AV64" i="49" s="1" a="1"/>
  <c r="AV64" i="49" s="1"/>
  <c r="AL63" i="49"/>
  <c r="AO63" i="49" s="1"/>
  <c r="AV63" i="49" s="1" a="1"/>
  <c r="AV63" i="49" s="1"/>
  <c r="AL62" i="49"/>
  <c r="AO62" i="49" s="1"/>
  <c r="AV62" i="49" s="1" a="1"/>
  <c r="AV62" i="49" s="1"/>
  <c r="AL61" i="49"/>
  <c r="AO61" i="49" s="1"/>
  <c r="AV61" i="49" s="1" a="1"/>
  <c r="AV61" i="49" s="1"/>
  <c r="AW61" i="49" s="1"/>
  <c r="AL60" i="49"/>
  <c r="AL59" i="49"/>
  <c r="AL58" i="49"/>
  <c r="AL57" i="49"/>
  <c r="AL56" i="49"/>
  <c r="AL55" i="49"/>
  <c r="AO55" i="49" s="1"/>
  <c r="AV55" i="49" s="1" a="1"/>
  <c r="AV55" i="49" s="1"/>
  <c r="AL54" i="49"/>
  <c r="AO54" i="49" s="1"/>
  <c r="AV54" i="49" s="1" a="1"/>
  <c r="AV54" i="49" s="1"/>
  <c r="AW54" i="49" s="1"/>
  <c r="AL53" i="49"/>
  <c r="AL45" i="49"/>
  <c r="AL37" i="49"/>
  <c r="AL29" i="49"/>
  <c r="AO29" i="49" s="1"/>
  <c r="AV29" i="49" s="1" a="1"/>
  <c r="AV29" i="49" s="1"/>
  <c r="AZ29" i="49" s="1"/>
  <c r="AL26" i="49"/>
  <c r="AO26" i="49" s="1"/>
  <c r="AV26" i="49" s="1" a="1"/>
  <c r="AV26" i="49" s="1"/>
  <c r="AL21" i="49"/>
  <c r="AO21" i="49" s="1"/>
  <c r="AV21" i="49" s="1" a="1"/>
  <c r="AV21" i="49" s="1"/>
  <c r="AL19" i="49"/>
  <c r="AO19" i="49" s="1"/>
  <c r="AV19" i="49" s="1" a="1"/>
  <c r="AV19" i="49" s="1"/>
  <c r="AL17" i="49"/>
  <c r="AO17" i="49" s="1"/>
  <c r="AV17" i="49" s="1" a="1"/>
  <c r="AV17" i="49" s="1"/>
  <c r="AL15" i="49"/>
  <c r="AL13" i="49"/>
  <c r="AO13" i="49" s="1"/>
  <c r="AV13" i="49" s="1" a="1"/>
  <c r="AV13" i="49" s="1"/>
  <c r="AL11" i="49"/>
  <c r="AL9" i="49"/>
  <c r="AO9" i="49" s="1"/>
  <c r="AV9" i="49" s="1" a="1"/>
  <c r="AV9" i="49" s="1"/>
  <c r="AL7" i="49"/>
  <c r="AO7" i="49" s="1"/>
  <c r="AV7" i="49" s="1" a="1"/>
  <c r="AV7" i="49" s="1"/>
  <c r="AL5" i="49"/>
  <c r="AO5" i="49" s="1"/>
  <c r="AV5" i="49" s="1" a="1"/>
  <c r="AV5" i="49" s="1"/>
  <c r="AZ5" i="49" s="1"/>
  <c r="AL3" i="49"/>
  <c r="AO3" i="49" s="1"/>
  <c r="AV3" i="49" s="1"/>
  <c r="AZ3" i="49" s="1"/>
  <c r="AL6" i="49"/>
  <c r="AO6" i="49" s="1"/>
  <c r="AV6" i="49" s="1" a="1"/>
  <c r="AV6" i="49" s="1"/>
  <c r="AZ6" i="49" s="1"/>
  <c r="AL94" i="49"/>
  <c r="AO94" i="49" s="1"/>
  <c r="AV94" i="49" s="1" a="1"/>
  <c r="AV94" i="49" s="1"/>
  <c r="AL90" i="49"/>
  <c r="AO90" i="49" s="1"/>
  <c r="AV90" i="49" s="1" a="1"/>
  <c r="AV90" i="49" s="1"/>
  <c r="AW90" i="49" s="1"/>
  <c r="AL86" i="49"/>
  <c r="AL76" i="49"/>
  <c r="AL46" i="49"/>
  <c r="AO46" i="49" s="1"/>
  <c r="AV46" i="49" s="1" a="1"/>
  <c r="AV46" i="49" s="1"/>
  <c r="AL38" i="49"/>
  <c r="AO38" i="49" s="1"/>
  <c r="AV38" i="49" s="1" a="1"/>
  <c r="AV38" i="49" s="1"/>
  <c r="AW38" i="49" s="1"/>
  <c r="AL30" i="49"/>
  <c r="AO30" i="49" s="1"/>
  <c r="AV30" i="49" s="1" a="1"/>
  <c r="AV30" i="49" s="1"/>
  <c r="AZ30" i="49" s="1"/>
  <c r="AL23" i="49"/>
  <c r="AO23" i="49" s="1"/>
  <c r="AV23" i="49" s="1" a="1"/>
  <c r="AV23" i="49" s="1"/>
  <c r="AL84" i="49"/>
  <c r="AO84" i="49" s="1"/>
  <c r="AV84" i="49" s="1" a="1"/>
  <c r="AV84" i="49" s="1"/>
  <c r="AZ84" i="49" s="1"/>
  <c r="AL71" i="49"/>
  <c r="AL69" i="49"/>
  <c r="AL47" i="49"/>
  <c r="AO47" i="49" s="1"/>
  <c r="AV47" i="49" s="1" a="1"/>
  <c r="AV47" i="49" s="1"/>
  <c r="AW47" i="49" s="1"/>
  <c r="AL39" i="49"/>
  <c r="AO39" i="49" s="1"/>
  <c r="AV39" i="49" s="1" a="1"/>
  <c r="AV39" i="49" s="1"/>
  <c r="AW39" i="49" s="1"/>
  <c r="AL31" i="49"/>
  <c r="AO31" i="49" s="1"/>
  <c r="AV31" i="49" s="1" a="1"/>
  <c r="AV31" i="49" s="1"/>
  <c r="AZ31" i="49" s="1"/>
  <c r="AL24" i="49"/>
  <c r="AO24" i="49" s="1"/>
  <c r="AV24" i="49" s="1" a="1"/>
  <c r="AV24" i="49" s="1"/>
  <c r="AL91" i="49"/>
  <c r="AO91" i="49" s="1"/>
  <c r="AV91" i="49" s="1" a="1"/>
  <c r="AV91" i="49" s="1"/>
  <c r="AZ91" i="49" s="1"/>
  <c r="AL87" i="49"/>
  <c r="AL79" i="49"/>
  <c r="AL74" i="49"/>
  <c r="AO74" i="49" s="1"/>
  <c r="AV74" i="49" s="1" a="1"/>
  <c r="AV74" i="49" s="1"/>
  <c r="AL48" i="49"/>
  <c r="AO48" i="49" s="1"/>
  <c r="AV48" i="49" s="1" a="1"/>
  <c r="AV48" i="49" s="1"/>
  <c r="AW48" i="49" s="1"/>
  <c r="AL40" i="49"/>
  <c r="AO40" i="49" s="1"/>
  <c r="AV40" i="49" s="1" a="1"/>
  <c r="AV40" i="49" s="1"/>
  <c r="AW40" i="49" s="1"/>
  <c r="AL32" i="49"/>
  <c r="AO32" i="49" s="1"/>
  <c r="AV32" i="49" s="1" a="1"/>
  <c r="AV32" i="49" s="1"/>
  <c r="AL27" i="49"/>
  <c r="AL8" i="49"/>
  <c r="AO8" i="49" s="1"/>
  <c r="AV8" i="49" s="1" a="1"/>
  <c r="AV8" i="49" s="1"/>
  <c r="AL82" i="49"/>
  <c r="AO82" i="49" s="1"/>
  <c r="AV82" i="49" s="1" a="1"/>
  <c r="AV82" i="49" s="1"/>
  <c r="AL67" i="49"/>
  <c r="AL49" i="49"/>
  <c r="AO49" i="49" s="1"/>
  <c r="AV49" i="49" s="1" a="1"/>
  <c r="AV49" i="49" s="1"/>
  <c r="AW49" i="49" s="1"/>
  <c r="AL41" i="49"/>
  <c r="AO41" i="49" s="1"/>
  <c r="AV41" i="49" s="1" a="1"/>
  <c r="AV41" i="49" s="1"/>
  <c r="AL33" i="49"/>
  <c r="AO33" i="49" s="1"/>
  <c r="AV33" i="49" s="1" a="1"/>
  <c r="AV33" i="49" s="1"/>
  <c r="AW33" i="49" s="1"/>
  <c r="AL22" i="49"/>
  <c r="AO22" i="49" s="1"/>
  <c r="AV22" i="49" s="1" a="1"/>
  <c r="AV22" i="49" s="1"/>
  <c r="AL20" i="49"/>
  <c r="AO20" i="49" s="1"/>
  <c r="AV20" i="49" s="1" a="1"/>
  <c r="AV20" i="49" s="1"/>
  <c r="AL18" i="49"/>
  <c r="AO18" i="49" s="1"/>
  <c r="AV18" i="49" s="1" a="1"/>
  <c r="AV18" i="49" s="1"/>
  <c r="AL16" i="49"/>
  <c r="AO16" i="49" s="1"/>
  <c r="AV16" i="49" s="1" a="1"/>
  <c r="AV16" i="49" s="1"/>
  <c r="AL14" i="49"/>
  <c r="AO14" i="49" s="1"/>
  <c r="AV14" i="49" s="1" a="1"/>
  <c r="AV14" i="49" s="1"/>
  <c r="AL12" i="49"/>
  <c r="AO12" i="49" s="1"/>
  <c r="AV12" i="49" s="1" a="1"/>
  <c r="AV12" i="49" s="1"/>
  <c r="AL10" i="49"/>
  <c r="AL4" i="49"/>
  <c r="AO4" i="49" s="1"/>
  <c r="AV4" i="49" s="1" a="1"/>
  <c r="AV4" i="49" s="1"/>
  <c r="AZ4" i="49" s="1"/>
  <c r="AL93" i="49"/>
  <c r="AO93" i="49" s="1"/>
  <c r="AV93" i="49" s="1" a="1"/>
  <c r="AV93" i="49" s="1"/>
  <c r="AW93" i="49" s="1"/>
  <c r="AL83" i="49"/>
  <c r="AO83" i="49" s="1"/>
  <c r="AV83" i="49" s="1" a="1"/>
  <c r="AV83" i="49" s="1"/>
  <c r="AW83" i="49" s="1"/>
  <c r="AL36" i="49"/>
  <c r="AO36" i="49" s="1"/>
  <c r="AV36" i="49" s="1" a="1"/>
  <c r="AV36" i="49" s="1"/>
  <c r="AL92" i="49"/>
  <c r="AO92" i="49" s="1"/>
  <c r="AV92" i="49" s="1" a="1"/>
  <c r="AV92" i="49" s="1"/>
  <c r="AW92" i="49" s="1"/>
  <c r="AL88" i="49"/>
  <c r="AO88" i="49" s="1"/>
  <c r="AV88" i="49" s="1" a="1"/>
  <c r="AV88" i="49" s="1"/>
  <c r="AL77" i="49"/>
  <c r="AL50" i="49"/>
  <c r="AL42" i="49"/>
  <c r="AO42" i="49" s="1"/>
  <c r="AV42" i="49" s="1" a="1"/>
  <c r="AV42" i="49" s="1"/>
  <c r="AW42" i="49" s="1"/>
  <c r="AL34" i="49"/>
  <c r="AO34" i="49" s="1"/>
  <c r="AV34" i="49" s="1" a="1"/>
  <c r="AV34" i="49" s="1"/>
  <c r="AL25" i="49"/>
  <c r="AO25" i="49" s="1"/>
  <c r="AV25" i="49" s="1" a="1"/>
  <c r="AV25" i="49" s="1"/>
  <c r="AL89" i="49"/>
  <c r="AL44" i="49"/>
  <c r="AO44" i="49" s="1"/>
  <c r="AV44" i="49" s="1" a="1"/>
  <c r="AV44" i="49" s="1"/>
  <c r="AW44" i="49" s="1"/>
  <c r="AL28" i="49"/>
  <c r="AL85" i="49"/>
  <c r="AL80" i="49"/>
  <c r="AL75" i="49"/>
  <c r="AO75" i="49" s="1"/>
  <c r="AV75" i="49" s="1" a="1"/>
  <c r="AV75" i="49" s="1"/>
  <c r="AW75" i="49" s="1"/>
  <c r="AL72" i="49"/>
  <c r="AL70" i="49"/>
  <c r="AO70" i="49" s="1"/>
  <c r="AV70" i="49" s="1" a="1"/>
  <c r="AV70" i="49" s="1"/>
  <c r="AZ70" i="49" s="1"/>
  <c r="AL68" i="49"/>
  <c r="AO68" i="49" s="1"/>
  <c r="AV68" i="49" s="1" a="1"/>
  <c r="AV68" i="49" s="1"/>
  <c r="AZ68" i="49" s="1"/>
  <c r="AL51" i="49"/>
  <c r="AO51" i="49" s="1"/>
  <c r="AV51" i="49" s="1" a="1"/>
  <c r="AV51" i="49" s="1"/>
  <c r="AL43" i="49"/>
  <c r="AO43" i="49" s="1"/>
  <c r="AV43" i="49" s="1" a="1"/>
  <c r="AV43" i="49" s="1"/>
  <c r="AW43" i="49" s="1"/>
  <c r="AL35" i="49"/>
  <c r="AO35" i="49" s="1"/>
  <c r="AV35" i="49" s="1" a="1"/>
  <c r="AV35" i="49" s="1"/>
  <c r="AL52" i="49"/>
  <c r="AO11" i="49"/>
  <c r="AV11" i="49" s="1" a="1"/>
  <c r="AV11" i="49" s="1"/>
  <c r="AO15" i="49"/>
  <c r="AV15" i="49" s="1" a="1"/>
  <c r="AV15" i="49" s="1"/>
  <c r="AO10" i="49"/>
  <c r="AV10" i="49" s="1" a="1"/>
  <c r="AV10" i="49" s="1"/>
  <c r="M6" i="53"/>
  <c r="L7" i="53"/>
  <c r="AZ105" i="52"/>
  <c r="AZ126" i="52" s="1"/>
  <c r="E105" i="51"/>
  <c r="E126" i="51" s="1"/>
  <c r="J105" i="50"/>
  <c r="K59" i="50" s="1"/>
  <c r="K17" i="50"/>
  <c r="R4" i="49"/>
  <c r="R5" i="49"/>
  <c r="R6" i="49"/>
  <c r="R7" i="49"/>
  <c r="R8" i="49"/>
  <c r="R9" i="49"/>
  <c r="R10" i="49"/>
  <c r="R11" i="49"/>
  <c r="R12" i="49"/>
  <c r="R13" i="49"/>
  <c r="R14" i="49"/>
  <c r="R15" i="49"/>
  <c r="R16" i="49"/>
  <c r="R17" i="49"/>
  <c r="R18" i="49"/>
  <c r="R19" i="49"/>
  <c r="R20" i="49"/>
  <c r="R21" i="49"/>
  <c r="R22" i="49"/>
  <c r="R23" i="49"/>
  <c r="R24" i="49"/>
  <c r="R25" i="49"/>
  <c r="R26" i="49"/>
  <c r="AO73" i="49"/>
  <c r="AV73" i="49" s="1" a="1"/>
  <c r="AV73" i="49" s="1"/>
  <c r="AW73" i="49" s="1"/>
  <c r="R3" i="49"/>
  <c r="AO56" i="49"/>
  <c r="AV56" i="49" s="1" a="1"/>
  <c r="AV56" i="49" s="1"/>
  <c r="AN105" i="49"/>
  <c r="AO57" i="49"/>
  <c r="AV57" i="49" s="1" a="1"/>
  <c r="AV57" i="49" s="1"/>
  <c r="X105" i="49"/>
  <c r="X126" i="49" s="1"/>
  <c r="AQ4" i="49"/>
  <c r="AW4" i="49" s="1"/>
  <c r="AQ5" i="49"/>
  <c r="AW5" i="49" s="1"/>
  <c r="AQ6" i="49"/>
  <c r="AQ7" i="49"/>
  <c r="AQ8" i="49"/>
  <c r="AQ9" i="49"/>
  <c r="AW9" i="49" s="1"/>
  <c r="AQ10" i="49"/>
  <c r="AQ11" i="49"/>
  <c r="AQ12" i="49"/>
  <c r="AW12" i="49" s="1"/>
  <c r="AQ13" i="49"/>
  <c r="AW13" i="49" s="1"/>
  <c r="AQ14" i="49"/>
  <c r="AW14" i="49" s="1"/>
  <c r="AQ15" i="49"/>
  <c r="AW15" i="49" s="1"/>
  <c r="AQ16" i="49"/>
  <c r="AW16" i="49" s="1"/>
  <c r="AQ17" i="49"/>
  <c r="AQ18" i="49"/>
  <c r="AQ19" i="49"/>
  <c r="AW19" i="49" s="1"/>
  <c r="AQ20" i="49"/>
  <c r="AW20" i="49" s="1"/>
  <c r="AQ21" i="49"/>
  <c r="AW21" i="49" s="1"/>
  <c r="AQ22" i="49"/>
  <c r="AW22" i="49" s="1"/>
  <c r="AQ23" i="49"/>
  <c r="AW23" i="49" s="1"/>
  <c r="AQ24" i="49"/>
  <c r="AW24" i="49" s="1"/>
  <c r="AQ25" i="49"/>
  <c r="AW25" i="49" s="1"/>
  <c r="AQ26" i="49"/>
  <c r="AW26" i="49" s="1"/>
  <c r="AQ27" i="49"/>
  <c r="AO58" i="49"/>
  <c r="AV58" i="49" s="1" a="1"/>
  <c r="AV58" i="49" s="1"/>
  <c r="AW58" i="49" s="1"/>
  <c r="AS71" i="49"/>
  <c r="AQ71" i="49"/>
  <c r="R71" i="49"/>
  <c r="AS74" i="49"/>
  <c r="R74" i="49"/>
  <c r="AQ74" i="49"/>
  <c r="AW74" i="49" s="1"/>
  <c r="AA105" i="49"/>
  <c r="AA126" i="49" s="1"/>
  <c r="AQ3" i="49"/>
  <c r="AR104" i="49"/>
  <c r="AO59" i="49"/>
  <c r="AV59" i="49" s="1" a="1"/>
  <c r="AV59" i="49" s="1"/>
  <c r="AO80" i="49"/>
  <c r="AV80" i="49" s="1" a="1"/>
  <c r="AV80" i="49" s="1"/>
  <c r="AW80" i="49" s="1"/>
  <c r="AB105" i="49"/>
  <c r="AB126" i="49" s="1"/>
  <c r="AO60" i="49"/>
  <c r="AV60" i="49" s="1" a="1"/>
  <c r="AV60" i="49" s="1"/>
  <c r="AS82" i="49"/>
  <c r="R82" i="49"/>
  <c r="AQ82" i="49"/>
  <c r="AW82" i="49" s="1"/>
  <c r="L105" i="49"/>
  <c r="L126" i="49" s="1"/>
  <c r="E105" i="49"/>
  <c r="E126" i="49" s="1"/>
  <c r="AS3" i="49"/>
  <c r="AT104" i="49"/>
  <c r="AO37" i="49"/>
  <c r="AV37" i="49" s="1" a="1"/>
  <c r="AV37" i="49" s="1"/>
  <c r="AO45" i="49"/>
  <c r="AV45" i="49" s="1" a="1"/>
  <c r="AV45" i="49" s="1"/>
  <c r="AW45" i="49" s="1"/>
  <c r="AO50" i="49"/>
  <c r="AV50" i="49" s="1" a="1"/>
  <c r="AV50" i="49" s="1"/>
  <c r="AW50" i="49" s="1"/>
  <c r="AO52" i="49"/>
  <c r="AV52" i="49" s="1" a="1"/>
  <c r="AV52" i="49" s="1"/>
  <c r="AW52" i="49" s="1"/>
  <c r="AO53" i="49"/>
  <c r="AV53" i="49" s="1" a="1"/>
  <c r="AV53" i="49" s="1"/>
  <c r="AW53" i="49" s="1"/>
  <c r="R67" i="49"/>
  <c r="R69" i="49"/>
  <c r="AQ69" i="49"/>
  <c r="AS75" i="49"/>
  <c r="R75" i="49"/>
  <c r="AO81" i="49"/>
  <c r="AV81" i="49" s="1" a="1"/>
  <c r="AV81" i="49" s="1"/>
  <c r="AW81" i="49" s="1"/>
  <c r="AS83" i="49"/>
  <c r="R83" i="49"/>
  <c r="AQ67" i="49"/>
  <c r="AW67" i="49" s="1"/>
  <c r="R72" i="49"/>
  <c r="AQ72" i="49"/>
  <c r="AS76" i="49"/>
  <c r="R76" i="49"/>
  <c r="AS84" i="49"/>
  <c r="R84" i="49"/>
  <c r="AS77" i="49"/>
  <c r="R77" i="49"/>
  <c r="AS85" i="49"/>
  <c r="R85" i="49"/>
  <c r="AO67" i="49"/>
  <c r="AV67" i="49" s="1" a="1"/>
  <c r="AV67" i="49" s="1"/>
  <c r="R70" i="49"/>
  <c r="AQ70" i="49"/>
  <c r="AW70" i="49" s="1"/>
  <c r="AS78" i="49"/>
  <c r="R78" i="49"/>
  <c r="AS86" i="49"/>
  <c r="R86" i="49"/>
  <c r="AS79" i="49"/>
  <c r="R79" i="49"/>
  <c r="R28" i="49"/>
  <c r="AQ66" i="49"/>
  <c r="AW66" i="49" s="1"/>
  <c r="AQ68" i="49"/>
  <c r="AW68" i="49" s="1"/>
  <c r="AO69" i="49"/>
  <c r="AV69" i="49" s="1" a="1"/>
  <c r="AV69" i="49" s="1"/>
  <c r="AO76" i="49"/>
  <c r="AV76" i="49" s="1" a="1"/>
  <c r="AV76" i="49" s="1"/>
  <c r="AW76" i="49" s="1"/>
  <c r="AO78" i="49"/>
  <c r="AV78" i="49" s="1" a="1"/>
  <c r="AV78" i="49" s="1"/>
  <c r="AW78" i="49" s="1"/>
  <c r="AS80" i="49"/>
  <c r="R80" i="49"/>
  <c r="AO86" i="49"/>
  <c r="AV86" i="49" s="1" a="1"/>
  <c r="AV86" i="49" s="1"/>
  <c r="AW86" i="49" s="1"/>
  <c r="AS81" i="49"/>
  <c r="R81" i="49"/>
  <c r="AO87" i="49"/>
  <c r="AV87" i="49" s="1" a="1"/>
  <c r="AV87" i="49" s="1"/>
  <c r="AW87" i="49" s="1"/>
  <c r="AO89" i="49"/>
  <c r="AV89" i="49" s="1" a="1"/>
  <c r="AV89" i="49" s="1"/>
  <c r="AW89" i="49" s="1"/>
  <c r="R87" i="49"/>
  <c r="R88" i="49"/>
  <c r="R89" i="49"/>
  <c r="R90" i="49"/>
  <c r="R91" i="49"/>
  <c r="R92" i="49"/>
  <c r="R93" i="49"/>
  <c r="R94" i="49"/>
  <c r="R95" i="49"/>
  <c r="AL95" i="49"/>
  <c r="AO95" i="49" s="1"/>
  <c r="AV95" i="49" s="1" a="1"/>
  <c r="AV95" i="49" s="1"/>
  <c r="R96" i="49"/>
  <c r="AL96" i="49"/>
  <c r="R97" i="49"/>
  <c r="AL97" i="49"/>
  <c r="R98" i="49"/>
  <c r="AL98" i="49"/>
  <c r="AO98" i="49" s="1"/>
  <c r="AV98" i="49" s="1" a="1"/>
  <c r="AV98" i="49" s="1"/>
  <c r="R99" i="49"/>
  <c r="AL99" i="49"/>
  <c r="AO99" i="49" s="1"/>
  <c r="AV99" i="49" s="1" a="1"/>
  <c r="AV99" i="49" s="1"/>
  <c r="R100" i="49"/>
  <c r="AL100" i="49"/>
  <c r="AO100" i="49" s="1"/>
  <c r="AV100" i="49" s="1" a="1"/>
  <c r="AV100" i="49" s="1"/>
  <c r="R101" i="49"/>
  <c r="AL101" i="49"/>
  <c r="AO101" i="49" s="1"/>
  <c r="AV101" i="49" s="1" a="1"/>
  <c r="AV101" i="49" s="1"/>
  <c r="R102" i="49"/>
  <c r="AL102" i="49"/>
  <c r="AO102" i="49" s="1"/>
  <c r="AV102" i="49" s="1" a="1"/>
  <c r="AV102" i="49" s="1"/>
  <c r="R103" i="49"/>
  <c r="AO96" i="49"/>
  <c r="AV96" i="49" s="1" a="1"/>
  <c r="AV96" i="49" s="1"/>
  <c r="AO97" i="49"/>
  <c r="AV97" i="49" s="1" a="1"/>
  <c r="AV97" i="49" s="1"/>
  <c r="AQ98" i="49"/>
  <c r="AQ99" i="49"/>
  <c r="AW99" i="49" s="1"/>
  <c r="AQ100" i="49"/>
  <c r="AW100" i="49" s="1"/>
  <c r="AQ101" i="49"/>
  <c r="AW101" i="49" s="1"/>
  <c r="AQ102" i="49"/>
  <c r="AQ103" i="49"/>
  <c r="AW103" i="49" s="1"/>
  <c r="AU105" i="49"/>
  <c r="E4" i="48"/>
  <c r="K104" i="48"/>
  <c r="K103" i="48"/>
  <c r="K102" i="48"/>
  <c r="K101" i="48"/>
  <c r="G27" i="61" l="1"/>
  <c r="F34" i="63"/>
  <c r="E35" i="63"/>
  <c r="M39" i="63"/>
  <c r="G39" i="63" s="1"/>
  <c r="L40" i="63"/>
  <c r="L37" i="63"/>
  <c r="M36" i="63"/>
  <c r="G36" i="63" s="1"/>
  <c r="E32" i="61"/>
  <c r="F31" i="61"/>
  <c r="M31" i="61"/>
  <c r="L32" i="61"/>
  <c r="F6" i="53"/>
  <c r="E7" i="53"/>
  <c r="AI22" i="3"/>
  <c r="AJ22" i="3"/>
  <c r="E19" i="55"/>
  <c r="F18" i="55"/>
  <c r="L19" i="55"/>
  <c r="M18" i="55"/>
  <c r="K105" i="48"/>
  <c r="L5" i="48"/>
  <c r="D105" i="48"/>
  <c r="O21" i="3"/>
  <c r="AW6" i="49"/>
  <c r="AU126" i="49"/>
  <c r="AW91" i="49"/>
  <c r="AC70" i="49"/>
  <c r="AC15" i="49"/>
  <c r="AC18" i="49"/>
  <c r="AC26" i="49"/>
  <c r="AC34" i="49"/>
  <c r="AC8" i="49"/>
  <c r="AC7" i="49"/>
  <c r="AC79" i="49"/>
  <c r="AC87" i="49"/>
  <c r="AC86" i="49"/>
  <c r="AC100" i="49"/>
  <c r="AC102" i="49"/>
  <c r="AC94" i="49"/>
  <c r="AC92" i="49"/>
  <c r="AC98" i="49"/>
  <c r="AC36" i="49"/>
  <c r="AC56" i="49"/>
  <c r="AC31" i="49"/>
  <c r="AC74" i="49"/>
  <c r="AC39" i="49"/>
  <c r="AC4" i="49"/>
  <c r="AC72" i="49"/>
  <c r="AC96" i="49"/>
  <c r="AC54" i="49"/>
  <c r="AC37" i="49"/>
  <c r="AC69" i="49"/>
  <c r="AC33" i="49"/>
  <c r="AC28" i="49"/>
  <c r="AC35" i="49"/>
  <c r="AC22" i="49"/>
  <c r="AC19" i="49"/>
  <c r="AC61" i="49"/>
  <c r="AC76" i="49"/>
  <c r="AC25" i="49"/>
  <c r="AC17" i="49"/>
  <c r="AC93" i="49"/>
  <c r="AC52" i="49"/>
  <c r="AC59" i="49"/>
  <c r="AC42" i="49"/>
  <c r="AC24" i="49"/>
  <c r="AC73" i="49"/>
  <c r="AC62" i="49"/>
  <c r="AC64" i="49"/>
  <c r="AC71" i="49"/>
  <c r="AC38" i="49"/>
  <c r="AC49" i="49"/>
  <c r="AC81" i="49"/>
  <c r="AC27" i="49"/>
  <c r="AC53" i="49"/>
  <c r="AC21" i="49"/>
  <c r="AC84" i="49"/>
  <c r="AC83" i="49"/>
  <c r="AC44" i="49"/>
  <c r="AC95" i="49"/>
  <c r="AC30" i="49"/>
  <c r="AC51" i="49"/>
  <c r="AC9" i="49"/>
  <c r="AC77" i="49"/>
  <c r="AC14" i="49"/>
  <c r="AC46" i="49"/>
  <c r="AC10" i="49"/>
  <c r="AC63" i="49"/>
  <c r="AC23" i="49"/>
  <c r="AC55" i="49"/>
  <c r="AC20" i="49"/>
  <c r="AC50" i="49"/>
  <c r="AC67" i="49"/>
  <c r="AC11" i="49"/>
  <c r="AC41" i="49"/>
  <c r="AC103" i="49"/>
  <c r="AC78" i="49"/>
  <c r="AC58" i="49"/>
  <c r="AC65" i="49"/>
  <c r="AC75" i="49"/>
  <c r="AC60" i="49"/>
  <c r="AC88" i="49"/>
  <c r="AC90" i="49"/>
  <c r="AC29" i="49"/>
  <c r="AC80" i="49"/>
  <c r="AC45" i="49"/>
  <c r="AC5" i="49"/>
  <c r="AC13" i="49"/>
  <c r="AC68" i="49"/>
  <c r="AC43" i="49"/>
  <c r="AC32" i="49"/>
  <c r="AC40" i="49"/>
  <c r="AC16" i="49"/>
  <c r="AC82" i="49"/>
  <c r="AC48" i="49"/>
  <c r="AC12" i="49"/>
  <c r="AC85" i="49"/>
  <c r="AC47" i="49"/>
  <c r="AC101" i="49"/>
  <c r="AC66" i="49"/>
  <c r="AC6" i="49"/>
  <c r="AC57" i="49"/>
  <c r="AC99" i="49"/>
  <c r="AC97" i="49"/>
  <c r="AC89" i="49"/>
  <c r="AC91" i="49"/>
  <c r="AW11" i="49"/>
  <c r="AW102" i="49"/>
  <c r="AW98" i="49"/>
  <c r="AW18" i="49"/>
  <c r="AW10" i="49"/>
  <c r="AW84" i="49"/>
  <c r="AS104" i="49"/>
  <c r="AW17" i="49"/>
  <c r="AW69" i="49"/>
  <c r="AW8" i="49"/>
  <c r="L21" i="3"/>
  <c r="AF105" i="49"/>
  <c r="AC3" i="49"/>
  <c r="AW3" i="49"/>
  <c r="AN126" i="49"/>
  <c r="AC21" i="3"/>
  <c r="AO28" i="49"/>
  <c r="AV28" i="49" s="1"/>
  <c r="AO77" i="49"/>
  <c r="AV77" i="49" s="1" a="1"/>
  <c r="AV77" i="49" s="1"/>
  <c r="AW77" i="49" s="1"/>
  <c r="AO72" i="49"/>
  <c r="AV72" i="49" s="1" a="1"/>
  <c r="AV72" i="49" s="1"/>
  <c r="AZ72" i="49" s="1"/>
  <c r="AO27" i="49"/>
  <c r="AV27" i="49" s="1" a="1"/>
  <c r="AV27" i="49" s="1"/>
  <c r="AZ27" i="49" s="1"/>
  <c r="AO85" i="49"/>
  <c r="AV85" i="49" s="1" a="1"/>
  <c r="AV85" i="49" s="1"/>
  <c r="AX85" i="49" s="1"/>
  <c r="AO79" i="49"/>
  <c r="AV79" i="49" s="1" a="1"/>
  <c r="AV79" i="49" s="1"/>
  <c r="AO71" i="49"/>
  <c r="AV71" i="49" s="1" a="1"/>
  <c r="AV71" i="49" s="1"/>
  <c r="AZ71" i="49" s="1"/>
  <c r="M7" i="53"/>
  <c r="L8" i="53"/>
  <c r="K29" i="50"/>
  <c r="K76" i="50"/>
  <c r="K98" i="50"/>
  <c r="K62" i="50"/>
  <c r="K57" i="50"/>
  <c r="K14" i="50"/>
  <c r="K55" i="50"/>
  <c r="K95" i="50"/>
  <c r="K85" i="50"/>
  <c r="K68" i="50"/>
  <c r="K90" i="50"/>
  <c r="K72" i="50"/>
  <c r="K70" i="50"/>
  <c r="K4" i="50"/>
  <c r="L4" i="50" s="1"/>
  <c r="M4" i="50" s="1"/>
  <c r="K81" i="50"/>
  <c r="K45" i="50"/>
  <c r="K22" i="50"/>
  <c r="K73" i="50"/>
  <c r="K103" i="50"/>
  <c r="K19" i="50"/>
  <c r="K84" i="50"/>
  <c r="K54" i="50"/>
  <c r="K49" i="50"/>
  <c r="K52" i="50"/>
  <c r="K93" i="50"/>
  <c r="K80" i="50"/>
  <c r="K58" i="50"/>
  <c r="K37" i="50"/>
  <c r="K56" i="50"/>
  <c r="K87" i="50"/>
  <c r="K77" i="50"/>
  <c r="K60" i="50"/>
  <c r="K82" i="50"/>
  <c r="K64" i="50"/>
  <c r="K78" i="50"/>
  <c r="K9" i="50"/>
  <c r="K10" i="50"/>
  <c r="K53" i="50"/>
  <c r="K7" i="50"/>
  <c r="K8" i="50"/>
  <c r="K12" i="50"/>
  <c r="K27" i="50"/>
  <c r="K50" i="50"/>
  <c r="K65" i="50"/>
  <c r="K15" i="50"/>
  <c r="K16" i="50"/>
  <c r="K20" i="50"/>
  <c r="K35" i="50"/>
  <c r="K101" i="50"/>
  <c r="K67" i="50"/>
  <c r="K34" i="50"/>
  <c r="K6" i="50"/>
  <c r="K48" i="50"/>
  <c r="K69" i="50"/>
  <c r="K74" i="50"/>
  <c r="K86" i="50"/>
  <c r="K71" i="50"/>
  <c r="K61" i="50"/>
  <c r="K91" i="50"/>
  <c r="K66" i="50"/>
  <c r="K30" i="50"/>
  <c r="K94" i="50"/>
  <c r="K25" i="50"/>
  <c r="K5" i="50"/>
  <c r="K97" i="50"/>
  <c r="K23" i="50"/>
  <c r="K24" i="50"/>
  <c r="K28" i="50"/>
  <c r="K43" i="50"/>
  <c r="K88" i="50"/>
  <c r="K47" i="50"/>
  <c r="K79" i="50"/>
  <c r="K99" i="50"/>
  <c r="K11" i="50"/>
  <c r="K63" i="50"/>
  <c r="K100" i="50"/>
  <c r="K83" i="50"/>
  <c r="K104" i="50"/>
  <c r="K38" i="50"/>
  <c r="K26" i="50"/>
  <c r="K33" i="50"/>
  <c r="K13" i="50"/>
  <c r="K18" i="50"/>
  <c r="K31" i="50"/>
  <c r="K32" i="50"/>
  <c r="K36" i="50"/>
  <c r="K51" i="50"/>
  <c r="K102" i="50"/>
  <c r="K92" i="50"/>
  <c r="K75" i="50"/>
  <c r="K96" i="50"/>
  <c r="K46" i="50"/>
  <c r="K89" i="50"/>
  <c r="K41" i="50"/>
  <c r="K21" i="50"/>
  <c r="K42" i="50"/>
  <c r="K39" i="50"/>
  <c r="K40" i="50"/>
  <c r="K44" i="50"/>
  <c r="AZ86" i="49"/>
  <c r="AX86" i="49"/>
  <c r="AX77" i="49"/>
  <c r="AZ76" i="49"/>
  <c r="AX76" i="49"/>
  <c r="AZ101" i="49"/>
  <c r="AX101" i="49"/>
  <c r="AZ69" i="49"/>
  <c r="AX69" i="49"/>
  <c r="AZ74" i="49"/>
  <c r="AX74" i="49"/>
  <c r="AZ102" i="49"/>
  <c r="AX102" i="49"/>
  <c r="AZ95" i="49"/>
  <c r="AX95" i="49"/>
  <c r="AZ97" i="49"/>
  <c r="AX97" i="49"/>
  <c r="AZ75" i="49"/>
  <c r="AX75" i="49"/>
  <c r="AZ99" i="49"/>
  <c r="AX99" i="49"/>
  <c r="AZ96" i="49"/>
  <c r="AX96" i="49"/>
  <c r="AZ82" i="49"/>
  <c r="AX82" i="49"/>
  <c r="AZ92" i="49"/>
  <c r="AX92" i="49"/>
  <c r="AZ90" i="49"/>
  <c r="AX90" i="49"/>
  <c r="AZ94" i="49"/>
  <c r="AX94" i="49"/>
  <c r="AZ88" i="49"/>
  <c r="AX88" i="49"/>
  <c r="AZ67" i="49"/>
  <c r="AX67" i="49"/>
  <c r="AZ100" i="49"/>
  <c r="AX100" i="49"/>
  <c r="AZ98" i="49"/>
  <c r="AX98" i="49"/>
  <c r="AZ93" i="49"/>
  <c r="AX93" i="49"/>
  <c r="AZ78" i="49"/>
  <c r="AX78" i="49"/>
  <c r="AZ83" i="49"/>
  <c r="AX83" i="49"/>
  <c r="AZ80" i="49"/>
  <c r="AX80" i="49"/>
  <c r="AZ51" i="49"/>
  <c r="AX51" i="49"/>
  <c r="AZ62" i="49"/>
  <c r="AX62" i="49"/>
  <c r="AZ42" i="49"/>
  <c r="AX42" i="49"/>
  <c r="AQ104" i="49"/>
  <c r="AW7" i="49"/>
  <c r="AZ54" i="49"/>
  <c r="AX54" i="49"/>
  <c r="AZ64" i="49"/>
  <c r="AX64" i="49"/>
  <c r="AX3" i="49"/>
  <c r="AZ89" i="49"/>
  <c r="AX89" i="49"/>
  <c r="AZ48" i="49"/>
  <c r="AX48" i="49"/>
  <c r="AX70" i="49"/>
  <c r="AF126" i="49"/>
  <c r="AZ66" i="49"/>
  <c r="AX66" i="49"/>
  <c r="AD105" i="49"/>
  <c r="AZ63" i="49"/>
  <c r="AX63" i="49"/>
  <c r="AZ23" i="49"/>
  <c r="AX23" i="49"/>
  <c r="AZ19" i="49"/>
  <c r="AX19" i="49"/>
  <c r="AZ15" i="49"/>
  <c r="AX15" i="49"/>
  <c r="AZ11" i="49"/>
  <c r="AX11" i="49"/>
  <c r="AZ7" i="49"/>
  <c r="AX7" i="49"/>
  <c r="AX30" i="49"/>
  <c r="AZ53" i="49"/>
  <c r="AX53" i="49"/>
  <c r="AZ45" i="49"/>
  <c r="AX45" i="49"/>
  <c r="AZ36" i="49"/>
  <c r="AX36" i="49"/>
  <c r="AZ35" i="49"/>
  <c r="AX35" i="49"/>
  <c r="AZ41" i="49"/>
  <c r="AX41" i="49"/>
  <c r="AL105" i="49"/>
  <c r="AZ32" i="49"/>
  <c r="AX32" i="49"/>
  <c r="AX5" i="49"/>
  <c r="AX103" i="49"/>
  <c r="AZ50" i="49"/>
  <c r="AX50" i="49"/>
  <c r="AZ34" i="49"/>
  <c r="AX34" i="49"/>
  <c r="AZ56" i="49"/>
  <c r="AX56" i="49"/>
  <c r="AZ26" i="49"/>
  <c r="AX26" i="49"/>
  <c r="AZ22" i="49"/>
  <c r="AX22" i="49"/>
  <c r="AZ18" i="49"/>
  <c r="AX18" i="49"/>
  <c r="AZ14" i="49"/>
  <c r="AX14" i="49"/>
  <c r="AZ10" i="49"/>
  <c r="AX10" i="49"/>
  <c r="AX31" i="49"/>
  <c r="AZ87" i="49"/>
  <c r="AX87" i="49"/>
  <c r="AZ47" i="49"/>
  <c r="AX47" i="49"/>
  <c r="AX84" i="49"/>
  <c r="AZ60" i="49"/>
  <c r="AX60" i="49"/>
  <c r="AZ59" i="49"/>
  <c r="AX59" i="49"/>
  <c r="AZ65" i="49"/>
  <c r="AX65" i="49"/>
  <c r="AZ55" i="49"/>
  <c r="AX55" i="49"/>
  <c r="AZ38" i="49"/>
  <c r="AX38" i="49"/>
  <c r="AX91" i="49"/>
  <c r="AZ52" i="49"/>
  <c r="AX52" i="49"/>
  <c r="AZ37" i="49"/>
  <c r="AX37" i="49"/>
  <c r="AZ58" i="49"/>
  <c r="AX58" i="49"/>
  <c r="AZ33" i="49"/>
  <c r="AX33" i="49"/>
  <c r="AZ73" i="49"/>
  <c r="AX73" i="49"/>
  <c r="AZ25" i="49"/>
  <c r="AX25" i="49"/>
  <c r="AZ21" i="49"/>
  <c r="AX21" i="49"/>
  <c r="AZ17" i="49"/>
  <c r="AX17" i="49"/>
  <c r="AZ13" i="49"/>
  <c r="AX13" i="49"/>
  <c r="AZ9" i="49"/>
  <c r="AX9" i="49"/>
  <c r="AX6" i="49"/>
  <c r="AZ81" i="49"/>
  <c r="AX81" i="49"/>
  <c r="AZ49" i="49"/>
  <c r="AX49" i="49"/>
  <c r="AZ40" i="49"/>
  <c r="AX40" i="49"/>
  <c r="AX4" i="49"/>
  <c r="AZ61" i="49"/>
  <c r="AX61" i="49"/>
  <c r="AZ46" i="49"/>
  <c r="AX46" i="49"/>
  <c r="AZ44" i="49"/>
  <c r="AX44" i="49"/>
  <c r="AZ43" i="49"/>
  <c r="AX43" i="49"/>
  <c r="AX68" i="49"/>
  <c r="AZ57" i="49"/>
  <c r="AX57" i="49"/>
  <c r="AZ39" i="49"/>
  <c r="AX39" i="49"/>
  <c r="AZ24" i="49"/>
  <c r="AX24" i="49"/>
  <c r="AZ20" i="49"/>
  <c r="AX20" i="49"/>
  <c r="AZ16" i="49"/>
  <c r="AX16" i="49"/>
  <c r="AZ12" i="49"/>
  <c r="AX12" i="49"/>
  <c r="AZ8" i="49"/>
  <c r="AX8" i="49"/>
  <c r="AX29" i="49"/>
  <c r="F4" i="48"/>
  <c r="E5" i="48"/>
  <c r="M5" i="48"/>
  <c r="G5" i="48" s="1"/>
  <c r="L6" i="48"/>
  <c r="J4" i="46"/>
  <c r="J11" i="46"/>
  <c r="J15" i="46"/>
  <c r="J6" i="46"/>
  <c r="J25" i="46"/>
  <c r="J5" i="46"/>
  <c r="J7" i="46"/>
  <c r="J14" i="46"/>
  <c r="J12" i="46"/>
  <c r="J8" i="46"/>
  <c r="J17" i="46"/>
  <c r="J18" i="46"/>
  <c r="J9" i="46"/>
  <c r="J24" i="46"/>
  <c r="J16" i="46"/>
  <c r="J62" i="46"/>
  <c r="J63" i="46"/>
  <c r="J64" i="46"/>
  <c r="J65" i="46"/>
  <c r="J66" i="46"/>
  <c r="J67" i="46"/>
  <c r="J68" i="46"/>
  <c r="J27" i="46"/>
  <c r="J28" i="46"/>
  <c r="J13" i="46"/>
  <c r="J69" i="46"/>
  <c r="J70" i="46"/>
  <c r="J71" i="46"/>
  <c r="J72" i="46"/>
  <c r="J38" i="46"/>
  <c r="J73" i="46"/>
  <c r="J74" i="46"/>
  <c r="J75" i="46"/>
  <c r="J44" i="46"/>
  <c r="J53" i="46"/>
  <c r="J39" i="46"/>
  <c r="J42" i="46"/>
  <c r="J45" i="46"/>
  <c r="J76" i="46"/>
  <c r="J77" i="46"/>
  <c r="J20" i="46"/>
  <c r="J21" i="46"/>
  <c r="J78" i="46"/>
  <c r="J26" i="46"/>
  <c r="J23" i="46"/>
  <c r="J19" i="46"/>
  <c r="J22" i="46"/>
  <c r="J104" i="46"/>
  <c r="J31" i="46"/>
  <c r="J46" i="46"/>
  <c r="J32" i="46"/>
  <c r="J79" i="46"/>
  <c r="J80" i="46"/>
  <c r="J81" i="46"/>
  <c r="J35" i="46"/>
  <c r="J82" i="46"/>
  <c r="J47" i="46"/>
  <c r="J48" i="46"/>
  <c r="J83" i="46"/>
  <c r="J84" i="46"/>
  <c r="J85" i="46"/>
  <c r="J86" i="46"/>
  <c r="J87" i="46"/>
  <c r="J88" i="46"/>
  <c r="J89" i="46"/>
  <c r="J49" i="46"/>
  <c r="J50" i="46"/>
  <c r="J43" i="46"/>
  <c r="J54" i="46"/>
  <c r="J90" i="46"/>
  <c r="J91" i="46"/>
  <c r="J40" i="46"/>
  <c r="J92" i="46"/>
  <c r="J55" i="46"/>
  <c r="J51" i="46"/>
  <c r="J56" i="46"/>
  <c r="J34" i="46"/>
  <c r="J30" i="46"/>
  <c r="J93" i="46"/>
  <c r="J57" i="46"/>
  <c r="J94" i="46"/>
  <c r="J58" i="46"/>
  <c r="J95" i="46"/>
  <c r="J33" i="46"/>
  <c r="J59" i="46"/>
  <c r="J36" i="46"/>
  <c r="J96" i="46"/>
  <c r="J41" i="46"/>
  <c r="J97" i="46"/>
  <c r="J37" i="46"/>
  <c r="J98" i="46"/>
  <c r="J99" i="46"/>
  <c r="J100" i="46"/>
  <c r="J52" i="46"/>
  <c r="J60" i="46"/>
  <c r="J101" i="46"/>
  <c r="J61" i="46"/>
  <c r="J102" i="46"/>
  <c r="J29" i="46"/>
  <c r="J103" i="46"/>
  <c r="J10" i="46"/>
  <c r="C4" i="46"/>
  <c r="C11" i="46"/>
  <c r="C14" i="46"/>
  <c r="C5" i="46"/>
  <c r="C25" i="46"/>
  <c r="C6" i="46"/>
  <c r="C8" i="46"/>
  <c r="C16" i="46"/>
  <c r="C12" i="46"/>
  <c r="C10" i="46"/>
  <c r="C17" i="46"/>
  <c r="C18" i="46"/>
  <c r="C9" i="46"/>
  <c r="C22" i="46"/>
  <c r="C15" i="46"/>
  <c r="C55" i="46"/>
  <c r="C56" i="46"/>
  <c r="C57" i="46"/>
  <c r="C58" i="46"/>
  <c r="C59" i="46"/>
  <c r="C60" i="46"/>
  <c r="C61" i="46"/>
  <c r="C104" i="46"/>
  <c r="C93" i="46"/>
  <c r="C13" i="46"/>
  <c r="C62" i="46"/>
  <c r="C63" i="46"/>
  <c r="C64" i="46"/>
  <c r="C65" i="46"/>
  <c r="C103" i="46"/>
  <c r="C66" i="46"/>
  <c r="C67" i="46"/>
  <c r="C68" i="46"/>
  <c r="C39" i="46"/>
  <c r="C92" i="46"/>
  <c r="C33" i="46"/>
  <c r="C35" i="46"/>
  <c r="C31" i="46"/>
  <c r="C95" i="46"/>
  <c r="C98" i="46"/>
  <c r="C21" i="46"/>
  <c r="C19" i="46"/>
  <c r="C69" i="46"/>
  <c r="C26" i="46"/>
  <c r="C23" i="46"/>
  <c r="C20" i="46"/>
  <c r="C24" i="46"/>
  <c r="C97" i="46"/>
  <c r="C46" i="46"/>
  <c r="C41" i="46"/>
  <c r="C28" i="46"/>
  <c r="C70" i="46"/>
  <c r="C71" i="46"/>
  <c r="C72" i="46"/>
  <c r="C40" i="46"/>
  <c r="C73" i="46"/>
  <c r="C45" i="46"/>
  <c r="C43" i="46"/>
  <c r="C74" i="46"/>
  <c r="C75" i="46"/>
  <c r="C76" i="46"/>
  <c r="C85" i="46"/>
  <c r="C86" i="46"/>
  <c r="C77" i="46"/>
  <c r="C78" i="46"/>
  <c r="C37" i="46"/>
  <c r="C36" i="46"/>
  <c r="C49" i="46"/>
  <c r="C50" i="46"/>
  <c r="C94" i="46"/>
  <c r="C89" i="46"/>
  <c r="C96" i="46"/>
  <c r="C101" i="46"/>
  <c r="C48" i="46"/>
  <c r="C91" i="46"/>
  <c r="C47" i="46"/>
  <c r="C38" i="46"/>
  <c r="C51" i="46"/>
  <c r="C90" i="46"/>
  <c r="C53" i="46"/>
  <c r="C100" i="46"/>
  <c r="C99" i="46"/>
  <c r="C102" i="46"/>
  <c r="C32" i="46"/>
  <c r="C54" i="46"/>
  <c r="C29" i="46"/>
  <c r="C88" i="46"/>
  <c r="C42" i="46"/>
  <c r="C87" i="46"/>
  <c r="C30" i="46"/>
  <c r="C79" i="46"/>
  <c r="C80" i="46"/>
  <c r="C81" i="46"/>
  <c r="C34" i="46"/>
  <c r="C52" i="46"/>
  <c r="C82" i="46"/>
  <c r="C44" i="46"/>
  <c r="C83" i="46"/>
  <c r="C27" i="46"/>
  <c r="C84" i="46"/>
  <c r="C7" i="46"/>
  <c r="F21" i="3" l="1"/>
  <c r="AK21" i="3"/>
  <c r="M37" i="63"/>
  <c r="G37" i="63" s="1"/>
  <c r="L38" i="63"/>
  <c r="M38" i="63" s="1"/>
  <c r="G38" i="63" s="1"/>
  <c r="L41" i="63"/>
  <c r="M40" i="63"/>
  <c r="G40" i="63" s="1"/>
  <c r="F35" i="63"/>
  <c r="E36" i="63"/>
  <c r="E39" i="63"/>
  <c r="M32" i="61"/>
  <c r="L33" i="61"/>
  <c r="E33" i="61"/>
  <c r="F32" i="61"/>
  <c r="F7" i="53"/>
  <c r="E8" i="53"/>
  <c r="M19" i="55"/>
  <c r="L20" i="55"/>
  <c r="F19" i="55"/>
  <c r="E20" i="55"/>
  <c r="AZ79" i="49"/>
  <c r="AW79" i="49"/>
  <c r="AZ28" i="49"/>
  <c r="AW28" i="49"/>
  <c r="AW72" i="49"/>
  <c r="AZ77" i="49"/>
  <c r="AW27" i="49"/>
  <c r="AW104" i="49" s="1"/>
  <c r="AW71" i="49"/>
  <c r="AC105" i="49"/>
  <c r="AC126" i="49" s="1"/>
  <c r="AD126" i="49"/>
  <c r="P21" i="3"/>
  <c r="AH21" i="3" s="1"/>
  <c r="AX28" i="49"/>
  <c r="AX27" i="49"/>
  <c r="AO105" i="49"/>
  <c r="AO126" i="49" s="1"/>
  <c r="AZ85" i="49"/>
  <c r="AZ105" i="49" s="1"/>
  <c r="AZ126" i="49" s="1"/>
  <c r="AX79" i="49"/>
  <c r="AX72" i="49"/>
  <c r="AV104" i="49"/>
  <c r="AX71" i="49"/>
  <c r="M8" i="53"/>
  <c r="G8" i="53" s="1"/>
  <c r="L9" i="53"/>
  <c r="L5" i="50"/>
  <c r="K105" i="50"/>
  <c r="M5" i="50"/>
  <c r="G5" i="50" s="1"/>
  <c r="L6" i="50"/>
  <c r="M6" i="48"/>
  <c r="L7" i="48"/>
  <c r="F5" i="48"/>
  <c r="E6" i="48"/>
  <c r="AB4" i="41"/>
  <c r="AL4" i="41"/>
  <c r="U5" i="41"/>
  <c r="AD5" i="41" s="1"/>
  <c r="X5" i="41"/>
  <c r="AA5" i="41"/>
  <c r="AB5" i="41"/>
  <c r="AL5" i="41"/>
  <c r="U6" i="41"/>
  <c r="AD6" i="41" s="1"/>
  <c r="X6" i="41"/>
  <c r="AB6" i="41"/>
  <c r="AL6" i="41"/>
  <c r="X7" i="41"/>
  <c r="AA7" i="41"/>
  <c r="AB7" i="41"/>
  <c r="AL7" i="41"/>
  <c r="U8" i="41"/>
  <c r="AD8" i="41" s="1"/>
  <c r="X8" i="41"/>
  <c r="AA8" i="41"/>
  <c r="AB8" i="41"/>
  <c r="AL8" i="41"/>
  <c r="U9" i="41"/>
  <c r="AD9" i="41" s="1"/>
  <c r="AB9" i="41"/>
  <c r="AL9" i="41"/>
  <c r="X10" i="41"/>
  <c r="AA10" i="41"/>
  <c r="AB10" i="41"/>
  <c r="AL10" i="41"/>
  <c r="U11" i="41"/>
  <c r="AD11" i="41" s="1"/>
  <c r="X11" i="41"/>
  <c r="AA11" i="41"/>
  <c r="AB11" i="41"/>
  <c r="AL11" i="41"/>
  <c r="AB12" i="41"/>
  <c r="AL12" i="41"/>
  <c r="U13" i="41"/>
  <c r="AD13" i="41" s="1"/>
  <c r="X13" i="41"/>
  <c r="AA13" i="41"/>
  <c r="AB13" i="41"/>
  <c r="AL13" i="41"/>
  <c r="U14" i="41"/>
  <c r="AD14" i="41" s="1"/>
  <c r="X14" i="41"/>
  <c r="AB14" i="41"/>
  <c r="AL14" i="41"/>
  <c r="U15" i="41"/>
  <c r="AD15" i="41" s="1"/>
  <c r="X15" i="41"/>
  <c r="AA15" i="41"/>
  <c r="AB15" i="41"/>
  <c r="AL15" i="41"/>
  <c r="U16" i="41"/>
  <c r="AD16" i="41" s="1"/>
  <c r="AA16" i="41"/>
  <c r="AB16" i="41"/>
  <c r="AL16" i="41"/>
  <c r="U17" i="41"/>
  <c r="AD17" i="41" s="1"/>
  <c r="AA17" i="41"/>
  <c r="AB17" i="41"/>
  <c r="AL17" i="41"/>
  <c r="U18" i="41"/>
  <c r="AD18" i="41" s="1"/>
  <c r="X18" i="41"/>
  <c r="AA18" i="41"/>
  <c r="AB18" i="41"/>
  <c r="AL18" i="41"/>
  <c r="U19" i="41"/>
  <c r="AD19" i="41" s="1"/>
  <c r="X19" i="41"/>
  <c r="AA19" i="41"/>
  <c r="AB19" i="41"/>
  <c r="AL19" i="41"/>
  <c r="AB20" i="41"/>
  <c r="AL20" i="41"/>
  <c r="U21" i="41"/>
  <c r="AD21" i="41" s="1"/>
  <c r="X21" i="41"/>
  <c r="AB21" i="41"/>
  <c r="AL21" i="41"/>
  <c r="U22" i="41"/>
  <c r="AD22" i="41" s="1"/>
  <c r="X22" i="41"/>
  <c r="AA22" i="41"/>
  <c r="AF22" i="41" s="1"/>
  <c r="AB22" i="41"/>
  <c r="AL22" i="41"/>
  <c r="U23" i="41"/>
  <c r="AA23" i="41"/>
  <c r="AF23" i="41" s="1"/>
  <c r="AB23" i="41"/>
  <c r="AD23" i="41"/>
  <c r="AL23" i="41"/>
  <c r="U24" i="41"/>
  <c r="AD24" i="41" s="1"/>
  <c r="X24" i="41"/>
  <c r="AA24" i="41"/>
  <c r="AF24" i="41" s="1"/>
  <c r="AB24" i="41"/>
  <c r="AL24" i="41"/>
  <c r="U25" i="41"/>
  <c r="AD25" i="41" s="1"/>
  <c r="AA25" i="41"/>
  <c r="AF25" i="41" s="1"/>
  <c r="AB25" i="41"/>
  <c r="AL25" i="41"/>
  <c r="X26" i="41"/>
  <c r="AA26" i="41"/>
  <c r="AB26" i="41"/>
  <c r="AL26" i="41"/>
  <c r="X27" i="41"/>
  <c r="AA27" i="41"/>
  <c r="AB27" i="41"/>
  <c r="AL27" i="41"/>
  <c r="U28" i="41"/>
  <c r="AD28" i="41" s="1"/>
  <c r="AB28" i="41"/>
  <c r="AL28" i="41"/>
  <c r="U29" i="41"/>
  <c r="AD29" i="41" s="1"/>
  <c r="X29" i="41"/>
  <c r="AA29" i="41"/>
  <c r="AB29" i="41"/>
  <c r="AL29" i="41"/>
  <c r="X30" i="41"/>
  <c r="AB30" i="41"/>
  <c r="AL30" i="41"/>
  <c r="AA31" i="41"/>
  <c r="AF31" i="41" s="1"/>
  <c r="AB31" i="41"/>
  <c r="AL31" i="41"/>
  <c r="U32" i="41"/>
  <c r="AD32" i="41" s="1"/>
  <c r="AA32" i="41"/>
  <c r="AF32" i="41" s="1"/>
  <c r="AB32" i="41"/>
  <c r="AL32" i="41"/>
  <c r="U33" i="41"/>
  <c r="AD33" i="41" s="1"/>
  <c r="X33" i="41"/>
  <c r="AB33" i="41"/>
  <c r="AL33" i="41"/>
  <c r="X34" i="41"/>
  <c r="AA34" i="41"/>
  <c r="AB34" i="41"/>
  <c r="AL34" i="41"/>
  <c r="AA35" i="41"/>
  <c r="AB35" i="41"/>
  <c r="AL35" i="41"/>
  <c r="U36" i="41"/>
  <c r="AD36" i="41" s="1"/>
  <c r="AB36" i="41"/>
  <c r="AL36" i="41"/>
  <c r="U37" i="41"/>
  <c r="AD37" i="41" s="1"/>
  <c r="X37" i="41"/>
  <c r="AB37" i="41"/>
  <c r="AL37" i="41"/>
  <c r="U38" i="41"/>
  <c r="AD38" i="41" s="1"/>
  <c r="X38" i="41"/>
  <c r="AA38" i="41"/>
  <c r="AB38" i="41"/>
  <c r="AL38" i="41"/>
  <c r="AA39" i="41"/>
  <c r="AB39" i="41"/>
  <c r="AL39" i="41"/>
  <c r="U40" i="41"/>
  <c r="AD40" i="41" s="1"/>
  <c r="AA40" i="41"/>
  <c r="AF40" i="41" s="1"/>
  <c r="AB40" i="41"/>
  <c r="AL40" i="41"/>
  <c r="AA41" i="41"/>
  <c r="AF41" i="41" s="1"/>
  <c r="AB41" i="41"/>
  <c r="AL41" i="41"/>
  <c r="X42" i="41"/>
  <c r="AA42" i="41"/>
  <c r="AB42" i="41"/>
  <c r="AL42" i="41"/>
  <c r="U43" i="41"/>
  <c r="AD43" i="41" s="1"/>
  <c r="X43" i="41"/>
  <c r="AA43" i="41"/>
  <c r="AB43" i="41"/>
  <c r="AL43" i="41"/>
  <c r="X44" i="41"/>
  <c r="AB44" i="41"/>
  <c r="AL44" i="41"/>
  <c r="U45" i="41"/>
  <c r="AD45" i="41" s="1"/>
  <c r="X45" i="41"/>
  <c r="AB45" i="41"/>
  <c r="AL45" i="41"/>
  <c r="U46" i="41"/>
  <c r="AD46" i="41" s="1"/>
  <c r="X46" i="41"/>
  <c r="AA46" i="41"/>
  <c r="AB46" i="41"/>
  <c r="AL46" i="41"/>
  <c r="AA47" i="41"/>
  <c r="AF47" i="41" s="1"/>
  <c r="AB47" i="41"/>
  <c r="AL47" i="41"/>
  <c r="U48" i="41"/>
  <c r="AD48" i="41" s="1"/>
  <c r="AA48" i="41"/>
  <c r="AF48" i="41" s="1"/>
  <c r="AB48" i="41"/>
  <c r="AL48" i="41"/>
  <c r="U49" i="41"/>
  <c r="AD49" i="41" s="1"/>
  <c r="AB49" i="41"/>
  <c r="AL49" i="41"/>
  <c r="X50" i="41"/>
  <c r="AA50" i="41"/>
  <c r="AB50" i="41"/>
  <c r="AL50" i="41"/>
  <c r="X51" i="41"/>
  <c r="AA51" i="41"/>
  <c r="AF51" i="41" s="1"/>
  <c r="AB51" i="41"/>
  <c r="AL51" i="41"/>
  <c r="X52" i="41"/>
  <c r="AB52" i="41"/>
  <c r="AL52" i="41"/>
  <c r="X53" i="41"/>
  <c r="AB53" i="41"/>
  <c r="AL53" i="41"/>
  <c r="U54" i="41"/>
  <c r="AD54" i="41" s="1"/>
  <c r="X54" i="41"/>
  <c r="AB54" i="41"/>
  <c r="AL54" i="41"/>
  <c r="U55" i="41"/>
  <c r="AD55" i="41" s="1"/>
  <c r="AB55" i="41"/>
  <c r="AL55" i="41"/>
  <c r="U56" i="41"/>
  <c r="AD56" i="41" s="1"/>
  <c r="X56" i="41"/>
  <c r="AA56" i="41"/>
  <c r="AF56" i="41" s="1"/>
  <c r="AB56" i="41"/>
  <c r="AL56" i="41"/>
  <c r="U57" i="41"/>
  <c r="AD57" i="41" s="1"/>
  <c r="AA57" i="41"/>
  <c r="AF57" i="41" s="1"/>
  <c r="AB57" i="41"/>
  <c r="AL57" i="41"/>
  <c r="U58" i="41"/>
  <c r="AD58" i="41" s="1"/>
  <c r="AB58" i="41"/>
  <c r="AL58" i="41"/>
  <c r="U59" i="41"/>
  <c r="AD59" i="41" s="1"/>
  <c r="X59" i="41"/>
  <c r="AA59" i="41"/>
  <c r="AF59" i="41" s="1"/>
  <c r="AB59" i="41"/>
  <c r="AL59" i="41"/>
  <c r="U60" i="41"/>
  <c r="AD60" i="41" s="1"/>
  <c r="AB60" i="41"/>
  <c r="AL60" i="41"/>
  <c r="X61" i="41"/>
  <c r="AA61" i="41"/>
  <c r="AB61" i="41"/>
  <c r="AL61" i="41"/>
  <c r="U62" i="41"/>
  <c r="AD62" i="41" s="1"/>
  <c r="X62" i="41"/>
  <c r="AA62" i="41"/>
  <c r="AF62" i="41" s="1"/>
  <c r="AB62" i="41"/>
  <c r="AL62" i="41"/>
  <c r="X63" i="41"/>
  <c r="AB63" i="41"/>
  <c r="AL63" i="41"/>
  <c r="U64" i="41"/>
  <c r="AD64" i="41" s="1"/>
  <c r="X64" i="41"/>
  <c r="AA64" i="41"/>
  <c r="AB64" i="41"/>
  <c r="AL64" i="41"/>
  <c r="U65" i="41"/>
  <c r="AD65" i="41" s="1"/>
  <c r="AB65" i="41"/>
  <c r="AL65" i="41"/>
  <c r="U66" i="41"/>
  <c r="AD66" i="41" s="1"/>
  <c r="AA66" i="41"/>
  <c r="AB66" i="41"/>
  <c r="AL66" i="41"/>
  <c r="U67" i="41"/>
  <c r="AD67" i="41" s="1"/>
  <c r="X67" i="41"/>
  <c r="AA67" i="41"/>
  <c r="AB67" i="41"/>
  <c r="AL67" i="41"/>
  <c r="U68" i="41"/>
  <c r="AD68" i="41" s="1"/>
  <c r="AB68" i="41"/>
  <c r="AL68" i="41"/>
  <c r="X69" i="41"/>
  <c r="AA69" i="41"/>
  <c r="AF69" i="41" s="1"/>
  <c r="AB69" i="41"/>
  <c r="AL69" i="41"/>
  <c r="U70" i="41"/>
  <c r="AD70" i="41" s="1"/>
  <c r="X70" i="41"/>
  <c r="AB70" i="41"/>
  <c r="AL70" i="41"/>
  <c r="AA71" i="41"/>
  <c r="AB71" i="41"/>
  <c r="AL71" i="41"/>
  <c r="U72" i="41"/>
  <c r="AD72" i="41" s="1"/>
  <c r="AA72" i="41"/>
  <c r="AB72" i="41"/>
  <c r="AL72" i="41"/>
  <c r="U73" i="41"/>
  <c r="AD73" i="41" s="1"/>
  <c r="AA73" i="41"/>
  <c r="AF73" i="41" s="1"/>
  <c r="AB73" i="41"/>
  <c r="AL73" i="41"/>
  <c r="U74" i="41"/>
  <c r="AD74" i="41" s="1"/>
  <c r="AB74" i="41"/>
  <c r="AL74" i="41"/>
  <c r="AA75" i="41"/>
  <c r="AB75" i="41"/>
  <c r="AL75" i="41"/>
  <c r="AB76" i="41"/>
  <c r="AL76" i="41"/>
  <c r="U77" i="41"/>
  <c r="AD77" i="41" s="1"/>
  <c r="AA77" i="41"/>
  <c r="AB77" i="41"/>
  <c r="AF77" i="41"/>
  <c r="AL77" i="41"/>
  <c r="U78" i="41"/>
  <c r="AD78" i="41" s="1"/>
  <c r="X78" i="41"/>
  <c r="AB78" i="41"/>
  <c r="AL78" i="41"/>
  <c r="AA79" i="41"/>
  <c r="AB79" i="41"/>
  <c r="AL79" i="41"/>
  <c r="U80" i="41"/>
  <c r="AD80" i="41" s="1"/>
  <c r="X80" i="41"/>
  <c r="AA80" i="41"/>
  <c r="AB80" i="41"/>
  <c r="AL80" i="41"/>
  <c r="AA81" i="41"/>
  <c r="AB81" i="41"/>
  <c r="AL81" i="41"/>
  <c r="U82" i="41"/>
  <c r="AD82" i="41" s="1"/>
  <c r="AA82" i="41"/>
  <c r="AB82" i="41"/>
  <c r="AL82" i="41"/>
  <c r="X83" i="41"/>
  <c r="AA83" i="41"/>
  <c r="AB83" i="41"/>
  <c r="AL83" i="41"/>
  <c r="AB84" i="41"/>
  <c r="AL84" i="41"/>
  <c r="U85" i="41"/>
  <c r="AD85" i="41" s="1"/>
  <c r="X85" i="41"/>
  <c r="AB85" i="41"/>
  <c r="AL85" i="41"/>
  <c r="U86" i="41"/>
  <c r="AD86" i="41" s="1"/>
  <c r="X86" i="41"/>
  <c r="AA86" i="41"/>
  <c r="AB86" i="41"/>
  <c r="AL86" i="41"/>
  <c r="X87" i="41"/>
  <c r="AA87" i="41"/>
  <c r="AB87" i="41"/>
  <c r="AL87" i="41"/>
  <c r="X88" i="41"/>
  <c r="AA88" i="41"/>
  <c r="AF88" i="41" s="1"/>
  <c r="AB88" i="41"/>
  <c r="AL88" i="41"/>
  <c r="U89" i="41"/>
  <c r="AD89" i="41" s="1"/>
  <c r="AB89" i="41"/>
  <c r="AL89" i="41"/>
  <c r="X90" i="41"/>
  <c r="AA90" i="41"/>
  <c r="AF90" i="41" s="1"/>
  <c r="AB90" i="41"/>
  <c r="AL90" i="41"/>
  <c r="U91" i="41"/>
  <c r="AD91" i="41" s="1"/>
  <c r="X91" i="41"/>
  <c r="AA91" i="41"/>
  <c r="AB91" i="41"/>
  <c r="AL91" i="41"/>
  <c r="U92" i="41"/>
  <c r="AD92" i="41" s="1"/>
  <c r="AB92" i="41"/>
  <c r="AL92" i="41"/>
  <c r="X93" i="41"/>
  <c r="AA93" i="41"/>
  <c r="AB93" i="41"/>
  <c r="AL93" i="41"/>
  <c r="U94" i="41"/>
  <c r="AD94" i="41" s="1"/>
  <c r="X94" i="41"/>
  <c r="AA94" i="41"/>
  <c r="AB94" i="41"/>
  <c r="AL94" i="41"/>
  <c r="AA95" i="41"/>
  <c r="AB95" i="41"/>
  <c r="AL95" i="41"/>
  <c r="U96" i="41"/>
  <c r="AD96" i="41" s="1"/>
  <c r="AB96" i="41"/>
  <c r="AL96" i="41"/>
  <c r="U97" i="41"/>
  <c r="AD97" i="41" s="1"/>
  <c r="X97" i="41"/>
  <c r="AB97" i="41"/>
  <c r="AL97" i="41"/>
  <c r="X98" i="41"/>
  <c r="AB98" i="41"/>
  <c r="AL98" i="41"/>
  <c r="U99" i="41"/>
  <c r="AD99" i="41" s="1"/>
  <c r="X99" i="41"/>
  <c r="AA99" i="41"/>
  <c r="AB99" i="41"/>
  <c r="AL99" i="41"/>
  <c r="AB100" i="41"/>
  <c r="AL100" i="41"/>
  <c r="X101" i="41"/>
  <c r="AA101" i="41"/>
  <c r="AF101" i="41" s="1"/>
  <c r="AB101" i="41"/>
  <c r="AL101" i="41"/>
  <c r="U102" i="41"/>
  <c r="AD102" i="41" s="1"/>
  <c r="X102" i="41"/>
  <c r="AB102" i="41"/>
  <c r="AL102" i="41"/>
  <c r="AA103" i="41"/>
  <c r="AB103" i="41"/>
  <c r="AL103" i="41"/>
  <c r="E40" i="63" l="1"/>
  <c r="F39" i="63"/>
  <c r="F36" i="63"/>
  <c r="E37" i="63"/>
  <c r="M41" i="63"/>
  <c r="G41" i="63" s="1"/>
  <c r="L42" i="63"/>
  <c r="G9" i="55"/>
  <c r="F33" i="61"/>
  <c r="E34" i="61"/>
  <c r="M33" i="61"/>
  <c r="L34" i="61"/>
  <c r="E9" i="53"/>
  <c r="F8" i="53"/>
  <c r="F20" i="55"/>
  <c r="E21" i="55"/>
  <c r="M20" i="55"/>
  <c r="L21" i="55"/>
  <c r="AE21" i="3"/>
  <c r="AF21" i="3"/>
  <c r="AX104" i="49"/>
  <c r="M9" i="53"/>
  <c r="L10" i="53"/>
  <c r="M6" i="50"/>
  <c r="L7" i="50"/>
  <c r="E7" i="48"/>
  <c r="F6" i="48"/>
  <c r="L8" i="48"/>
  <c r="M7" i="48"/>
  <c r="U98" i="41"/>
  <c r="AD98" i="41" s="1"/>
  <c r="U88" i="41"/>
  <c r="AD88" i="41" s="1"/>
  <c r="X73" i="41"/>
  <c r="U53" i="41"/>
  <c r="AD53" i="41" s="1"/>
  <c r="U51" i="41"/>
  <c r="AD51" i="41" s="1"/>
  <c r="AA45" i="41"/>
  <c r="AF45" i="41" s="1"/>
  <c r="U39" i="41"/>
  <c r="AD39" i="41" s="1"/>
  <c r="X17" i="41"/>
  <c r="AA6" i="41"/>
  <c r="AA96" i="41"/>
  <c r="U81" i="41"/>
  <c r="AD81" i="41" s="1"/>
  <c r="X75" i="41"/>
  <c r="X47" i="41"/>
  <c r="U44" i="41"/>
  <c r="AD44" i="41" s="1"/>
  <c r="X40" i="41"/>
  <c r="U35" i="41"/>
  <c r="AD35" i="41" s="1"/>
  <c r="X31" i="41"/>
  <c r="X25" i="41"/>
  <c r="AA20" i="41"/>
  <c r="AF20" i="41" s="1"/>
  <c r="X12" i="41"/>
  <c r="U7" i="41"/>
  <c r="AD7" i="41" s="1"/>
  <c r="AA74" i="41"/>
  <c r="U69" i="41"/>
  <c r="AD69" i="41" s="1"/>
  <c r="U61" i="41"/>
  <c r="AD61" i="41" s="1"/>
  <c r="AA55" i="41"/>
  <c r="AA53" i="41"/>
  <c r="AF53" i="41" s="1"/>
  <c r="AA49" i="41"/>
  <c r="AF49" i="41" s="1"/>
  <c r="X48" i="41"/>
  <c r="U47" i="41"/>
  <c r="AD47" i="41" s="1"/>
  <c r="U42" i="41"/>
  <c r="AD42" i="41" s="1"/>
  <c r="X32" i="41"/>
  <c r="U31" i="41"/>
  <c r="AD31" i="41" s="1"/>
  <c r="AA30" i="41"/>
  <c r="AF30" i="41" s="1"/>
  <c r="AA28" i="41"/>
  <c r="U27" i="41"/>
  <c r="AD27" i="41" s="1"/>
  <c r="X20" i="41"/>
  <c r="U12" i="41"/>
  <c r="AD12" i="41" s="1"/>
  <c r="AA9" i="41"/>
  <c r="AF9" i="41" s="1"/>
  <c r="X4" i="41"/>
  <c r="X96" i="41"/>
  <c r="AF83" i="41"/>
  <c r="X66" i="41"/>
  <c r="AA21" i="41"/>
  <c r="AA14" i="41"/>
  <c r="AF14" i="41" s="1"/>
  <c r="AA98" i="41"/>
  <c r="U83" i="41"/>
  <c r="AD83" i="41" s="1"/>
  <c r="U79" i="41"/>
  <c r="AD79" i="41" s="1"/>
  <c r="AA58" i="41"/>
  <c r="U101" i="41"/>
  <c r="AD101" i="41" s="1"/>
  <c r="X100" i="41"/>
  <c r="AA85" i="41"/>
  <c r="X82" i="41"/>
  <c r="AA76" i="41"/>
  <c r="X74" i="41"/>
  <c r="X72" i="41"/>
  <c r="AA65" i="41"/>
  <c r="AF65" i="41" s="1"/>
  <c r="AA63" i="41"/>
  <c r="X58" i="41"/>
  <c r="X55" i="41"/>
  <c r="X49" i="41"/>
  <c r="U41" i="41"/>
  <c r="AD41" i="41" s="1"/>
  <c r="AA37" i="41"/>
  <c r="AA33" i="41"/>
  <c r="AF33" i="41" s="1"/>
  <c r="X28" i="41"/>
  <c r="X23" i="41"/>
  <c r="U20" i="41"/>
  <c r="AD20" i="41" s="1"/>
  <c r="X16" i="41"/>
  <c r="X9" i="41"/>
  <c r="U4" i="41"/>
  <c r="AD4" i="41" s="1"/>
  <c r="U93" i="41"/>
  <c r="AD93" i="41" s="1"/>
  <c r="X77" i="41"/>
  <c r="AF91" i="41"/>
  <c r="U75" i="41"/>
  <c r="AD75" i="41" s="1"/>
  <c r="X41" i="41"/>
  <c r="X36" i="41"/>
  <c r="AF81" i="41"/>
  <c r="X35" i="41"/>
  <c r="U30" i="41"/>
  <c r="AD30" i="41" s="1"/>
  <c r="AF17" i="41"/>
  <c r="AF93" i="41"/>
  <c r="AF87" i="41"/>
  <c r="AF79" i="41"/>
  <c r="AF75" i="41"/>
  <c r="AF66" i="41"/>
  <c r="AF96" i="41"/>
  <c r="AF98" i="41"/>
  <c r="AF74" i="41"/>
  <c r="AF58" i="41"/>
  <c r="AF67" i="41"/>
  <c r="AF35" i="41"/>
  <c r="AF99" i="41"/>
  <c r="AF85" i="41"/>
  <c r="AF63" i="41"/>
  <c r="AF55" i="41"/>
  <c r="AF27" i="41"/>
  <c r="AF8" i="41"/>
  <c r="X103" i="41"/>
  <c r="U95" i="41"/>
  <c r="AD95" i="41" s="1"/>
  <c r="AA92" i="41"/>
  <c r="X84" i="41"/>
  <c r="U76" i="41"/>
  <c r="AD76" i="41" s="1"/>
  <c r="AF72" i="41"/>
  <c r="X71" i="41"/>
  <c r="AA68" i="41"/>
  <c r="AA60" i="41"/>
  <c r="AF50" i="41"/>
  <c r="X39" i="41"/>
  <c r="AF11" i="41"/>
  <c r="AF19" i="41"/>
  <c r="AF16" i="41"/>
  <c r="U103" i="41"/>
  <c r="AD103" i="41" s="1"/>
  <c r="AF86" i="41"/>
  <c r="U84" i="41"/>
  <c r="AD84" i="41" s="1"/>
  <c r="AA4" i="41"/>
  <c r="AA102" i="41"/>
  <c r="U90" i="41"/>
  <c r="AD90" i="41" s="1"/>
  <c r="AA89" i="41"/>
  <c r="X81" i="41"/>
  <c r="AA70" i="41"/>
  <c r="X65" i="41"/>
  <c r="U63" i="41"/>
  <c r="AD63" i="41" s="1"/>
  <c r="X57" i="41"/>
  <c r="AA54" i="41"/>
  <c r="AF46" i="41"/>
  <c r="AA44" i="41"/>
  <c r="U34" i="41"/>
  <c r="AD34" i="41" s="1"/>
  <c r="AF26" i="41"/>
  <c r="U10" i="41"/>
  <c r="AD10" i="41" s="1"/>
  <c r="AF7" i="41"/>
  <c r="AF80" i="41"/>
  <c r="U71" i="41"/>
  <c r="AD71" i="41" s="1"/>
  <c r="U52" i="41"/>
  <c r="AD52" i="41" s="1"/>
  <c r="U26" i="41"/>
  <c r="AD26" i="41" s="1"/>
  <c r="AF94" i="41"/>
  <c r="AF76" i="41"/>
  <c r="AF71" i="41"/>
  <c r="AF39" i="41"/>
  <c r="AF37" i="41"/>
  <c r="AF34" i="41"/>
  <c r="AF29" i="41"/>
  <c r="AF13" i="41"/>
  <c r="AA100" i="41"/>
  <c r="AF95" i="41"/>
  <c r="X79" i="41"/>
  <c r="AF64" i="41"/>
  <c r="AF103" i="41"/>
  <c r="AA97" i="41"/>
  <c r="X89" i="41"/>
  <c r="AA78" i="41"/>
  <c r="AF43" i="41"/>
  <c r="AF28" i="41"/>
  <c r="AF21" i="41"/>
  <c r="AF15" i="41"/>
  <c r="AF6" i="41"/>
  <c r="AF5" i="41"/>
  <c r="X92" i="41"/>
  <c r="X68" i="41"/>
  <c r="X60" i="41"/>
  <c r="AF42" i="41"/>
  <c r="U100" i="41"/>
  <c r="AD100" i="41" s="1"/>
  <c r="X95" i="41"/>
  <c r="U87" i="41"/>
  <c r="AD87" i="41" s="1"/>
  <c r="AA84" i="41"/>
  <c r="AF82" i="41"/>
  <c r="X76" i="41"/>
  <c r="AF61" i="41"/>
  <c r="AA52" i="41"/>
  <c r="U50" i="41"/>
  <c r="AD50" i="41" s="1"/>
  <c r="AF38" i="41"/>
  <c r="AA36" i="41"/>
  <c r="AA12" i="41"/>
  <c r="AF18" i="41"/>
  <c r="AF10" i="41"/>
  <c r="AI21" i="3" l="1"/>
  <c r="AJ21" i="3"/>
  <c r="M42" i="63"/>
  <c r="G42" i="63" s="1"/>
  <c r="L43" i="63"/>
  <c r="F37" i="63"/>
  <c r="E38" i="63"/>
  <c r="F38" i="63" s="1"/>
  <c r="E41" i="63"/>
  <c r="F40" i="63"/>
  <c r="G19" i="55"/>
  <c r="M34" i="61"/>
  <c r="L35" i="61"/>
  <c r="F34" i="61"/>
  <c r="E35" i="61"/>
  <c r="F9" i="53"/>
  <c r="E10" i="53"/>
  <c r="L22" i="55"/>
  <c r="M21" i="55"/>
  <c r="F21" i="55"/>
  <c r="E22" i="55"/>
  <c r="M10" i="53"/>
  <c r="L11" i="53"/>
  <c r="M7" i="50"/>
  <c r="L8" i="50"/>
  <c r="M8" i="48"/>
  <c r="G8" i="48" s="1"/>
  <c r="L9" i="48"/>
  <c r="E8" i="48"/>
  <c r="F7" i="48"/>
  <c r="AF84" i="41"/>
  <c r="AF70" i="41"/>
  <c r="AF12" i="41"/>
  <c r="AF52" i="41"/>
  <c r="AF44" i="41"/>
  <c r="AF36" i="41"/>
  <c r="AF97" i="41"/>
  <c r="AF100" i="41"/>
  <c r="AF54" i="41"/>
  <c r="AF102" i="41"/>
  <c r="AF89" i="41"/>
  <c r="AF4" i="41"/>
  <c r="AF78" i="41"/>
  <c r="AF60" i="41"/>
  <c r="AF92" i="41"/>
  <c r="AF68" i="41"/>
  <c r="G21" i="61" l="1"/>
  <c r="F41" i="63"/>
  <c r="E42" i="63"/>
  <c r="L44" i="63"/>
  <c r="M43" i="63"/>
  <c r="G43" i="63" s="1"/>
  <c r="F35" i="61"/>
  <c r="E39" i="61"/>
  <c r="E36" i="61"/>
  <c r="L36" i="61"/>
  <c r="L39" i="61"/>
  <c r="M35" i="61"/>
  <c r="G10" i="53"/>
  <c r="G6" i="53"/>
  <c r="F10" i="53"/>
  <c r="E11" i="53"/>
  <c r="E23" i="55"/>
  <c r="F22" i="55"/>
  <c r="L23" i="55"/>
  <c r="M22" i="55"/>
  <c r="L12" i="53"/>
  <c r="M11" i="53"/>
  <c r="M8" i="50"/>
  <c r="G8" i="50" s="1"/>
  <c r="L9" i="50"/>
  <c r="E9" i="48"/>
  <c r="F8" i="48"/>
  <c r="M9" i="48"/>
  <c r="L10" i="48"/>
  <c r="J105" i="47"/>
  <c r="K103" i="47" s="1"/>
  <c r="C105" i="47"/>
  <c r="D79" i="47" s="1"/>
  <c r="G34" i="61" l="1"/>
  <c r="L45" i="63"/>
  <c r="M44" i="63"/>
  <c r="G44" i="63" s="1"/>
  <c r="F42" i="63"/>
  <c r="E43" i="63"/>
  <c r="G15" i="55"/>
  <c r="F36" i="61"/>
  <c r="E37" i="61"/>
  <c r="M39" i="61"/>
  <c r="L40" i="61"/>
  <c r="E40" i="61"/>
  <c r="F39" i="61"/>
  <c r="L37" i="61"/>
  <c r="M36" i="61"/>
  <c r="G11" i="53"/>
  <c r="G4" i="53"/>
  <c r="E12" i="53"/>
  <c r="F11" i="53"/>
  <c r="M23" i="55"/>
  <c r="L24" i="55"/>
  <c r="F23" i="55"/>
  <c r="E24" i="55"/>
  <c r="L13" i="53"/>
  <c r="M12" i="53"/>
  <c r="L10" i="50"/>
  <c r="M9" i="50"/>
  <c r="D12" i="47"/>
  <c r="D10" i="47"/>
  <c r="D18" i="47"/>
  <c r="D26" i="47"/>
  <c r="D34" i="47"/>
  <c r="D52" i="47"/>
  <c r="D82" i="47"/>
  <c r="D4" i="47"/>
  <c r="D11" i="47"/>
  <c r="D19" i="47"/>
  <c r="D27" i="47"/>
  <c r="D35" i="47"/>
  <c r="D56" i="47"/>
  <c r="D104" i="47"/>
  <c r="D5" i="47"/>
  <c r="D13" i="47"/>
  <c r="D21" i="47"/>
  <c r="D29" i="47"/>
  <c r="D37" i="47"/>
  <c r="D61" i="47"/>
  <c r="D36" i="47"/>
  <c r="D6" i="47"/>
  <c r="D14" i="47"/>
  <c r="D22" i="47"/>
  <c r="D30" i="47"/>
  <c r="D38" i="47"/>
  <c r="D68" i="47"/>
  <c r="D20" i="47"/>
  <c r="D7" i="47"/>
  <c r="D15" i="47"/>
  <c r="D23" i="47"/>
  <c r="D31" i="47"/>
  <c r="D40" i="47"/>
  <c r="D72" i="47"/>
  <c r="D28" i="47"/>
  <c r="D8" i="47"/>
  <c r="D16" i="47"/>
  <c r="D24" i="47"/>
  <c r="D32" i="47"/>
  <c r="D41" i="47"/>
  <c r="D73" i="47"/>
  <c r="D57" i="47"/>
  <c r="D9" i="47"/>
  <c r="D17" i="47"/>
  <c r="D25" i="47"/>
  <c r="D33" i="47"/>
  <c r="D45" i="47"/>
  <c r="D77" i="47"/>
  <c r="K8" i="47"/>
  <c r="K20" i="47"/>
  <c r="K32" i="47"/>
  <c r="K88" i="47"/>
  <c r="K41" i="47"/>
  <c r="K7" i="47"/>
  <c r="K11" i="47"/>
  <c r="K15" i="47"/>
  <c r="K19" i="47"/>
  <c r="K23" i="47"/>
  <c r="K27" i="47"/>
  <c r="K31" i="47"/>
  <c r="K35" i="47"/>
  <c r="K45" i="47"/>
  <c r="K69" i="47"/>
  <c r="K40" i="47"/>
  <c r="K46" i="47"/>
  <c r="K57" i="47"/>
  <c r="K71" i="47"/>
  <c r="K83" i="47"/>
  <c r="K104" i="47"/>
  <c r="K5" i="47"/>
  <c r="K9" i="47"/>
  <c r="K13" i="47"/>
  <c r="K17" i="47"/>
  <c r="K21" i="47"/>
  <c r="K25" i="47"/>
  <c r="K29" i="47"/>
  <c r="K33" i="47"/>
  <c r="K37" i="47"/>
  <c r="K42" i="47"/>
  <c r="K50" i="47"/>
  <c r="K62" i="47"/>
  <c r="K74" i="47"/>
  <c r="K91" i="47"/>
  <c r="K64" i="47"/>
  <c r="K4" i="47"/>
  <c r="K16" i="47"/>
  <c r="K28" i="47"/>
  <c r="K47" i="47"/>
  <c r="K89" i="47"/>
  <c r="K43" i="47"/>
  <c r="K96" i="47"/>
  <c r="K6" i="47"/>
  <c r="K30" i="47"/>
  <c r="K34" i="47"/>
  <c r="K38" i="47"/>
  <c r="K44" i="47"/>
  <c r="K97" i="47"/>
  <c r="K12" i="47"/>
  <c r="K24" i="47"/>
  <c r="K36" i="47"/>
  <c r="K49" i="47"/>
  <c r="K61" i="47"/>
  <c r="K75" i="47"/>
  <c r="K10" i="47"/>
  <c r="K14" i="47"/>
  <c r="K18" i="47"/>
  <c r="K22" i="47"/>
  <c r="K26" i="47"/>
  <c r="K39" i="47"/>
  <c r="K56" i="47"/>
  <c r="K68" i="47"/>
  <c r="K81" i="47"/>
  <c r="K99" i="47"/>
  <c r="K51" i="47"/>
  <c r="K63" i="47"/>
  <c r="K70" i="47"/>
  <c r="K76" i="47"/>
  <c r="K82" i="47"/>
  <c r="K90" i="47"/>
  <c r="K98" i="47"/>
  <c r="K52" i="47"/>
  <c r="K58" i="47"/>
  <c r="K65" i="47"/>
  <c r="K77" i="47"/>
  <c r="K84" i="47"/>
  <c r="K92" i="47"/>
  <c r="K100" i="47"/>
  <c r="K53" i="47"/>
  <c r="K59" i="47"/>
  <c r="K66" i="47"/>
  <c r="K72" i="47"/>
  <c r="K78" i="47"/>
  <c r="K85" i="47"/>
  <c r="K93" i="47"/>
  <c r="K101" i="47"/>
  <c r="K54" i="47"/>
  <c r="K60" i="47"/>
  <c r="K67" i="47"/>
  <c r="K79" i="47"/>
  <c r="K86" i="47"/>
  <c r="K94" i="47"/>
  <c r="K102" i="47"/>
  <c r="K48" i="47"/>
  <c r="K55" i="47"/>
  <c r="K73" i="47"/>
  <c r="K80" i="47"/>
  <c r="K87" i="47"/>
  <c r="K95" i="47"/>
  <c r="D88" i="47"/>
  <c r="D93" i="47"/>
  <c r="D84" i="47"/>
  <c r="D89" i="47"/>
  <c r="D100" i="47"/>
  <c r="D48" i="47"/>
  <c r="D53" i="47"/>
  <c r="D64" i="47"/>
  <c r="D69" i="47"/>
  <c r="D80" i="47"/>
  <c r="D85" i="47"/>
  <c r="D96" i="47"/>
  <c r="D39" i="47"/>
  <c r="D44" i="47"/>
  <c r="D49" i="47"/>
  <c r="D60" i="47"/>
  <c r="D65" i="47"/>
  <c r="D76" i="47"/>
  <c r="D81" i="47"/>
  <c r="D92" i="47"/>
  <c r="D97" i="47"/>
  <c r="D101" i="47"/>
  <c r="D42" i="47"/>
  <c r="D46" i="47"/>
  <c r="D50" i="47"/>
  <c r="D54" i="47"/>
  <c r="D58" i="47"/>
  <c r="D62" i="47"/>
  <c r="D66" i="47"/>
  <c r="D70" i="47"/>
  <c r="D74" i="47"/>
  <c r="D78" i="47"/>
  <c r="D86" i="47"/>
  <c r="D90" i="47"/>
  <c r="D94" i="47"/>
  <c r="D98" i="47"/>
  <c r="D102" i="47"/>
  <c r="D43" i="47"/>
  <c r="D47" i="47"/>
  <c r="D51" i="47"/>
  <c r="D55" i="47"/>
  <c r="D59" i="47"/>
  <c r="D63" i="47"/>
  <c r="D67" i="47"/>
  <c r="D71" i="47"/>
  <c r="D75" i="47"/>
  <c r="D83" i="47"/>
  <c r="D87" i="47"/>
  <c r="D91" i="47"/>
  <c r="D95" i="47"/>
  <c r="D99" i="47"/>
  <c r="D103" i="47"/>
  <c r="M10" i="48"/>
  <c r="L11" i="48"/>
  <c r="F9" i="48"/>
  <c r="E10" i="48"/>
  <c r="L4" i="47"/>
  <c r="E4" i="47"/>
  <c r="J4" i="45"/>
  <c r="J10" i="45"/>
  <c r="J14" i="45"/>
  <c r="J8" i="45"/>
  <c r="J23" i="45"/>
  <c r="J6" i="45"/>
  <c r="J9" i="45"/>
  <c r="J15" i="45"/>
  <c r="J13" i="45"/>
  <c r="J5" i="45"/>
  <c r="J19" i="45"/>
  <c r="J21" i="45"/>
  <c r="J7" i="45"/>
  <c r="J27" i="45"/>
  <c r="J16" i="45"/>
  <c r="J58" i="45"/>
  <c r="J59" i="45"/>
  <c r="J60" i="45"/>
  <c r="J61" i="45"/>
  <c r="J62" i="45"/>
  <c r="J63" i="45"/>
  <c r="J64" i="45"/>
  <c r="J20" i="45"/>
  <c r="J29" i="45"/>
  <c r="J12" i="45"/>
  <c r="J65" i="45"/>
  <c r="J47" i="45"/>
  <c r="J48" i="45"/>
  <c r="J66" i="45"/>
  <c r="J49" i="45"/>
  <c r="J67" i="45"/>
  <c r="J68" i="45"/>
  <c r="J69" i="45"/>
  <c r="J70" i="45"/>
  <c r="J71" i="45"/>
  <c r="J31" i="45"/>
  <c r="J38" i="45"/>
  <c r="J72" i="45"/>
  <c r="J32" i="45"/>
  <c r="J30" i="45"/>
  <c r="J25" i="45"/>
  <c r="J18" i="45"/>
  <c r="J73" i="45"/>
  <c r="J26" i="45"/>
  <c r="J17" i="45"/>
  <c r="J22" i="45"/>
  <c r="J24" i="45"/>
  <c r="J39" i="45"/>
  <c r="J74" i="45"/>
  <c r="J75" i="45"/>
  <c r="J43" i="45"/>
  <c r="J76" i="45"/>
  <c r="J77" i="45"/>
  <c r="J78" i="45"/>
  <c r="J33" i="45"/>
  <c r="J79" i="45"/>
  <c r="J44" i="45"/>
  <c r="J80" i="45"/>
  <c r="J81" i="45"/>
  <c r="J82" i="45"/>
  <c r="J83" i="45"/>
  <c r="J84" i="45"/>
  <c r="J85" i="45"/>
  <c r="J86" i="45"/>
  <c r="J87" i="45"/>
  <c r="J50" i="45"/>
  <c r="J88" i="45"/>
  <c r="J40" i="45"/>
  <c r="J45" i="45"/>
  <c r="J51" i="45"/>
  <c r="J89" i="45"/>
  <c r="J34" i="45"/>
  <c r="J52" i="45"/>
  <c r="J90" i="45"/>
  <c r="J53" i="45"/>
  <c r="J91" i="45"/>
  <c r="J54" i="45"/>
  <c r="J55" i="45"/>
  <c r="J92" i="45"/>
  <c r="J93" i="45"/>
  <c r="J94" i="45"/>
  <c r="J37" i="45"/>
  <c r="J41" i="45"/>
  <c r="J35" i="45"/>
  <c r="J36" i="45"/>
  <c r="J46" i="45"/>
  <c r="J95" i="45"/>
  <c r="J96" i="45"/>
  <c r="J97" i="45"/>
  <c r="J56" i="45"/>
  <c r="J57" i="45"/>
  <c r="J98" i="45"/>
  <c r="J99" i="45"/>
  <c r="J100" i="45"/>
  <c r="J101" i="45"/>
  <c r="J102" i="45"/>
  <c r="J42" i="45"/>
  <c r="J103" i="45"/>
  <c r="J28" i="45"/>
  <c r="J104" i="45"/>
  <c r="J11" i="45"/>
  <c r="AO105" i="40"/>
  <c r="C4" i="45"/>
  <c r="C105" i="45" s="1"/>
  <c r="C10" i="45"/>
  <c r="C14" i="45"/>
  <c r="C7" i="45"/>
  <c r="C19" i="45"/>
  <c r="C5" i="45"/>
  <c r="C11" i="45"/>
  <c r="C15" i="45"/>
  <c r="C12" i="45"/>
  <c r="C6" i="45"/>
  <c r="C18" i="45"/>
  <c r="C20" i="45"/>
  <c r="C8" i="45"/>
  <c r="C27" i="45"/>
  <c r="C17" i="45"/>
  <c r="C47" i="45"/>
  <c r="C48" i="45"/>
  <c r="C49" i="45"/>
  <c r="C50" i="45"/>
  <c r="C51" i="45"/>
  <c r="C52" i="45"/>
  <c r="C53" i="45"/>
  <c r="C104" i="45"/>
  <c r="C94" i="45"/>
  <c r="C13" i="45"/>
  <c r="C54" i="45"/>
  <c r="C44" i="45"/>
  <c r="C45" i="45"/>
  <c r="C55" i="45"/>
  <c r="C97" i="45"/>
  <c r="C83" i="45"/>
  <c r="C56" i="45"/>
  <c r="C57" i="45"/>
  <c r="C88" i="45"/>
  <c r="C95" i="45"/>
  <c r="C29" i="45"/>
  <c r="C33" i="45"/>
  <c r="C84" i="45"/>
  <c r="C31" i="45"/>
  <c r="C28" i="45"/>
  <c r="C25" i="45"/>
  <c r="C21" i="45"/>
  <c r="C58" i="45"/>
  <c r="C24" i="45"/>
  <c r="C16" i="45"/>
  <c r="C23" i="45"/>
  <c r="C22" i="45"/>
  <c r="C32" i="45"/>
  <c r="C102" i="45"/>
  <c r="C91" i="45"/>
  <c r="C76" i="45"/>
  <c r="C59" i="45"/>
  <c r="C60" i="45"/>
  <c r="C61" i="45"/>
  <c r="C103" i="45"/>
  <c r="C62" i="45"/>
  <c r="C41" i="45"/>
  <c r="C93" i="45"/>
  <c r="C63" i="45"/>
  <c r="C64" i="45"/>
  <c r="C65" i="45"/>
  <c r="C74" i="45"/>
  <c r="C75" i="45"/>
  <c r="C66" i="45"/>
  <c r="C67" i="45"/>
  <c r="C42" i="45"/>
  <c r="C96" i="45"/>
  <c r="C82" i="45"/>
  <c r="C38" i="45"/>
  <c r="C80" i="45"/>
  <c r="C68" i="45"/>
  <c r="C46" i="45"/>
  <c r="C40" i="45"/>
  <c r="C90" i="45"/>
  <c r="C101" i="45"/>
  <c r="C92" i="45"/>
  <c r="C98" i="45"/>
  <c r="C89" i="45"/>
  <c r="C85" i="45"/>
  <c r="C86" i="45"/>
  <c r="C77" i="45"/>
  <c r="C36" i="45"/>
  <c r="C34" i="45"/>
  <c r="C100" i="45"/>
  <c r="C30" i="45"/>
  <c r="C35" i="45"/>
  <c r="C79" i="45"/>
  <c r="C99" i="45"/>
  <c r="C78" i="45"/>
  <c r="C43" i="45"/>
  <c r="C39" i="45"/>
  <c r="C69" i="45"/>
  <c r="C70" i="45"/>
  <c r="C87" i="45"/>
  <c r="C81" i="45"/>
  <c r="C71" i="45"/>
  <c r="C37" i="45"/>
  <c r="C72" i="45"/>
  <c r="C26" i="45"/>
  <c r="C73" i="45"/>
  <c r="C9" i="45"/>
  <c r="Z18" i="3"/>
  <c r="X18" i="3"/>
  <c r="W18" i="3"/>
  <c r="S18" i="3"/>
  <c r="G18" i="3"/>
  <c r="AB4" i="40"/>
  <c r="AB5" i="40"/>
  <c r="AB6" i="40"/>
  <c r="AB7" i="40"/>
  <c r="AB8" i="40"/>
  <c r="AB9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F43" i="63" l="1"/>
  <c r="E44" i="63"/>
  <c r="M45" i="63"/>
  <c r="G45" i="63" s="1"/>
  <c r="L46" i="63"/>
  <c r="G18" i="55"/>
  <c r="M37" i="61"/>
  <c r="L38" i="61"/>
  <c r="M38" i="61" s="1"/>
  <c r="E41" i="61"/>
  <c r="F40" i="61"/>
  <c r="M40" i="61"/>
  <c r="L41" i="61"/>
  <c r="F37" i="61"/>
  <c r="E38" i="61"/>
  <c r="F38" i="61" s="1"/>
  <c r="E13" i="53"/>
  <c r="F12" i="53"/>
  <c r="F24" i="55"/>
  <c r="E25" i="55"/>
  <c r="M24" i="55"/>
  <c r="L25" i="55"/>
  <c r="G10" i="48"/>
  <c r="G4" i="48"/>
  <c r="M13" i="53"/>
  <c r="G13" i="53" s="1"/>
  <c r="L14" i="53"/>
  <c r="L11" i="50"/>
  <c r="M10" i="50"/>
  <c r="K105" i="47"/>
  <c r="D105" i="47"/>
  <c r="F10" i="48"/>
  <c r="E11" i="48"/>
  <c r="L12" i="48"/>
  <c r="M11" i="48"/>
  <c r="F4" i="47"/>
  <c r="E5" i="47"/>
  <c r="L5" i="47"/>
  <c r="M4" i="47"/>
  <c r="U99" i="40"/>
  <c r="AD99" i="40" s="1"/>
  <c r="AA99" i="40"/>
  <c r="AF99" i="40" s="1"/>
  <c r="U100" i="40"/>
  <c r="AD100" i="40" s="1"/>
  <c r="X100" i="40"/>
  <c r="U101" i="40"/>
  <c r="AD101" i="40" s="1"/>
  <c r="X103" i="40"/>
  <c r="AA103" i="40"/>
  <c r="AF103" i="40" s="1"/>
  <c r="G25" i="61" l="1"/>
  <c r="M46" i="63"/>
  <c r="G46" i="63" s="1"/>
  <c r="L47" i="63"/>
  <c r="E45" i="63"/>
  <c r="F44" i="63"/>
  <c r="M41" i="61"/>
  <c r="L42" i="61"/>
  <c r="F41" i="61"/>
  <c r="E42" i="61"/>
  <c r="G12" i="53"/>
  <c r="F13" i="53"/>
  <c r="E14" i="53"/>
  <c r="M25" i="55"/>
  <c r="L26" i="55"/>
  <c r="E26" i="55"/>
  <c r="F25" i="55"/>
  <c r="G11" i="48"/>
  <c r="G6" i="48"/>
  <c r="M14" i="53"/>
  <c r="L15" i="53"/>
  <c r="G10" i="50"/>
  <c r="G6" i="50"/>
  <c r="L12" i="50"/>
  <c r="M11" i="50"/>
  <c r="L13" i="48"/>
  <c r="M12" i="48"/>
  <c r="E12" i="48"/>
  <c r="F11" i="48"/>
  <c r="M5" i="47"/>
  <c r="G5" i="47" s="1"/>
  <c r="L6" i="47"/>
  <c r="F5" i="47"/>
  <c r="E6" i="47"/>
  <c r="U102" i="40"/>
  <c r="AD102" i="40" s="1"/>
  <c r="X101" i="40"/>
  <c r="AA100" i="40"/>
  <c r="U103" i="40"/>
  <c r="AD103" i="40" s="1"/>
  <c r="X102" i="40"/>
  <c r="AA101" i="40"/>
  <c r="AF101" i="40" s="1"/>
  <c r="AA102" i="40"/>
  <c r="AF102" i="40" s="1"/>
  <c r="X99" i="40"/>
  <c r="AF100" i="40"/>
  <c r="G28" i="61" l="1"/>
  <c r="F45" i="63"/>
  <c r="E46" i="63"/>
  <c r="M47" i="63"/>
  <c r="G47" i="63" s="1"/>
  <c r="L48" i="63"/>
  <c r="F42" i="61"/>
  <c r="E43" i="61"/>
  <c r="L43" i="61"/>
  <c r="M42" i="61"/>
  <c r="G14" i="53"/>
  <c r="G7" i="53"/>
  <c r="F14" i="53"/>
  <c r="E15" i="53"/>
  <c r="E27" i="55"/>
  <c r="F26" i="55"/>
  <c r="M26" i="55"/>
  <c r="L27" i="55"/>
  <c r="L16" i="53"/>
  <c r="M15" i="53"/>
  <c r="G15" i="53" s="1"/>
  <c r="G11" i="50"/>
  <c r="G4" i="50"/>
  <c r="M12" i="50"/>
  <c r="L13" i="50"/>
  <c r="F12" i="48"/>
  <c r="E13" i="48"/>
  <c r="M13" i="48"/>
  <c r="G13" i="48" s="1"/>
  <c r="L14" i="48"/>
  <c r="E7" i="47"/>
  <c r="F6" i="47"/>
  <c r="L7" i="47"/>
  <c r="M6" i="47"/>
  <c r="U49" i="40"/>
  <c r="AD49" i="40" s="1"/>
  <c r="X51" i="40"/>
  <c r="AA52" i="40"/>
  <c r="U53" i="40"/>
  <c r="AD53" i="40" s="1"/>
  <c r="AA53" i="40"/>
  <c r="AF53" i="40" s="1"/>
  <c r="U54" i="40"/>
  <c r="AD54" i="40" s="1"/>
  <c r="AA54" i="40"/>
  <c r="U55" i="40"/>
  <c r="AD55" i="40" s="1"/>
  <c r="U56" i="40"/>
  <c r="AD56" i="40" s="1"/>
  <c r="X58" i="40"/>
  <c r="AA60" i="40"/>
  <c r="AA61" i="40"/>
  <c r="AF61" i="40" s="1"/>
  <c r="U63" i="40"/>
  <c r="AD63" i="40" s="1"/>
  <c r="X66" i="40"/>
  <c r="U67" i="40"/>
  <c r="AD67" i="40" s="1"/>
  <c r="AA69" i="40"/>
  <c r="U70" i="40"/>
  <c r="AD70" i="40" s="1"/>
  <c r="X70" i="40"/>
  <c r="U71" i="40"/>
  <c r="AD71" i="40" s="1"/>
  <c r="AA73" i="40"/>
  <c r="X74" i="40"/>
  <c r="G35" i="61" l="1"/>
  <c r="M48" i="63"/>
  <c r="G48" i="63" s="1"/>
  <c r="L49" i="63"/>
  <c r="F46" i="63"/>
  <c r="E47" i="63"/>
  <c r="G23" i="55"/>
  <c r="F43" i="61"/>
  <c r="E44" i="61"/>
  <c r="L44" i="61"/>
  <c r="M43" i="61"/>
  <c r="E16" i="53"/>
  <c r="F15" i="53"/>
  <c r="M27" i="55"/>
  <c r="L28" i="55"/>
  <c r="F27" i="55"/>
  <c r="E28" i="55"/>
  <c r="G12" i="48"/>
  <c r="M16" i="53"/>
  <c r="G16" i="53" s="1"/>
  <c r="L17" i="53"/>
  <c r="M13" i="50"/>
  <c r="G13" i="50" s="1"/>
  <c r="L14" i="50"/>
  <c r="M14" i="48"/>
  <c r="G14" i="48" s="1"/>
  <c r="L15" i="48"/>
  <c r="F13" i="48"/>
  <c r="E14" i="48"/>
  <c r="L8" i="47"/>
  <c r="M7" i="47"/>
  <c r="E8" i="47"/>
  <c r="F7" i="47"/>
  <c r="U72" i="40"/>
  <c r="AD72" i="40" s="1"/>
  <c r="AA70" i="40"/>
  <c r="AF70" i="40" s="1"/>
  <c r="X67" i="40"/>
  <c r="U64" i="40"/>
  <c r="AD64" i="40" s="1"/>
  <c r="AA62" i="40"/>
  <c r="AF62" i="40" s="1"/>
  <c r="X59" i="40"/>
  <c r="AA49" i="40"/>
  <c r="AF49" i="40" s="1"/>
  <c r="AF73" i="40"/>
  <c r="AF69" i="40"/>
  <c r="U50" i="40"/>
  <c r="AD50" i="40" s="1"/>
  <c r="AF54" i="40"/>
  <c r="AA74" i="40"/>
  <c r="AF74" i="40" s="1"/>
  <c r="X71" i="40"/>
  <c r="U68" i="40"/>
  <c r="AD68" i="40" s="1"/>
  <c r="AA66" i="40"/>
  <c r="AF66" i="40" s="1"/>
  <c r="X63" i="40"/>
  <c r="U60" i="40"/>
  <c r="AD60" i="40" s="1"/>
  <c r="AA58" i="40"/>
  <c r="AF58" i="40" s="1"/>
  <c r="X55" i="40"/>
  <c r="U52" i="40"/>
  <c r="AD52" i="40" s="1"/>
  <c r="AA50" i="40"/>
  <c r="AF50" i="40" s="1"/>
  <c r="AA65" i="40"/>
  <c r="AF65" i="40" s="1"/>
  <c r="X62" i="40"/>
  <c r="U59" i="40"/>
  <c r="AD59" i="40" s="1"/>
  <c r="AA57" i="40"/>
  <c r="AF57" i="40" s="1"/>
  <c r="X54" i="40"/>
  <c r="U51" i="40"/>
  <c r="AD51" i="40" s="1"/>
  <c r="X50" i="40"/>
  <c r="AF60" i="40"/>
  <c r="AF52" i="40"/>
  <c r="X49" i="40"/>
  <c r="U74" i="40"/>
  <c r="AD74" i="40" s="1"/>
  <c r="X73" i="40"/>
  <c r="AA72" i="40"/>
  <c r="AF72" i="40" s="1"/>
  <c r="X69" i="40"/>
  <c r="AA68" i="40"/>
  <c r="AF68" i="40" s="1"/>
  <c r="U66" i="40"/>
  <c r="AD66" i="40" s="1"/>
  <c r="X65" i="40"/>
  <c r="AA64" i="40"/>
  <c r="AF64" i="40" s="1"/>
  <c r="U62" i="40"/>
  <c r="AD62" i="40" s="1"/>
  <c r="X61" i="40"/>
  <c r="U58" i="40"/>
  <c r="AD58" i="40" s="1"/>
  <c r="X57" i="40"/>
  <c r="AA56" i="40"/>
  <c r="AF56" i="40" s="1"/>
  <c r="X53" i="40"/>
  <c r="U73" i="40"/>
  <c r="AD73" i="40" s="1"/>
  <c r="X72" i="40"/>
  <c r="AA71" i="40"/>
  <c r="AF71" i="40" s="1"/>
  <c r="U69" i="40"/>
  <c r="AD69" i="40" s="1"/>
  <c r="X68" i="40"/>
  <c r="AA67" i="40"/>
  <c r="AF67" i="40" s="1"/>
  <c r="U65" i="40"/>
  <c r="AD65" i="40" s="1"/>
  <c r="X64" i="40"/>
  <c r="AA63" i="40"/>
  <c r="AF63" i="40" s="1"/>
  <c r="U61" i="40"/>
  <c r="AD61" i="40" s="1"/>
  <c r="X60" i="40"/>
  <c r="AA59" i="40"/>
  <c r="AF59" i="40" s="1"/>
  <c r="U57" i="40"/>
  <c r="AD57" i="40" s="1"/>
  <c r="X56" i="40"/>
  <c r="AA55" i="40"/>
  <c r="AF55" i="40" s="1"/>
  <c r="X52" i="40"/>
  <c r="AA51" i="40"/>
  <c r="AF51" i="40" s="1"/>
  <c r="U89" i="40"/>
  <c r="AD89" i="40" s="1"/>
  <c r="X89" i="40"/>
  <c r="AA89" i="40"/>
  <c r="U90" i="40"/>
  <c r="AD90" i="40" s="1"/>
  <c r="X90" i="40"/>
  <c r="AA90" i="40"/>
  <c r="AF90" i="40" s="1"/>
  <c r="U91" i="40"/>
  <c r="AD91" i="40" s="1"/>
  <c r="X91" i="40"/>
  <c r="U93" i="40"/>
  <c r="AD93" i="40" s="1"/>
  <c r="X93" i="40"/>
  <c r="AA93" i="40"/>
  <c r="U35" i="40"/>
  <c r="AD35" i="40" s="1"/>
  <c r="X35" i="40"/>
  <c r="U36" i="40"/>
  <c r="AD36" i="40" s="1"/>
  <c r="X37" i="40"/>
  <c r="U38" i="40"/>
  <c r="AD38" i="40" s="1"/>
  <c r="X38" i="40"/>
  <c r="U39" i="40"/>
  <c r="AD39" i="40" s="1"/>
  <c r="X39" i="40"/>
  <c r="AA39" i="40"/>
  <c r="U40" i="40"/>
  <c r="AD40" i="40" s="1"/>
  <c r="X40" i="40"/>
  <c r="G40" i="61" l="1"/>
  <c r="E48" i="63"/>
  <c r="F47" i="63"/>
  <c r="L76" i="63"/>
  <c r="M49" i="63"/>
  <c r="G49" i="63" s="1"/>
  <c r="L50" i="63"/>
  <c r="L45" i="61"/>
  <c r="M44" i="61"/>
  <c r="F44" i="61"/>
  <c r="E45" i="61"/>
  <c r="F16" i="53"/>
  <c r="E17" i="53"/>
  <c r="F28" i="55"/>
  <c r="E29" i="55"/>
  <c r="M28" i="55"/>
  <c r="L29" i="55"/>
  <c r="M17" i="53"/>
  <c r="G17" i="53" s="1"/>
  <c r="L18" i="53"/>
  <c r="M14" i="50"/>
  <c r="L15" i="50"/>
  <c r="F14" i="48"/>
  <c r="E15" i="48"/>
  <c r="L16" i="48"/>
  <c r="M15" i="48"/>
  <c r="F8" i="47"/>
  <c r="E9" i="47"/>
  <c r="M8" i="47"/>
  <c r="G8" i="47" s="1"/>
  <c r="L9" i="47"/>
  <c r="AA38" i="40"/>
  <c r="AF38" i="40" s="1"/>
  <c r="AF93" i="40"/>
  <c r="AF89" i="40"/>
  <c r="AA37" i="40"/>
  <c r="AF37" i="40" s="1"/>
  <c r="AA92" i="40"/>
  <c r="AF92" i="40" s="1"/>
  <c r="AA36" i="40"/>
  <c r="AF36" i="40" s="1"/>
  <c r="X92" i="40"/>
  <c r="AA91" i="40"/>
  <c r="AF91" i="40" s="1"/>
  <c r="AA40" i="40"/>
  <c r="AF40" i="40" s="1"/>
  <c r="U37" i="40"/>
  <c r="AD37" i="40" s="1"/>
  <c r="X36" i="40"/>
  <c r="AA35" i="40"/>
  <c r="AF35" i="40" s="1"/>
  <c r="U92" i="40"/>
  <c r="AD92" i="40" s="1"/>
  <c r="AF39" i="40"/>
  <c r="G44" i="61" l="1"/>
  <c r="G42" i="61"/>
  <c r="E49" i="63"/>
  <c r="F48" i="63"/>
  <c r="L77" i="63"/>
  <c r="M76" i="63"/>
  <c r="G76" i="63" s="1"/>
  <c r="M50" i="63"/>
  <c r="G50" i="63" s="1"/>
  <c r="L51" i="63"/>
  <c r="F45" i="61"/>
  <c r="E46" i="61"/>
  <c r="M45" i="61"/>
  <c r="G45" i="61" s="1"/>
  <c r="L46" i="61"/>
  <c r="F17" i="53"/>
  <c r="E18" i="53"/>
  <c r="F29" i="55"/>
  <c r="E30" i="55"/>
  <c r="L30" i="55"/>
  <c r="M29" i="55"/>
  <c r="G7" i="48"/>
  <c r="M18" i="53"/>
  <c r="L19" i="53"/>
  <c r="G14" i="50"/>
  <c r="G7" i="50"/>
  <c r="M15" i="50"/>
  <c r="L16" i="50"/>
  <c r="M16" i="48"/>
  <c r="L17" i="48"/>
  <c r="E16" i="48"/>
  <c r="F15" i="48"/>
  <c r="F9" i="47"/>
  <c r="E10" i="47"/>
  <c r="M9" i="47"/>
  <c r="L10" i="47"/>
  <c r="U4" i="40"/>
  <c r="AD4" i="40" s="1"/>
  <c r="X4" i="40"/>
  <c r="AA4" i="40"/>
  <c r="AF4" i="40" s="1"/>
  <c r="U5" i="40"/>
  <c r="AD5" i="40" s="1"/>
  <c r="X5" i="40"/>
  <c r="AA5" i="40"/>
  <c r="AF5" i="40" s="1"/>
  <c r="U6" i="40"/>
  <c r="AD6" i="40" s="1"/>
  <c r="X6" i="40"/>
  <c r="AA6" i="40"/>
  <c r="U7" i="40"/>
  <c r="AD7" i="40" s="1"/>
  <c r="X7" i="40"/>
  <c r="AA7" i="40"/>
  <c r="U8" i="40"/>
  <c r="AD8" i="40" s="1"/>
  <c r="X8" i="40"/>
  <c r="AA8" i="40"/>
  <c r="U9" i="40"/>
  <c r="AD9" i="40" s="1"/>
  <c r="X9" i="40"/>
  <c r="AA9" i="40"/>
  <c r="AF9" i="40" s="1"/>
  <c r="U10" i="40"/>
  <c r="AD10" i="40" s="1"/>
  <c r="X10" i="40"/>
  <c r="AA10" i="40"/>
  <c r="AF10" i="40" s="1"/>
  <c r="U11" i="40"/>
  <c r="AD11" i="40" s="1"/>
  <c r="X11" i="40"/>
  <c r="AA11" i="40"/>
  <c r="AF11" i="40" s="1"/>
  <c r="U12" i="40"/>
  <c r="AD12" i="40" s="1"/>
  <c r="X12" i="40"/>
  <c r="AA12" i="40"/>
  <c r="AF12" i="40" s="1"/>
  <c r="U13" i="40"/>
  <c r="AD13" i="40" s="1"/>
  <c r="X13" i="40"/>
  <c r="AA13" i="40"/>
  <c r="AF13" i="40" s="1"/>
  <c r="U14" i="40"/>
  <c r="AD14" i="40" s="1"/>
  <c r="X14" i="40"/>
  <c r="AA14" i="40"/>
  <c r="U15" i="40"/>
  <c r="AD15" i="40" s="1"/>
  <c r="X15" i="40"/>
  <c r="AA15" i="40"/>
  <c r="U16" i="40"/>
  <c r="AD16" i="40" s="1"/>
  <c r="X16" i="40"/>
  <c r="AA16" i="40"/>
  <c r="AF16" i="40"/>
  <c r="U17" i="40"/>
  <c r="AD17" i="40" s="1"/>
  <c r="X17" i="40"/>
  <c r="AA17" i="40"/>
  <c r="AF17" i="40" s="1"/>
  <c r="U18" i="40"/>
  <c r="AD18" i="40" s="1"/>
  <c r="X18" i="40"/>
  <c r="AA18" i="40"/>
  <c r="AF18" i="40" s="1"/>
  <c r="U19" i="40"/>
  <c r="AD19" i="40" s="1"/>
  <c r="X19" i="40"/>
  <c r="AA19" i="40"/>
  <c r="AF19" i="40" s="1"/>
  <c r="U20" i="40"/>
  <c r="AD20" i="40" s="1"/>
  <c r="X20" i="40"/>
  <c r="AA20" i="40"/>
  <c r="AF20" i="40" s="1"/>
  <c r="U21" i="40"/>
  <c r="AD21" i="40" s="1"/>
  <c r="X21" i="40"/>
  <c r="AA21" i="40"/>
  <c r="AF21" i="40" s="1"/>
  <c r="U22" i="40"/>
  <c r="AD22" i="40" s="1"/>
  <c r="X22" i="40"/>
  <c r="AA22" i="40"/>
  <c r="AF22" i="40" s="1"/>
  <c r="U23" i="40"/>
  <c r="AD23" i="40" s="1"/>
  <c r="X23" i="40"/>
  <c r="AA23" i="40"/>
  <c r="AF23" i="40" s="1"/>
  <c r="U24" i="40"/>
  <c r="AD24" i="40" s="1"/>
  <c r="X24" i="40"/>
  <c r="AA24" i="40"/>
  <c r="AF24" i="40" s="1"/>
  <c r="U25" i="40"/>
  <c r="AD25" i="40" s="1"/>
  <c r="X25" i="40"/>
  <c r="AA25" i="40"/>
  <c r="AF25" i="40" s="1"/>
  <c r="U26" i="40"/>
  <c r="AD26" i="40" s="1"/>
  <c r="X26" i="40"/>
  <c r="AA26" i="40"/>
  <c r="AF26" i="40" s="1"/>
  <c r="U27" i="40"/>
  <c r="AD27" i="40" s="1"/>
  <c r="X27" i="40"/>
  <c r="AA27" i="40"/>
  <c r="AF27" i="40" s="1"/>
  <c r="U28" i="40"/>
  <c r="AD28" i="40" s="1"/>
  <c r="X28" i="40"/>
  <c r="AA28" i="40"/>
  <c r="AF28" i="40" s="1"/>
  <c r="U29" i="40"/>
  <c r="AD29" i="40" s="1"/>
  <c r="X29" i="40"/>
  <c r="AA29" i="40"/>
  <c r="AF29" i="40" s="1"/>
  <c r="U30" i="40"/>
  <c r="AD30" i="40" s="1"/>
  <c r="X30" i="40"/>
  <c r="AA30" i="40"/>
  <c r="U31" i="40"/>
  <c r="AD31" i="40" s="1"/>
  <c r="X31" i="40"/>
  <c r="AA31" i="40"/>
  <c r="U32" i="40"/>
  <c r="AD32" i="40" s="1"/>
  <c r="X32" i="40"/>
  <c r="AA32" i="40"/>
  <c r="AF32" i="40" s="1"/>
  <c r="U33" i="40"/>
  <c r="AD33" i="40" s="1"/>
  <c r="X33" i="40"/>
  <c r="AA33" i="40"/>
  <c r="AF33" i="40" s="1"/>
  <c r="U34" i="40"/>
  <c r="AD34" i="40" s="1"/>
  <c r="X34" i="40"/>
  <c r="AA34" i="40"/>
  <c r="AF34" i="40" s="1"/>
  <c r="U41" i="40"/>
  <c r="AD41" i="40" s="1"/>
  <c r="X41" i="40"/>
  <c r="AA41" i="40"/>
  <c r="AF41" i="40" s="1"/>
  <c r="U42" i="40"/>
  <c r="AD42" i="40" s="1"/>
  <c r="X42" i="40"/>
  <c r="AA42" i="40"/>
  <c r="U43" i="40"/>
  <c r="AD43" i="40" s="1"/>
  <c r="X43" i="40"/>
  <c r="AA43" i="40"/>
  <c r="AF43" i="40" s="1"/>
  <c r="U44" i="40"/>
  <c r="AD44" i="40" s="1"/>
  <c r="X44" i="40"/>
  <c r="AA44" i="40"/>
  <c r="AF44" i="40" s="1"/>
  <c r="U45" i="40"/>
  <c r="AD45" i="40" s="1"/>
  <c r="X45" i="40"/>
  <c r="AA45" i="40"/>
  <c r="AF45" i="40" s="1"/>
  <c r="U46" i="40"/>
  <c r="AD46" i="40" s="1"/>
  <c r="X46" i="40"/>
  <c r="AA46" i="40"/>
  <c r="AF46" i="40" s="1"/>
  <c r="U47" i="40"/>
  <c r="AD47" i="40" s="1"/>
  <c r="X47" i="40"/>
  <c r="AA47" i="40"/>
  <c r="U48" i="40"/>
  <c r="AD48" i="40" s="1"/>
  <c r="X48" i="40"/>
  <c r="AA48" i="40"/>
  <c r="U75" i="40"/>
  <c r="AD75" i="40" s="1"/>
  <c r="X75" i="40"/>
  <c r="AA75" i="40"/>
  <c r="U76" i="40"/>
  <c r="AD76" i="40" s="1"/>
  <c r="X76" i="40"/>
  <c r="AA76" i="40"/>
  <c r="U77" i="40"/>
  <c r="AD77" i="40" s="1"/>
  <c r="X77" i="40"/>
  <c r="AA77" i="40"/>
  <c r="AF77" i="40" s="1"/>
  <c r="U78" i="40"/>
  <c r="AD78" i="40" s="1"/>
  <c r="X78" i="40"/>
  <c r="AA78" i="40"/>
  <c r="AF78" i="40" s="1"/>
  <c r="U79" i="40"/>
  <c r="AD79" i="40" s="1"/>
  <c r="X79" i="40"/>
  <c r="AA79" i="40"/>
  <c r="AF79" i="40" s="1"/>
  <c r="U80" i="40"/>
  <c r="AD80" i="40" s="1"/>
  <c r="X80" i="40"/>
  <c r="AA80" i="40"/>
  <c r="AF80" i="40" s="1"/>
  <c r="U81" i="40"/>
  <c r="AD81" i="40" s="1"/>
  <c r="X81" i="40"/>
  <c r="AA81" i="40"/>
  <c r="U82" i="40"/>
  <c r="AD82" i="40" s="1"/>
  <c r="X82" i="40"/>
  <c r="AA82" i="40"/>
  <c r="AF82" i="40" s="1"/>
  <c r="U83" i="40"/>
  <c r="AD83" i="40" s="1"/>
  <c r="X83" i="40"/>
  <c r="AA83" i="40"/>
  <c r="AF83" i="40" s="1"/>
  <c r="U84" i="40"/>
  <c r="AD84" i="40" s="1"/>
  <c r="X84" i="40"/>
  <c r="AA84" i="40"/>
  <c r="AF84" i="40" s="1"/>
  <c r="U85" i="40"/>
  <c r="AD85" i="40" s="1"/>
  <c r="X85" i="40"/>
  <c r="AA85" i="40"/>
  <c r="AF85" i="40" s="1"/>
  <c r="U86" i="40"/>
  <c r="AD86" i="40" s="1"/>
  <c r="X86" i="40"/>
  <c r="AA86" i="40"/>
  <c r="AF86" i="40" s="1"/>
  <c r="U87" i="40"/>
  <c r="AD87" i="40" s="1"/>
  <c r="X87" i="40"/>
  <c r="AA87" i="40"/>
  <c r="U88" i="40"/>
  <c r="AD88" i="40" s="1"/>
  <c r="X88" i="40"/>
  <c r="AA88" i="40"/>
  <c r="AF88" i="40" s="1"/>
  <c r="U94" i="40"/>
  <c r="AD94" i="40" s="1"/>
  <c r="X94" i="40"/>
  <c r="AA94" i="40"/>
  <c r="U95" i="40"/>
  <c r="AD95" i="40" s="1"/>
  <c r="X95" i="40"/>
  <c r="AA95" i="40"/>
  <c r="AF95" i="40" s="1"/>
  <c r="U96" i="40"/>
  <c r="AD96" i="40" s="1"/>
  <c r="X96" i="40"/>
  <c r="AA96" i="40"/>
  <c r="AF96" i="40" s="1"/>
  <c r="U97" i="40"/>
  <c r="AD97" i="40" s="1"/>
  <c r="X97" i="40"/>
  <c r="AA97" i="40"/>
  <c r="AF97" i="40" s="1"/>
  <c r="U98" i="40"/>
  <c r="AD98" i="40" s="1"/>
  <c r="X98" i="40"/>
  <c r="AA98" i="40"/>
  <c r="AF98" i="40" s="1"/>
  <c r="F49" i="63" l="1"/>
  <c r="E50" i="63"/>
  <c r="E76" i="63"/>
  <c r="L52" i="63"/>
  <c r="M51" i="63"/>
  <c r="G51" i="63" s="1"/>
  <c r="M77" i="63"/>
  <c r="G77" i="63" s="1"/>
  <c r="L78" i="63"/>
  <c r="G29" i="55"/>
  <c r="G27" i="55"/>
  <c r="M46" i="61"/>
  <c r="G46" i="61" s="1"/>
  <c r="L47" i="61"/>
  <c r="E47" i="61"/>
  <c r="F46" i="61"/>
  <c r="F18" i="53"/>
  <c r="E19" i="53"/>
  <c r="L31" i="55"/>
  <c r="M30" i="55"/>
  <c r="F30" i="55"/>
  <c r="E31" i="55"/>
  <c r="L20" i="53"/>
  <c r="M19" i="53"/>
  <c r="G12" i="50"/>
  <c r="M16" i="50"/>
  <c r="L17" i="50"/>
  <c r="E17" i="48"/>
  <c r="F16" i="48"/>
  <c r="M17" i="48"/>
  <c r="G17" i="48" s="1"/>
  <c r="L18" i="48"/>
  <c r="L11" i="47"/>
  <c r="M10" i="47"/>
  <c r="G10" i="47" s="1"/>
  <c r="E11" i="47"/>
  <c r="F10" i="47"/>
  <c r="AF8" i="40"/>
  <c r="AF94" i="40"/>
  <c r="AF81" i="40"/>
  <c r="AF47" i="40"/>
  <c r="AF30" i="40"/>
  <c r="AF14" i="40"/>
  <c r="AF6" i="40"/>
  <c r="AF48" i="40"/>
  <c r="AF31" i="40"/>
  <c r="AF15" i="40"/>
  <c r="AF7" i="40"/>
  <c r="AF75" i="40"/>
  <c r="AF76" i="40"/>
  <c r="AF42" i="40"/>
  <c r="AF87" i="40"/>
  <c r="M78" i="63" l="1"/>
  <c r="G78" i="63" s="1"/>
  <c r="L79" i="63"/>
  <c r="L53" i="63"/>
  <c r="M52" i="63"/>
  <c r="G52" i="63" s="1"/>
  <c r="F76" i="63"/>
  <c r="E77" i="63"/>
  <c r="F50" i="63"/>
  <c r="E51" i="63"/>
  <c r="E48" i="61"/>
  <c r="F47" i="61"/>
  <c r="M47" i="61"/>
  <c r="L48" i="61"/>
  <c r="E20" i="53"/>
  <c r="F19" i="53"/>
  <c r="F31" i="55"/>
  <c r="E32" i="55"/>
  <c r="M31" i="55"/>
  <c r="L32" i="55"/>
  <c r="L21" i="53"/>
  <c r="M20" i="53"/>
  <c r="L18" i="50"/>
  <c r="M17" i="50"/>
  <c r="L19" i="48"/>
  <c r="M18" i="48"/>
  <c r="F17" i="48"/>
  <c r="E18" i="48"/>
  <c r="E12" i="47"/>
  <c r="F11" i="47"/>
  <c r="L12" i="47"/>
  <c r="M11" i="47"/>
  <c r="AL122" i="38"/>
  <c r="AL121" i="38"/>
  <c r="AL120" i="38"/>
  <c r="AL119" i="38"/>
  <c r="AL118" i="38"/>
  <c r="AL117" i="38"/>
  <c r="AL116" i="38"/>
  <c r="AL115" i="38"/>
  <c r="AL124" i="38" s="1"/>
  <c r="AL111" i="38"/>
  <c r="AL110" i="38"/>
  <c r="AL109" i="38"/>
  <c r="AL108" i="38"/>
  <c r="AL107" i="38"/>
  <c r="AO123" i="38"/>
  <c r="AJ3" i="38"/>
  <c r="T45" i="3"/>
  <c r="V45" i="3"/>
  <c r="AD45" i="3"/>
  <c r="AI3" i="43"/>
  <c r="AI3" i="38" s="1"/>
  <c r="J105" i="46"/>
  <c r="K98" i="46" s="1"/>
  <c r="C105" i="46"/>
  <c r="D102" i="46" s="1"/>
  <c r="D104" i="46"/>
  <c r="D98" i="46"/>
  <c r="D97" i="46"/>
  <c r="D90" i="46"/>
  <c r="D89" i="46"/>
  <c r="D86" i="46"/>
  <c r="D85" i="46"/>
  <c r="D81" i="46"/>
  <c r="D80" i="46"/>
  <c r="D78" i="46"/>
  <c r="D77" i="46"/>
  <c r="D73" i="46"/>
  <c r="D72" i="46"/>
  <c r="D70" i="46"/>
  <c r="D69" i="46"/>
  <c r="D65" i="46"/>
  <c r="D64" i="46"/>
  <c r="D62" i="46"/>
  <c r="D61" i="46"/>
  <c r="D57" i="46"/>
  <c r="D56" i="46"/>
  <c r="D55" i="46"/>
  <c r="D54" i="46"/>
  <c r="D53" i="46"/>
  <c r="D52" i="46"/>
  <c r="D51" i="46"/>
  <c r="D50" i="46"/>
  <c r="D49" i="46"/>
  <c r="D48" i="46"/>
  <c r="D47" i="46"/>
  <c r="D46" i="46"/>
  <c r="D45" i="46"/>
  <c r="D44" i="46"/>
  <c r="D43" i="46"/>
  <c r="D42" i="46"/>
  <c r="D41" i="46"/>
  <c r="D40" i="46"/>
  <c r="D39" i="46"/>
  <c r="D38" i="46"/>
  <c r="D37" i="46"/>
  <c r="D36" i="46"/>
  <c r="D35" i="46"/>
  <c r="D34" i="46"/>
  <c r="D33" i="46"/>
  <c r="D32" i="46"/>
  <c r="D31" i="46"/>
  <c r="D30" i="46"/>
  <c r="D29" i="46"/>
  <c r="D28" i="46"/>
  <c r="D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10" i="46"/>
  <c r="D9" i="46"/>
  <c r="D8" i="46"/>
  <c r="D7" i="46"/>
  <c r="D6" i="46"/>
  <c r="D5" i="46"/>
  <c r="D4" i="46"/>
  <c r="F51" i="63" l="1"/>
  <c r="E52" i="63"/>
  <c r="F77" i="63"/>
  <c r="E78" i="63"/>
  <c r="M53" i="63"/>
  <c r="G53" i="63" s="1"/>
  <c r="L54" i="63"/>
  <c r="M79" i="63"/>
  <c r="G79" i="63" s="1"/>
  <c r="L80" i="63"/>
  <c r="G21" i="55"/>
  <c r="M48" i="61"/>
  <c r="G48" i="61" s="1"/>
  <c r="L49" i="61"/>
  <c r="E49" i="61"/>
  <c r="F48" i="61"/>
  <c r="E21" i="53"/>
  <c r="F20" i="53"/>
  <c r="M32" i="55"/>
  <c r="L33" i="55"/>
  <c r="F32" i="55"/>
  <c r="E33" i="55"/>
  <c r="G16" i="48"/>
  <c r="M21" i="53"/>
  <c r="L22" i="53"/>
  <c r="G17" i="50"/>
  <c r="G15" i="50"/>
  <c r="L19" i="50"/>
  <c r="M18" i="50"/>
  <c r="G11" i="47"/>
  <c r="G6" i="47"/>
  <c r="F18" i="48"/>
  <c r="E19" i="48"/>
  <c r="L20" i="48"/>
  <c r="M19" i="48"/>
  <c r="D63" i="46"/>
  <c r="D71" i="46"/>
  <c r="D79" i="46"/>
  <c r="D87" i="46"/>
  <c r="D103" i="46"/>
  <c r="D58" i="46"/>
  <c r="D66" i="46"/>
  <c r="D74" i="46"/>
  <c r="D82" i="46"/>
  <c r="D91" i="46"/>
  <c r="D59" i="46"/>
  <c r="D67" i="46"/>
  <c r="D75" i="46"/>
  <c r="D83" i="46"/>
  <c r="D93" i="46"/>
  <c r="D60" i="46"/>
  <c r="D68" i="46"/>
  <c r="D76" i="46"/>
  <c r="D84" i="46"/>
  <c r="D95" i="46"/>
  <c r="K8" i="46"/>
  <c r="K20" i="46"/>
  <c r="K32" i="46"/>
  <c r="K48" i="46"/>
  <c r="K60" i="46"/>
  <c r="K72" i="46"/>
  <c r="K84" i="46"/>
  <c r="K5" i="46"/>
  <c r="K13" i="46"/>
  <c r="K25" i="46"/>
  <c r="K37" i="46"/>
  <c r="K49" i="46"/>
  <c r="K57" i="46"/>
  <c r="K65" i="46"/>
  <c r="K69" i="46"/>
  <c r="K77" i="46"/>
  <c r="K85" i="46"/>
  <c r="K90" i="46"/>
  <c r="K95" i="46"/>
  <c r="K4" i="46"/>
  <c r="K24" i="46"/>
  <c r="K40" i="46"/>
  <c r="K52" i="46"/>
  <c r="K64" i="46"/>
  <c r="K68" i="46"/>
  <c r="K80" i="46"/>
  <c r="K99" i="46"/>
  <c r="K9" i="46"/>
  <c r="K21" i="46"/>
  <c r="K33" i="46"/>
  <c r="K45" i="46"/>
  <c r="K61" i="46"/>
  <c r="K73" i="46"/>
  <c r="K81" i="46"/>
  <c r="K101" i="46"/>
  <c r="K6" i="46"/>
  <c r="K10" i="46"/>
  <c r="K14" i="46"/>
  <c r="K18" i="46"/>
  <c r="K22" i="46"/>
  <c r="K26" i="46"/>
  <c r="K30" i="46"/>
  <c r="K34" i="46"/>
  <c r="K38" i="46"/>
  <c r="K42" i="46"/>
  <c r="K46" i="46"/>
  <c r="K50" i="46"/>
  <c r="K54" i="46"/>
  <c r="K58" i="46"/>
  <c r="K62" i="46"/>
  <c r="K66" i="46"/>
  <c r="K70" i="46"/>
  <c r="K74" i="46"/>
  <c r="K78" i="46"/>
  <c r="K82" i="46"/>
  <c r="K86" i="46"/>
  <c r="K96" i="46"/>
  <c r="K103" i="46"/>
  <c r="K12" i="46"/>
  <c r="K28" i="46"/>
  <c r="K44" i="46"/>
  <c r="K56" i="46"/>
  <c r="K76" i="46"/>
  <c r="K93" i="46"/>
  <c r="K17" i="46"/>
  <c r="K29" i="46"/>
  <c r="K41" i="46"/>
  <c r="K53" i="46"/>
  <c r="K91" i="46"/>
  <c r="K88" i="46"/>
  <c r="K16" i="46"/>
  <c r="K36" i="46"/>
  <c r="K7" i="46"/>
  <c r="K11" i="46"/>
  <c r="K15" i="46"/>
  <c r="K19" i="46"/>
  <c r="K23" i="46"/>
  <c r="K27" i="46"/>
  <c r="K31" i="46"/>
  <c r="K35" i="46"/>
  <c r="K39" i="46"/>
  <c r="K43" i="46"/>
  <c r="K47" i="46"/>
  <c r="K51" i="46"/>
  <c r="K55" i="46"/>
  <c r="K59" i="46"/>
  <c r="K63" i="46"/>
  <c r="K67" i="46"/>
  <c r="K71" i="46"/>
  <c r="K75" i="46"/>
  <c r="K79" i="46"/>
  <c r="K83" i="46"/>
  <c r="K87" i="46"/>
  <c r="K92" i="46"/>
  <c r="K97" i="46"/>
  <c r="K89" i="46"/>
  <c r="K94" i="46"/>
  <c r="K100" i="46"/>
  <c r="D94" i="46"/>
  <c r="D99" i="46"/>
  <c r="D100" i="46"/>
  <c r="D88" i="46"/>
  <c r="D92" i="46"/>
  <c r="D96" i="46"/>
  <c r="D101" i="46"/>
  <c r="M12" i="47"/>
  <c r="L13" i="47"/>
  <c r="F12" i="47"/>
  <c r="E13" i="47"/>
  <c r="K104" i="46"/>
  <c r="E4" i="46"/>
  <c r="K102" i="46"/>
  <c r="E79" i="63" l="1"/>
  <c r="F78" i="63"/>
  <c r="M80" i="63"/>
  <c r="G80" i="63" s="1"/>
  <c r="L81" i="63"/>
  <c r="M54" i="63"/>
  <c r="G54" i="63" s="1"/>
  <c r="L55" i="63"/>
  <c r="F52" i="63"/>
  <c r="E53" i="63"/>
  <c r="G22" i="55"/>
  <c r="F49" i="61"/>
  <c r="E50" i="61"/>
  <c r="E76" i="61"/>
  <c r="L76" i="61"/>
  <c r="M49" i="61"/>
  <c r="G49" i="61" s="1"/>
  <c r="L50" i="61"/>
  <c r="F21" i="53"/>
  <c r="E22" i="53"/>
  <c r="E34" i="55"/>
  <c r="F33" i="55"/>
  <c r="M33" i="55"/>
  <c r="L34" i="55"/>
  <c r="G15" i="48"/>
  <c r="M22" i="53"/>
  <c r="L23" i="53"/>
  <c r="G16" i="50"/>
  <c r="L20" i="50"/>
  <c r="M19" i="50"/>
  <c r="G19" i="50" s="1"/>
  <c r="G4" i="47"/>
  <c r="L21" i="48"/>
  <c r="M20" i="48"/>
  <c r="E20" i="48"/>
  <c r="F19" i="48"/>
  <c r="D105" i="46"/>
  <c r="K105" i="46"/>
  <c r="L4" i="46"/>
  <c r="M4" i="46" s="1"/>
  <c r="F13" i="47"/>
  <c r="E14" i="47"/>
  <c r="M13" i="47"/>
  <c r="G13" i="47" s="1"/>
  <c r="L14" i="47"/>
  <c r="E5" i="46"/>
  <c r="F4" i="46"/>
  <c r="L5" i="46"/>
  <c r="J4" i="44"/>
  <c r="J5" i="44"/>
  <c r="J12" i="44"/>
  <c r="J6" i="44"/>
  <c r="J17" i="44"/>
  <c r="J11" i="44"/>
  <c r="J9" i="44"/>
  <c r="J14" i="44"/>
  <c r="J15" i="44"/>
  <c r="J7" i="44"/>
  <c r="J20" i="44"/>
  <c r="J22" i="44"/>
  <c r="J10" i="44"/>
  <c r="J24" i="44"/>
  <c r="J18" i="44"/>
  <c r="J54" i="44"/>
  <c r="J55" i="44"/>
  <c r="J56" i="44"/>
  <c r="J42" i="44"/>
  <c r="J57" i="44"/>
  <c r="J58" i="44"/>
  <c r="J59" i="44"/>
  <c r="J16" i="44"/>
  <c r="J29" i="44"/>
  <c r="J8" i="44"/>
  <c r="J60" i="44"/>
  <c r="J61" i="44"/>
  <c r="J62" i="44"/>
  <c r="J63" i="44"/>
  <c r="J43" i="44"/>
  <c r="J104" i="44"/>
  <c r="J64" i="44"/>
  <c r="J65" i="44"/>
  <c r="J32" i="44"/>
  <c r="J66" i="44"/>
  <c r="J31" i="44"/>
  <c r="J67" i="44"/>
  <c r="J44" i="44"/>
  <c r="J36" i="44"/>
  <c r="J25" i="44"/>
  <c r="J27" i="44"/>
  <c r="J19" i="44"/>
  <c r="J68" i="44"/>
  <c r="J28" i="44"/>
  <c r="J21" i="44"/>
  <c r="J23" i="44"/>
  <c r="J26" i="44"/>
  <c r="J69" i="44"/>
  <c r="J37" i="44"/>
  <c r="J70" i="44"/>
  <c r="J45" i="44"/>
  <c r="J71" i="44"/>
  <c r="J72" i="44"/>
  <c r="J73" i="44"/>
  <c r="J38" i="44"/>
  <c r="J74" i="44"/>
  <c r="J75" i="44"/>
  <c r="J76" i="44"/>
  <c r="J77" i="44"/>
  <c r="J78" i="44"/>
  <c r="J79" i="44"/>
  <c r="J80" i="44"/>
  <c r="J81" i="44"/>
  <c r="J46" i="44"/>
  <c r="J82" i="44"/>
  <c r="J83" i="44"/>
  <c r="J84" i="44"/>
  <c r="J85" i="44"/>
  <c r="J35" i="44"/>
  <c r="J47" i="44"/>
  <c r="J86" i="44"/>
  <c r="J48" i="44"/>
  <c r="J39" i="44"/>
  <c r="J49" i="44"/>
  <c r="J50" i="44"/>
  <c r="J87" i="44"/>
  <c r="J40" i="44"/>
  <c r="J33" i="44"/>
  <c r="J51" i="44"/>
  <c r="J88" i="44"/>
  <c r="J89" i="44"/>
  <c r="J52" i="44"/>
  <c r="J90" i="44"/>
  <c r="J30" i="44"/>
  <c r="J41" i="44"/>
  <c r="J91" i="44"/>
  <c r="J92" i="44"/>
  <c r="J93" i="44"/>
  <c r="J94" i="44"/>
  <c r="J53" i="44"/>
  <c r="J95" i="44"/>
  <c r="J96" i="44"/>
  <c r="J97" i="44"/>
  <c r="J98" i="44"/>
  <c r="J99" i="44"/>
  <c r="J100" i="44"/>
  <c r="J101" i="44"/>
  <c r="J102" i="44"/>
  <c r="J34" i="44"/>
  <c r="J103" i="44"/>
  <c r="J13" i="44"/>
  <c r="C4" i="44"/>
  <c r="C5" i="44"/>
  <c r="C10" i="44"/>
  <c r="C6" i="44"/>
  <c r="C16" i="44"/>
  <c r="C8" i="44"/>
  <c r="C14" i="44"/>
  <c r="C13" i="44"/>
  <c r="C15" i="44"/>
  <c r="C7" i="44"/>
  <c r="C18" i="44"/>
  <c r="C20" i="44"/>
  <c r="C9" i="44"/>
  <c r="C23" i="44"/>
  <c r="C19" i="44"/>
  <c r="C42" i="44"/>
  <c r="C43" i="44"/>
  <c r="C44" i="44"/>
  <c r="C39" i="44"/>
  <c r="C45" i="44"/>
  <c r="C46" i="44"/>
  <c r="C47" i="44"/>
  <c r="C104" i="44"/>
  <c r="C77" i="44"/>
  <c r="C12" i="44"/>
  <c r="C48" i="44"/>
  <c r="C83" i="44"/>
  <c r="C49" i="44"/>
  <c r="C50" i="44"/>
  <c r="C96" i="44"/>
  <c r="C86" i="44"/>
  <c r="C51" i="44"/>
  <c r="C52" i="44"/>
  <c r="C28" i="44"/>
  <c r="C89" i="44"/>
  <c r="C100" i="44"/>
  <c r="C92" i="44"/>
  <c r="C34" i="44"/>
  <c r="C29" i="44"/>
  <c r="C26" i="44"/>
  <c r="C27" i="44"/>
  <c r="C17" i="44"/>
  <c r="C53" i="44"/>
  <c r="C24" i="44"/>
  <c r="C21" i="44"/>
  <c r="C22" i="44"/>
  <c r="C25" i="44"/>
  <c r="C69" i="44"/>
  <c r="C32" i="44"/>
  <c r="C74" i="44"/>
  <c r="C40" i="44"/>
  <c r="C54" i="44"/>
  <c r="C55" i="44"/>
  <c r="C56" i="44"/>
  <c r="C99" i="44"/>
  <c r="C57" i="44"/>
  <c r="C87" i="44"/>
  <c r="C85" i="44"/>
  <c r="C58" i="44"/>
  <c r="C59" i="44"/>
  <c r="C60" i="44"/>
  <c r="C81" i="44"/>
  <c r="C68" i="44"/>
  <c r="C38" i="44"/>
  <c r="C61" i="44"/>
  <c r="C80" i="44"/>
  <c r="C79" i="44"/>
  <c r="C97" i="44"/>
  <c r="C31" i="44"/>
  <c r="C91" i="44"/>
  <c r="C82" i="44"/>
  <c r="C73" i="44"/>
  <c r="C30" i="44"/>
  <c r="C36" i="44"/>
  <c r="C98" i="44"/>
  <c r="C90" i="44"/>
  <c r="C78" i="44"/>
  <c r="C93" i="44"/>
  <c r="C35" i="44"/>
  <c r="C95" i="44"/>
  <c r="C75" i="44"/>
  <c r="C41" i="44"/>
  <c r="C72" i="44"/>
  <c r="C103" i="44"/>
  <c r="C37" i="44"/>
  <c r="C71" i="44"/>
  <c r="C76" i="44"/>
  <c r="C94" i="44"/>
  <c r="C88" i="44"/>
  <c r="C33" i="44"/>
  <c r="C62" i="44"/>
  <c r="C63" i="44"/>
  <c r="C64" i="44"/>
  <c r="C70" i="44"/>
  <c r="C84" i="44"/>
  <c r="C65" i="44"/>
  <c r="C101" i="44"/>
  <c r="C66" i="44"/>
  <c r="C102" i="44"/>
  <c r="C67" i="44"/>
  <c r="C11" i="44"/>
  <c r="AH16" i="3"/>
  <c r="AK16" i="3"/>
  <c r="V17" i="3"/>
  <c r="AI58" i="39"/>
  <c r="AB4" i="39"/>
  <c r="AL4" i="39"/>
  <c r="AB5" i="39"/>
  <c r="AL5" i="39"/>
  <c r="AB6" i="39"/>
  <c r="AL6" i="39"/>
  <c r="AB7" i="39"/>
  <c r="AL7" i="39"/>
  <c r="AB8" i="39"/>
  <c r="AL8" i="39"/>
  <c r="AB9" i="39"/>
  <c r="AL9" i="39"/>
  <c r="AB10" i="39"/>
  <c r="AL10" i="39"/>
  <c r="AB11" i="39"/>
  <c r="AL11" i="39"/>
  <c r="AB12" i="39"/>
  <c r="AL12" i="39"/>
  <c r="AB13" i="39"/>
  <c r="AL13" i="39"/>
  <c r="AB14" i="39"/>
  <c r="AL14" i="39"/>
  <c r="AB15" i="39"/>
  <c r="AL15" i="39"/>
  <c r="AB16" i="39"/>
  <c r="AL16" i="39"/>
  <c r="AB17" i="39"/>
  <c r="AL17" i="39"/>
  <c r="AB18" i="39"/>
  <c r="AL18" i="39"/>
  <c r="AB19" i="39"/>
  <c r="AL19" i="39"/>
  <c r="AB20" i="39"/>
  <c r="AL20" i="39"/>
  <c r="AB21" i="39"/>
  <c r="AL21" i="39"/>
  <c r="AB22" i="39"/>
  <c r="AL22" i="39"/>
  <c r="AB23" i="39"/>
  <c r="AL23" i="39"/>
  <c r="AB24" i="39"/>
  <c r="AL24" i="39"/>
  <c r="AB25" i="39"/>
  <c r="AL25" i="39"/>
  <c r="AB26" i="39"/>
  <c r="AL26" i="39"/>
  <c r="AB27" i="39"/>
  <c r="AL27" i="39"/>
  <c r="AB28" i="39"/>
  <c r="AL28" i="39"/>
  <c r="AB29" i="39"/>
  <c r="AL29" i="39"/>
  <c r="AB30" i="39"/>
  <c r="AL30" i="39"/>
  <c r="AB31" i="39"/>
  <c r="AL31" i="39"/>
  <c r="AB32" i="39"/>
  <c r="AL32" i="39"/>
  <c r="AB33" i="39"/>
  <c r="AL33" i="39"/>
  <c r="AB34" i="39"/>
  <c r="AL34" i="39"/>
  <c r="AB35" i="39"/>
  <c r="AL35" i="39"/>
  <c r="AB36" i="39"/>
  <c r="AL36" i="39"/>
  <c r="AB37" i="39"/>
  <c r="AL37" i="39"/>
  <c r="AB38" i="39"/>
  <c r="AL38" i="39"/>
  <c r="AB39" i="39"/>
  <c r="AL39" i="39"/>
  <c r="AB40" i="39"/>
  <c r="AL40" i="39"/>
  <c r="AB41" i="39"/>
  <c r="AL41" i="39"/>
  <c r="AB42" i="39"/>
  <c r="AL42" i="39"/>
  <c r="AB43" i="39"/>
  <c r="AL43" i="39"/>
  <c r="AB44" i="39"/>
  <c r="AL44" i="39"/>
  <c r="AB45" i="39"/>
  <c r="AL45" i="39"/>
  <c r="AB46" i="39"/>
  <c r="AL46" i="39"/>
  <c r="AB47" i="39"/>
  <c r="AL47" i="39"/>
  <c r="AB48" i="39"/>
  <c r="AL48" i="39"/>
  <c r="AB49" i="39"/>
  <c r="AL49" i="39"/>
  <c r="AB50" i="39"/>
  <c r="AL50" i="39"/>
  <c r="AB51" i="39"/>
  <c r="AL51" i="39"/>
  <c r="AB52" i="39"/>
  <c r="AL52" i="39"/>
  <c r="AB53" i="39"/>
  <c r="AL53" i="39"/>
  <c r="AB54" i="39"/>
  <c r="AL54" i="39"/>
  <c r="AB55" i="39"/>
  <c r="AL55" i="39"/>
  <c r="AB56" i="39"/>
  <c r="AL56" i="39"/>
  <c r="AB57" i="39"/>
  <c r="AL57" i="39"/>
  <c r="AB58" i="39"/>
  <c r="AL58" i="39"/>
  <c r="AB59" i="39"/>
  <c r="AL59" i="39"/>
  <c r="AB60" i="39"/>
  <c r="AL60" i="39"/>
  <c r="AB61" i="39"/>
  <c r="AL61" i="39"/>
  <c r="AB62" i="39"/>
  <c r="AL62" i="39"/>
  <c r="AB63" i="39"/>
  <c r="AL63" i="39"/>
  <c r="AB64" i="39"/>
  <c r="AL64" i="39"/>
  <c r="AB65" i="39"/>
  <c r="AL65" i="39"/>
  <c r="AB66" i="39"/>
  <c r="AL66" i="39"/>
  <c r="AB67" i="39"/>
  <c r="AL67" i="39"/>
  <c r="AB68" i="39"/>
  <c r="AL68" i="39"/>
  <c r="AB69" i="39"/>
  <c r="AL69" i="39"/>
  <c r="AB70" i="39"/>
  <c r="AL70" i="39"/>
  <c r="AB71" i="39"/>
  <c r="AL71" i="39"/>
  <c r="AB72" i="39"/>
  <c r="AL72" i="39"/>
  <c r="AB73" i="39"/>
  <c r="AL73" i="39"/>
  <c r="AB74" i="39"/>
  <c r="AL74" i="39"/>
  <c r="AB75" i="39"/>
  <c r="AL75" i="39"/>
  <c r="AB76" i="39"/>
  <c r="AL76" i="39"/>
  <c r="AB77" i="39"/>
  <c r="AL77" i="39"/>
  <c r="AB78" i="39"/>
  <c r="AL78" i="39"/>
  <c r="AB79" i="39"/>
  <c r="AL79" i="39"/>
  <c r="AB80" i="39"/>
  <c r="AL80" i="39"/>
  <c r="AB81" i="39"/>
  <c r="AL81" i="39"/>
  <c r="AB82" i="39"/>
  <c r="AL82" i="39"/>
  <c r="AB83" i="39"/>
  <c r="AL83" i="39"/>
  <c r="AB84" i="39"/>
  <c r="AL84" i="39"/>
  <c r="AB85" i="39"/>
  <c r="AL85" i="39"/>
  <c r="AB86" i="39"/>
  <c r="AL86" i="39"/>
  <c r="AB87" i="39"/>
  <c r="AL87" i="39"/>
  <c r="AB88" i="39"/>
  <c r="AL88" i="39"/>
  <c r="AB89" i="39"/>
  <c r="AL89" i="39"/>
  <c r="AB90" i="39"/>
  <c r="AL90" i="39"/>
  <c r="AB91" i="39"/>
  <c r="AL91" i="39"/>
  <c r="AB92" i="39"/>
  <c r="AL92" i="39"/>
  <c r="AB93" i="39"/>
  <c r="AL93" i="39"/>
  <c r="AB94" i="39"/>
  <c r="AL94" i="39"/>
  <c r="AB95" i="39"/>
  <c r="AL95" i="39"/>
  <c r="AB96" i="39"/>
  <c r="AL96" i="39"/>
  <c r="AB97" i="39"/>
  <c r="AL97" i="39"/>
  <c r="AB98" i="39"/>
  <c r="AL98" i="39"/>
  <c r="AB99" i="39"/>
  <c r="AL99" i="39"/>
  <c r="AB100" i="39"/>
  <c r="AL100" i="39"/>
  <c r="AB101" i="39"/>
  <c r="AL101" i="39"/>
  <c r="AB102" i="39"/>
  <c r="AL102" i="39"/>
  <c r="AB103" i="39"/>
  <c r="AL103" i="39"/>
  <c r="F53" i="63" l="1"/>
  <c r="E54" i="63"/>
  <c r="M55" i="63"/>
  <c r="G55" i="63" s="1"/>
  <c r="L56" i="63"/>
  <c r="M81" i="63"/>
  <c r="G81" i="63" s="1"/>
  <c r="L82" i="63"/>
  <c r="E80" i="63"/>
  <c r="F79" i="63"/>
  <c r="G28" i="55"/>
  <c r="L51" i="61"/>
  <c r="M50" i="61"/>
  <c r="G50" i="61" s="1"/>
  <c r="L77" i="61"/>
  <c r="M76" i="61"/>
  <c r="G76" i="61" s="1"/>
  <c r="F76" i="61"/>
  <c r="E77" i="61"/>
  <c r="F50" i="61"/>
  <c r="E51" i="61"/>
  <c r="G9" i="53"/>
  <c r="E23" i="53"/>
  <c r="F22" i="53"/>
  <c r="L35" i="55"/>
  <c r="M34" i="55"/>
  <c r="E35" i="55"/>
  <c r="F34" i="55"/>
  <c r="M23" i="53"/>
  <c r="L24" i="53"/>
  <c r="M20" i="50"/>
  <c r="L21" i="50"/>
  <c r="G12" i="47"/>
  <c r="F20" i="48"/>
  <c r="E21" i="48"/>
  <c r="M21" i="48"/>
  <c r="L22" i="48"/>
  <c r="L15" i="47"/>
  <c r="M14" i="47"/>
  <c r="G14" i="47" s="1"/>
  <c r="E15" i="47"/>
  <c r="F14" i="47"/>
  <c r="M5" i="46"/>
  <c r="G5" i="46" s="1"/>
  <c r="L6" i="46"/>
  <c r="F5" i="46"/>
  <c r="E6" i="46"/>
  <c r="AA99" i="39"/>
  <c r="AF99" i="39" s="1"/>
  <c r="X100" i="39"/>
  <c r="U101" i="39"/>
  <c r="AD101" i="39" s="1"/>
  <c r="AA102" i="39"/>
  <c r="AF102" i="39" s="1"/>
  <c r="X103" i="39"/>
  <c r="AA103" i="39"/>
  <c r="AF103" i="39" s="1"/>
  <c r="E81" i="63" l="1"/>
  <c r="F80" i="63"/>
  <c r="L83" i="63"/>
  <c r="M82" i="63"/>
  <c r="G82" i="63" s="1"/>
  <c r="M56" i="63"/>
  <c r="G56" i="63" s="1"/>
  <c r="L57" i="63"/>
  <c r="F54" i="63"/>
  <c r="E55" i="63"/>
  <c r="F51" i="61"/>
  <c r="E52" i="61"/>
  <c r="F77" i="61"/>
  <c r="E78" i="61"/>
  <c r="M77" i="61"/>
  <c r="L78" i="61"/>
  <c r="L52" i="61"/>
  <c r="M51" i="61"/>
  <c r="G51" i="61" s="1"/>
  <c r="G18" i="53"/>
  <c r="E24" i="53"/>
  <c r="F23" i="53"/>
  <c r="F35" i="55"/>
  <c r="E36" i="55"/>
  <c r="E39" i="55"/>
  <c r="L39" i="55"/>
  <c r="L36" i="55"/>
  <c r="M35" i="55"/>
  <c r="G19" i="48"/>
  <c r="M24" i="53"/>
  <c r="L25" i="53"/>
  <c r="M21" i="50"/>
  <c r="L22" i="50"/>
  <c r="M22" i="48"/>
  <c r="L23" i="48"/>
  <c r="F21" i="48"/>
  <c r="E22" i="48"/>
  <c r="E16" i="47"/>
  <c r="F15" i="47"/>
  <c r="L16" i="47"/>
  <c r="M15" i="47"/>
  <c r="G15" i="47" s="1"/>
  <c r="E7" i="46"/>
  <c r="F6" i="46"/>
  <c r="M6" i="46"/>
  <c r="L7" i="46"/>
  <c r="X99" i="39"/>
  <c r="U103" i="39"/>
  <c r="AD103" i="39" s="1"/>
  <c r="X102" i="39"/>
  <c r="AA101" i="39"/>
  <c r="AF101" i="39" s="1"/>
  <c r="U99" i="39"/>
  <c r="AD99" i="39" s="1"/>
  <c r="U102" i="39"/>
  <c r="AD102" i="39" s="1"/>
  <c r="X101" i="39"/>
  <c r="AA100" i="39"/>
  <c r="AF100" i="39" s="1"/>
  <c r="U100" i="39"/>
  <c r="AD100" i="39" s="1"/>
  <c r="E56" i="63" l="1"/>
  <c r="F55" i="63"/>
  <c r="M57" i="63"/>
  <c r="G57" i="63" s="1"/>
  <c r="L58" i="63"/>
  <c r="L84" i="63"/>
  <c r="M83" i="63"/>
  <c r="G83" i="63" s="1"/>
  <c r="F81" i="63"/>
  <c r="E82" i="63"/>
  <c r="M78" i="61"/>
  <c r="G78" i="61" s="1"/>
  <c r="L79" i="61"/>
  <c r="L53" i="61"/>
  <c r="M52" i="61"/>
  <c r="F52" i="61"/>
  <c r="E53" i="61"/>
  <c r="E79" i="61"/>
  <c r="F78" i="61"/>
  <c r="G19" i="53"/>
  <c r="F24" i="53"/>
  <c r="E25" i="53"/>
  <c r="M39" i="55"/>
  <c r="L40" i="55"/>
  <c r="F39" i="55"/>
  <c r="E40" i="55"/>
  <c r="M36" i="55"/>
  <c r="L37" i="55"/>
  <c r="F36" i="55"/>
  <c r="E37" i="55"/>
  <c r="G9" i="48"/>
  <c r="M25" i="53"/>
  <c r="L26" i="53"/>
  <c r="M22" i="50"/>
  <c r="L23" i="50"/>
  <c r="F22" i="48"/>
  <c r="E23" i="48"/>
  <c r="L24" i="48"/>
  <c r="M23" i="48"/>
  <c r="M16" i="47"/>
  <c r="L17" i="47"/>
  <c r="E17" i="47"/>
  <c r="F16" i="47"/>
  <c r="L8" i="46"/>
  <c r="M7" i="46"/>
  <c r="E8" i="46"/>
  <c r="F7" i="46"/>
  <c r="U49" i="39"/>
  <c r="AD49" i="39" s="1"/>
  <c r="X49" i="39"/>
  <c r="X51" i="39"/>
  <c r="U61" i="39"/>
  <c r="AD61" i="39" s="1"/>
  <c r="U65" i="39"/>
  <c r="AD65" i="39" s="1"/>
  <c r="U69" i="39"/>
  <c r="AD69" i="39" s="1"/>
  <c r="F82" i="63" l="1"/>
  <c r="E83" i="63"/>
  <c r="L85" i="63"/>
  <c r="M84" i="63"/>
  <c r="G84" i="63" s="1"/>
  <c r="M58" i="63"/>
  <c r="G58" i="63" s="1"/>
  <c r="L59" i="63"/>
  <c r="E57" i="63"/>
  <c r="F56" i="63"/>
  <c r="F53" i="61"/>
  <c r="E54" i="61"/>
  <c r="M53" i="61"/>
  <c r="G53" i="61" s="1"/>
  <c r="L54" i="61"/>
  <c r="E80" i="61"/>
  <c r="F79" i="61"/>
  <c r="M79" i="61"/>
  <c r="G79" i="61" s="1"/>
  <c r="L80" i="61"/>
  <c r="F25" i="53"/>
  <c r="E26" i="53"/>
  <c r="F37" i="55"/>
  <c r="E38" i="55"/>
  <c r="F38" i="55" s="1"/>
  <c r="L38" i="55"/>
  <c r="M38" i="55" s="1"/>
  <c r="M37" i="55"/>
  <c r="F40" i="55"/>
  <c r="E41" i="55"/>
  <c r="M40" i="55"/>
  <c r="L41" i="55"/>
  <c r="M26" i="53"/>
  <c r="L27" i="53"/>
  <c r="G9" i="50"/>
  <c r="M23" i="50"/>
  <c r="L24" i="50"/>
  <c r="G7" i="47"/>
  <c r="M24" i="48"/>
  <c r="L25" i="48"/>
  <c r="E24" i="48"/>
  <c r="F23" i="48"/>
  <c r="F17" i="47"/>
  <c r="E18" i="47"/>
  <c r="M17" i="47"/>
  <c r="G17" i="47" s="1"/>
  <c r="L18" i="47"/>
  <c r="F8" i="46"/>
  <c r="E9" i="46"/>
  <c r="L9" i="46"/>
  <c r="M8" i="46"/>
  <c r="G8" i="46" s="1"/>
  <c r="AA74" i="39"/>
  <c r="AF74" i="39" s="1"/>
  <c r="U72" i="39"/>
  <c r="AD72" i="39" s="1"/>
  <c r="X71" i="39"/>
  <c r="AA70" i="39"/>
  <c r="AF70" i="39" s="1"/>
  <c r="U68" i="39"/>
  <c r="AD68" i="39" s="1"/>
  <c r="X67" i="39"/>
  <c r="AA66" i="39"/>
  <c r="AF66" i="39" s="1"/>
  <c r="U64" i="39"/>
  <c r="AD64" i="39" s="1"/>
  <c r="X63" i="39"/>
  <c r="AA62" i="39"/>
  <c r="AF62" i="39" s="1"/>
  <c r="U60" i="39"/>
  <c r="AD60" i="39" s="1"/>
  <c r="X59" i="39"/>
  <c r="AA58" i="39"/>
  <c r="U56" i="39"/>
  <c r="AD56" i="39" s="1"/>
  <c r="AA54" i="39"/>
  <c r="AF54" i="39" s="1"/>
  <c r="U74" i="39"/>
  <c r="AD74" i="39" s="1"/>
  <c r="X73" i="39"/>
  <c r="AA72" i="39"/>
  <c r="AF72" i="39" s="1"/>
  <c r="U70" i="39"/>
  <c r="AD70" i="39" s="1"/>
  <c r="X69" i="39"/>
  <c r="AA68" i="39"/>
  <c r="AF68" i="39" s="1"/>
  <c r="U66" i="39"/>
  <c r="AD66" i="39" s="1"/>
  <c r="X65" i="39"/>
  <c r="AA64" i="39"/>
  <c r="AF64" i="39" s="1"/>
  <c r="U62" i="39"/>
  <c r="AD62" i="39" s="1"/>
  <c r="X61" i="39"/>
  <c r="AA60" i="39"/>
  <c r="AF60" i="39" s="1"/>
  <c r="U58" i="39"/>
  <c r="AD58" i="39" s="1"/>
  <c r="X57" i="39"/>
  <c r="AA56" i="39"/>
  <c r="AF56" i="39" s="1"/>
  <c r="U54" i="39"/>
  <c r="AD54" i="39" s="1"/>
  <c r="U57" i="39"/>
  <c r="AD57" i="39" s="1"/>
  <c r="U53" i="39"/>
  <c r="AD53" i="39" s="1"/>
  <c r="X55" i="39"/>
  <c r="AF58" i="39"/>
  <c r="U52" i="39"/>
  <c r="AD52" i="39" s="1"/>
  <c r="AA50" i="39"/>
  <c r="AF50" i="39" s="1"/>
  <c r="AA73" i="39"/>
  <c r="AF73" i="39" s="1"/>
  <c r="U71" i="39"/>
  <c r="AD71" i="39" s="1"/>
  <c r="X70" i="39"/>
  <c r="AA69" i="39"/>
  <c r="AF69" i="39" s="1"/>
  <c r="U67" i="39"/>
  <c r="AD67" i="39" s="1"/>
  <c r="X66" i="39"/>
  <c r="AA65" i="39"/>
  <c r="AF65" i="39" s="1"/>
  <c r="U63" i="39"/>
  <c r="AD63" i="39" s="1"/>
  <c r="X62" i="39"/>
  <c r="AA61" i="39"/>
  <c r="AF61" i="39" s="1"/>
  <c r="U59" i="39"/>
  <c r="AD59" i="39" s="1"/>
  <c r="X58" i="39"/>
  <c r="AA57" i="39"/>
  <c r="AF57" i="39" s="1"/>
  <c r="U55" i="39"/>
  <c r="AD55" i="39" s="1"/>
  <c r="X54" i="39"/>
  <c r="AA53" i="39"/>
  <c r="AF53" i="39" s="1"/>
  <c r="U51" i="39"/>
  <c r="AD51" i="39" s="1"/>
  <c r="X50" i="39"/>
  <c r="AA49" i="39"/>
  <c r="AF49" i="39" s="1"/>
  <c r="X74" i="39"/>
  <c r="X53" i="39"/>
  <c r="AA52" i="39"/>
  <c r="AF52" i="39" s="1"/>
  <c r="U50" i="39"/>
  <c r="AD50" i="39" s="1"/>
  <c r="U73" i="39"/>
  <c r="AD73" i="39" s="1"/>
  <c r="X72" i="39"/>
  <c r="AA71" i="39"/>
  <c r="AF71" i="39" s="1"/>
  <c r="X68" i="39"/>
  <c r="AA67" i="39"/>
  <c r="AF67" i="39" s="1"/>
  <c r="X64" i="39"/>
  <c r="AA63" i="39"/>
  <c r="AF63" i="39" s="1"/>
  <c r="X60" i="39"/>
  <c r="AA59" i="39"/>
  <c r="AF59" i="39" s="1"/>
  <c r="X56" i="39"/>
  <c r="AA55" i="39"/>
  <c r="AF55" i="39" s="1"/>
  <c r="X52" i="39"/>
  <c r="AA51" i="39"/>
  <c r="AF51" i="39" s="1"/>
  <c r="U89" i="39"/>
  <c r="AD89" i="39" s="1"/>
  <c r="X89" i="39"/>
  <c r="AA89" i="39"/>
  <c r="AF89" i="39" s="1"/>
  <c r="U90" i="39"/>
  <c r="AD90" i="39" s="1"/>
  <c r="X90" i="39"/>
  <c r="U91" i="39"/>
  <c r="AD91" i="39" s="1"/>
  <c r="U93" i="39"/>
  <c r="AD93" i="39" s="1"/>
  <c r="X93" i="39"/>
  <c r="AA93" i="39"/>
  <c r="U35" i="39"/>
  <c r="AD35" i="39" s="1"/>
  <c r="X35" i="39"/>
  <c r="U36" i="39"/>
  <c r="AD36" i="39" s="1"/>
  <c r="AA37" i="39"/>
  <c r="X38" i="39"/>
  <c r="AA39" i="39"/>
  <c r="U40" i="39"/>
  <c r="AD40" i="39" s="1"/>
  <c r="X40" i="39"/>
  <c r="F57" i="63" l="1"/>
  <c r="E58" i="63"/>
  <c r="L60" i="63"/>
  <c r="M59" i="63"/>
  <c r="G59" i="63" s="1"/>
  <c r="M85" i="63"/>
  <c r="G85" i="63" s="1"/>
  <c r="L86" i="63"/>
  <c r="F83" i="63"/>
  <c r="E84" i="63"/>
  <c r="M80" i="61"/>
  <c r="G80" i="61" s="1"/>
  <c r="L81" i="61"/>
  <c r="E81" i="61"/>
  <c r="F80" i="61"/>
  <c r="M54" i="61"/>
  <c r="L55" i="61"/>
  <c r="E55" i="61"/>
  <c r="F54" i="61"/>
  <c r="G21" i="53"/>
  <c r="E27" i="53"/>
  <c r="F26" i="53"/>
  <c r="M41" i="55"/>
  <c r="L42" i="55"/>
  <c r="E42" i="55"/>
  <c r="F41" i="55"/>
  <c r="G18" i="48"/>
  <c r="L28" i="53"/>
  <c r="M27" i="53"/>
  <c r="M24" i="50"/>
  <c r="L25" i="50"/>
  <c r="G16" i="47"/>
  <c r="E25" i="48"/>
  <c r="F24" i="48"/>
  <c r="M25" i="48"/>
  <c r="L26" i="48"/>
  <c r="E19" i="47"/>
  <c r="F18" i="47"/>
  <c r="M18" i="47"/>
  <c r="L19" i="47"/>
  <c r="M9" i="46"/>
  <c r="L10" i="46"/>
  <c r="F9" i="46"/>
  <c r="E10" i="46"/>
  <c r="AF39" i="39"/>
  <c r="U37" i="39"/>
  <c r="AD37" i="39" s="1"/>
  <c r="AA38" i="39"/>
  <c r="AF38" i="39" s="1"/>
  <c r="AF37" i="39"/>
  <c r="U39" i="39"/>
  <c r="AD39" i="39" s="1"/>
  <c r="X37" i="39"/>
  <c r="AA36" i="39"/>
  <c r="AF36" i="39" s="1"/>
  <c r="U38" i="39"/>
  <c r="AD38" i="39" s="1"/>
  <c r="X92" i="39"/>
  <c r="AA91" i="39"/>
  <c r="AF91" i="39" s="1"/>
  <c r="AA40" i="39"/>
  <c r="AF40" i="39" s="1"/>
  <c r="X36" i="39"/>
  <c r="AA35" i="39"/>
  <c r="AF35" i="39" s="1"/>
  <c r="U92" i="39"/>
  <c r="AD92" i="39" s="1"/>
  <c r="X91" i="39"/>
  <c r="AA90" i="39"/>
  <c r="AF90" i="39" s="1"/>
  <c r="X39" i="39"/>
  <c r="AF93" i="39"/>
  <c r="AA92" i="39"/>
  <c r="AF92" i="39" s="1"/>
  <c r="F84" i="63" l="1"/>
  <c r="E85" i="63"/>
  <c r="M86" i="63"/>
  <c r="G86" i="63" s="1"/>
  <c r="L87" i="63"/>
  <c r="L61" i="63"/>
  <c r="M60" i="63"/>
  <c r="G60" i="63" s="1"/>
  <c r="F58" i="63"/>
  <c r="E59" i="63"/>
  <c r="G25" i="55"/>
  <c r="M55" i="61"/>
  <c r="G55" i="61" s="1"/>
  <c r="L56" i="61"/>
  <c r="F81" i="61"/>
  <c r="E82" i="61"/>
  <c r="E56" i="61"/>
  <c r="F55" i="61"/>
  <c r="M81" i="61"/>
  <c r="L82" i="61"/>
  <c r="G22" i="53"/>
  <c r="E28" i="53"/>
  <c r="F27" i="53"/>
  <c r="E43" i="55"/>
  <c r="F42" i="55"/>
  <c r="M42" i="55"/>
  <c r="L43" i="55"/>
  <c r="L29" i="53"/>
  <c r="M28" i="53"/>
  <c r="L26" i="50"/>
  <c r="M25" i="50"/>
  <c r="M26" i="48"/>
  <c r="L27" i="48"/>
  <c r="F25" i="48"/>
  <c r="E26" i="48"/>
  <c r="E20" i="47"/>
  <c r="F19" i="47"/>
  <c r="L20" i="47"/>
  <c r="M19" i="47"/>
  <c r="G19" i="47" s="1"/>
  <c r="E11" i="46"/>
  <c r="F10" i="46"/>
  <c r="M10" i="46"/>
  <c r="L11" i="46"/>
  <c r="U4" i="39"/>
  <c r="AD4" i="39" s="1"/>
  <c r="X4" i="39"/>
  <c r="AA4" i="39"/>
  <c r="AF4" i="39" s="1"/>
  <c r="U5" i="39"/>
  <c r="AD5" i="39" s="1"/>
  <c r="X5" i="39"/>
  <c r="AA5" i="39"/>
  <c r="AF5" i="39" s="1"/>
  <c r="U6" i="39"/>
  <c r="AD6" i="39" s="1"/>
  <c r="X6" i="39"/>
  <c r="AA6" i="39"/>
  <c r="U7" i="39"/>
  <c r="AD7" i="39" s="1"/>
  <c r="X7" i="39"/>
  <c r="AA7" i="39"/>
  <c r="U8" i="39"/>
  <c r="AD8" i="39" s="1"/>
  <c r="X8" i="39"/>
  <c r="AA8" i="39"/>
  <c r="U9" i="39"/>
  <c r="AD9" i="39" s="1"/>
  <c r="X9" i="39"/>
  <c r="AA9" i="39"/>
  <c r="AF9" i="39" s="1"/>
  <c r="U10" i="39"/>
  <c r="AD10" i="39" s="1"/>
  <c r="X10" i="39"/>
  <c r="AA10" i="39"/>
  <c r="U11" i="39"/>
  <c r="AD11" i="39" s="1"/>
  <c r="X11" i="39"/>
  <c r="AA11" i="39"/>
  <c r="AF11" i="39" s="1"/>
  <c r="U12" i="39"/>
  <c r="AD12" i="39" s="1"/>
  <c r="X12" i="39"/>
  <c r="AA12" i="39"/>
  <c r="AF12" i="39" s="1"/>
  <c r="U13" i="39"/>
  <c r="AD13" i="39" s="1"/>
  <c r="X13" i="39"/>
  <c r="AA13" i="39"/>
  <c r="AF13" i="39" s="1"/>
  <c r="U14" i="39"/>
  <c r="AD14" i="39" s="1"/>
  <c r="X14" i="39"/>
  <c r="AA14" i="39"/>
  <c r="U15" i="39"/>
  <c r="AD15" i="39" s="1"/>
  <c r="X15" i="39"/>
  <c r="AA15" i="39"/>
  <c r="U16" i="39"/>
  <c r="AD16" i="39" s="1"/>
  <c r="X16" i="39"/>
  <c r="AA16" i="39"/>
  <c r="U17" i="39"/>
  <c r="AD17" i="39" s="1"/>
  <c r="X17" i="39"/>
  <c r="AA17" i="39"/>
  <c r="AF17" i="39" s="1"/>
  <c r="U18" i="39"/>
  <c r="AD18" i="39" s="1"/>
  <c r="X18" i="39"/>
  <c r="AA18" i="39"/>
  <c r="U19" i="39"/>
  <c r="AD19" i="39" s="1"/>
  <c r="X19" i="39"/>
  <c r="AA19" i="39"/>
  <c r="AF19" i="39" s="1"/>
  <c r="U20" i="39"/>
  <c r="AD20" i="39" s="1"/>
  <c r="X20" i="39"/>
  <c r="AA20" i="39"/>
  <c r="AF20" i="39" s="1"/>
  <c r="U21" i="39"/>
  <c r="AD21" i="39" s="1"/>
  <c r="X21" i="39"/>
  <c r="AA21" i="39"/>
  <c r="AF21" i="39" s="1"/>
  <c r="U22" i="39"/>
  <c r="AD22" i="39" s="1"/>
  <c r="X22" i="39"/>
  <c r="AA22" i="39"/>
  <c r="U23" i="39"/>
  <c r="AD23" i="39" s="1"/>
  <c r="X23" i="39"/>
  <c r="AA23" i="39"/>
  <c r="AF23" i="39" s="1"/>
  <c r="U24" i="39"/>
  <c r="AD24" i="39" s="1"/>
  <c r="X24" i="39"/>
  <c r="AA24" i="39"/>
  <c r="AF24" i="39" s="1"/>
  <c r="U25" i="39"/>
  <c r="AD25" i="39" s="1"/>
  <c r="X25" i="39"/>
  <c r="AA25" i="39"/>
  <c r="AF25" i="39" s="1"/>
  <c r="U26" i="39"/>
  <c r="AD26" i="39" s="1"/>
  <c r="X26" i="39"/>
  <c r="AA26" i="39"/>
  <c r="U27" i="39"/>
  <c r="AD27" i="39" s="1"/>
  <c r="X27" i="39"/>
  <c r="AA27" i="39"/>
  <c r="AF27" i="39" s="1"/>
  <c r="U28" i="39"/>
  <c r="AD28" i="39" s="1"/>
  <c r="X28" i="39"/>
  <c r="AA28" i="39"/>
  <c r="AF28" i="39" s="1"/>
  <c r="U29" i="39"/>
  <c r="AD29" i="39" s="1"/>
  <c r="X29" i="39"/>
  <c r="AA29" i="39"/>
  <c r="AF29" i="39" s="1"/>
  <c r="U30" i="39"/>
  <c r="AD30" i="39" s="1"/>
  <c r="X30" i="39"/>
  <c r="AA30" i="39"/>
  <c r="AF30" i="39" s="1"/>
  <c r="U31" i="39"/>
  <c r="AD31" i="39" s="1"/>
  <c r="X31" i="39"/>
  <c r="AA31" i="39"/>
  <c r="AF31" i="39" s="1"/>
  <c r="U32" i="39"/>
  <c r="AD32" i="39" s="1"/>
  <c r="X32" i="39"/>
  <c r="AA32" i="39"/>
  <c r="AF32" i="39" s="1"/>
  <c r="U33" i="39"/>
  <c r="AD33" i="39" s="1"/>
  <c r="X33" i="39"/>
  <c r="AA33" i="39"/>
  <c r="AF33" i="39" s="1"/>
  <c r="U34" i="39"/>
  <c r="AD34" i="39" s="1"/>
  <c r="X34" i="39"/>
  <c r="AA34" i="39"/>
  <c r="U41" i="39"/>
  <c r="AD41" i="39" s="1"/>
  <c r="X41" i="39"/>
  <c r="AA41" i="39"/>
  <c r="U42" i="39"/>
  <c r="AD42" i="39" s="1"/>
  <c r="X42" i="39"/>
  <c r="AA42" i="39"/>
  <c r="U43" i="39"/>
  <c r="AD43" i="39" s="1"/>
  <c r="X43" i="39"/>
  <c r="AA43" i="39"/>
  <c r="U44" i="39"/>
  <c r="AD44" i="39" s="1"/>
  <c r="X44" i="39"/>
  <c r="AA44" i="39"/>
  <c r="AF44" i="39" s="1"/>
  <c r="U45" i="39"/>
  <c r="AD45" i="39" s="1"/>
  <c r="X45" i="39"/>
  <c r="AA45" i="39"/>
  <c r="AF45" i="39" s="1"/>
  <c r="U46" i="39"/>
  <c r="AD46" i="39" s="1"/>
  <c r="X46" i="39"/>
  <c r="AA46" i="39"/>
  <c r="AF46" i="39" s="1"/>
  <c r="U47" i="39"/>
  <c r="AD47" i="39" s="1"/>
  <c r="X47" i="39"/>
  <c r="AA47" i="39"/>
  <c r="U48" i="39"/>
  <c r="AD48" i="39" s="1"/>
  <c r="X48" i="39"/>
  <c r="AA48" i="39"/>
  <c r="U75" i="39"/>
  <c r="AD75" i="39" s="1"/>
  <c r="X75" i="39"/>
  <c r="AA75" i="39"/>
  <c r="U76" i="39"/>
  <c r="AD76" i="39" s="1"/>
  <c r="X76" i="39"/>
  <c r="AA76" i="39"/>
  <c r="U77" i="39"/>
  <c r="AD77" i="39" s="1"/>
  <c r="X77" i="39"/>
  <c r="AA77" i="39"/>
  <c r="U78" i="39"/>
  <c r="AD78" i="39" s="1"/>
  <c r="X78" i="39"/>
  <c r="AA78" i="39"/>
  <c r="AF78" i="39" s="1"/>
  <c r="U79" i="39"/>
  <c r="AD79" i="39" s="1"/>
  <c r="X79" i="39"/>
  <c r="AA79" i="39"/>
  <c r="AF79" i="39" s="1"/>
  <c r="U80" i="39"/>
  <c r="AD80" i="39" s="1"/>
  <c r="X80" i="39"/>
  <c r="AA80" i="39"/>
  <c r="AF80" i="39" s="1"/>
  <c r="U81" i="39"/>
  <c r="AD81" i="39" s="1"/>
  <c r="X81" i="39"/>
  <c r="AA81" i="39"/>
  <c r="U82" i="39"/>
  <c r="AD82" i="39" s="1"/>
  <c r="X82" i="39"/>
  <c r="AA82" i="39"/>
  <c r="U83" i="39"/>
  <c r="AD83" i="39" s="1"/>
  <c r="X83" i="39"/>
  <c r="AA83" i="39"/>
  <c r="AF83" i="39" s="1"/>
  <c r="U84" i="39"/>
  <c r="AD84" i="39" s="1"/>
  <c r="X84" i="39"/>
  <c r="AA84" i="39"/>
  <c r="AF84" i="39" s="1"/>
  <c r="U85" i="39"/>
  <c r="AD85" i="39" s="1"/>
  <c r="X85" i="39"/>
  <c r="AA85" i="39"/>
  <c r="U86" i="39"/>
  <c r="AD86" i="39" s="1"/>
  <c r="X86" i="39"/>
  <c r="AA86" i="39"/>
  <c r="AF86" i="39" s="1"/>
  <c r="U87" i="39"/>
  <c r="AD87" i="39" s="1"/>
  <c r="X87" i="39"/>
  <c r="AA87" i="39"/>
  <c r="U88" i="39"/>
  <c r="AD88" i="39" s="1"/>
  <c r="X88" i="39"/>
  <c r="AA88" i="39"/>
  <c r="AF88" i="39" s="1"/>
  <c r="U94" i="39"/>
  <c r="AD94" i="39" s="1"/>
  <c r="X94" i="39"/>
  <c r="AA94" i="39"/>
  <c r="AF94" i="39" s="1"/>
  <c r="U95" i="39"/>
  <c r="AD95" i="39" s="1"/>
  <c r="X95" i="39"/>
  <c r="AA95" i="39"/>
  <c r="AF95" i="39" s="1"/>
  <c r="U96" i="39"/>
  <c r="AD96" i="39" s="1"/>
  <c r="X96" i="39"/>
  <c r="AA96" i="39"/>
  <c r="AF96" i="39" s="1"/>
  <c r="U97" i="39"/>
  <c r="AD97" i="39" s="1"/>
  <c r="X97" i="39"/>
  <c r="AA97" i="39"/>
  <c r="AF97" i="39" s="1"/>
  <c r="U98" i="39"/>
  <c r="AD98" i="39" s="1"/>
  <c r="X98" i="39"/>
  <c r="AA98" i="39"/>
  <c r="AF98" i="39" s="1"/>
  <c r="F59" i="63" l="1"/>
  <c r="E60" i="63"/>
  <c r="M61" i="63"/>
  <c r="G61" i="63" s="1"/>
  <c r="L62" i="63"/>
  <c r="M87" i="63"/>
  <c r="G87" i="63" s="1"/>
  <c r="L88" i="63"/>
  <c r="F85" i="63"/>
  <c r="E86" i="63"/>
  <c r="G34" i="55"/>
  <c r="L83" i="61"/>
  <c r="M82" i="61"/>
  <c r="E57" i="61"/>
  <c r="F56" i="61"/>
  <c r="F82" i="61"/>
  <c r="E83" i="61"/>
  <c r="M56" i="61"/>
  <c r="L57" i="61"/>
  <c r="G23" i="53"/>
  <c r="E29" i="53"/>
  <c r="F28" i="53"/>
  <c r="L44" i="55"/>
  <c r="M43" i="55"/>
  <c r="G43" i="55" s="1"/>
  <c r="F43" i="55"/>
  <c r="E44" i="55"/>
  <c r="M29" i="53"/>
  <c r="L30" i="53"/>
  <c r="L27" i="50"/>
  <c r="M26" i="50"/>
  <c r="F26" i="48"/>
  <c r="E27" i="48"/>
  <c r="L28" i="48"/>
  <c r="M27" i="48"/>
  <c r="G27" i="48" s="1"/>
  <c r="G10" i="46"/>
  <c r="G4" i="46"/>
  <c r="M20" i="47"/>
  <c r="L21" i="47"/>
  <c r="F20" i="47"/>
  <c r="E21" i="47"/>
  <c r="L12" i="46"/>
  <c r="M11" i="46"/>
  <c r="E12" i="46"/>
  <c r="F11" i="46"/>
  <c r="AF85" i="39"/>
  <c r="AF77" i="39"/>
  <c r="AF43" i="39"/>
  <c r="AF34" i="39"/>
  <c r="AF26" i="39"/>
  <c r="AF18" i="39"/>
  <c r="AF10" i="39"/>
  <c r="AF47" i="39"/>
  <c r="AF75" i="39"/>
  <c r="AF41" i="39"/>
  <c r="AF16" i="39"/>
  <c r="AF8" i="39"/>
  <c r="AF76" i="39"/>
  <c r="AF42" i="39"/>
  <c r="AF87" i="39"/>
  <c r="AF81" i="39"/>
  <c r="AF22" i="39"/>
  <c r="AF14" i="39"/>
  <c r="AF6" i="39"/>
  <c r="AF82" i="39"/>
  <c r="AF48" i="39"/>
  <c r="AF15" i="39"/>
  <c r="AF7" i="39"/>
  <c r="E87" i="63" l="1"/>
  <c r="F86" i="63"/>
  <c r="M88" i="63"/>
  <c r="G88" i="63" s="1"/>
  <c r="L89" i="63"/>
  <c r="M62" i="63"/>
  <c r="G62" i="63" s="1"/>
  <c r="L63" i="63"/>
  <c r="E61" i="63"/>
  <c r="F60" i="63"/>
  <c r="M57" i="61"/>
  <c r="L58" i="61"/>
  <c r="F83" i="61"/>
  <c r="E84" i="61"/>
  <c r="F57" i="61"/>
  <c r="E58" i="61"/>
  <c r="L84" i="61"/>
  <c r="M83" i="61"/>
  <c r="G29" i="53"/>
  <c r="G27" i="53"/>
  <c r="F29" i="53"/>
  <c r="E30" i="53"/>
  <c r="F44" i="55"/>
  <c r="E45" i="55"/>
  <c r="M44" i="55"/>
  <c r="G44" i="55" s="1"/>
  <c r="L45" i="55"/>
  <c r="M30" i="53"/>
  <c r="L31" i="53"/>
  <c r="G18" i="50"/>
  <c r="L28" i="50"/>
  <c r="M27" i="50"/>
  <c r="G27" i="50" s="1"/>
  <c r="G9" i="47"/>
  <c r="L29" i="48"/>
  <c r="M28" i="48"/>
  <c r="F27" i="48"/>
  <c r="E28" i="48"/>
  <c r="G11" i="46"/>
  <c r="G6" i="46"/>
  <c r="F21" i="47"/>
  <c r="E22" i="47"/>
  <c r="M21" i="47"/>
  <c r="L22" i="47"/>
  <c r="E13" i="46"/>
  <c r="F12" i="46"/>
  <c r="L13" i="46"/>
  <c r="M12" i="46"/>
  <c r="G20" i="61" l="1"/>
  <c r="F61" i="63"/>
  <c r="E62" i="63"/>
  <c r="M89" i="63"/>
  <c r="G89" i="63" s="1"/>
  <c r="L90" i="63"/>
  <c r="M63" i="63"/>
  <c r="G63" i="63" s="1"/>
  <c r="L64" i="63"/>
  <c r="E88" i="63"/>
  <c r="F87" i="63"/>
  <c r="F84" i="61"/>
  <c r="E85" i="61"/>
  <c r="L85" i="61"/>
  <c r="M84" i="61"/>
  <c r="F58" i="61"/>
  <c r="E59" i="61"/>
  <c r="L59" i="61"/>
  <c r="M58" i="61"/>
  <c r="F30" i="53"/>
  <c r="E31" i="53"/>
  <c r="L46" i="55"/>
  <c r="M45" i="55"/>
  <c r="G45" i="55" s="1"/>
  <c r="F45" i="55"/>
  <c r="E46" i="55"/>
  <c r="G23" i="48"/>
  <c r="M31" i="53"/>
  <c r="L32" i="53"/>
  <c r="M28" i="50"/>
  <c r="L29" i="50"/>
  <c r="F28" i="48"/>
  <c r="E29" i="48"/>
  <c r="M29" i="48"/>
  <c r="L30" i="48"/>
  <c r="L23" i="47"/>
  <c r="M22" i="47"/>
  <c r="F22" i="47"/>
  <c r="E23" i="47"/>
  <c r="M13" i="46"/>
  <c r="G13" i="46" s="1"/>
  <c r="L14" i="46"/>
  <c r="F13" i="46"/>
  <c r="E14" i="46"/>
  <c r="AK103" i="43"/>
  <c r="AK102" i="43"/>
  <c r="AK101" i="43"/>
  <c r="AK100" i="43"/>
  <c r="AK99" i="43"/>
  <c r="AK98" i="43"/>
  <c r="AK97" i="43"/>
  <c r="AK96" i="43"/>
  <c r="AK95" i="43"/>
  <c r="AK94" i="43"/>
  <c r="AK93" i="43"/>
  <c r="AK92" i="43"/>
  <c r="AK91" i="43"/>
  <c r="AK90" i="43"/>
  <c r="AK89" i="43"/>
  <c r="AK88" i="43"/>
  <c r="AK87" i="43"/>
  <c r="AK86" i="43"/>
  <c r="AK85" i="43"/>
  <c r="AK84" i="43"/>
  <c r="AK83" i="43"/>
  <c r="AK82" i="43"/>
  <c r="AK81" i="43"/>
  <c r="AK80" i="43"/>
  <c r="AK79" i="43"/>
  <c r="AK78" i="43"/>
  <c r="AK77" i="43"/>
  <c r="AK76" i="43"/>
  <c r="AK75" i="43"/>
  <c r="AK74" i="43"/>
  <c r="AK73" i="43"/>
  <c r="AK72" i="43"/>
  <c r="AK71" i="43"/>
  <c r="AK70" i="43"/>
  <c r="AK69" i="43"/>
  <c r="AK68" i="43"/>
  <c r="AK67" i="43"/>
  <c r="AK66" i="43"/>
  <c r="AK65" i="43"/>
  <c r="AK64" i="43"/>
  <c r="AK63" i="43"/>
  <c r="AK62" i="43"/>
  <c r="AK61" i="43"/>
  <c r="AK60" i="43"/>
  <c r="AK59" i="43"/>
  <c r="AK58" i="43"/>
  <c r="AK57" i="43"/>
  <c r="AK56" i="43"/>
  <c r="AK55" i="43"/>
  <c r="AK54" i="43"/>
  <c r="AK53" i="43"/>
  <c r="AK52" i="43"/>
  <c r="AK51" i="43"/>
  <c r="AK50" i="43"/>
  <c r="AK49" i="43"/>
  <c r="AK48" i="43"/>
  <c r="AK47" i="43"/>
  <c r="AK46" i="43"/>
  <c r="AK45" i="43"/>
  <c r="AK44" i="43"/>
  <c r="AK43" i="43"/>
  <c r="AK42" i="43"/>
  <c r="AK41" i="43"/>
  <c r="AK40" i="43"/>
  <c r="AK39" i="43"/>
  <c r="AK38" i="43"/>
  <c r="AK37" i="43"/>
  <c r="AK36" i="43"/>
  <c r="AK35" i="43"/>
  <c r="AK34" i="43"/>
  <c r="AK33" i="43"/>
  <c r="AK32" i="43"/>
  <c r="AK31" i="43"/>
  <c r="AK30" i="43"/>
  <c r="AK29" i="43"/>
  <c r="AK28" i="43"/>
  <c r="AK27" i="43"/>
  <c r="AK26" i="43"/>
  <c r="AK25" i="43"/>
  <c r="AK24" i="43"/>
  <c r="AK23" i="43"/>
  <c r="AK22" i="43"/>
  <c r="AK21" i="43"/>
  <c r="AK20" i="43"/>
  <c r="AK19" i="43"/>
  <c r="AK18" i="43"/>
  <c r="AK17" i="43"/>
  <c r="AK16" i="43"/>
  <c r="AK15" i="43"/>
  <c r="AK14" i="43"/>
  <c r="AK13" i="43"/>
  <c r="AK12" i="43"/>
  <c r="AK11" i="43"/>
  <c r="AK10" i="43"/>
  <c r="AK9" i="43"/>
  <c r="AK8" i="43"/>
  <c r="AK7" i="43"/>
  <c r="AK6" i="43"/>
  <c r="AK5" i="43"/>
  <c r="AK4" i="43"/>
  <c r="AK3" i="43"/>
  <c r="AJ103" i="43"/>
  <c r="AJ103" i="38" s="1"/>
  <c r="AJ102" i="43"/>
  <c r="AJ102" i="38" s="1"/>
  <c r="AJ101" i="43"/>
  <c r="AJ101" i="38" s="1"/>
  <c r="AJ100" i="43"/>
  <c r="AJ100" i="38" s="1"/>
  <c r="AJ99" i="43"/>
  <c r="AJ99" i="38" s="1"/>
  <c r="AJ98" i="43"/>
  <c r="AJ98" i="38" s="1"/>
  <c r="AJ97" i="43"/>
  <c r="AJ97" i="38" s="1"/>
  <c r="AJ96" i="43"/>
  <c r="AJ96" i="38" s="1"/>
  <c r="AJ95" i="43"/>
  <c r="AJ95" i="38" s="1"/>
  <c r="AJ94" i="43"/>
  <c r="AJ94" i="38" s="1"/>
  <c r="AJ93" i="43"/>
  <c r="AJ93" i="38" s="1"/>
  <c r="AJ92" i="43"/>
  <c r="AJ92" i="38" s="1"/>
  <c r="AJ91" i="43"/>
  <c r="AJ91" i="38" s="1"/>
  <c r="AJ90" i="43"/>
  <c r="AJ90" i="38" s="1"/>
  <c r="AJ89" i="43"/>
  <c r="AJ89" i="38" s="1"/>
  <c r="AJ88" i="43"/>
  <c r="AJ88" i="38" s="1"/>
  <c r="AJ87" i="43"/>
  <c r="AJ87" i="38" s="1"/>
  <c r="AJ86" i="43"/>
  <c r="AJ86" i="38" s="1"/>
  <c r="AJ85" i="43"/>
  <c r="AJ85" i="38" s="1"/>
  <c r="AJ84" i="43"/>
  <c r="AJ84" i="38" s="1"/>
  <c r="AJ83" i="43"/>
  <c r="AJ83" i="38" s="1"/>
  <c r="AJ82" i="43"/>
  <c r="AJ82" i="38" s="1"/>
  <c r="AJ81" i="43"/>
  <c r="AJ81" i="38" s="1"/>
  <c r="AJ80" i="43"/>
  <c r="AJ80" i="38" s="1"/>
  <c r="AJ79" i="43"/>
  <c r="AJ79" i="38" s="1"/>
  <c r="AJ78" i="43"/>
  <c r="AJ78" i="38" s="1"/>
  <c r="AJ77" i="43"/>
  <c r="AJ77" i="38" s="1"/>
  <c r="AJ76" i="43"/>
  <c r="AJ76" i="38" s="1"/>
  <c r="AJ75" i="43"/>
  <c r="AJ75" i="38" s="1"/>
  <c r="AJ74" i="43"/>
  <c r="AJ74" i="38" s="1"/>
  <c r="AJ73" i="43"/>
  <c r="AJ73" i="38" s="1"/>
  <c r="AJ72" i="43"/>
  <c r="AJ72" i="38" s="1"/>
  <c r="AJ71" i="43"/>
  <c r="AJ71" i="38" s="1"/>
  <c r="AJ70" i="43"/>
  <c r="AJ70" i="38" s="1"/>
  <c r="AJ69" i="43"/>
  <c r="AJ69" i="38" s="1"/>
  <c r="AJ68" i="43"/>
  <c r="AJ68" i="38" s="1"/>
  <c r="AJ67" i="43"/>
  <c r="AJ67" i="38" s="1"/>
  <c r="AJ66" i="43"/>
  <c r="AJ66" i="38" s="1"/>
  <c r="AJ65" i="43"/>
  <c r="AJ65" i="38" s="1"/>
  <c r="AJ64" i="43"/>
  <c r="AJ64" i="38" s="1"/>
  <c r="AJ63" i="43"/>
  <c r="AJ63" i="38" s="1"/>
  <c r="AJ62" i="43"/>
  <c r="AJ62" i="38" s="1"/>
  <c r="AJ61" i="43"/>
  <c r="AJ61" i="38" s="1"/>
  <c r="AJ60" i="43"/>
  <c r="AJ60" i="38" s="1"/>
  <c r="AJ59" i="43"/>
  <c r="AJ59" i="38" s="1"/>
  <c r="AJ58" i="43"/>
  <c r="AJ58" i="38" s="1"/>
  <c r="AJ57" i="43"/>
  <c r="AJ57" i="38" s="1"/>
  <c r="AJ56" i="43"/>
  <c r="AJ56" i="38" s="1"/>
  <c r="AJ55" i="43"/>
  <c r="AJ55" i="38" s="1"/>
  <c r="AJ54" i="43"/>
  <c r="AJ54" i="38" s="1"/>
  <c r="AJ53" i="43"/>
  <c r="AJ53" i="38" s="1"/>
  <c r="AJ52" i="43"/>
  <c r="AJ52" i="38" s="1"/>
  <c r="AJ51" i="43"/>
  <c r="AJ51" i="38" s="1"/>
  <c r="AJ50" i="43"/>
  <c r="AJ50" i="38" s="1"/>
  <c r="AJ49" i="43"/>
  <c r="AJ49" i="38" s="1"/>
  <c r="AJ48" i="43"/>
  <c r="AJ48" i="38" s="1"/>
  <c r="AJ47" i="43"/>
  <c r="AJ47" i="38" s="1"/>
  <c r="AJ46" i="43"/>
  <c r="AJ46" i="38" s="1"/>
  <c r="AJ45" i="43"/>
  <c r="AJ45" i="38" s="1"/>
  <c r="AJ44" i="43"/>
  <c r="AJ44" i="38" s="1"/>
  <c r="AJ43" i="43"/>
  <c r="AJ43" i="38" s="1"/>
  <c r="AJ42" i="43"/>
  <c r="AJ42" i="38" s="1"/>
  <c r="AJ41" i="43"/>
  <c r="AJ41" i="38" s="1"/>
  <c r="AJ40" i="43"/>
  <c r="AJ40" i="38" s="1"/>
  <c r="AJ39" i="43"/>
  <c r="AJ39" i="38" s="1"/>
  <c r="AJ38" i="43"/>
  <c r="AJ38" i="38" s="1"/>
  <c r="AJ37" i="43"/>
  <c r="AJ37" i="38" s="1"/>
  <c r="AJ36" i="43"/>
  <c r="AJ36" i="38" s="1"/>
  <c r="AJ35" i="43"/>
  <c r="AJ35" i="38" s="1"/>
  <c r="AJ34" i="43"/>
  <c r="AJ34" i="38" s="1"/>
  <c r="AJ33" i="43"/>
  <c r="AJ33" i="38" s="1"/>
  <c r="AJ32" i="43"/>
  <c r="AJ32" i="38" s="1"/>
  <c r="AJ31" i="43"/>
  <c r="AJ31" i="38" s="1"/>
  <c r="AJ30" i="43"/>
  <c r="AJ30" i="38" s="1"/>
  <c r="AJ29" i="43"/>
  <c r="AJ29" i="38" s="1"/>
  <c r="AJ28" i="43"/>
  <c r="AJ28" i="38" s="1"/>
  <c r="AJ27" i="43"/>
  <c r="AJ27" i="38" s="1"/>
  <c r="AJ26" i="43"/>
  <c r="AJ26" i="38" s="1"/>
  <c r="AJ25" i="43"/>
  <c r="AJ25" i="38" s="1"/>
  <c r="AJ24" i="43"/>
  <c r="AJ24" i="38" s="1"/>
  <c r="AJ23" i="43"/>
  <c r="AJ23" i="38" s="1"/>
  <c r="AJ22" i="43"/>
  <c r="AJ22" i="38" s="1"/>
  <c r="AJ21" i="43"/>
  <c r="AJ21" i="38" s="1"/>
  <c r="AJ20" i="43"/>
  <c r="AJ20" i="38" s="1"/>
  <c r="AJ19" i="43"/>
  <c r="AJ19" i="38" s="1"/>
  <c r="AJ18" i="43"/>
  <c r="AJ18" i="38" s="1"/>
  <c r="AJ17" i="43"/>
  <c r="AJ17" i="38" s="1"/>
  <c r="AJ16" i="43"/>
  <c r="AJ16" i="38" s="1"/>
  <c r="AJ15" i="43"/>
  <c r="AJ15" i="38" s="1"/>
  <c r="AJ14" i="43"/>
  <c r="AJ14" i="38" s="1"/>
  <c r="AJ13" i="43"/>
  <c r="AJ13" i="38" s="1"/>
  <c r="AJ12" i="43"/>
  <c r="AJ12" i="38" s="1"/>
  <c r="AJ11" i="43"/>
  <c r="AJ11" i="38" s="1"/>
  <c r="AJ10" i="43"/>
  <c r="AJ10" i="38" s="1"/>
  <c r="AJ9" i="43"/>
  <c r="AJ9" i="38" s="1"/>
  <c r="AJ8" i="43"/>
  <c r="AJ8" i="38" s="1"/>
  <c r="AJ7" i="43"/>
  <c r="AJ7" i="38" s="1"/>
  <c r="AJ6" i="43"/>
  <c r="AJ6" i="38" s="1"/>
  <c r="AJ5" i="43"/>
  <c r="AJ5" i="38" s="1"/>
  <c r="AJ4" i="43"/>
  <c r="AJ4" i="38" s="1"/>
  <c r="AJ3" i="43"/>
  <c r="AI103" i="43"/>
  <c r="AI103" i="38" s="1"/>
  <c r="AI102" i="43"/>
  <c r="AI102" i="38" s="1"/>
  <c r="AI101" i="43"/>
  <c r="AI101" i="38" s="1"/>
  <c r="AI100" i="43"/>
  <c r="AI100" i="38" s="1"/>
  <c r="AI99" i="43"/>
  <c r="AI99" i="38" s="1"/>
  <c r="AI98" i="43"/>
  <c r="AI98" i="38" s="1"/>
  <c r="AI97" i="43"/>
  <c r="AI97" i="38" s="1"/>
  <c r="AI96" i="43"/>
  <c r="AI96" i="38" s="1"/>
  <c r="AI95" i="43"/>
  <c r="AI95" i="38" s="1"/>
  <c r="AI94" i="43"/>
  <c r="AI94" i="38" s="1"/>
  <c r="AI93" i="43"/>
  <c r="AI93" i="38" s="1"/>
  <c r="AI92" i="43"/>
  <c r="AI92" i="38" s="1"/>
  <c r="AI91" i="43"/>
  <c r="AI91" i="38" s="1"/>
  <c r="AI90" i="43"/>
  <c r="AI90" i="38" s="1"/>
  <c r="AI89" i="43"/>
  <c r="AI89" i="38" s="1"/>
  <c r="AI88" i="43"/>
  <c r="AI88" i="38" s="1"/>
  <c r="AI87" i="43"/>
  <c r="AI87" i="38" s="1"/>
  <c r="AI86" i="43"/>
  <c r="AI86" i="38" s="1"/>
  <c r="AI85" i="43"/>
  <c r="AI85" i="38" s="1"/>
  <c r="AI84" i="43"/>
  <c r="AI84" i="38" s="1"/>
  <c r="AI83" i="43"/>
  <c r="AI83" i="38" s="1"/>
  <c r="AI82" i="43"/>
  <c r="AI82" i="38" s="1"/>
  <c r="AI81" i="43"/>
  <c r="AI81" i="38" s="1"/>
  <c r="AI80" i="43"/>
  <c r="AI80" i="38" s="1"/>
  <c r="AI79" i="43"/>
  <c r="AI79" i="38" s="1"/>
  <c r="AI78" i="43"/>
  <c r="AI78" i="38" s="1"/>
  <c r="AI77" i="43"/>
  <c r="AI77" i="38" s="1"/>
  <c r="AI76" i="43"/>
  <c r="AI76" i="38" s="1"/>
  <c r="AI75" i="43"/>
  <c r="AI75" i="38" s="1"/>
  <c r="AI74" i="43"/>
  <c r="AI74" i="38" s="1"/>
  <c r="AI73" i="43"/>
  <c r="AI73" i="38" s="1"/>
  <c r="AI72" i="43"/>
  <c r="AI72" i="38" s="1"/>
  <c r="AI71" i="43"/>
  <c r="AI71" i="38" s="1"/>
  <c r="AI70" i="43"/>
  <c r="AI70" i="38" s="1"/>
  <c r="AI69" i="43"/>
  <c r="AI69" i="38" s="1"/>
  <c r="AI68" i="43"/>
  <c r="AI68" i="38" s="1"/>
  <c r="AI67" i="43"/>
  <c r="AI67" i="38" s="1"/>
  <c r="AI66" i="43"/>
  <c r="AI66" i="38" s="1"/>
  <c r="AI65" i="43"/>
  <c r="AI65" i="38" s="1"/>
  <c r="AI64" i="43"/>
  <c r="AI64" i="38" s="1"/>
  <c r="AI63" i="43"/>
  <c r="AI63" i="38" s="1"/>
  <c r="AI62" i="43"/>
  <c r="AI62" i="38" s="1"/>
  <c r="AI61" i="43"/>
  <c r="AI61" i="38" s="1"/>
  <c r="AI60" i="43"/>
  <c r="AI60" i="38" s="1"/>
  <c r="AI59" i="43"/>
  <c r="AI59" i="38" s="1"/>
  <c r="AI58" i="43"/>
  <c r="AI58" i="38" s="1"/>
  <c r="AI57" i="43"/>
  <c r="AI57" i="38" s="1"/>
  <c r="AI56" i="43"/>
  <c r="AI56" i="38" s="1"/>
  <c r="AI55" i="43"/>
  <c r="AI55" i="38" s="1"/>
  <c r="AI54" i="43"/>
  <c r="AI54" i="38" s="1"/>
  <c r="AI53" i="43"/>
  <c r="AI53" i="38" s="1"/>
  <c r="AI52" i="43"/>
  <c r="AI52" i="38" s="1"/>
  <c r="AI51" i="43"/>
  <c r="AI51" i="38" s="1"/>
  <c r="AI50" i="43"/>
  <c r="AI50" i="38" s="1"/>
  <c r="AI49" i="43"/>
  <c r="AI49" i="38" s="1"/>
  <c r="AI48" i="43"/>
  <c r="AI48" i="38" s="1"/>
  <c r="AI47" i="43"/>
  <c r="AI47" i="38" s="1"/>
  <c r="AI46" i="43"/>
  <c r="AI46" i="38" s="1"/>
  <c r="AI45" i="43"/>
  <c r="AI45" i="38" s="1"/>
  <c r="AI44" i="43"/>
  <c r="AI44" i="38" s="1"/>
  <c r="AI43" i="43"/>
  <c r="AI43" i="38" s="1"/>
  <c r="AI42" i="43"/>
  <c r="AI42" i="38" s="1"/>
  <c r="AI41" i="43"/>
  <c r="AI41" i="38" s="1"/>
  <c r="AI40" i="43"/>
  <c r="AI40" i="38" s="1"/>
  <c r="AI39" i="43"/>
  <c r="AI39" i="38" s="1"/>
  <c r="AI38" i="43"/>
  <c r="AI38" i="38" s="1"/>
  <c r="AI37" i="43"/>
  <c r="AI37" i="38" s="1"/>
  <c r="AI36" i="43"/>
  <c r="AI36" i="38" s="1"/>
  <c r="AI35" i="43"/>
  <c r="AI35" i="38" s="1"/>
  <c r="AI34" i="43"/>
  <c r="AI34" i="38" s="1"/>
  <c r="AI33" i="43"/>
  <c r="AI33" i="38" s="1"/>
  <c r="AI32" i="43"/>
  <c r="AI32" i="38" s="1"/>
  <c r="AI31" i="43"/>
  <c r="AI31" i="38" s="1"/>
  <c r="AI30" i="43"/>
  <c r="AI30" i="38" s="1"/>
  <c r="AI29" i="43"/>
  <c r="AI29" i="38" s="1"/>
  <c r="AI28" i="43"/>
  <c r="AI28" i="38" s="1"/>
  <c r="AI27" i="43"/>
  <c r="AI27" i="38" s="1"/>
  <c r="AI26" i="43"/>
  <c r="AI26" i="38" s="1"/>
  <c r="AI25" i="43"/>
  <c r="AI25" i="38" s="1"/>
  <c r="AI24" i="43"/>
  <c r="AI24" i="38" s="1"/>
  <c r="AI23" i="43"/>
  <c r="AI23" i="38" s="1"/>
  <c r="AI22" i="43"/>
  <c r="AI22" i="38" s="1"/>
  <c r="AI21" i="43"/>
  <c r="AI21" i="38" s="1"/>
  <c r="AI20" i="43"/>
  <c r="AI20" i="38" s="1"/>
  <c r="AI19" i="43"/>
  <c r="AI19" i="38" s="1"/>
  <c r="AI18" i="43"/>
  <c r="AI18" i="38" s="1"/>
  <c r="AI17" i="43"/>
  <c r="AI17" i="38" s="1"/>
  <c r="AI16" i="43"/>
  <c r="AI16" i="38" s="1"/>
  <c r="AI15" i="43"/>
  <c r="AI15" i="38" s="1"/>
  <c r="AI14" i="43"/>
  <c r="AI14" i="38" s="1"/>
  <c r="AI13" i="43"/>
  <c r="AI13" i="38" s="1"/>
  <c r="AI12" i="43"/>
  <c r="AI12" i="38" s="1"/>
  <c r="AI11" i="43"/>
  <c r="AI11" i="38" s="1"/>
  <c r="AI10" i="43"/>
  <c r="AI10" i="38" s="1"/>
  <c r="AI9" i="43"/>
  <c r="AI9" i="38" s="1"/>
  <c r="AI8" i="43"/>
  <c r="AI8" i="38" s="1"/>
  <c r="AI7" i="43"/>
  <c r="AI7" i="38" s="1"/>
  <c r="AI6" i="43"/>
  <c r="AI6" i="38" s="1"/>
  <c r="AI5" i="43"/>
  <c r="AI5" i="38" s="1"/>
  <c r="AI4" i="43"/>
  <c r="AI4" i="38" s="1"/>
  <c r="AH103" i="43"/>
  <c r="AH103" i="38" s="1"/>
  <c r="AH102" i="43"/>
  <c r="AH102" i="38" s="1"/>
  <c r="AH101" i="43"/>
  <c r="AH101" i="38" s="1"/>
  <c r="AH100" i="43"/>
  <c r="AH100" i="38" s="1"/>
  <c r="AH99" i="43"/>
  <c r="AH99" i="38" s="1"/>
  <c r="AH98" i="43"/>
  <c r="AH98" i="38" s="1"/>
  <c r="AH97" i="43"/>
  <c r="AH97" i="38" s="1"/>
  <c r="AH96" i="43"/>
  <c r="AH96" i="38" s="1"/>
  <c r="AH95" i="43"/>
  <c r="AH95" i="38" s="1"/>
  <c r="AH94" i="43"/>
  <c r="AH94" i="38" s="1"/>
  <c r="AH93" i="43"/>
  <c r="AH93" i="38" s="1"/>
  <c r="AH92" i="43"/>
  <c r="AH92" i="38" s="1"/>
  <c r="AH91" i="43"/>
  <c r="AH91" i="38" s="1"/>
  <c r="AH90" i="43"/>
  <c r="AH90" i="38" s="1"/>
  <c r="AH89" i="43"/>
  <c r="AH89" i="38" s="1"/>
  <c r="AH88" i="43"/>
  <c r="AH88" i="38" s="1"/>
  <c r="AH87" i="43"/>
  <c r="AH87" i="38" s="1"/>
  <c r="AH86" i="43"/>
  <c r="AH86" i="38" s="1"/>
  <c r="AH85" i="43"/>
  <c r="AH85" i="38" s="1"/>
  <c r="AH84" i="43"/>
  <c r="AH84" i="38" s="1"/>
  <c r="AH83" i="43"/>
  <c r="AH83" i="38" s="1"/>
  <c r="AH82" i="43"/>
  <c r="AH82" i="38" s="1"/>
  <c r="AH81" i="43"/>
  <c r="AH81" i="38" s="1"/>
  <c r="AH80" i="43"/>
  <c r="AH80" i="38" s="1"/>
  <c r="AH79" i="43"/>
  <c r="AH79" i="38" s="1"/>
  <c r="AH78" i="43"/>
  <c r="AH78" i="38" s="1"/>
  <c r="AH77" i="43"/>
  <c r="AH77" i="38" s="1"/>
  <c r="AH76" i="43"/>
  <c r="AH76" i="38" s="1"/>
  <c r="AH75" i="43"/>
  <c r="AH75" i="38" s="1"/>
  <c r="AH74" i="43"/>
  <c r="AH74" i="38" s="1"/>
  <c r="AH73" i="43"/>
  <c r="AH73" i="38" s="1"/>
  <c r="AH72" i="43"/>
  <c r="AH72" i="38" s="1"/>
  <c r="AH71" i="43"/>
  <c r="AH71" i="38" s="1"/>
  <c r="AH70" i="43"/>
  <c r="AH70" i="38" s="1"/>
  <c r="AH69" i="43"/>
  <c r="AH69" i="38" s="1"/>
  <c r="AH68" i="43"/>
  <c r="AH68" i="38" s="1"/>
  <c r="AH67" i="43"/>
  <c r="AH67" i="38" s="1"/>
  <c r="AH66" i="43"/>
  <c r="AH66" i="38" s="1"/>
  <c r="AH65" i="43"/>
  <c r="AH65" i="38" s="1"/>
  <c r="AH64" i="43"/>
  <c r="AH64" i="38" s="1"/>
  <c r="AH63" i="43"/>
  <c r="AH63" i="38" s="1"/>
  <c r="AH62" i="43"/>
  <c r="AH62" i="38" s="1"/>
  <c r="AH61" i="43"/>
  <c r="AH61" i="38" s="1"/>
  <c r="AH60" i="43"/>
  <c r="AH60" i="38" s="1"/>
  <c r="AH59" i="43"/>
  <c r="AH59" i="38" s="1"/>
  <c r="AH58" i="43"/>
  <c r="AH58" i="38" s="1"/>
  <c r="AH57" i="43"/>
  <c r="AH57" i="38" s="1"/>
  <c r="AH56" i="43"/>
  <c r="AH56" i="38" s="1"/>
  <c r="AH55" i="43"/>
  <c r="AH55" i="38" s="1"/>
  <c r="AH54" i="43"/>
  <c r="AH54" i="38" s="1"/>
  <c r="AH53" i="43"/>
  <c r="AH53" i="38" s="1"/>
  <c r="AH52" i="43"/>
  <c r="AH52" i="38" s="1"/>
  <c r="AH51" i="43"/>
  <c r="AH51" i="38" s="1"/>
  <c r="AH50" i="43"/>
  <c r="AH50" i="38" s="1"/>
  <c r="AH49" i="43"/>
  <c r="AH49" i="38" s="1"/>
  <c r="AH48" i="43"/>
  <c r="AH48" i="38" s="1"/>
  <c r="AH47" i="43"/>
  <c r="AH47" i="38" s="1"/>
  <c r="AH46" i="43"/>
  <c r="AH46" i="38" s="1"/>
  <c r="AH45" i="43"/>
  <c r="AH45" i="38" s="1"/>
  <c r="AH44" i="43"/>
  <c r="AH44" i="38" s="1"/>
  <c r="AH43" i="43"/>
  <c r="AH43" i="38" s="1"/>
  <c r="AH42" i="43"/>
  <c r="AH42" i="38" s="1"/>
  <c r="AH41" i="43"/>
  <c r="AH41" i="38" s="1"/>
  <c r="AH40" i="43"/>
  <c r="AH40" i="38" s="1"/>
  <c r="AH39" i="43"/>
  <c r="AH39" i="38" s="1"/>
  <c r="AH38" i="43"/>
  <c r="AH38" i="38" s="1"/>
  <c r="AH37" i="43"/>
  <c r="AH37" i="38" s="1"/>
  <c r="AH36" i="43"/>
  <c r="AH36" i="38" s="1"/>
  <c r="AH35" i="43"/>
  <c r="AH35" i="38" s="1"/>
  <c r="AH34" i="43"/>
  <c r="AH34" i="38" s="1"/>
  <c r="AH33" i="43"/>
  <c r="AH33" i="38" s="1"/>
  <c r="AH32" i="43"/>
  <c r="AH32" i="38" s="1"/>
  <c r="AH31" i="43"/>
  <c r="AH31" i="38" s="1"/>
  <c r="AH30" i="43"/>
  <c r="AH30" i="38" s="1"/>
  <c r="AH29" i="43"/>
  <c r="AH29" i="38" s="1"/>
  <c r="AH28" i="43"/>
  <c r="AH28" i="38" s="1"/>
  <c r="AH27" i="43"/>
  <c r="AH27" i="38" s="1"/>
  <c r="AH26" i="43"/>
  <c r="AH26" i="38" s="1"/>
  <c r="AH25" i="43"/>
  <c r="AH25" i="38" s="1"/>
  <c r="AH24" i="43"/>
  <c r="AH24" i="38" s="1"/>
  <c r="AH23" i="43"/>
  <c r="AH23" i="38" s="1"/>
  <c r="AH22" i="43"/>
  <c r="AH22" i="38" s="1"/>
  <c r="AH21" i="43"/>
  <c r="AH21" i="38" s="1"/>
  <c r="AH20" i="43"/>
  <c r="AH20" i="38" s="1"/>
  <c r="AH19" i="43"/>
  <c r="AH19" i="38" s="1"/>
  <c r="AH18" i="43"/>
  <c r="AH18" i="38" s="1"/>
  <c r="AH17" i="43"/>
  <c r="AH17" i="38" s="1"/>
  <c r="AH16" i="43"/>
  <c r="AH16" i="38" s="1"/>
  <c r="AH15" i="43"/>
  <c r="AH15" i="38" s="1"/>
  <c r="AH14" i="43"/>
  <c r="AH14" i="38" s="1"/>
  <c r="AH13" i="43"/>
  <c r="AH13" i="38" s="1"/>
  <c r="AH12" i="43"/>
  <c r="AH12" i="38" s="1"/>
  <c r="AH11" i="43"/>
  <c r="AH11" i="38" s="1"/>
  <c r="AH10" i="43"/>
  <c r="AH10" i="38" s="1"/>
  <c r="AH9" i="43"/>
  <c r="AH9" i="38" s="1"/>
  <c r="AH8" i="43"/>
  <c r="AH8" i="38" s="1"/>
  <c r="AH7" i="43"/>
  <c r="AH7" i="38" s="1"/>
  <c r="AH6" i="43"/>
  <c r="AH6" i="38" s="1"/>
  <c r="AH5" i="43"/>
  <c r="AH5" i="38" s="1"/>
  <c r="AH4" i="43"/>
  <c r="AH4" i="38" s="1"/>
  <c r="AH3" i="43"/>
  <c r="AH3" i="38" s="1"/>
  <c r="N4" i="43"/>
  <c r="N4" i="38" s="1"/>
  <c r="N5" i="43"/>
  <c r="N5" i="38" s="1"/>
  <c r="N6" i="43"/>
  <c r="N6" i="38" s="1"/>
  <c r="N7" i="43"/>
  <c r="N7" i="38" s="1"/>
  <c r="N8" i="43"/>
  <c r="N8" i="38" s="1"/>
  <c r="N9" i="43"/>
  <c r="N9" i="38" s="1"/>
  <c r="N10" i="43"/>
  <c r="N10" i="38" s="1"/>
  <c r="N11" i="43"/>
  <c r="AB11" i="43" s="1"/>
  <c r="N12" i="43"/>
  <c r="N12" i="38" s="1"/>
  <c r="N13" i="43"/>
  <c r="N13" i="38" s="1"/>
  <c r="N14" i="43"/>
  <c r="N14" i="38" s="1"/>
  <c r="N15" i="43"/>
  <c r="N15" i="38" s="1"/>
  <c r="N16" i="43"/>
  <c r="N16" i="38" s="1"/>
  <c r="N17" i="43"/>
  <c r="N17" i="38" s="1"/>
  <c r="N18" i="43"/>
  <c r="N18" i="38" s="1"/>
  <c r="N19" i="43"/>
  <c r="N20" i="43"/>
  <c r="N20" i="38" s="1"/>
  <c r="N21" i="43"/>
  <c r="N21" i="38" s="1"/>
  <c r="N22" i="43"/>
  <c r="N22" i="38" s="1"/>
  <c r="N23" i="43"/>
  <c r="N23" i="38" s="1"/>
  <c r="N24" i="43"/>
  <c r="N24" i="38" s="1"/>
  <c r="N25" i="43"/>
  <c r="N25" i="38" s="1"/>
  <c r="N26" i="43"/>
  <c r="N26" i="38" s="1"/>
  <c r="N27" i="43"/>
  <c r="N28" i="43"/>
  <c r="N28" i="38" s="1"/>
  <c r="N29" i="43"/>
  <c r="N29" i="38" s="1"/>
  <c r="N30" i="43"/>
  <c r="N30" i="38" s="1"/>
  <c r="N31" i="43"/>
  <c r="N31" i="38" s="1"/>
  <c r="N32" i="43"/>
  <c r="N32" i="38" s="1"/>
  <c r="N33" i="43"/>
  <c r="N33" i="38" s="1"/>
  <c r="N34" i="43"/>
  <c r="N34" i="38" s="1"/>
  <c r="N35" i="43"/>
  <c r="N36" i="43"/>
  <c r="N36" i="38" s="1"/>
  <c r="N37" i="43"/>
  <c r="N37" i="38" s="1"/>
  <c r="N38" i="43"/>
  <c r="N38" i="38" s="1"/>
  <c r="N39" i="43"/>
  <c r="N39" i="38" s="1"/>
  <c r="N40" i="43"/>
  <c r="N40" i="38" s="1"/>
  <c r="N41" i="43"/>
  <c r="N41" i="38" s="1"/>
  <c r="N42" i="43"/>
  <c r="N42" i="38" s="1"/>
  <c r="N43" i="43"/>
  <c r="N44" i="43"/>
  <c r="N45" i="43"/>
  <c r="N45" i="38" s="1"/>
  <c r="N46" i="43"/>
  <c r="N46" i="38" s="1"/>
  <c r="N47" i="43"/>
  <c r="N48" i="43"/>
  <c r="N48" i="38" s="1"/>
  <c r="N49" i="43"/>
  <c r="N49" i="38" s="1"/>
  <c r="N50" i="43"/>
  <c r="N50" i="38" s="1"/>
  <c r="N51" i="43"/>
  <c r="N52" i="43"/>
  <c r="AB52" i="43" s="1"/>
  <c r="N53" i="43"/>
  <c r="N53" i="38" s="1"/>
  <c r="N54" i="43"/>
  <c r="N54" i="38" s="1"/>
  <c r="N55" i="43"/>
  <c r="N55" i="38" s="1"/>
  <c r="N56" i="43"/>
  <c r="N56" i="38" s="1"/>
  <c r="N57" i="43"/>
  <c r="N57" i="38" s="1"/>
  <c r="N58" i="43"/>
  <c r="N58" i="38" s="1"/>
  <c r="N59" i="43"/>
  <c r="N60" i="43"/>
  <c r="N61" i="43"/>
  <c r="N61" i="38" s="1"/>
  <c r="N62" i="43"/>
  <c r="N62" i="38" s="1"/>
  <c r="N63" i="43"/>
  <c r="N64" i="43"/>
  <c r="N64" i="38" s="1"/>
  <c r="N65" i="43"/>
  <c r="N65" i="38" s="1"/>
  <c r="N66" i="43"/>
  <c r="N66" i="38" s="1"/>
  <c r="N67" i="43"/>
  <c r="N68" i="43"/>
  <c r="N69" i="43"/>
  <c r="N69" i="38" s="1"/>
  <c r="N70" i="43"/>
  <c r="N70" i="38" s="1"/>
  <c r="N71" i="43"/>
  <c r="N72" i="43"/>
  <c r="N72" i="38" s="1"/>
  <c r="N73" i="43"/>
  <c r="N73" i="38" s="1"/>
  <c r="N74" i="43"/>
  <c r="N74" i="38" s="1"/>
  <c r="N75" i="43"/>
  <c r="N76" i="43"/>
  <c r="N77" i="43"/>
  <c r="N77" i="38" s="1"/>
  <c r="N78" i="43"/>
  <c r="N78" i="38" s="1"/>
  <c r="N79" i="43"/>
  <c r="N80" i="43"/>
  <c r="N80" i="38" s="1"/>
  <c r="N81" i="43"/>
  <c r="N81" i="38" s="1"/>
  <c r="N82" i="43"/>
  <c r="N82" i="38" s="1"/>
  <c r="N83" i="43"/>
  <c r="N84" i="43"/>
  <c r="N85" i="43"/>
  <c r="N85" i="38" s="1"/>
  <c r="N86" i="43"/>
  <c r="N86" i="38" s="1"/>
  <c r="N87" i="43"/>
  <c r="N88" i="43"/>
  <c r="N88" i="38" s="1"/>
  <c r="N89" i="43"/>
  <c r="N89" i="38" s="1"/>
  <c r="N90" i="43"/>
  <c r="N90" i="38" s="1"/>
  <c r="N91" i="43"/>
  <c r="N92" i="43"/>
  <c r="N93" i="43"/>
  <c r="N93" i="38" s="1"/>
  <c r="N94" i="43"/>
  <c r="N94" i="38" s="1"/>
  <c r="N95" i="43"/>
  <c r="N96" i="43"/>
  <c r="N96" i="38" s="1"/>
  <c r="N97" i="43"/>
  <c r="N97" i="38" s="1"/>
  <c r="N98" i="43"/>
  <c r="N98" i="38" s="1"/>
  <c r="N99" i="43"/>
  <c r="N100" i="43"/>
  <c r="AB100" i="43" s="1"/>
  <c r="N101" i="43"/>
  <c r="N101" i="38" s="1"/>
  <c r="N102" i="43"/>
  <c r="N103" i="43"/>
  <c r="N3" i="43"/>
  <c r="M4" i="43"/>
  <c r="M5" i="43"/>
  <c r="M6" i="43"/>
  <c r="M7" i="43"/>
  <c r="M8" i="43"/>
  <c r="M9" i="43"/>
  <c r="M10" i="43"/>
  <c r="M11" i="43"/>
  <c r="M12" i="43"/>
  <c r="M13" i="43"/>
  <c r="M14" i="43"/>
  <c r="M15" i="43"/>
  <c r="M16" i="43"/>
  <c r="M17" i="43"/>
  <c r="M18" i="43"/>
  <c r="M19" i="43"/>
  <c r="M20" i="43"/>
  <c r="M21" i="43"/>
  <c r="M22" i="43"/>
  <c r="M23" i="43"/>
  <c r="M24" i="43"/>
  <c r="M25" i="43"/>
  <c r="M26" i="43"/>
  <c r="M27" i="43"/>
  <c r="M28" i="43"/>
  <c r="M29" i="43"/>
  <c r="M30" i="43"/>
  <c r="M31" i="43"/>
  <c r="M32" i="43"/>
  <c r="M33" i="43"/>
  <c r="M34" i="43"/>
  <c r="M35" i="43"/>
  <c r="M36" i="43"/>
  <c r="M37" i="43"/>
  <c r="M38" i="43"/>
  <c r="M39" i="43"/>
  <c r="M40" i="43"/>
  <c r="M41" i="43"/>
  <c r="M42" i="43"/>
  <c r="M43" i="43"/>
  <c r="M44" i="43"/>
  <c r="M45" i="43"/>
  <c r="M46" i="43"/>
  <c r="M47" i="43"/>
  <c r="M48" i="43"/>
  <c r="M49" i="43"/>
  <c r="M50" i="43"/>
  <c r="M51" i="43"/>
  <c r="M52" i="43"/>
  <c r="M53" i="43"/>
  <c r="M54" i="43"/>
  <c r="M55" i="43"/>
  <c r="M56" i="43"/>
  <c r="M57" i="43"/>
  <c r="M58" i="43"/>
  <c r="M59" i="43"/>
  <c r="M60" i="43"/>
  <c r="M61" i="43"/>
  <c r="M62" i="43"/>
  <c r="M63" i="43"/>
  <c r="M64" i="43"/>
  <c r="M65" i="43"/>
  <c r="M66" i="43"/>
  <c r="M67" i="43"/>
  <c r="M68" i="43"/>
  <c r="M69" i="43"/>
  <c r="M70" i="43"/>
  <c r="M71" i="43"/>
  <c r="M72" i="43"/>
  <c r="M73" i="43"/>
  <c r="M74" i="43"/>
  <c r="M75" i="43"/>
  <c r="M76" i="43"/>
  <c r="M77" i="43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3" i="43"/>
  <c r="F4" i="43"/>
  <c r="G4" i="43"/>
  <c r="H4" i="43"/>
  <c r="I4" i="43"/>
  <c r="J4" i="43"/>
  <c r="F5" i="43"/>
  <c r="G5" i="43"/>
  <c r="H5" i="43"/>
  <c r="I5" i="43"/>
  <c r="J5" i="43"/>
  <c r="F6" i="43"/>
  <c r="G6" i="43"/>
  <c r="H6" i="43"/>
  <c r="I6" i="43"/>
  <c r="J6" i="43"/>
  <c r="F7" i="43"/>
  <c r="G7" i="43"/>
  <c r="H7" i="43"/>
  <c r="I7" i="43"/>
  <c r="J7" i="43"/>
  <c r="F8" i="43"/>
  <c r="G8" i="43"/>
  <c r="H8" i="43"/>
  <c r="I8" i="43"/>
  <c r="J8" i="43"/>
  <c r="F9" i="43"/>
  <c r="E9" i="43" s="1"/>
  <c r="L9" i="43" s="1"/>
  <c r="G9" i="43"/>
  <c r="H9" i="43"/>
  <c r="I9" i="43"/>
  <c r="J9" i="43"/>
  <c r="F10" i="43"/>
  <c r="G10" i="43"/>
  <c r="H10" i="43"/>
  <c r="I10" i="43"/>
  <c r="J10" i="43"/>
  <c r="F11" i="43"/>
  <c r="G11" i="43"/>
  <c r="H11" i="43"/>
  <c r="I11" i="43"/>
  <c r="J11" i="43"/>
  <c r="F12" i="43"/>
  <c r="G12" i="43"/>
  <c r="E12" i="43" s="1"/>
  <c r="L12" i="43" s="1"/>
  <c r="H12" i="43"/>
  <c r="I12" i="43"/>
  <c r="J12" i="43"/>
  <c r="F13" i="43"/>
  <c r="G13" i="43"/>
  <c r="H13" i="43"/>
  <c r="I13" i="43"/>
  <c r="J13" i="43"/>
  <c r="F14" i="43"/>
  <c r="G14" i="43"/>
  <c r="H14" i="43"/>
  <c r="I14" i="43"/>
  <c r="J14" i="43"/>
  <c r="F15" i="43"/>
  <c r="G15" i="43"/>
  <c r="H15" i="43"/>
  <c r="I15" i="43"/>
  <c r="J15" i="43"/>
  <c r="F16" i="43"/>
  <c r="G16" i="43"/>
  <c r="H16" i="43"/>
  <c r="I16" i="43"/>
  <c r="E16" i="43" s="1"/>
  <c r="L16" i="43" s="1"/>
  <c r="J16" i="43"/>
  <c r="F17" i="43"/>
  <c r="E17" i="43" s="1"/>
  <c r="L17" i="43" s="1"/>
  <c r="G17" i="43"/>
  <c r="H17" i="43"/>
  <c r="I17" i="43"/>
  <c r="J17" i="43"/>
  <c r="F18" i="43"/>
  <c r="G18" i="43"/>
  <c r="E18" i="43" s="1"/>
  <c r="L18" i="43" s="1"/>
  <c r="H18" i="43"/>
  <c r="I18" i="43"/>
  <c r="J18" i="43"/>
  <c r="F19" i="43"/>
  <c r="G19" i="43"/>
  <c r="H19" i="43"/>
  <c r="I19" i="43"/>
  <c r="J19" i="43"/>
  <c r="E19" i="43" s="1"/>
  <c r="L19" i="43" s="1"/>
  <c r="F20" i="43"/>
  <c r="G20" i="43"/>
  <c r="E20" i="43" s="1"/>
  <c r="L20" i="43" s="1"/>
  <c r="H20" i="43"/>
  <c r="I20" i="43"/>
  <c r="J20" i="43"/>
  <c r="F21" i="43"/>
  <c r="G21" i="43"/>
  <c r="H21" i="43"/>
  <c r="E21" i="43" s="1"/>
  <c r="L21" i="43" s="1"/>
  <c r="I21" i="43"/>
  <c r="J21" i="43"/>
  <c r="F22" i="43"/>
  <c r="G22" i="43"/>
  <c r="H22" i="43"/>
  <c r="I22" i="43"/>
  <c r="J22" i="43"/>
  <c r="F23" i="43"/>
  <c r="G23" i="43"/>
  <c r="H23" i="43"/>
  <c r="I23" i="43"/>
  <c r="J23" i="43"/>
  <c r="F24" i="43"/>
  <c r="G24" i="43"/>
  <c r="H24" i="43"/>
  <c r="I24" i="43"/>
  <c r="E24" i="43" s="1"/>
  <c r="L24" i="43" s="1"/>
  <c r="J24" i="43"/>
  <c r="F25" i="43"/>
  <c r="E25" i="43" s="1"/>
  <c r="L25" i="43" s="1"/>
  <c r="G25" i="43"/>
  <c r="H25" i="43"/>
  <c r="I25" i="43"/>
  <c r="J25" i="43"/>
  <c r="F26" i="43"/>
  <c r="G26" i="43"/>
  <c r="E26" i="43" s="1"/>
  <c r="L26" i="43" s="1"/>
  <c r="H26" i="43"/>
  <c r="I26" i="43"/>
  <c r="J26" i="43"/>
  <c r="F27" i="43"/>
  <c r="G27" i="43"/>
  <c r="H27" i="43"/>
  <c r="I27" i="43"/>
  <c r="J27" i="43"/>
  <c r="E27" i="43" s="1"/>
  <c r="L27" i="43" s="1"/>
  <c r="F28" i="43"/>
  <c r="G28" i="43"/>
  <c r="E28" i="43" s="1"/>
  <c r="L28" i="43" s="1"/>
  <c r="H28" i="43"/>
  <c r="I28" i="43"/>
  <c r="J28" i="43"/>
  <c r="F29" i="43"/>
  <c r="G29" i="43"/>
  <c r="H29" i="43"/>
  <c r="E29" i="43" s="1"/>
  <c r="L29" i="43" s="1"/>
  <c r="I29" i="43"/>
  <c r="J29" i="43"/>
  <c r="F30" i="43"/>
  <c r="G30" i="43"/>
  <c r="H30" i="43"/>
  <c r="I30" i="43"/>
  <c r="J30" i="43"/>
  <c r="F31" i="43"/>
  <c r="G31" i="43"/>
  <c r="H31" i="43"/>
  <c r="I31" i="43"/>
  <c r="J31" i="43"/>
  <c r="F32" i="43"/>
  <c r="G32" i="43"/>
  <c r="H32" i="43"/>
  <c r="I32" i="43"/>
  <c r="E32" i="43" s="1"/>
  <c r="L32" i="43" s="1"/>
  <c r="J32" i="43"/>
  <c r="F33" i="43"/>
  <c r="E33" i="43" s="1"/>
  <c r="L33" i="43" s="1"/>
  <c r="G33" i="43"/>
  <c r="H33" i="43"/>
  <c r="I33" i="43"/>
  <c r="J33" i="43"/>
  <c r="F34" i="43"/>
  <c r="G34" i="43"/>
  <c r="E34" i="43" s="1"/>
  <c r="L34" i="43" s="1"/>
  <c r="H34" i="43"/>
  <c r="I34" i="43"/>
  <c r="J34" i="43"/>
  <c r="F35" i="43"/>
  <c r="G35" i="43"/>
  <c r="H35" i="43"/>
  <c r="I35" i="43"/>
  <c r="J35" i="43"/>
  <c r="E35" i="43" s="1"/>
  <c r="L35" i="43" s="1"/>
  <c r="F36" i="43"/>
  <c r="G36" i="43"/>
  <c r="E36" i="43" s="1"/>
  <c r="L36" i="43" s="1"/>
  <c r="H36" i="43"/>
  <c r="I36" i="43"/>
  <c r="J36" i="43"/>
  <c r="F37" i="43"/>
  <c r="G37" i="43"/>
  <c r="H37" i="43"/>
  <c r="E37" i="43" s="1"/>
  <c r="L37" i="43" s="1"/>
  <c r="I37" i="43"/>
  <c r="J37" i="43"/>
  <c r="F38" i="43"/>
  <c r="G38" i="43"/>
  <c r="H38" i="43"/>
  <c r="I38" i="43"/>
  <c r="J38" i="43"/>
  <c r="F39" i="43"/>
  <c r="G39" i="43"/>
  <c r="H39" i="43"/>
  <c r="I39" i="43"/>
  <c r="J39" i="43"/>
  <c r="F40" i="43"/>
  <c r="G40" i="43"/>
  <c r="H40" i="43"/>
  <c r="I40" i="43"/>
  <c r="E40" i="43" s="1"/>
  <c r="L40" i="43" s="1"/>
  <c r="J40" i="43"/>
  <c r="F41" i="43"/>
  <c r="E41" i="43" s="1"/>
  <c r="L41" i="43" s="1"/>
  <c r="G41" i="43"/>
  <c r="H41" i="43"/>
  <c r="I41" i="43"/>
  <c r="J41" i="43"/>
  <c r="F42" i="43"/>
  <c r="G42" i="43"/>
  <c r="H42" i="43"/>
  <c r="I42" i="43"/>
  <c r="J42" i="43"/>
  <c r="F43" i="43"/>
  <c r="G43" i="43"/>
  <c r="H43" i="43"/>
  <c r="I43" i="43"/>
  <c r="J43" i="43"/>
  <c r="E43" i="43" s="1"/>
  <c r="L43" i="43" s="1"/>
  <c r="F44" i="43"/>
  <c r="G44" i="43"/>
  <c r="E44" i="43" s="1"/>
  <c r="L44" i="43" s="1"/>
  <c r="H44" i="43"/>
  <c r="I44" i="43"/>
  <c r="J44" i="43"/>
  <c r="F45" i="43"/>
  <c r="G45" i="43"/>
  <c r="H45" i="43"/>
  <c r="E45" i="43" s="1"/>
  <c r="L45" i="43" s="1"/>
  <c r="I45" i="43"/>
  <c r="J45" i="43"/>
  <c r="F46" i="43"/>
  <c r="G46" i="43"/>
  <c r="H46" i="43"/>
  <c r="I46" i="43"/>
  <c r="J46" i="43"/>
  <c r="F47" i="43"/>
  <c r="G47" i="43"/>
  <c r="H47" i="43"/>
  <c r="I47" i="43"/>
  <c r="J47" i="43"/>
  <c r="F48" i="43"/>
  <c r="G48" i="43"/>
  <c r="H48" i="43"/>
  <c r="I48" i="43"/>
  <c r="E48" i="43" s="1"/>
  <c r="L48" i="43" s="1"/>
  <c r="J48" i="43"/>
  <c r="F49" i="43"/>
  <c r="E49" i="43" s="1"/>
  <c r="L49" i="43" s="1"/>
  <c r="G49" i="43"/>
  <c r="H49" i="43"/>
  <c r="I49" i="43"/>
  <c r="J49" i="43"/>
  <c r="F50" i="43"/>
  <c r="G50" i="43"/>
  <c r="E50" i="43" s="1"/>
  <c r="L50" i="43" s="1"/>
  <c r="H50" i="43"/>
  <c r="I50" i="43"/>
  <c r="J50" i="43"/>
  <c r="F51" i="43"/>
  <c r="G51" i="43"/>
  <c r="H51" i="43"/>
  <c r="I51" i="43"/>
  <c r="J51" i="43"/>
  <c r="F52" i="43"/>
  <c r="G52" i="43"/>
  <c r="E52" i="43" s="1"/>
  <c r="L52" i="43" s="1"/>
  <c r="H52" i="43"/>
  <c r="I52" i="43"/>
  <c r="J52" i="43"/>
  <c r="F53" i="43"/>
  <c r="G53" i="43"/>
  <c r="H53" i="43"/>
  <c r="E53" i="43" s="1"/>
  <c r="L53" i="43" s="1"/>
  <c r="I53" i="43"/>
  <c r="J53" i="43"/>
  <c r="F54" i="43"/>
  <c r="G54" i="43"/>
  <c r="H54" i="43"/>
  <c r="I54" i="43"/>
  <c r="J54" i="43"/>
  <c r="F55" i="43"/>
  <c r="G55" i="43"/>
  <c r="H55" i="43"/>
  <c r="I55" i="43"/>
  <c r="J55" i="43"/>
  <c r="F56" i="43"/>
  <c r="G56" i="43"/>
  <c r="H56" i="43"/>
  <c r="I56" i="43"/>
  <c r="E56" i="43" s="1"/>
  <c r="L56" i="43" s="1"/>
  <c r="J56" i="43"/>
  <c r="F57" i="43"/>
  <c r="E57" i="43" s="1"/>
  <c r="L57" i="43" s="1"/>
  <c r="G57" i="43"/>
  <c r="H57" i="43"/>
  <c r="I57" i="43"/>
  <c r="J57" i="43"/>
  <c r="F58" i="43"/>
  <c r="G58" i="43"/>
  <c r="E58" i="43" s="1"/>
  <c r="L58" i="43" s="1"/>
  <c r="H58" i="43"/>
  <c r="I58" i="43"/>
  <c r="J58" i="43"/>
  <c r="F59" i="43"/>
  <c r="G59" i="43"/>
  <c r="H59" i="43"/>
  <c r="I59" i="43"/>
  <c r="J59" i="43"/>
  <c r="E59" i="43" s="1"/>
  <c r="L59" i="43" s="1"/>
  <c r="F60" i="43"/>
  <c r="G60" i="43"/>
  <c r="E60" i="43" s="1"/>
  <c r="L60" i="43" s="1"/>
  <c r="H60" i="43"/>
  <c r="I60" i="43"/>
  <c r="J60" i="43"/>
  <c r="F61" i="43"/>
  <c r="G61" i="43"/>
  <c r="H61" i="43"/>
  <c r="E61" i="43" s="1"/>
  <c r="L61" i="43" s="1"/>
  <c r="I61" i="43"/>
  <c r="J61" i="43"/>
  <c r="F62" i="43"/>
  <c r="G62" i="43"/>
  <c r="H62" i="43"/>
  <c r="I62" i="43"/>
  <c r="J62" i="43"/>
  <c r="F63" i="43"/>
  <c r="G63" i="43"/>
  <c r="H63" i="43"/>
  <c r="I63" i="43"/>
  <c r="J63" i="43"/>
  <c r="F64" i="43"/>
  <c r="G64" i="43"/>
  <c r="H64" i="43"/>
  <c r="I64" i="43"/>
  <c r="E64" i="43" s="1"/>
  <c r="L64" i="43" s="1"/>
  <c r="J64" i="43"/>
  <c r="F65" i="43"/>
  <c r="E65" i="43" s="1"/>
  <c r="L65" i="43" s="1"/>
  <c r="G65" i="43"/>
  <c r="H65" i="43"/>
  <c r="I65" i="43"/>
  <c r="J65" i="43"/>
  <c r="F66" i="43"/>
  <c r="G66" i="43"/>
  <c r="E66" i="43" s="1"/>
  <c r="L66" i="43" s="1"/>
  <c r="H66" i="43"/>
  <c r="I66" i="43"/>
  <c r="J66" i="43"/>
  <c r="F67" i="43"/>
  <c r="G67" i="43"/>
  <c r="H67" i="43"/>
  <c r="I67" i="43"/>
  <c r="J67" i="43"/>
  <c r="E67" i="43" s="1"/>
  <c r="L67" i="43" s="1"/>
  <c r="F68" i="43"/>
  <c r="G68" i="43"/>
  <c r="H68" i="43"/>
  <c r="I68" i="43"/>
  <c r="J68" i="43"/>
  <c r="F69" i="43"/>
  <c r="G69" i="43"/>
  <c r="H69" i="43"/>
  <c r="E69" i="43" s="1"/>
  <c r="L69" i="43" s="1"/>
  <c r="I69" i="43"/>
  <c r="J69" i="43"/>
  <c r="F70" i="43"/>
  <c r="G70" i="43"/>
  <c r="H70" i="43"/>
  <c r="I70" i="43"/>
  <c r="J70" i="43"/>
  <c r="F71" i="43"/>
  <c r="G71" i="43"/>
  <c r="H71" i="43"/>
  <c r="I71" i="43"/>
  <c r="J71" i="43"/>
  <c r="F72" i="43"/>
  <c r="G72" i="43"/>
  <c r="H72" i="43"/>
  <c r="I72" i="43"/>
  <c r="E72" i="43" s="1"/>
  <c r="L72" i="43" s="1"/>
  <c r="J72" i="43"/>
  <c r="F73" i="43"/>
  <c r="E73" i="43" s="1"/>
  <c r="L73" i="43" s="1"/>
  <c r="G73" i="43"/>
  <c r="H73" i="43"/>
  <c r="I73" i="43"/>
  <c r="J73" i="43"/>
  <c r="F74" i="43"/>
  <c r="G74" i="43"/>
  <c r="E74" i="43" s="1"/>
  <c r="L74" i="43" s="1"/>
  <c r="H74" i="43"/>
  <c r="I74" i="43"/>
  <c r="J74" i="43"/>
  <c r="F75" i="43"/>
  <c r="G75" i="43"/>
  <c r="H75" i="43"/>
  <c r="I75" i="43"/>
  <c r="J75" i="43"/>
  <c r="E75" i="43" s="1"/>
  <c r="L75" i="43" s="1"/>
  <c r="F76" i="43"/>
  <c r="G76" i="43"/>
  <c r="E76" i="43" s="1"/>
  <c r="L76" i="43" s="1"/>
  <c r="H76" i="43"/>
  <c r="I76" i="43"/>
  <c r="J76" i="43"/>
  <c r="F77" i="43"/>
  <c r="G77" i="43"/>
  <c r="H77" i="43"/>
  <c r="E77" i="43" s="1"/>
  <c r="L77" i="43" s="1"/>
  <c r="I77" i="43"/>
  <c r="J77" i="43"/>
  <c r="F78" i="43"/>
  <c r="G78" i="43"/>
  <c r="H78" i="43"/>
  <c r="I78" i="43"/>
  <c r="J78" i="43"/>
  <c r="F79" i="43"/>
  <c r="G79" i="43"/>
  <c r="H79" i="43"/>
  <c r="I79" i="43"/>
  <c r="J79" i="43"/>
  <c r="F80" i="43"/>
  <c r="G80" i="43"/>
  <c r="H80" i="43"/>
  <c r="I80" i="43"/>
  <c r="E80" i="43" s="1"/>
  <c r="L80" i="43" s="1"/>
  <c r="J80" i="43"/>
  <c r="F81" i="43"/>
  <c r="E81" i="43" s="1"/>
  <c r="L81" i="43" s="1"/>
  <c r="G81" i="43"/>
  <c r="H81" i="43"/>
  <c r="I81" i="43"/>
  <c r="J81" i="43"/>
  <c r="F82" i="43"/>
  <c r="G82" i="43"/>
  <c r="E82" i="43" s="1"/>
  <c r="L82" i="43" s="1"/>
  <c r="H82" i="43"/>
  <c r="I82" i="43"/>
  <c r="J82" i="43"/>
  <c r="F83" i="43"/>
  <c r="G83" i="43"/>
  <c r="H83" i="43"/>
  <c r="I83" i="43"/>
  <c r="J83" i="43"/>
  <c r="E83" i="43" s="1"/>
  <c r="L83" i="43" s="1"/>
  <c r="F84" i="43"/>
  <c r="G84" i="43"/>
  <c r="H84" i="43"/>
  <c r="I84" i="43"/>
  <c r="J84" i="43"/>
  <c r="F85" i="43"/>
  <c r="G85" i="43"/>
  <c r="H85" i="43"/>
  <c r="E85" i="43" s="1"/>
  <c r="L85" i="43" s="1"/>
  <c r="I85" i="43"/>
  <c r="J85" i="43"/>
  <c r="F86" i="43"/>
  <c r="G86" i="43"/>
  <c r="H86" i="43"/>
  <c r="I86" i="43"/>
  <c r="J86" i="43"/>
  <c r="F87" i="43"/>
  <c r="G87" i="43"/>
  <c r="H87" i="43"/>
  <c r="I87" i="43"/>
  <c r="J87" i="43"/>
  <c r="F88" i="43"/>
  <c r="G88" i="43"/>
  <c r="H88" i="43"/>
  <c r="I88" i="43"/>
  <c r="E88" i="43" s="1"/>
  <c r="L88" i="43" s="1"/>
  <c r="J88" i="43"/>
  <c r="F89" i="43"/>
  <c r="G89" i="43"/>
  <c r="H89" i="43"/>
  <c r="I89" i="43"/>
  <c r="J89" i="43"/>
  <c r="F90" i="43"/>
  <c r="G90" i="43"/>
  <c r="E90" i="43" s="1"/>
  <c r="L90" i="43" s="1"/>
  <c r="H90" i="43"/>
  <c r="I90" i="43"/>
  <c r="J90" i="43"/>
  <c r="F91" i="43"/>
  <c r="G91" i="43"/>
  <c r="H91" i="43"/>
  <c r="I91" i="43"/>
  <c r="J91" i="43"/>
  <c r="E91" i="43" s="1"/>
  <c r="L91" i="43" s="1"/>
  <c r="F92" i="43"/>
  <c r="G92" i="43"/>
  <c r="H92" i="43"/>
  <c r="I92" i="43"/>
  <c r="J92" i="43"/>
  <c r="F93" i="43"/>
  <c r="G93" i="43"/>
  <c r="H93" i="43"/>
  <c r="E93" i="43" s="1"/>
  <c r="L93" i="43" s="1"/>
  <c r="I93" i="43"/>
  <c r="J93" i="43"/>
  <c r="F94" i="43"/>
  <c r="G94" i="43"/>
  <c r="H94" i="43"/>
  <c r="I94" i="43"/>
  <c r="J94" i="43"/>
  <c r="F95" i="43"/>
  <c r="G95" i="43"/>
  <c r="H95" i="43"/>
  <c r="I95" i="43"/>
  <c r="J95" i="43"/>
  <c r="F96" i="43"/>
  <c r="G96" i="43"/>
  <c r="H96" i="43"/>
  <c r="I96" i="43"/>
  <c r="E96" i="43" s="1"/>
  <c r="L96" i="43" s="1"/>
  <c r="J96" i="43"/>
  <c r="F97" i="43"/>
  <c r="G97" i="43"/>
  <c r="H97" i="43"/>
  <c r="I97" i="43"/>
  <c r="J97" i="43"/>
  <c r="F98" i="43"/>
  <c r="G98" i="43"/>
  <c r="E98" i="43" s="1"/>
  <c r="L98" i="43" s="1"/>
  <c r="H98" i="43"/>
  <c r="I98" i="43"/>
  <c r="J98" i="43"/>
  <c r="F99" i="43"/>
  <c r="G99" i="43"/>
  <c r="H99" i="43"/>
  <c r="I99" i="43"/>
  <c r="J99" i="43"/>
  <c r="E99" i="43" s="1"/>
  <c r="L99" i="43" s="1"/>
  <c r="F100" i="43"/>
  <c r="G100" i="43"/>
  <c r="H100" i="43"/>
  <c r="I100" i="43"/>
  <c r="J100" i="43"/>
  <c r="F101" i="43"/>
  <c r="G101" i="43"/>
  <c r="H101" i="43"/>
  <c r="E101" i="43" s="1"/>
  <c r="L101" i="43" s="1"/>
  <c r="I101" i="43"/>
  <c r="J101" i="43"/>
  <c r="F102" i="43"/>
  <c r="G102" i="43"/>
  <c r="H102" i="43"/>
  <c r="I102" i="43"/>
  <c r="J102" i="43"/>
  <c r="F103" i="43"/>
  <c r="G103" i="43"/>
  <c r="H103" i="43"/>
  <c r="I103" i="43"/>
  <c r="J103" i="43"/>
  <c r="G3" i="43"/>
  <c r="H3" i="43"/>
  <c r="I3" i="43"/>
  <c r="J3" i="43"/>
  <c r="F3" i="43"/>
  <c r="J105" i="45"/>
  <c r="K104" i="45" s="1"/>
  <c r="D103" i="45"/>
  <c r="D104" i="45"/>
  <c r="D92" i="45"/>
  <c r="D72" i="45"/>
  <c r="D66" i="45"/>
  <c r="K62" i="45"/>
  <c r="D62" i="45"/>
  <c r="D57" i="45"/>
  <c r="D54" i="45"/>
  <c r="D53" i="45"/>
  <c r="D52" i="45"/>
  <c r="D51" i="45"/>
  <c r="D50" i="45"/>
  <c r="D49" i="45"/>
  <c r="D48" i="45"/>
  <c r="K47" i="45"/>
  <c r="D47" i="45"/>
  <c r="D46" i="45"/>
  <c r="D45" i="45"/>
  <c r="K44" i="45"/>
  <c r="D44" i="45"/>
  <c r="D43" i="45"/>
  <c r="D42" i="45"/>
  <c r="D41" i="45"/>
  <c r="K40" i="45"/>
  <c r="D40" i="45"/>
  <c r="D39" i="45"/>
  <c r="D38" i="45"/>
  <c r="D37" i="45"/>
  <c r="K36" i="45"/>
  <c r="D36" i="45"/>
  <c r="D35" i="45"/>
  <c r="D34" i="45"/>
  <c r="D33" i="45"/>
  <c r="K32" i="45"/>
  <c r="D32" i="45"/>
  <c r="D31" i="45"/>
  <c r="D30" i="45"/>
  <c r="D29" i="45"/>
  <c r="K28" i="45"/>
  <c r="D28" i="45"/>
  <c r="D27" i="45"/>
  <c r="D26" i="45"/>
  <c r="D25" i="45"/>
  <c r="K24" i="45"/>
  <c r="D24" i="45"/>
  <c r="D23" i="45"/>
  <c r="D22" i="45"/>
  <c r="D21" i="45"/>
  <c r="K20" i="45"/>
  <c r="D20" i="45"/>
  <c r="D19" i="45"/>
  <c r="D18" i="45"/>
  <c r="D17" i="45"/>
  <c r="K16" i="45"/>
  <c r="D16" i="45"/>
  <c r="K15" i="45"/>
  <c r="D15" i="45"/>
  <c r="K14" i="45"/>
  <c r="D14" i="45"/>
  <c r="K13" i="45"/>
  <c r="D13" i="45"/>
  <c r="K12" i="45"/>
  <c r="D12" i="45"/>
  <c r="K11" i="45"/>
  <c r="D11" i="45"/>
  <c r="K10" i="45"/>
  <c r="D10" i="45"/>
  <c r="K9" i="45"/>
  <c r="D9" i="45"/>
  <c r="K8" i="45"/>
  <c r="D8" i="45"/>
  <c r="K7" i="45"/>
  <c r="D7" i="45"/>
  <c r="K6" i="45"/>
  <c r="D6" i="45"/>
  <c r="K5" i="45"/>
  <c r="D5" i="45"/>
  <c r="K4" i="45"/>
  <c r="E4" i="45"/>
  <c r="F4" i="45" s="1"/>
  <c r="D4" i="45"/>
  <c r="J105" i="44"/>
  <c r="K16" i="44" s="1"/>
  <c r="R126" i="43"/>
  <c r="Q126" i="43"/>
  <c r="P126" i="43"/>
  <c r="O126" i="43"/>
  <c r="M126" i="43"/>
  <c r="K126" i="43"/>
  <c r="AZ124" i="43"/>
  <c r="AO124" i="43"/>
  <c r="AN124" i="43"/>
  <c r="AM124" i="43"/>
  <c r="AL124" i="43"/>
  <c r="AK124" i="43"/>
  <c r="AJ124" i="43"/>
  <c r="AI124" i="43"/>
  <c r="AH124" i="43"/>
  <c r="AG124" i="43"/>
  <c r="AE124" i="43"/>
  <c r="AF124" i="43" s="1"/>
  <c r="AD124" i="43"/>
  <c r="AC124" i="43"/>
  <c r="AB124" i="43"/>
  <c r="AA124" i="43"/>
  <c r="Z124" i="43"/>
  <c r="Y124" i="43"/>
  <c r="X124" i="43"/>
  <c r="W124" i="43"/>
  <c r="V124" i="43"/>
  <c r="U124" i="43"/>
  <c r="T124" i="43"/>
  <c r="S124" i="43"/>
  <c r="N124" i="43"/>
  <c r="L124" i="43"/>
  <c r="J124" i="43"/>
  <c r="I124" i="43"/>
  <c r="H124" i="43"/>
  <c r="G124" i="43"/>
  <c r="F124" i="43"/>
  <c r="E124" i="43"/>
  <c r="AX123" i="43"/>
  <c r="AW123" i="43"/>
  <c r="AV123" i="43"/>
  <c r="AU123" i="43"/>
  <c r="AT123" i="43"/>
  <c r="AS123" i="43"/>
  <c r="AR123" i="43"/>
  <c r="AQ123" i="43"/>
  <c r="AZ113" i="43"/>
  <c r="AO113" i="43"/>
  <c r="AN113" i="43"/>
  <c r="AM113" i="43"/>
  <c r="AL113" i="43"/>
  <c r="AK113" i="43"/>
  <c r="AJ113" i="43"/>
  <c r="AI113" i="43"/>
  <c r="AH113" i="43"/>
  <c r="AU113" i="43" s="1"/>
  <c r="AG113" i="43"/>
  <c r="AE113" i="43"/>
  <c r="AD113" i="43"/>
  <c r="AC113" i="43"/>
  <c r="AB113" i="43"/>
  <c r="AA113" i="43"/>
  <c r="AF113" i="43" s="1"/>
  <c r="Z113" i="43"/>
  <c r="Y113" i="43"/>
  <c r="X113" i="43"/>
  <c r="W113" i="43"/>
  <c r="V113" i="43"/>
  <c r="U113" i="43"/>
  <c r="T113" i="43"/>
  <c r="S113" i="43"/>
  <c r="N113" i="43"/>
  <c r="L113" i="43"/>
  <c r="J113" i="43"/>
  <c r="I113" i="43"/>
  <c r="H113" i="43"/>
  <c r="G113" i="43"/>
  <c r="F113" i="43"/>
  <c r="E113" i="43"/>
  <c r="AX112" i="43"/>
  <c r="AW112" i="43"/>
  <c r="AV112" i="43"/>
  <c r="AU112" i="43"/>
  <c r="AT112" i="43"/>
  <c r="AS112" i="43"/>
  <c r="AR112" i="43"/>
  <c r="AQ112" i="43"/>
  <c r="AR103" i="43"/>
  <c r="AR102" i="43"/>
  <c r="E102" i="43"/>
  <c r="L102" i="43" s="1"/>
  <c r="AR101" i="43"/>
  <c r="AR100" i="43"/>
  <c r="AR99" i="43"/>
  <c r="AR98" i="43"/>
  <c r="AB98" i="43"/>
  <c r="AR97" i="43"/>
  <c r="AB97" i="43"/>
  <c r="AR96" i="43"/>
  <c r="AB96" i="43"/>
  <c r="AR95" i="43"/>
  <c r="AB95" i="43"/>
  <c r="AR94" i="43"/>
  <c r="AB94" i="43"/>
  <c r="E94" i="43"/>
  <c r="L94" i="43" s="1"/>
  <c r="AR93" i="43"/>
  <c r="AR92" i="43"/>
  <c r="AR91" i="43"/>
  <c r="AR90" i="43"/>
  <c r="AB90" i="43"/>
  <c r="AR89" i="43"/>
  <c r="AB89" i="43"/>
  <c r="AR88" i="43"/>
  <c r="AB88" i="43"/>
  <c r="AR87" i="43"/>
  <c r="AR86" i="43"/>
  <c r="AB86" i="43"/>
  <c r="E86" i="43"/>
  <c r="L86" i="43" s="1"/>
  <c r="AR85" i="43"/>
  <c r="AR84" i="43"/>
  <c r="AR83" i="43"/>
  <c r="AR82" i="43"/>
  <c r="AB82" i="43"/>
  <c r="AR81" i="43"/>
  <c r="AB81" i="43"/>
  <c r="AR80" i="43"/>
  <c r="AB80" i="43"/>
  <c r="AR79" i="43"/>
  <c r="AB79" i="43"/>
  <c r="AR78" i="43"/>
  <c r="AB78" i="43"/>
  <c r="E78" i="43"/>
  <c r="L78" i="43" s="1"/>
  <c r="AR77" i="43"/>
  <c r="AR76" i="43"/>
  <c r="AR75" i="43"/>
  <c r="AR74" i="43"/>
  <c r="AB74" i="43"/>
  <c r="AR73" i="43"/>
  <c r="AB73" i="43"/>
  <c r="AR72" i="43"/>
  <c r="AB72" i="43"/>
  <c r="AR71" i="43"/>
  <c r="AR70" i="43"/>
  <c r="AB70" i="43"/>
  <c r="E70" i="43"/>
  <c r="L70" i="43" s="1"/>
  <c r="AR69" i="43"/>
  <c r="AR68" i="43"/>
  <c r="AR67" i="43"/>
  <c r="AR66" i="43"/>
  <c r="AB66" i="43"/>
  <c r="AR65" i="43"/>
  <c r="AB65" i="43"/>
  <c r="AR64" i="43"/>
  <c r="AB64" i="43"/>
  <c r="AR63" i="43"/>
  <c r="AR62" i="43"/>
  <c r="AB62" i="43"/>
  <c r="E62" i="43"/>
  <c r="L62" i="43" s="1"/>
  <c r="AR61" i="43"/>
  <c r="AB61" i="43"/>
  <c r="AR60" i="43"/>
  <c r="AR59" i="43"/>
  <c r="AR58" i="43"/>
  <c r="AB58" i="43"/>
  <c r="AR57" i="43"/>
  <c r="AB57" i="43"/>
  <c r="AR56" i="43"/>
  <c r="AB56" i="43"/>
  <c r="AR55" i="43"/>
  <c r="AB55" i="43"/>
  <c r="AR54" i="43"/>
  <c r="AB54" i="43"/>
  <c r="E54" i="43"/>
  <c r="L54" i="43" s="1"/>
  <c r="AR53" i="43"/>
  <c r="AR52" i="43"/>
  <c r="AR51" i="43"/>
  <c r="E51" i="43"/>
  <c r="L51" i="43" s="1"/>
  <c r="AR50" i="43"/>
  <c r="AB50" i="43"/>
  <c r="AR49" i="43"/>
  <c r="AB49" i="43"/>
  <c r="AR48" i="43"/>
  <c r="AB48" i="43"/>
  <c r="AR47" i="43"/>
  <c r="AR46" i="43"/>
  <c r="AB46" i="43"/>
  <c r="E46" i="43"/>
  <c r="L46" i="43" s="1"/>
  <c r="AR45" i="43"/>
  <c r="AR44" i="43"/>
  <c r="AR43" i="43"/>
  <c r="AR42" i="43"/>
  <c r="AB42" i="43"/>
  <c r="E42" i="43"/>
  <c r="L42" i="43" s="1"/>
  <c r="AR41" i="43"/>
  <c r="AB41" i="43"/>
  <c r="AR40" i="43"/>
  <c r="AB40" i="43"/>
  <c r="AR39" i="43"/>
  <c r="AB39" i="43"/>
  <c r="AR38" i="43"/>
  <c r="AB38" i="43"/>
  <c r="E38" i="43"/>
  <c r="L38" i="43" s="1"/>
  <c r="AR37" i="43"/>
  <c r="AR36" i="43"/>
  <c r="AR35" i="43"/>
  <c r="AB35" i="43"/>
  <c r="AR34" i="43"/>
  <c r="AB34" i="43"/>
  <c r="AR33" i="43"/>
  <c r="AB33" i="43"/>
  <c r="AR32" i="43"/>
  <c r="AB32" i="43"/>
  <c r="AR31" i="43"/>
  <c r="AB31" i="43"/>
  <c r="AR30" i="43"/>
  <c r="AB30" i="43"/>
  <c r="E30" i="43"/>
  <c r="L30" i="43" s="1"/>
  <c r="AR29" i="43"/>
  <c r="AR28" i="43"/>
  <c r="AR27" i="43"/>
  <c r="AR26" i="43"/>
  <c r="AB26" i="43"/>
  <c r="AR25" i="43"/>
  <c r="AB25" i="43"/>
  <c r="AR24" i="43"/>
  <c r="AB24" i="43"/>
  <c r="AR23" i="43"/>
  <c r="AB23" i="43"/>
  <c r="AR22" i="43"/>
  <c r="AB22" i="43"/>
  <c r="E22" i="43"/>
  <c r="L22" i="43" s="1"/>
  <c r="AR21" i="43"/>
  <c r="AR20" i="43"/>
  <c r="AR19" i="43"/>
  <c r="AR18" i="43"/>
  <c r="AB18" i="43"/>
  <c r="AR17" i="43"/>
  <c r="AB17" i="43"/>
  <c r="AR16" i="43"/>
  <c r="AB16" i="43"/>
  <c r="AR15" i="43"/>
  <c r="AB15" i="43"/>
  <c r="AR14" i="43"/>
  <c r="AB14" i="43"/>
  <c r="E14" i="43"/>
  <c r="L14" i="43" s="1"/>
  <c r="AR13" i="43"/>
  <c r="AB13" i="43"/>
  <c r="AR12" i="43"/>
  <c r="AR11" i="43"/>
  <c r="AR10" i="43"/>
  <c r="AB10" i="43"/>
  <c r="AR9" i="43"/>
  <c r="AB9" i="43"/>
  <c r="AR8" i="43"/>
  <c r="AB8" i="43"/>
  <c r="AR7" i="43"/>
  <c r="AB7" i="43"/>
  <c r="AR6" i="43"/>
  <c r="AB6" i="43"/>
  <c r="E6" i="43"/>
  <c r="L6" i="43" s="1"/>
  <c r="AR5" i="43"/>
  <c r="AR4" i="43"/>
  <c r="AR3" i="43"/>
  <c r="E3" i="43"/>
  <c r="L3" i="43" s="1"/>
  <c r="R126" i="42"/>
  <c r="Q126" i="42"/>
  <c r="P126" i="42"/>
  <c r="O126" i="42"/>
  <c r="M126" i="42"/>
  <c r="K126" i="42"/>
  <c r="AZ124" i="42"/>
  <c r="AO124" i="42"/>
  <c r="AN124" i="42"/>
  <c r="AM124" i="42"/>
  <c r="AL124" i="42"/>
  <c r="AK124" i="42"/>
  <c r="AJ124" i="42"/>
  <c r="AI124" i="42"/>
  <c r="AH124" i="42"/>
  <c r="AU124" i="42" s="1"/>
  <c r="AG124" i="42"/>
  <c r="AE124" i="42"/>
  <c r="AD124" i="42"/>
  <c r="AC124" i="42"/>
  <c r="AB124" i="42"/>
  <c r="AA124" i="42"/>
  <c r="Z124" i="42"/>
  <c r="Y124" i="42"/>
  <c r="X124" i="42"/>
  <c r="W124" i="42"/>
  <c r="V124" i="42"/>
  <c r="U124" i="42"/>
  <c r="T124" i="42"/>
  <c r="S124" i="42"/>
  <c r="N124" i="42"/>
  <c r="L124" i="42"/>
  <c r="E124" i="42"/>
  <c r="AX123" i="42"/>
  <c r="AW123" i="42"/>
  <c r="AV123" i="42"/>
  <c r="AU123" i="42"/>
  <c r="AT123" i="42"/>
  <c r="AS123" i="42"/>
  <c r="AR123" i="42"/>
  <c r="AQ123" i="42"/>
  <c r="AZ113" i="42"/>
  <c r="AO113" i="42"/>
  <c r="AN113" i="42"/>
  <c r="AM113" i="42"/>
  <c r="AL113" i="42"/>
  <c r="AK113" i="42"/>
  <c r="AJ113" i="42"/>
  <c r="AI113" i="42"/>
  <c r="AH113" i="42"/>
  <c r="AG113" i="42"/>
  <c r="AE113" i="42"/>
  <c r="AD113" i="42"/>
  <c r="AC113" i="42"/>
  <c r="AB113" i="42"/>
  <c r="AA113" i="42"/>
  <c r="AF113" i="42" s="1"/>
  <c r="Z113" i="42"/>
  <c r="Y113" i="42"/>
  <c r="X113" i="42"/>
  <c r="W113" i="42"/>
  <c r="V113" i="42"/>
  <c r="U113" i="42"/>
  <c r="T113" i="42"/>
  <c r="S113" i="42"/>
  <c r="N113" i="42"/>
  <c r="L113" i="42"/>
  <c r="E113" i="42"/>
  <c r="AX112" i="42"/>
  <c r="AW112" i="42"/>
  <c r="AV112" i="42"/>
  <c r="AU112" i="42"/>
  <c r="AT112" i="42"/>
  <c r="AS112" i="42"/>
  <c r="AR112" i="42"/>
  <c r="AQ112" i="42"/>
  <c r="AK105" i="42"/>
  <c r="AK126" i="42" s="1"/>
  <c r="AJ105" i="42"/>
  <c r="AI105" i="42"/>
  <c r="AH105" i="42"/>
  <c r="AH126" i="42" s="1"/>
  <c r="N105" i="42"/>
  <c r="AR103" i="42"/>
  <c r="Q103" i="42"/>
  <c r="E103" i="42"/>
  <c r="L103" i="42" s="1"/>
  <c r="AR102" i="42"/>
  <c r="Q102" i="42"/>
  <c r="E102" i="42"/>
  <c r="L102" i="42" s="1"/>
  <c r="AR101" i="42"/>
  <c r="Q101" i="42"/>
  <c r="E101" i="42"/>
  <c r="L101" i="42" s="1"/>
  <c r="AR100" i="42"/>
  <c r="Q100" i="42"/>
  <c r="E100" i="42"/>
  <c r="L100" i="42" s="1"/>
  <c r="AR99" i="42"/>
  <c r="Q99" i="42"/>
  <c r="E99" i="42"/>
  <c r="L99" i="42" s="1"/>
  <c r="AR98" i="42"/>
  <c r="Q98" i="42"/>
  <c r="E98" i="42"/>
  <c r="L98" i="42" s="1"/>
  <c r="AR97" i="42"/>
  <c r="Q97" i="42"/>
  <c r="E97" i="42"/>
  <c r="L97" i="42" s="1"/>
  <c r="AR96" i="42"/>
  <c r="Q96" i="42"/>
  <c r="E96" i="42"/>
  <c r="L96" i="42" s="1"/>
  <c r="AR95" i="42"/>
  <c r="Q95" i="42"/>
  <c r="E95" i="42"/>
  <c r="L95" i="42" s="1"/>
  <c r="AR94" i="42"/>
  <c r="Q94" i="42"/>
  <c r="E94" i="42"/>
  <c r="L94" i="42" s="1"/>
  <c r="AR93" i="42"/>
  <c r="Q93" i="42"/>
  <c r="E93" i="42"/>
  <c r="L93" i="42" s="1"/>
  <c r="AR92" i="42"/>
  <c r="Q92" i="42"/>
  <c r="E92" i="42"/>
  <c r="L92" i="42" s="1"/>
  <c r="AR91" i="42"/>
  <c r="Q91" i="42"/>
  <c r="E91" i="42"/>
  <c r="L91" i="42" s="1"/>
  <c r="AR90" i="42"/>
  <c r="Q90" i="42"/>
  <c r="E90" i="42"/>
  <c r="L90" i="42" s="1"/>
  <c r="AR89" i="42"/>
  <c r="Q89" i="42"/>
  <c r="E89" i="42"/>
  <c r="L89" i="42" s="1"/>
  <c r="AR88" i="42"/>
  <c r="Q88" i="42"/>
  <c r="E88" i="42"/>
  <c r="L88" i="42" s="1"/>
  <c r="AR87" i="42"/>
  <c r="Q87" i="42"/>
  <c r="E87" i="42"/>
  <c r="L87" i="42" s="1"/>
  <c r="AR86" i="42"/>
  <c r="Q86" i="42"/>
  <c r="E86" i="42"/>
  <c r="L86" i="42" s="1"/>
  <c r="AR85" i="42"/>
  <c r="Q85" i="42"/>
  <c r="E85" i="42"/>
  <c r="L85" i="42" s="1"/>
  <c r="AR84" i="42"/>
  <c r="Q84" i="42"/>
  <c r="E84" i="42"/>
  <c r="L84" i="42" s="1"/>
  <c r="AR83" i="42"/>
  <c r="Q83" i="42"/>
  <c r="E83" i="42"/>
  <c r="L83" i="42" s="1"/>
  <c r="AR82" i="42"/>
  <c r="Q82" i="42"/>
  <c r="E82" i="42"/>
  <c r="L82" i="42" s="1"/>
  <c r="AR81" i="42"/>
  <c r="Q81" i="42"/>
  <c r="E81" i="42"/>
  <c r="L81" i="42" s="1"/>
  <c r="AR80" i="42"/>
  <c r="Q80" i="42"/>
  <c r="E80" i="42"/>
  <c r="L80" i="42" s="1"/>
  <c r="AR79" i="42"/>
  <c r="Q79" i="42"/>
  <c r="E79" i="42"/>
  <c r="L79" i="42" s="1"/>
  <c r="AR78" i="42"/>
  <c r="Q78" i="42"/>
  <c r="E78" i="42"/>
  <c r="L78" i="42" s="1"/>
  <c r="AR77" i="42"/>
  <c r="Q77" i="42"/>
  <c r="E77" i="42"/>
  <c r="L77" i="42" s="1"/>
  <c r="AR76" i="42"/>
  <c r="Q76" i="42"/>
  <c r="E76" i="42"/>
  <c r="L76" i="42" s="1"/>
  <c r="AR75" i="42"/>
  <c r="Q75" i="42"/>
  <c r="E75" i="42"/>
  <c r="L75" i="42" s="1"/>
  <c r="AR74" i="42"/>
  <c r="Q74" i="42"/>
  <c r="E74" i="42"/>
  <c r="L74" i="42" s="1"/>
  <c r="AR73" i="42"/>
  <c r="Q73" i="42"/>
  <c r="E73" i="42"/>
  <c r="L73" i="42" s="1"/>
  <c r="AR72" i="42"/>
  <c r="Q72" i="42"/>
  <c r="E72" i="42"/>
  <c r="L72" i="42" s="1"/>
  <c r="AR71" i="42"/>
  <c r="Q71" i="42"/>
  <c r="E71" i="42"/>
  <c r="L71" i="42" s="1"/>
  <c r="AR70" i="42"/>
  <c r="Q70" i="42"/>
  <c r="E70" i="42"/>
  <c r="L70" i="42" s="1"/>
  <c r="AR69" i="42"/>
  <c r="Q69" i="42"/>
  <c r="E69" i="42"/>
  <c r="L69" i="42" s="1"/>
  <c r="AR68" i="42"/>
  <c r="Q68" i="42"/>
  <c r="E68" i="42"/>
  <c r="L68" i="42" s="1"/>
  <c r="AR67" i="42"/>
  <c r="Q67" i="42"/>
  <c r="E67" i="42"/>
  <c r="L67" i="42" s="1"/>
  <c r="AR66" i="42"/>
  <c r="Q66" i="42"/>
  <c r="E66" i="42"/>
  <c r="L66" i="42" s="1"/>
  <c r="AR65" i="42"/>
  <c r="Q65" i="42"/>
  <c r="E65" i="42"/>
  <c r="L65" i="42" s="1"/>
  <c r="AR64" i="42"/>
  <c r="Q64" i="42"/>
  <c r="E64" i="42"/>
  <c r="L64" i="42" s="1"/>
  <c r="AR63" i="42"/>
  <c r="Q63" i="42"/>
  <c r="E63" i="42"/>
  <c r="L63" i="42" s="1"/>
  <c r="AR62" i="42"/>
  <c r="Q62" i="42"/>
  <c r="E62" i="42"/>
  <c r="L62" i="42" s="1"/>
  <c r="AR61" i="42"/>
  <c r="Q61" i="42"/>
  <c r="E61" i="42"/>
  <c r="L61" i="42" s="1"/>
  <c r="AR60" i="42"/>
  <c r="Q60" i="42"/>
  <c r="E60" i="42"/>
  <c r="L60" i="42" s="1"/>
  <c r="AR59" i="42"/>
  <c r="Q59" i="42"/>
  <c r="E59" i="42"/>
  <c r="L59" i="42" s="1"/>
  <c r="AR58" i="42"/>
  <c r="Q58" i="42"/>
  <c r="E58" i="42"/>
  <c r="L58" i="42" s="1"/>
  <c r="AR57" i="42"/>
  <c r="Q57" i="42"/>
  <c r="E57" i="42"/>
  <c r="L57" i="42" s="1"/>
  <c r="AR56" i="42"/>
  <c r="Q56" i="42"/>
  <c r="E56" i="42"/>
  <c r="L56" i="42" s="1"/>
  <c r="AR55" i="42"/>
  <c r="Q55" i="42"/>
  <c r="E55" i="42"/>
  <c r="L55" i="42" s="1"/>
  <c r="AR54" i="42"/>
  <c r="Q54" i="42"/>
  <c r="E54" i="42"/>
  <c r="L54" i="42" s="1"/>
  <c r="AR53" i="42"/>
  <c r="Q53" i="42"/>
  <c r="E53" i="42"/>
  <c r="L53" i="42" s="1"/>
  <c r="AR52" i="42"/>
  <c r="Q52" i="42"/>
  <c r="E52" i="42"/>
  <c r="L52" i="42" s="1"/>
  <c r="AR51" i="42"/>
  <c r="Q51" i="42"/>
  <c r="E51" i="42"/>
  <c r="L51" i="42" s="1"/>
  <c r="AR50" i="42"/>
  <c r="Q50" i="42"/>
  <c r="E50" i="42"/>
  <c r="L50" i="42" s="1"/>
  <c r="AR49" i="42"/>
  <c r="Q49" i="42"/>
  <c r="E49" i="42"/>
  <c r="L49" i="42" s="1"/>
  <c r="AR48" i="42"/>
  <c r="Q48" i="42"/>
  <c r="E48" i="42"/>
  <c r="L48" i="42" s="1"/>
  <c r="AR47" i="42"/>
  <c r="Q47" i="42"/>
  <c r="E47" i="42"/>
  <c r="L47" i="42" s="1"/>
  <c r="AR46" i="42"/>
  <c r="Q46" i="42"/>
  <c r="E46" i="42"/>
  <c r="L46" i="42" s="1"/>
  <c r="AR45" i="42"/>
  <c r="Q45" i="42"/>
  <c r="E45" i="42"/>
  <c r="L45" i="42" s="1"/>
  <c r="AR44" i="42"/>
  <c r="Q44" i="42"/>
  <c r="E44" i="42"/>
  <c r="L44" i="42" s="1"/>
  <c r="AR43" i="42"/>
  <c r="Q43" i="42"/>
  <c r="E43" i="42"/>
  <c r="L43" i="42" s="1"/>
  <c r="AR42" i="42"/>
  <c r="Q42" i="42"/>
  <c r="E42" i="42"/>
  <c r="L42" i="42" s="1"/>
  <c r="AR41" i="42"/>
  <c r="Q41" i="42"/>
  <c r="E41" i="42"/>
  <c r="L41" i="42" s="1"/>
  <c r="AR40" i="42"/>
  <c r="Q40" i="42"/>
  <c r="E40" i="42"/>
  <c r="L40" i="42" s="1"/>
  <c r="AR39" i="42"/>
  <c r="Q39" i="42"/>
  <c r="E39" i="42"/>
  <c r="L39" i="42" s="1"/>
  <c r="AR38" i="42"/>
  <c r="Q38" i="42"/>
  <c r="E38" i="42"/>
  <c r="L38" i="42" s="1"/>
  <c r="AR37" i="42"/>
  <c r="Q37" i="42"/>
  <c r="E37" i="42"/>
  <c r="L37" i="42" s="1"/>
  <c r="AR36" i="42"/>
  <c r="Q36" i="42"/>
  <c r="E36" i="42"/>
  <c r="L36" i="42" s="1"/>
  <c r="AR35" i="42"/>
  <c r="Q35" i="42"/>
  <c r="E35" i="42"/>
  <c r="L35" i="42" s="1"/>
  <c r="AR34" i="42"/>
  <c r="Q34" i="42"/>
  <c r="E34" i="42"/>
  <c r="L34" i="42" s="1"/>
  <c r="AR33" i="42"/>
  <c r="Q33" i="42"/>
  <c r="E33" i="42"/>
  <c r="L33" i="42" s="1"/>
  <c r="AR32" i="42"/>
  <c r="Q32" i="42"/>
  <c r="E32" i="42"/>
  <c r="L32" i="42" s="1"/>
  <c r="AR31" i="42"/>
  <c r="Q31" i="42"/>
  <c r="E31" i="42"/>
  <c r="L31" i="42" s="1"/>
  <c r="AR30" i="42"/>
  <c r="Q30" i="42"/>
  <c r="E30" i="42"/>
  <c r="L30" i="42" s="1"/>
  <c r="AR29" i="42"/>
  <c r="Q29" i="42"/>
  <c r="E29" i="42"/>
  <c r="L29" i="42" s="1"/>
  <c r="AR28" i="42"/>
  <c r="Q28" i="42"/>
  <c r="E28" i="42"/>
  <c r="L28" i="42" s="1"/>
  <c r="AR27" i="42"/>
  <c r="Q27" i="42"/>
  <c r="E27" i="42"/>
  <c r="L27" i="42" s="1"/>
  <c r="AR26" i="42"/>
  <c r="Q26" i="42"/>
  <c r="E26" i="42"/>
  <c r="L26" i="42" s="1"/>
  <c r="AR25" i="42"/>
  <c r="Q25" i="42"/>
  <c r="E25" i="42"/>
  <c r="L25" i="42" s="1"/>
  <c r="AR24" i="42"/>
  <c r="Q24" i="42"/>
  <c r="E24" i="42"/>
  <c r="L24" i="42" s="1"/>
  <c r="AR23" i="42"/>
  <c r="Q23" i="42"/>
  <c r="E23" i="42"/>
  <c r="L23" i="42" s="1"/>
  <c r="AR22" i="42"/>
  <c r="Q22" i="42"/>
  <c r="E22" i="42"/>
  <c r="L22" i="42" s="1"/>
  <c r="AR21" i="42"/>
  <c r="Q21" i="42"/>
  <c r="E21" i="42"/>
  <c r="L21" i="42" s="1"/>
  <c r="AR20" i="42"/>
  <c r="Q20" i="42"/>
  <c r="E20" i="42"/>
  <c r="L20" i="42" s="1"/>
  <c r="AR19" i="42"/>
  <c r="Q19" i="42"/>
  <c r="E19" i="42"/>
  <c r="L19" i="42" s="1"/>
  <c r="AR18" i="42"/>
  <c r="Q18" i="42"/>
  <c r="E18" i="42"/>
  <c r="L18" i="42" s="1"/>
  <c r="AR17" i="42"/>
  <c r="Q17" i="42"/>
  <c r="E17" i="42"/>
  <c r="L17" i="42" s="1"/>
  <c r="AR16" i="42"/>
  <c r="Q16" i="42"/>
  <c r="E16" i="42"/>
  <c r="L16" i="42" s="1"/>
  <c r="AR15" i="42"/>
  <c r="Q15" i="42"/>
  <c r="E15" i="42"/>
  <c r="L15" i="42" s="1"/>
  <c r="AR14" i="42"/>
  <c r="Q14" i="42"/>
  <c r="E14" i="42"/>
  <c r="L14" i="42" s="1"/>
  <c r="AR13" i="42"/>
  <c r="Q13" i="42"/>
  <c r="E13" i="42"/>
  <c r="L13" i="42" s="1"/>
  <c r="AR12" i="42"/>
  <c r="Q12" i="42"/>
  <c r="E12" i="42"/>
  <c r="L12" i="42" s="1"/>
  <c r="AR11" i="42"/>
  <c r="Q11" i="42"/>
  <c r="E11" i="42"/>
  <c r="L11" i="42" s="1"/>
  <c r="AR10" i="42"/>
  <c r="Q10" i="42"/>
  <c r="E10" i="42"/>
  <c r="L10" i="42" s="1"/>
  <c r="AR9" i="42"/>
  <c r="Q9" i="42"/>
  <c r="E9" i="42"/>
  <c r="L9" i="42" s="1"/>
  <c r="AR8" i="42"/>
  <c r="Q8" i="42"/>
  <c r="E8" i="42"/>
  <c r="L8" i="42" s="1"/>
  <c r="AR7" i="42"/>
  <c r="AR104" i="42" s="1"/>
  <c r="Q7" i="42"/>
  <c r="E7" i="42"/>
  <c r="L7" i="42" s="1"/>
  <c r="AR6" i="42"/>
  <c r="Q6" i="42"/>
  <c r="E6" i="42"/>
  <c r="L6" i="42" s="1"/>
  <c r="AR5" i="42"/>
  <c r="Q5" i="42"/>
  <c r="E5" i="42"/>
  <c r="L5" i="42" s="1"/>
  <c r="AR4" i="42"/>
  <c r="Q4" i="42"/>
  <c r="E4" i="42"/>
  <c r="L4" i="42" s="1"/>
  <c r="AR3" i="42"/>
  <c r="AL3" i="42"/>
  <c r="AB3" i="42"/>
  <c r="E3" i="42"/>
  <c r="L3" i="42" s="1"/>
  <c r="R126" i="41"/>
  <c r="Q126" i="41"/>
  <c r="P126" i="41"/>
  <c r="O126" i="41"/>
  <c r="M126" i="41"/>
  <c r="K126" i="41"/>
  <c r="AZ124" i="41"/>
  <c r="AO124" i="41"/>
  <c r="AN124" i="41"/>
  <c r="AM124" i="41"/>
  <c r="AL124" i="41"/>
  <c r="AK124" i="41"/>
  <c r="AJ124" i="41"/>
  <c r="AI124" i="41"/>
  <c r="AH124" i="41"/>
  <c r="AG124" i="41"/>
  <c r="AE124" i="41"/>
  <c r="AD124" i="41"/>
  <c r="AC124" i="41"/>
  <c r="AB124" i="41"/>
  <c r="AA124" i="41"/>
  <c r="Z124" i="41"/>
  <c r="Y124" i="41"/>
  <c r="X124" i="41"/>
  <c r="W124" i="41"/>
  <c r="V124" i="41"/>
  <c r="U124" i="41"/>
  <c r="T124" i="41"/>
  <c r="S124" i="41"/>
  <c r="N124" i="41"/>
  <c r="L124" i="41"/>
  <c r="J124" i="41"/>
  <c r="I124" i="41"/>
  <c r="H124" i="41"/>
  <c r="G124" i="41"/>
  <c r="F124" i="41"/>
  <c r="E124" i="41"/>
  <c r="AX123" i="41"/>
  <c r="AW123" i="41"/>
  <c r="AV123" i="41"/>
  <c r="AU123" i="41"/>
  <c r="AT123" i="41"/>
  <c r="AS123" i="41"/>
  <c r="AR123" i="41"/>
  <c r="AQ123" i="41"/>
  <c r="AZ113" i="41"/>
  <c r="AO113" i="41"/>
  <c r="AN113" i="41"/>
  <c r="AM113" i="41"/>
  <c r="AL113" i="41"/>
  <c r="AK113" i="41"/>
  <c r="AJ113" i="41"/>
  <c r="AI113" i="41"/>
  <c r="AH113" i="41"/>
  <c r="AU113" i="41" s="1"/>
  <c r="AG113" i="41"/>
  <c r="AE113" i="41"/>
  <c r="AF113" i="41" s="1"/>
  <c r="AD113" i="41"/>
  <c r="AC113" i="41"/>
  <c r="AB113" i="41"/>
  <c r="AA113" i="41"/>
  <c r="Z113" i="41"/>
  <c r="Y113" i="41"/>
  <c r="X113" i="41"/>
  <c r="W113" i="41"/>
  <c r="V113" i="41"/>
  <c r="U113" i="41"/>
  <c r="T113" i="41"/>
  <c r="S113" i="41"/>
  <c r="N113" i="41"/>
  <c r="L113" i="41"/>
  <c r="J113" i="41"/>
  <c r="I113" i="41"/>
  <c r="H113" i="41"/>
  <c r="G113" i="41"/>
  <c r="F113" i="41"/>
  <c r="E113" i="41"/>
  <c r="AX112" i="41"/>
  <c r="AW112" i="41"/>
  <c r="AV112" i="41"/>
  <c r="AU112" i="41"/>
  <c r="AT112" i="41"/>
  <c r="AS112" i="41"/>
  <c r="AR112" i="41"/>
  <c r="AQ112" i="41"/>
  <c r="AM105" i="41"/>
  <c r="AK105" i="41"/>
  <c r="AJ105" i="41"/>
  <c r="AJ126" i="41" s="1"/>
  <c r="AI105" i="41"/>
  <c r="AH105" i="41"/>
  <c r="AG105" i="41"/>
  <c r="AE105" i="41"/>
  <c r="Z105" i="41"/>
  <c r="Y105" i="41"/>
  <c r="W105" i="41"/>
  <c r="V105" i="41"/>
  <c r="T105" i="41"/>
  <c r="I19" i="3" s="1"/>
  <c r="S105" i="41"/>
  <c r="N105" i="41"/>
  <c r="J105" i="41"/>
  <c r="J126" i="41" s="1"/>
  <c r="I105" i="41"/>
  <c r="I126" i="41" s="1"/>
  <c r="H105" i="41"/>
  <c r="H126" i="41" s="1"/>
  <c r="G105" i="41"/>
  <c r="G126" i="41" s="1"/>
  <c r="F105" i="41"/>
  <c r="AU103" i="41"/>
  <c r="AT103" i="41"/>
  <c r="AR103" i="41"/>
  <c r="AN103" i="41"/>
  <c r="AS103" i="41"/>
  <c r="R103" i="41"/>
  <c r="Q103" i="41"/>
  <c r="E103" i="41"/>
  <c r="L103" i="41" s="1"/>
  <c r="AU102" i="41"/>
  <c r="AT102" i="41"/>
  <c r="AR102" i="41"/>
  <c r="AN102" i="41"/>
  <c r="AS102" i="41"/>
  <c r="R102" i="41"/>
  <c r="Q102" i="41"/>
  <c r="E102" i="41"/>
  <c r="L102" i="41" s="1"/>
  <c r="AU101" i="41"/>
  <c r="AT101" i="41"/>
  <c r="AR101" i="41"/>
  <c r="AN101" i="41"/>
  <c r="AS101" i="41"/>
  <c r="R101" i="41"/>
  <c r="Q101" i="41"/>
  <c r="L101" i="41"/>
  <c r="E101" i="41"/>
  <c r="AU100" i="41"/>
  <c r="AT100" i="41"/>
  <c r="AR100" i="41"/>
  <c r="AN100" i="41"/>
  <c r="AS100" i="41"/>
  <c r="R100" i="41"/>
  <c r="Q100" i="41"/>
  <c r="E100" i="41"/>
  <c r="L100" i="41" s="1"/>
  <c r="AU99" i="41"/>
  <c r="AT99" i="41"/>
  <c r="AR99" i="41"/>
  <c r="AN99" i="41"/>
  <c r="AS99" i="41"/>
  <c r="R99" i="41"/>
  <c r="Q99" i="41"/>
  <c r="L99" i="41"/>
  <c r="E99" i="41"/>
  <c r="AU98" i="41"/>
  <c r="AT98" i="41"/>
  <c r="AR98" i="41"/>
  <c r="AQ98" i="41"/>
  <c r="AN98" i="41"/>
  <c r="AS98" i="41"/>
  <c r="R98" i="41"/>
  <c r="Q98" i="41"/>
  <c r="E98" i="41"/>
  <c r="L98" i="41" s="1"/>
  <c r="AU97" i="41"/>
  <c r="AT97" i="41"/>
  <c r="AR97" i="41"/>
  <c r="AQ97" i="41"/>
  <c r="AN97" i="41"/>
  <c r="AS97" i="41"/>
  <c r="R97" i="41"/>
  <c r="Q97" i="41"/>
  <c r="E97" i="41"/>
  <c r="L97" i="41" s="1"/>
  <c r="AU96" i="41"/>
  <c r="AT96" i="41"/>
  <c r="AR96" i="41"/>
  <c r="AQ96" i="41"/>
  <c r="AW96" i="41" s="1"/>
  <c r="AN96" i="41"/>
  <c r="AS96" i="41"/>
  <c r="R96" i="41"/>
  <c r="Q96" i="41"/>
  <c r="E96" i="41"/>
  <c r="L96" i="41" s="1"/>
  <c r="AU95" i="41"/>
  <c r="AT95" i="41"/>
  <c r="AR95" i="41"/>
  <c r="AQ95" i="41"/>
  <c r="AW95" i="41" s="1"/>
  <c r="AN95" i="41"/>
  <c r="AS95" i="41"/>
  <c r="R95" i="41"/>
  <c r="Q95" i="41"/>
  <c r="E95" i="41"/>
  <c r="L95" i="41" s="1"/>
  <c r="AU94" i="41"/>
  <c r="AT94" i="41"/>
  <c r="AR94" i="41"/>
  <c r="AQ94" i="41"/>
  <c r="AW94" i="41" s="1"/>
  <c r="AN94" i="41"/>
  <c r="AS94" i="41"/>
  <c r="R94" i="41"/>
  <c r="Q94" i="41"/>
  <c r="E94" i="41"/>
  <c r="L94" i="41" s="1"/>
  <c r="AU93" i="41"/>
  <c r="AT93" i="41"/>
  <c r="AS93" i="41"/>
  <c r="AR93" i="41"/>
  <c r="AQ93" i="41"/>
  <c r="AN93" i="41"/>
  <c r="R93" i="41"/>
  <c r="Q93" i="41"/>
  <c r="E93" i="41"/>
  <c r="L93" i="41" s="1"/>
  <c r="AU92" i="41"/>
  <c r="AT92" i="41"/>
  <c r="AS92" i="41"/>
  <c r="AR92" i="41"/>
  <c r="AQ92" i="41"/>
  <c r="AW92" i="41" s="1"/>
  <c r="AN92" i="41"/>
  <c r="R92" i="41"/>
  <c r="Q92" i="41"/>
  <c r="E92" i="41"/>
  <c r="L92" i="41" s="1"/>
  <c r="AU91" i="41"/>
  <c r="AT91" i="41"/>
  <c r="AS91" i="41"/>
  <c r="AR91" i="41"/>
  <c r="AQ91" i="41"/>
  <c r="AN91" i="41"/>
  <c r="R91" i="41"/>
  <c r="Q91" i="41"/>
  <c r="E91" i="41"/>
  <c r="L91" i="41" s="1"/>
  <c r="AU90" i="41"/>
  <c r="AT90" i="41"/>
  <c r="AS90" i="41"/>
  <c r="AR90" i="41"/>
  <c r="AQ90" i="41"/>
  <c r="AW90" i="41" s="1"/>
  <c r="AN90" i="41"/>
  <c r="R90" i="41"/>
  <c r="Q90" i="41"/>
  <c r="E90" i="41"/>
  <c r="L90" i="41" s="1"/>
  <c r="AU89" i="41"/>
  <c r="AT89" i="41"/>
  <c r="AS89" i="41"/>
  <c r="AR89" i="41"/>
  <c r="AQ89" i="41"/>
  <c r="AN89" i="41"/>
  <c r="R89" i="41"/>
  <c r="Q89" i="41"/>
  <c r="E89" i="41"/>
  <c r="L89" i="41" s="1"/>
  <c r="AU88" i="41"/>
  <c r="AT88" i="41"/>
  <c r="AS88" i="41"/>
  <c r="AR88" i="41"/>
  <c r="AQ88" i="41"/>
  <c r="AN88" i="41"/>
  <c r="R88" i="41"/>
  <c r="Q88" i="41"/>
  <c r="E88" i="41"/>
  <c r="L88" i="41" s="1"/>
  <c r="AU87" i="41"/>
  <c r="AT87" i="41"/>
  <c r="AS87" i="41"/>
  <c r="AR87" i="41"/>
  <c r="AQ87" i="41"/>
  <c r="AN87" i="41"/>
  <c r="R87" i="41"/>
  <c r="Q87" i="41"/>
  <c r="E87" i="41"/>
  <c r="L87" i="41" s="1"/>
  <c r="AU86" i="41"/>
  <c r="AT86" i="41"/>
  <c r="AS86" i="41"/>
  <c r="AR86" i="41"/>
  <c r="AQ86" i="41"/>
  <c r="AW86" i="41" s="1"/>
  <c r="AN86" i="41"/>
  <c r="R86" i="41"/>
  <c r="Q86" i="41"/>
  <c r="E86" i="41"/>
  <c r="L86" i="41" s="1"/>
  <c r="AU85" i="41"/>
  <c r="AT85" i="41"/>
  <c r="AS85" i="41"/>
  <c r="AR85" i="41"/>
  <c r="AQ85" i="41"/>
  <c r="AN85" i="41"/>
  <c r="R85" i="41"/>
  <c r="Q85" i="41"/>
  <c r="E85" i="41"/>
  <c r="L85" i="41" s="1"/>
  <c r="AU84" i="41"/>
  <c r="AT84" i="41"/>
  <c r="AS84" i="41"/>
  <c r="AR84" i="41"/>
  <c r="AQ84" i="41"/>
  <c r="AW84" i="41" s="1"/>
  <c r="AN84" i="41"/>
  <c r="R84" i="41"/>
  <c r="Q84" i="41"/>
  <c r="E84" i="41"/>
  <c r="L84" i="41" s="1"/>
  <c r="AU83" i="41"/>
  <c r="AT83" i="41"/>
  <c r="AS83" i="41"/>
  <c r="AR83" i="41"/>
  <c r="AQ83" i="41"/>
  <c r="AN83" i="41"/>
  <c r="R83" i="41"/>
  <c r="Q83" i="41"/>
  <c r="E83" i="41"/>
  <c r="L83" i="41" s="1"/>
  <c r="AU82" i="41"/>
  <c r="AT82" i="41"/>
  <c r="AS82" i="41"/>
  <c r="AR82" i="41"/>
  <c r="AQ82" i="41"/>
  <c r="AW82" i="41" s="1"/>
  <c r="AN82" i="41"/>
  <c r="R82" i="41"/>
  <c r="Q82" i="41"/>
  <c r="E82" i="41"/>
  <c r="L82" i="41" s="1"/>
  <c r="AU81" i="41"/>
  <c r="AT81" i="41"/>
  <c r="AS81" i="41"/>
  <c r="AR81" i="41"/>
  <c r="AQ81" i="41"/>
  <c r="AN81" i="41"/>
  <c r="R81" i="41"/>
  <c r="Q81" i="41"/>
  <c r="E81" i="41"/>
  <c r="L81" i="41" s="1"/>
  <c r="AU80" i="41"/>
  <c r="AT80" i="41"/>
  <c r="AS80" i="41"/>
  <c r="AR80" i="41"/>
  <c r="AQ80" i="41"/>
  <c r="AN80" i="41"/>
  <c r="R80" i="41"/>
  <c r="Q80" i="41"/>
  <c r="E80" i="41"/>
  <c r="L80" i="41" s="1"/>
  <c r="AU79" i="41"/>
  <c r="AT79" i="41"/>
  <c r="AS79" i="41"/>
  <c r="AR79" i="41"/>
  <c r="AQ79" i="41"/>
  <c r="AN79" i="41"/>
  <c r="R79" i="41"/>
  <c r="Q79" i="41"/>
  <c r="E79" i="41"/>
  <c r="L79" i="41" s="1"/>
  <c r="AU78" i="41"/>
  <c r="AT78" i="41"/>
  <c r="AS78" i="41"/>
  <c r="AR78" i="41"/>
  <c r="AQ78" i="41"/>
  <c r="AN78" i="41"/>
  <c r="R78" i="41"/>
  <c r="Q78" i="41"/>
  <c r="E78" i="41"/>
  <c r="L78" i="41" s="1"/>
  <c r="AU77" i="41"/>
  <c r="AT77" i="41"/>
  <c r="AS77" i="41"/>
  <c r="AR77" i="41"/>
  <c r="AQ77" i="41"/>
  <c r="AN77" i="41"/>
  <c r="R77" i="41"/>
  <c r="Q77" i="41"/>
  <c r="E77" i="41"/>
  <c r="L77" i="41" s="1"/>
  <c r="AU76" i="41"/>
  <c r="AT76" i="41"/>
  <c r="AS76" i="41"/>
  <c r="AR76" i="41"/>
  <c r="AQ76" i="41"/>
  <c r="AW76" i="41" s="1"/>
  <c r="AN76" i="41"/>
  <c r="R76" i="41"/>
  <c r="Q76" i="41"/>
  <c r="E76" i="41"/>
  <c r="L76" i="41" s="1"/>
  <c r="AU75" i="41"/>
  <c r="AT75" i="41"/>
  <c r="AS75" i="41"/>
  <c r="AR75" i="41"/>
  <c r="AQ75" i="41"/>
  <c r="AN75" i="41"/>
  <c r="R75" i="41"/>
  <c r="Q75" i="41"/>
  <c r="E75" i="41"/>
  <c r="L75" i="41" s="1"/>
  <c r="AU74" i="41"/>
  <c r="AT74" i="41"/>
  <c r="AS74" i="41"/>
  <c r="AR74" i="41"/>
  <c r="AQ74" i="41"/>
  <c r="AW74" i="41" s="1"/>
  <c r="AN74" i="41"/>
  <c r="R74" i="41"/>
  <c r="Q74" i="41"/>
  <c r="E74" i="41"/>
  <c r="L74" i="41" s="1"/>
  <c r="AU73" i="41"/>
  <c r="AT73" i="41"/>
  <c r="AS73" i="41"/>
  <c r="AR73" i="41"/>
  <c r="AQ73" i="41"/>
  <c r="AW73" i="41" s="1"/>
  <c r="AN73" i="41"/>
  <c r="R73" i="41"/>
  <c r="Q73" i="41"/>
  <c r="E73" i="41"/>
  <c r="L73" i="41" s="1"/>
  <c r="AU72" i="41"/>
  <c r="AT72" i="41"/>
  <c r="AS72" i="41"/>
  <c r="AR72" i="41"/>
  <c r="AQ72" i="41"/>
  <c r="AN72" i="41"/>
  <c r="R72" i="41"/>
  <c r="Q72" i="41"/>
  <c r="E72" i="41"/>
  <c r="L72" i="41" s="1"/>
  <c r="AU71" i="41"/>
  <c r="AT71" i="41"/>
  <c r="AS71" i="41"/>
  <c r="AR71" i="41"/>
  <c r="AQ71" i="41"/>
  <c r="AN71" i="41"/>
  <c r="R71" i="41"/>
  <c r="Q71" i="41"/>
  <c r="E71" i="41"/>
  <c r="L71" i="41" s="1"/>
  <c r="AU70" i="41"/>
  <c r="AT70" i="41"/>
  <c r="AS70" i="41"/>
  <c r="AR70" i="41"/>
  <c r="AQ70" i="41"/>
  <c r="AN70" i="41"/>
  <c r="R70" i="41"/>
  <c r="Q70" i="41"/>
  <c r="E70" i="41"/>
  <c r="L70" i="41" s="1"/>
  <c r="AU69" i="41"/>
  <c r="AT69" i="41"/>
  <c r="AS69" i="41"/>
  <c r="AR69" i="41"/>
  <c r="AQ69" i="41"/>
  <c r="AN69" i="41"/>
  <c r="R69" i="41"/>
  <c r="Q69" i="41"/>
  <c r="E69" i="41"/>
  <c r="L69" i="41" s="1"/>
  <c r="AU68" i="41"/>
  <c r="AT68" i="41"/>
  <c r="AS68" i="41"/>
  <c r="AR68" i="41"/>
  <c r="AQ68" i="41"/>
  <c r="AW68" i="41" s="1"/>
  <c r="AN68" i="41"/>
  <c r="R68" i="41"/>
  <c r="Q68" i="41"/>
  <c r="E68" i="41"/>
  <c r="L68" i="41" s="1"/>
  <c r="AU67" i="41"/>
  <c r="AT67" i="41"/>
  <c r="AS67" i="41"/>
  <c r="AR67" i="41"/>
  <c r="AQ67" i="41"/>
  <c r="AW67" i="41" s="1"/>
  <c r="AN67" i="41"/>
  <c r="R67" i="41"/>
  <c r="Q67" i="41"/>
  <c r="E67" i="41"/>
  <c r="L67" i="41" s="1"/>
  <c r="AU66" i="41"/>
  <c r="AT66" i="41"/>
  <c r="AS66" i="41"/>
  <c r="AR66" i="41"/>
  <c r="AQ66" i="41"/>
  <c r="AW66" i="41" s="1"/>
  <c r="AN66" i="41"/>
  <c r="R66" i="41"/>
  <c r="Q66" i="41"/>
  <c r="E66" i="41"/>
  <c r="L66" i="41" s="1"/>
  <c r="AU65" i="41"/>
  <c r="AT65" i="41"/>
  <c r="AS65" i="41"/>
  <c r="AR65" i="41"/>
  <c r="AQ65" i="41"/>
  <c r="AW65" i="41" s="1"/>
  <c r="AN65" i="41"/>
  <c r="R65" i="41"/>
  <c r="Q65" i="41"/>
  <c r="E65" i="41"/>
  <c r="L65" i="41" s="1"/>
  <c r="AU64" i="41"/>
  <c r="AT64" i="41"/>
  <c r="AR64" i="41"/>
  <c r="AQ64" i="41"/>
  <c r="AW64" i="41" s="1"/>
  <c r="AN64" i="41"/>
  <c r="Q64" i="41"/>
  <c r="E64" i="41"/>
  <c r="L64" i="41" s="1"/>
  <c r="AU63" i="41"/>
  <c r="AT63" i="41"/>
  <c r="AR63" i="41"/>
  <c r="AQ63" i="41"/>
  <c r="AW63" i="41" s="1"/>
  <c r="AN63" i="41"/>
  <c r="Q63" i="41"/>
  <c r="E63" i="41"/>
  <c r="L63" i="41" s="1"/>
  <c r="AU62" i="41"/>
  <c r="AT62" i="41"/>
  <c r="AR62" i="41"/>
  <c r="AQ62" i="41"/>
  <c r="AW62" i="41" s="1"/>
  <c r="AN62" i="41"/>
  <c r="Q62" i="41"/>
  <c r="E62" i="41"/>
  <c r="L62" i="41" s="1"/>
  <c r="AU61" i="41"/>
  <c r="AT61" i="41"/>
  <c r="AR61" i="41"/>
  <c r="AQ61" i="41"/>
  <c r="AN61" i="41"/>
  <c r="Q61" i="41"/>
  <c r="E61" i="41"/>
  <c r="L61" i="41" s="1"/>
  <c r="AU60" i="41"/>
  <c r="AT60" i="41"/>
  <c r="AR60" i="41"/>
  <c r="AQ60" i="41"/>
  <c r="AN60" i="41"/>
  <c r="Q60" i="41"/>
  <c r="E60" i="41"/>
  <c r="L60" i="41" s="1"/>
  <c r="AU59" i="41"/>
  <c r="AT59" i="41"/>
  <c r="AR59" i="41"/>
  <c r="AQ59" i="41"/>
  <c r="AW59" i="41" s="1"/>
  <c r="AN59" i="41"/>
  <c r="Q59" i="41"/>
  <c r="E59" i="41"/>
  <c r="L59" i="41" s="1"/>
  <c r="AU58" i="41"/>
  <c r="AT58" i="41"/>
  <c r="AR58" i="41"/>
  <c r="AQ58" i="41"/>
  <c r="AN58" i="41"/>
  <c r="Q58" i="41"/>
  <c r="E58" i="41"/>
  <c r="L58" i="41" s="1"/>
  <c r="AU57" i="41"/>
  <c r="AT57" i="41"/>
  <c r="AR57" i="41"/>
  <c r="AQ57" i="41"/>
  <c r="AW57" i="41" s="1"/>
  <c r="AN57" i="41"/>
  <c r="Q57" i="41"/>
  <c r="E57" i="41"/>
  <c r="L57" i="41" s="1"/>
  <c r="AU56" i="41"/>
  <c r="AT56" i="41"/>
  <c r="AR56" i="41"/>
  <c r="AQ56" i="41"/>
  <c r="AW56" i="41" s="1"/>
  <c r="AN56" i="41"/>
  <c r="Q56" i="41"/>
  <c r="E56" i="41"/>
  <c r="L56" i="41" s="1"/>
  <c r="AU55" i="41"/>
  <c r="AT55" i="41"/>
  <c r="AR55" i="41"/>
  <c r="AQ55" i="41"/>
  <c r="AW55" i="41" s="1"/>
  <c r="AN55" i="41"/>
  <c r="Q55" i="41"/>
  <c r="E55" i="41"/>
  <c r="L55" i="41" s="1"/>
  <c r="AU54" i="41"/>
  <c r="AT54" i="41"/>
  <c r="AR54" i="41"/>
  <c r="AQ54" i="41"/>
  <c r="AN54" i="41"/>
  <c r="Q54" i="41"/>
  <c r="E54" i="41"/>
  <c r="L54" i="41" s="1"/>
  <c r="AU53" i="41"/>
  <c r="AT53" i="41"/>
  <c r="AR53" i="41"/>
  <c r="AQ53" i="41"/>
  <c r="AN53" i="41"/>
  <c r="Q53" i="41"/>
  <c r="E53" i="41"/>
  <c r="L53" i="41" s="1"/>
  <c r="AU52" i="41"/>
  <c r="AT52" i="41"/>
  <c r="AR52" i="41"/>
  <c r="AQ52" i="41"/>
  <c r="AN52" i="41"/>
  <c r="Q52" i="41"/>
  <c r="E52" i="41"/>
  <c r="L52" i="41" s="1"/>
  <c r="AU51" i="41"/>
  <c r="AT51" i="41"/>
  <c r="AR51" i="41"/>
  <c r="AQ51" i="41"/>
  <c r="AN51" i="41"/>
  <c r="Q51" i="41"/>
  <c r="E51" i="41"/>
  <c r="L51" i="41" s="1"/>
  <c r="AU50" i="41"/>
  <c r="AT50" i="41"/>
  <c r="AR50" i="41"/>
  <c r="AQ50" i="41"/>
  <c r="AN50" i="41"/>
  <c r="Q50" i="41"/>
  <c r="E50" i="41"/>
  <c r="L50" i="41" s="1"/>
  <c r="AU49" i="41"/>
  <c r="AT49" i="41"/>
  <c r="AR49" i="41"/>
  <c r="AQ49" i="41"/>
  <c r="AN49" i="41"/>
  <c r="Q49" i="41"/>
  <c r="E49" i="41"/>
  <c r="L49" i="41" s="1"/>
  <c r="AU48" i="41"/>
  <c r="AT48" i="41"/>
  <c r="AR48" i="41"/>
  <c r="AQ48" i="41"/>
  <c r="AN48" i="41"/>
  <c r="Q48" i="41"/>
  <c r="E48" i="41"/>
  <c r="L48" i="41" s="1"/>
  <c r="AU47" i="41"/>
  <c r="AT47" i="41"/>
  <c r="AR47" i="41"/>
  <c r="AQ47" i="41"/>
  <c r="AN47" i="41"/>
  <c r="Q47" i="41"/>
  <c r="E47" i="41"/>
  <c r="L47" i="41" s="1"/>
  <c r="AU46" i="41"/>
  <c r="AT46" i="41"/>
  <c r="AR46" i="41"/>
  <c r="AQ46" i="41"/>
  <c r="AW46" i="41" s="1"/>
  <c r="AN46" i="41"/>
  <c r="Q46" i="41"/>
  <c r="E46" i="41"/>
  <c r="L46" i="41" s="1"/>
  <c r="AU45" i="41"/>
  <c r="AT45" i="41"/>
  <c r="AR45" i="41"/>
  <c r="AN45" i="41"/>
  <c r="Q45" i="41"/>
  <c r="E45" i="41"/>
  <c r="L45" i="41" s="1"/>
  <c r="AU44" i="41"/>
  <c r="AT44" i="41"/>
  <c r="AS44" i="41"/>
  <c r="AR44" i="41"/>
  <c r="AN44" i="41"/>
  <c r="AQ44" i="41"/>
  <c r="Q44" i="41"/>
  <c r="E44" i="41"/>
  <c r="L44" i="41" s="1"/>
  <c r="AU43" i="41"/>
  <c r="AT43" i="41"/>
  <c r="AS43" i="41"/>
  <c r="AR43" i="41"/>
  <c r="AN43" i="41"/>
  <c r="AQ43" i="41"/>
  <c r="AW43" i="41" s="1"/>
  <c r="Q43" i="41"/>
  <c r="E43" i="41"/>
  <c r="L43" i="41" s="1"/>
  <c r="AU42" i="41"/>
  <c r="AT42" i="41"/>
  <c r="AS42" i="41"/>
  <c r="AR42" i="41"/>
  <c r="AQ42" i="41"/>
  <c r="AW42" i="41" s="1"/>
  <c r="AN42" i="41"/>
  <c r="Q42" i="41"/>
  <c r="E42" i="41"/>
  <c r="L42" i="41" s="1"/>
  <c r="AU41" i="41"/>
  <c r="AT41" i="41"/>
  <c r="AR41" i="41"/>
  <c r="AN41" i="41"/>
  <c r="Q41" i="41"/>
  <c r="E41" i="41"/>
  <c r="L41" i="41" s="1"/>
  <c r="AU40" i="41"/>
  <c r="AT40" i="41"/>
  <c r="AS40" i="41"/>
  <c r="AR40" i="41"/>
  <c r="AQ40" i="41"/>
  <c r="AN40" i="41"/>
  <c r="Q40" i="41"/>
  <c r="E40" i="41"/>
  <c r="L40" i="41" s="1"/>
  <c r="AU39" i="41"/>
  <c r="AT39" i="41"/>
  <c r="AR39" i="41"/>
  <c r="AN39" i="41"/>
  <c r="Q39" i="41"/>
  <c r="E39" i="41"/>
  <c r="L39" i="41" s="1"/>
  <c r="AU38" i="41"/>
  <c r="AT38" i="41"/>
  <c r="AS38" i="41"/>
  <c r="AR38" i="41"/>
  <c r="AN38" i="41"/>
  <c r="Q38" i="41"/>
  <c r="E38" i="41"/>
  <c r="L38" i="41" s="1"/>
  <c r="AU37" i="41"/>
  <c r="AT37" i="41"/>
  <c r="AR37" i="41"/>
  <c r="AN37" i="41"/>
  <c r="Q37" i="41"/>
  <c r="E37" i="41"/>
  <c r="L37" i="41" s="1"/>
  <c r="AU36" i="41"/>
  <c r="AT36" i="41"/>
  <c r="AS36" i="41"/>
  <c r="AR36" i="41"/>
  <c r="AQ36" i="41"/>
  <c r="AW36" i="41" s="1"/>
  <c r="AN36" i="41"/>
  <c r="R36" i="41"/>
  <c r="Q36" i="41"/>
  <c r="E36" i="41"/>
  <c r="L36" i="41" s="1"/>
  <c r="AU35" i="41"/>
  <c r="AT35" i="41"/>
  <c r="AS35" i="41"/>
  <c r="AR35" i="41"/>
  <c r="AN35" i="41"/>
  <c r="Q35" i="41"/>
  <c r="E35" i="41"/>
  <c r="L35" i="41" s="1"/>
  <c r="AU34" i="41"/>
  <c r="AT34" i="41"/>
  <c r="AS34" i="41"/>
  <c r="AR34" i="41"/>
  <c r="AQ34" i="41"/>
  <c r="AW34" i="41" s="1"/>
  <c r="AN34" i="41"/>
  <c r="R34" i="41"/>
  <c r="Q34" i="41"/>
  <c r="E34" i="41"/>
  <c r="L34" i="41" s="1"/>
  <c r="AU33" i="41"/>
  <c r="AT33" i="41"/>
  <c r="AR33" i="41"/>
  <c r="AN33" i="41"/>
  <c r="Q33" i="41"/>
  <c r="E33" i="41"/>
  <c r="L33" i="41" s="1"/>
  <c r="AU32" i="41"/>
  <c r="AT32" i="41"/>
  <c r="AS32" i="41"/>
  <c r="AR32" i="41"/>
  <c r="AQ32" i="41"/>
  <c r="AW32" i="41" s="1"/>
  <c r="AN32" i="41"/>
  <c r="R32" i="41"/>
  <c r="Q32" i="41"/>
  <c r="E32" i="41"/>
  <c r="L32" i="41" s="1"/>
  <c r="AU31" i="41"/>
  <c r="AT31" i="41"/>
  <c r="AR31" i="41"/>
  <c r="AN31" i="41"/>
  <c r="Q31" i="41"/>
  <c r="E31" i="41"/>
  <c r="L31" i="41" s="1"/>
  <c r="AU30" i="41"/>
  <c r="AT30" i="41"/>
  <c r="AR30" i="41"/>
  <c r="AN30" i="41"/>
  <c r="AS30" i="41"/>
  <c r="Q30" i="41"/>
  <c r="E30" i="41"/>
  <c r="L30" i="41" s="1"/>
  <c r="AU29" i="41"/>
  <c r="AT29" i="41"/>
  <c r="AS29" i="41"/>
  <c r="AR29" i="41"/>
  <c r="AQ29" i="41"/>
  <c r="AW29" i="41" s="1"/>
  <c r="AN29" i="41"/>
  <c r="R29" i="41"/>
  <c r="Q29" i="41"/>
  <c r="E29" i="41"/>
  <c r="L29" i="41" s="1"/>
  <c r="AU28" i="41"/>
  <c r="AT28" i="41"/>
  <c r="AS28" i="41"/>
  <c r="AR28" i="41"/>
  <c r="AQ28" i="41"/>
  <c r="AO28" i="41"/>
  <c r="AV28" i="41" s="1"/>
  <c r="AN28" i="41"/>
  <c r="R28" i="41"/>
  <c r="Q28" i="41"/>
  <c r="E28" i="41"/>
  <c r="L28" i="41" s="1"/>
  <c r="AU27" i="41"/>
  <c r="AT27" i="41"/>
  <c r="AR27" i="41"/>
  <c r="AQ27" i="41"/>
  <c r="AN27" i="41"/>
  <c r="AS27" i="41"/>
  <c r="R27" i="41"/>
  <c r="Q27" i="41"/>
  <c r="E27" i="41"/>
  <c r="L27" i="41" s="1"/>
  <c r="AU26" i="41"/>
  <c r="AT26" i="41"/>
  <c r="AR26" i="41"/>
  <c r="AQ26" i="41"/>
  <c r="AN26" i="41"/>
  <c r="AS26" i="41"/>
  <c r="R26" i="41"/>
  <c r="Q26" i="41"/>
  <c r="E26" i="41"/>
  <c r="L26" i="41" s="1"/>
  <c r="AU25" i="41"/>
  <c r="AT25" i="41"/>
  <c r="AR25" i="41"/>
  <c r="AQ25" i="41"/>
  <c r="AW25" i="41" s="1"/>
  <c r="AN25" i="41"/>
  <c r="AS25" i="41"/>
  <c r="R25" i="41"/>
  <c r="Q25" i="41"/>
  <c r="E25" i="41"/>
  <c r="L25" i="41" s="1"/>
  <c r="AU24" i="41"/>
  <c r="AT24" i="41"/>
  <c r="AR24" i="41"/>
  <c r="AQ24" i="41"/>
  <c r="AW24" i="41" s="1"/>
  <c r="AN24" i="41"/>
  <c r="AS24" i="41"/>
  <c r="R24" i="41"/>
  <c r="Q24" i="41"/>
  <c r="E24" i="41"/>
  <c r="L24" i="41" s="1"/>
  <c r="AU23" i="41"/>
  <c r="AT23" i="41"/>
  <c r="AR23" i="41"/>
  <c r="AQ23" i="41"/>
  <c r="AW23" i="41" s="1"/>
  <c r="AN23" i="41"/>
  <c r="AS23" i="41"/>
  <c r="R23" i="41"/>
  <c r="Q23" i="41"/>
  <c r="E23" i="41"/>
  <c r="L23" i="41" s="1"/>
  <c r="AU22" i="41"/>
  <c r="AT22" i="41"/>
  <c r="AR22" i="41"/>
  <c r="AQ22" i="41"/>
  <c r="AW22" i="41" s="1"/>
  <c r="AN22" i="41"/>
  <c r="AS22" i="41"/>
  <c r="R22" i="41"/>
  <c r="Q22" i="41"/>
  <c r="E22" i="41"/>
  <c r="L22" i="41" s="1"/>
  <c r="AU21" i="41"/>
  <c r="AT21" i="41"/>
  <c r="AR21" i="41"/>
  <c r="AQ21" i="41"/>
  <c r="AW21" i="41" s="1"/>
  <c r="AN21" i="41"/>
  <c r="AS21" i="41"/>
  <c r="R21" i="41"/>
  <c r="Q21" i="41"/>
  <c r="E21" i="41"/>
  <c r="L21" i="41" s="1"/>
  <c r="AU20" i="41"/>
  <c r="AT20" i="41"/>
  <c r="AR20" i="41"/>
  <c r="AQ20" i="41"/>
  <c r="AW20" i="41" s="1"/>
  <c r="AN20" i="41"/>
  <c r="AS20" i="41"/>
  <c r="R20" i="41"/>
  <c r="Q20" i="41"/>
  <c r="E20" i="41"/>
  <c r="L20" i="41" s="1"/>
  <c r="AU19" i="41"/>
  <c r="AT19" i="41"/>
  <c r="AR19" i="41"/>
  <c r="AQ19" i="41"/>
  <c r="AW19" i="41" s="1"/>
  <c r="AN19" i="41"/>
  <c r="AS19" i="41"/>
  <c r="R19" i="41"/>
  <c r="Q19" i="41"/>
  <c r="E19" i="41"/>
  <c r="L19" i="41" s="1"/>
  <c r="AU18" i="41"/>
  <c r="AT18" i="41"/>
  <c r="AR18" i="41"/>
  <c r="AQ18" i="41"/>
  <c r="AN18" i="41"/>
  <c r="AS18" i="41"/>
  <c r="R18" i="41"/>
  <c r="Q18" i="41"/>
  <c r="E18" i="41"/>
  <c r="L18" i="41" s="1"/>
  <c r="AU17" i="41"/>
  <c r="AT17" i="41"/>
  <c r="AR17" i="41"/>
  <c r="AQ17" i="41"/>
  <c r="AN17" i="41"/>
  <c r="AS17" i="41"/>
  <c r="R17" i="41"/>
  <c r="Q17" i="41"/>
  <c r="E17" i="41"/>
  <c r="L17" i="41" s="1"/>
  <c r="AU16" i="41"/>
  <c r="AT16" i="41"/>
  <c r="AR16" i="41"/>
  <c r="AQ16" i="41"/>
  <c r="AN16" i="41"/>
  <c r="AS16" i="41"/>
  <c r="R16" i="41"/>
  <c r="Q16" i="41"/>
  <c r="E16" i="41"/>
  <c r="L16" i="41" s="1"/>
  <c r="AU15" i="41"/>
  <c r="AT15" i="41"/>
  <c r="AR15" i="41"/>
  <c r="AQ15" i="41"/>
  <c r="AO15" i="41"/>
  <c r="AV15" i="41" s="1" a="1"/>
  <c r="AV15" i="41" s="1"/>
  <c r="AN15" i="41"/>
  <c r="AS15" i="41"/>
  <c r="R15" i="41"/>
  <c r="Q15" i="41"/>
  <c r="E15" i="41"/>
  <c r="L15" i="41" s="1"/>
  <c r="AU14" i="41"/>
  <c r="AT14" i="41"/>
  <c r="AR14" i="41"/>
  <c r="AQ14" i="41"/>
  <c r="AN14" i="41"/>
  <c r="AO14" i="41" s="1"/>
  <c r="AV14" i="41" s="1" a="1"/>
  <c r="AV14" i="41" s="1"/>
  <c r="AW14" i="41" s="1"/>
  <c r="AS14" i="41"/>
  <c r="R14" i="41"/>
  <c r="Q14" i="41"/>
  <c r="E14" i="41"/>
  <c r="L14" i="41" s="1"/>
  <c r="AU13" i="41"/>
  <c r="AT13" i="41"/>
  <c r="AR13" i="41"/>
  <c r="AQ13" i="41"/>
  <c r="AN13" i="41"/>
  <c r="AO13" i="41" s="1"/>
  <c r="AV13" i="41" s="1" a="1"/>
  <c r="AV13" i="41" s="1"/>
  <c r="AS13" i="41"/>
  <c r="R13" i="41"/>
  <c r="Q13" i="41"/>
  <c r="E13" i="41"/>
  <c r="L13" i="41" s="1"/>
  <c r="AU12" i="41"/>
  <c r="AT12" i="41"/>
  <c r="AR12" i="41"/>
  <c r="AQ12" i="41"/>
  <c r="AN12" i="41"/>
  <c r="AO12" i="41" s="1"/>
  <c r="AV12" i="41" s="1" a="1"/>
  <c r="AV12" i="41" s="1"/>
  <c r="AS12" i="41"/>
  <c r="R12" i="41"/>
  <c r="Q12" i="41"/>
  <c r="E12" i="41"/>
  <c r="L12" i="41" s="1"/>
  <c r="AU11" i="41"/>
  <c r="AT11" i="41"/>
  <c r="AR11" i="41"/>
  <c r="AN11" i="41"/>
  <c r="AS11" i="41"/>
  <c r="R11" i="41"/>
  <c r="Q11" i="41"/>
  <c r="E11" i="41"/>
  <c r="L11" i="41" s="1"/>
  <c r="AU10" i="41"/>
  <c r="AT10" i="41"/>
  <c r="AR10" i="41"/>
  <c r="AN10" i="41"/>
  <c r="AS10" i="41"/>
  <c r="R10" i="41"/>
  <c r="Q10" i="41"/>
  <c r="E10" i="41"/>
  <c r="L10" i="41" s="1"/>
  <c r="AU9" i="41"/>
  <c r="AT9" i="41"/>
  <c r="AR9" i="41"/>
  <c r="AN9" i="41"/>
  <c r="AS9" i="41"/>
  <c r="R9" i="41"/>
  <c r="Q9" i="41"/>
  <c r="E9" i="41"/>
  <c r="L9" i="41" s="1"/>
  <c r="AU8" i="41"/>
  <c r="AT8" i="41"/>
  <c r="AR8" i="41"/>
  <c r="AN8" i="41"/>
  <c r="AS8" i="41"/>
  <c r="R8" i="41"/>
  <c r="Q8" i="41"/>
  <c r="E8" i="41"/>
  <c r="L8" i="41" s="1"/>
  <c r="AU7" i="41"/>
  <c r="AT7" i="41"/>
  <c r="AT104" i="41" s="1"/>
  <c r="AR7" i="41"/>
  <c r="AN7" i="41"/>
  <c r="AS7" i="41"/>
  <c r="R7" i="41"/>
  <c r="Q7" i="41"/>
  <c r="E7" i="41"/>
  <c r="L7" i="41" s="1"/>
  <c r="AU6" i="41"/>
  <c r="AT6" i="41"/>
  <c r="AR6" i="41"/>
  <c r="AN6" i="41"/>
  <c r="AS6" i="41"/>
  <c r="R6" i="41"/>
  <c r="Q6" i="41"/>
  <c r="E6" i="41"/>
  <c r="L6" i="41" s="1"/>
  <c r="AU5" i="41"/>
  <c r="AT5" i="41"/>
  <c r="AR5" i="41"/>
  <c r="AN5" i="41"/>
  <c r="AS5" i="41"/>
  <c r="R5" i="41"/>
  <c r="Q5" i="41"/>
  <c r="E5" i="41"/>
  <c r="L5" i="41" s="1"/>
  <c r="AU4" i="41"/>
  <c r="AT4" i="41"/>
  <c r="AR4" i="41"/>
  <c r="AO4" i="41"/>
  <c r="AV4" i="41" s="1" a="1"/>
  <c r="AV4" i="41" s="1"/>
  <c r="AN4" i="41"/>
  <c r="AS4" i="41"/>
  <c r="R4" i="41"/>
  <c r="Q4" i="41"/>
  <c r="E4" i="41"/>
  <c r="L4" i="41" s="1"/>
  <c r="AU3" i="41"/>
  <c r="AT3" i="41"/>
  <c r="AR3" i="41"/>
  <c r="AL3" i="41"/>
  <c r="AB3" i="41"/>
  <c r="AA3" i="41"/>
  <c r="AF3" i="41" s="1"/>
  <c r="X3" i="41"/>
  <c r="AN3" i="41" s="1"/>
  <c r="U3" i="41"/>
  <c r="U105" i="41" s="1"/>
  <c r="U126" i="41" s="1"/>
  <c r="Q3" i="41"/>
  <c r="E3" i="41"/>
  <c r="R126" i="40"/>
  <c r="Q126" i="40"/>
  <c r="P126" i="40"/>
  <c r="O126" i="40"/>
  <c r="M126" i="40"/>
  <c r="K126" i="40"/>
  <c r="AZ124" i="40"/>
  <c r="AO124" i="40"/>
  <c r="AN124" i="40"/>
  <c r="AM124" i="40"/>
  <c r="AL124" i="40"/>
  <c r="AK124" i="40"/>
  <c r="AJ124" i="40"/>
  <c r="AI124" i="40"/>
  <c r="AH124" i="40"/>
  <c r="AG124" i="40"/>
  <c r="AE124" i="40"/>
  <c r="AD124" i="40"/>
  <c r="AC124" i="40"/>
  <c r="AB124" i="40"/>
  <c r="AA124" i="40"/>
  <c r="AF124" i="40" s="1"/>
  <c r="Z124" i="40"/>
  <c r="Y124" i="40"/>
  <c r="X124" i="40"/>
  <c r="W124" i="40"/>
  <c r="V124" i="40"/>
  <c r="U124" i="40"/>
  <c r="T124" i="40"/>
  <c r="S124" i="40"/>
  <c r="N124" i="40"/>
  <c r="L124" i="40"/>
  <c r="J124" i="40"/>
  <c r="I124" i="40"/>
  <c r="H124" i="40"/>
  <c r="G124" i="40"/>
  <c r="F124" i="40"/>
  <c r="E124" i="40"/>
  <c r="AX123" i="40"/>
  <c r="AW123" i="40"/>
  <c r="AV123" i="40"/>
  <c r="AU123" i="40"/>
  <c r="AT123" i="40"/>
  <c r="AS123" i="40"/>
  <c r="AR123" i="40"/>
  <c r="AQ123" i="40"/>
  <c r="AZ113" i="40"/>
  <c r="AO113" i="40"/>
  <c r="AN113" i="40"/>
  <c r="AM113" i="40"/>
  <c r="AL113" i="40"/>
  <c r="AK113" i="40"/>
  <c r="AJ113" i="40"/>
  <c r="AI113" i="40"/>
  <c r="AH113" i="40"/>
  <c r="AU113" i="40" s="1"/>
  <c r="AG113" i="40"/>
  <c r="AE113" i="40"/>
  <c r="AF113" i="40" s="1"/>
  <c r="AD113" i="40"/>
  <c r="AC113" i="40"/>
  <c r="AB113" i="40"/>
  <c r="AA113" i="40"/>
  <c r="Z113" i="40"/>
  <c r="Y113" i="40"/>
  <c r="X113" i="40"/>
  <c r="W113" i="40"/>
  <c r="V113" i="40"/>
  <c r="U113" i="40"/>
  <c r="T113" i="40"/>
  <c r="S113" i="40"/>
  <c r="N113" i="40"/>
  <c r="L113" i="40"/>
  <c r="J113" i="40"/>
  <c r="I113" i="40"/>
  <c r="H113" i="40"/>
  <c r="G113" i="40"/>
  <c r="F113" i="40"/>
  <c r="E113" i="40"/>
  <c r="AX112" i="40"/>
  <c r="AW112" i="40"/>
  <c r="AV112" i="40"/>
  <c r="AU112" i="40"/>
  <c r="AT112" i="40"/>
  <c r="AS112" i="40"/>
  <c r="AR112" i="40"/>
  <c r="AQ112" i="40"/>
  <c r="AM105" i="40"/>
  <c r="AK105" i="40"/>
  <c r="AK126" i="40" s="1"/>
  <c r="AJ105" i="40"/>
  <c r="AJ126" i="40" s="1"/>
  <c r="AI105" i="40"/>
  <c r="AI126" i="40" s="1"/>
  <c r="AH105" i="40"/>
  <c r="AH126" i="40" s="1"/>
  <c r="AG105" i="40"/>
  <c r="AE105" i="40"/>
  <c r="Z105" i="40"/>
  <c r="Y105" i="40"/>
  <c r="W105" i="40"/>
  <c r="V105" i="40"/>
  <c r="T105" i="40"/>
  <c r="I18" i="3" s="1"/>
  <c r="S105" i="40"/>
  <c r="N105" i="40"/>
  <c r="N126" i="40" s="1"/>
  <c r="J105" i="40"/>
  <c r="J126" i="40" s="1"/>
  <c r="I105" i="40"/>
  <c r="I126" i="40" s="1"/>
  <c r="H105" i="40"/>
  <c r="H126" i="40" s="1"/>
  <c r="G105" i="40"/>
  <c r="G126" i="40" s="1"/>
  <c r="F105" i="40"/>
  <c r="AU103" i="40"/>
  <c r="AT103" i="40"/>
  <c r="AR103" i="40"/>
  <c r="AN103" i="40"/>
  <c r="AS103" i="40"/>
  <c r="R103" i="40"/>
  <c r="Q103" i="40"/>
  <c r="E103" i="40"/>
  <c r="L103" i="40" s="1"/>
  <c r="AU102" i="40"/>
  <c r="AT102" i="40"/>
  <c r="AR102" i="40"/>
  <c r="AN102" i="40"/>
  <c r="AS102" i="40"/>
  <c r="Q102" i="40"/>
  <c r="E102" i="40"/>
  <c r="L102" i="40" s="1"/>
  <c r="AU101" i="40"/>
  <c r="AT101" i="40"/>
  <c r="AR101" i="40"/>
  <c r="AN101" i="40"/>
  <c r="AS101" i="40"/>
  <c r="Q101" i="40"/>
  <c r="E101" i="40"/>
  <c r="L101" i="40" s="1"/>
  <c r="AU100" i="40"/>
  <c r="AT100" i="40"/>
  <c r="AR100" i="40"/>
  <c r="AN100" i="40"/>
  <c r="AS100" i="40"/>
  <c r="R100" i="40"/>
  <c r="Q100" i="40"/>
  <c r="E100" i="40"/>
  <c r="L100" i="40" s="1"/>
  <c r="AU99" i="40"/>
  <c r="AT99" i="40"/>
  <c r="AR99" i="40"/>
  <c r="AN99" i="40"/>
  <c r="AS99" i="40"/>
  <c r="R99" i="40"/>
  <c r="Q99" i="40"/>
  <c r="E99" i="40"/>
  <c r="L99" i="40" s="1"/>
  <c r="AU98" i="40"/>
  <c r="AT98" i="40"/>
  <c r="AR98" i="40"/>
  <c r="AN98" i="40"/>
  <c r="AS98" i="40"/>
  <c r="R98" i="40"/>
  <c r="Q98" i="40"/>
  <c r="E98" i="40"/>
  <c r="L98" i="40" s="1"/>
  <c r="AU97" i="40"/>
  <c r="AT97" i="40"/>
  <c r="AR97" i="40"/>
  <c r="AN97" i="40"/>
  <c r="AS97" i="40"/>
  <c r="R97" i="40"/>
  <c r="Q97" i="40"/>
  <c r="E97" i="40"/>
  <c r="L97" i="40" s="1"/>
  <c r="AU96" i="40"/>
  <c r="AT96" i="40"/>
  <c r="AR96" i="40"/>
  <c r="AN96" i="40"/>
  <c r="AS96" i="40"/>
  <c r="R96" i="40"/>
  <c r="Q96" i="40"/>
  <c r="E96" i="40"/>
  <c r="L96" i="40" s="1"/>
  <c r="AU95" i="40"/>
  <c r="AT95" i="40"/>
  <c r="AR95" i="40"/>
  <c r="AQ95" i="40"/>
  <c r="AW95" i="40" s="1"/>
  <c r="AN95" i="40"/>
  <c r="AS95" i="40"/>
  <c r="R95" i="40"/>
  <c r="Q95" i="40"/>
  <c r="E95" i="40"/>
  <c r="L95" i="40" s="1"/>
  <c r="AU94" i="40"/>
  <c r="AT94" i="40"/>
  <c r="AR94" i="40"/>
  <c r="AQ94" i="40"/>
  <c r="AN94" i="40"/>
  <c r="AS94" i="40"/>
  <c r="R94" i="40"/>
  <c r="Q94" i="40"/>
  <c r="E94" i="40"/>
  <c r="L94" i="40" s="1"/>
  <c r="AU93" i="40"/>
  <c r="AT93" i="40"/>
  <c r="AR93" i="40"/>
  <c r="AQ93" i="40"/>
  <c r="AN93" i="40"/>
  <c r="AS93" i="40"/>
  <c r="R93" i="40"/>
  <c r="Q93" i="40"/>
  <c r="E93" i="40"/>
  <c r="L93" i="40" s="1"/>
  <c r="AU92" i="40"/>
  <c r="AT92" i="40"/>
  <c r="AR92" i="40"/>
  <c r="AQ92" i="40"/>
  <c r="AW92" i="40" s="1"/>
  <c r="AN92" i="40"/>
  <c r="AS92" i="40"/>
  <c r="R92" i="40"/>
  <c r="Q92" i="40"/>
  <c r="E92" i="40"/>
  <c r="L92" i="40" s="1"/>
  <c r="AU91" i="40"/>
  <c r="AT91" i="40"/>
  <c r="AR91" i="40"/>
  <c r="AQ91" i="40"/>
  <c r="AW91" i="40" s="1"/>
  <c r="AN91" i="40"/>
  <c r="AS91" i="40"/>
  <c r="R91" i="40"/>
  <c r="Q91" i="40"/>
  <c r="E91" i="40"/>
  <c r="L91" i="40" s="1"/>
  <c r="AU90" i="40"/>
  <c r="AT90" i="40"/>
  <c r="AR90" i="40"/>
  <c r="AQ90" i="40"/>
  <c r="AW90" i="40" s="1"/>
  <c r="AN90" i="40"/>
  <c r="AS90" i="40"/>
  <c r="R90" i="40"/>
  <c r="Q90" i="40"/>
  <c r="E90" i="40"/>
  <c r="L90" i="40" s="1"/>
  <c r="AU89" i="40"/>
  <c r="AT89" i="40"/>
  <c r="AR89" i="40"/>
  <c r="AQ89" i="40"/>
  <c r="AN89" i="40"/>
  <c r="AS89" i="40"/>
  <c r="R89" i="40"/>
  <c r="Q89" i="40"/>
  <c r="E89" i="40"/>
  <c r="L89" i="40" s="1"/>
  <c r="AU88" i="40"/>
  <c r="AT88" i="40"/>
  <c r="AR88" i="40"/>
  <c r="AQ88" i="40"/>
  <c r="AN88" i="40"/>
  <c r="AS88" i="40"/>
  <c r="R88" i="40"/>
  <c r="Q88" i="40"/>
  <c r="E88" i="40"/>
  <c r="L88" i="40" s="1"/>
  <c r="AU87" i="40"/>
  <c r="AT87" i="40"/>
  <c r="AR87" i="40"/>
  <c r="AQ87" i="40"/>
  <c r="AN87" i="40"/>
  <c r="AS87" i="40"/>
  <c r="R87" i="40"/>
  <c r="Q87" i="40"/>
  <c r="E87" i="40"/>
  <c r="L87" i="40" s="1"/>
  <c r="AU86" i="40"/>
  <c r="AT86" i="40"/>
  <c r="AR86" i="40"/>
  <c r="AQ86" i="40"/>
  <c r="AN86" i="40"/>
  <c r="AS86" i="40"/>
  <c r="R86" i="40"/>
  <c r="Q86" i="40"/>
  <c r="E86" i="40"/>
  <c r="L86" i="40" s="1"/>
  <c r="AU85" i="40"/>
  <c r="AT85" i="40"/>
  <c r="AR85" i="40"/>
  <c r="AQ85" i="40"/>
  <c r="AN85" i="40"/>
  <c r="AS85" i="40"/>
  <c r="R85" i="40"/>
  <c r="Q85" i="40"/>
  <c r="E85" i="40"/>
  <c r="L85" i="40" s="1"/>
  <c r="AU84" i="40"/>
  <c r="AT84" i="40"/>
  <c r="AS84" i="40"/>
  <c r="AR84" i="40"/>
  <c r="AQ84" i="40"/>
  <c r="AW84" i="40" s="1"/>
  <c r="AN84" i="40"/>
  <c r="R84" i="40"/>
  <c r="Q84" i="40"/>
  <c r="E84" i="40"/>
  <c r="L84" i="40" s="1"/>
  <c r="AU83" i="40"/>
  <c r="AT83" i="40"/>
  <c r="AS83" i="40"/>
  <c r="AR83" i="40"/>
  <c r="AQ83" i="40"/>
  <c r="AW83" i="40" s="1"/>
  <c r="AN83" i="40"/>
  <c r="R83" i="40"/>
  <c r="Q83" i="40"/>
  <c r="E83" i="40"/>
  <c r="L83" i="40" s="1"/>
  <c r="AU82" i="40"/>
  <c r="AT82" i="40"/>
  <c r="AS82" i="40"/>
  <c r="AR82" i="40"/>
  <c r="AQ82" i="40"/>
  <c r="AW82" i="40" s="1"/>
  <c r="AN82" i="40"/>
  <c r="R82" i="40"/>
  <c r="Q82" i="40"/>
  <c r="E82" i="40"/>
  <c r="L82" i="40" s="1"/>
  <c r="AU81" i="40"/>
  <c r="AT81" i="40"/>
  <c r="AS81" i="40"/>
  <c r="AR81" i="40"/>
  <c r="AQ81" i="40"/>
  <c r="AN81" i="40"/>
  <c r="R81" i="40"/>
  <c r="Q81" i="40"/>
  <c r="E81" i="40"/>
  <c r="L81" i="40" s="1"/>
  <c r="AU80" i="40"/>
  <c r="AT80" i="40"/>
  <c r="AS80" i="40"/>
  <c r="AR80" i="40"/>
  <c r="AQ80" i="40"/>
  <c r="AN80" i="40"/>
  <c r="R80" i="40"/>
  <c r="Q80" i="40"/>
  <c r="E80" i="40"/>
  <c r="L80" i="40" s="1"/>
  <c r="AU79" i="40"/>
  <c r="AT79" i="40"/>
  <c r="AS79" i="40"/>
  <c r="AR79" i="40"/>
  <c r="AQ79" i="40"/>
  <c r="AW79" i="40" s="1"/>
  <c r="AN79" i="40"/>
  <c r="R79" i="40"/>
  <c r="Q79" i="40"/>
  <c r="E79" i="40"/>
  <c r="L79" i="40" s="1"/>
  <c r="AU78" i="40"/>
  <c r="AT78" i="40"/>
  <c r="AS78" i="40"/>
  <c r="AR78" i="40"/>
  <c r="AQ78" i="40"/>
  <c r="AN78" i="40"/>
  <c r="R78" i="40"/>
  <c r="Q78" i="40"/>
  <c r="E78" i="40"/>
  <c r="L78" i="40" s="1"/>
  <c r="AU77" i="40"/>
  <c r="AT77" i="40"/>
  <c r="AS77" i="40"/>
  <c r="AR77" i="40"/>
  <c r="AQ77" i="40"/>
  <c r="AW77" i="40" s="1"/>
  <c r="AN77" i="40"/>
  <c r="R77" i="40"/>
  <c r="Q77" i="40"/>
  <c r="E77" i="40"/>
  <c r="L77" i="40" s="1"/>
  <c r="AU76" i="40"/>
  <c r="AT76" i="40"/>
  <c r="AS76" i="40"/>
  <c r="AR76" i="40"/>
  <c r="AQ76" i="40"/>
  <c r="AN76" i="40"/>
  <c r="R76" i="40"/>
  <c r="Q76" i="40"/>
  <c r="E76" i="40"/>
  <c r="L76" i="40" s="1"/>
  <c r="AU75" i="40"/>
  <c r="AT75" i="40"/>
  <c r="AS75" i="40"/>
  <c r="AR75" i="40"/>
  <c r="AQ75" i="40"/>
  <c r="AN75" i="40"/>
  <c r="R75" i="40"/>
  <c r="Q75" i="40"/>
  <c r="E75" i="40"/>
  <c r="L75" i="40" s="1"/>
  <c r="AU74" i="40"/>
  <c r="AT74" i="40"/>
  <c r="AS74" i="40"/>
  <c r="AR74" i="40"/>
  <c r="AQ74" i="40"/>
  <c r="AW74" i="40" s="1"/>
  <c r="AN74" i="40"/>
  <c r="R74" i="40"/>
  <c r="Q74" i="40"/>
  <c r="E74" i="40"/>
  <c r="L74" i="40" s="1"/>
  <c r="AU73" i="40"/>
  <c r="AT73" i="40"/>
  <c r="AS73" i="40"/>
  <c r="AR73" i="40"/>
  <c r="AQ73" i="40"/>
  <c r="AN73" i="40"/>
  <c r="R73" i="40"/>
  <c r="Q73" i="40"/>
  <c r="E73" i="40"/>
  <c r="L73" i="40" s="1"/>
  <c r="AU72" i="40"/>
  <c r="AT72" i="40"/>
  <c r="AS72" i="40"/>
  <c r="AR72" i="40"/>
  <c r="AQ72" i="40"/>
  <c r="AN72" i="40"/>
  <c r="R72" i="40"/>
  <c r="Q72" i="40"/>
  <c r="E72" i="40"/>
  <c r="L72" i="40" s="1"/>
  <c r="AU71" i="40"/>
  <c r="AT71" i="40"/>
  <c r="AS71" i="40"/>
  <c r="AR71" i="40"/>
  <c r="AQ71" i="40"/>
  <c r="AL71" i="40"/>
  <c r="AN71" i="40"/>
  <c r="R71" i="40"/>
  <c r="Q71" i="40"/>
  <c r="E71" i="40"/>
  <c r="L71" i="40" s="1"/>
  <c r="AU70" i="40"/>
  <c r="AT70" i="40"/>
  <c r="AS70" i="40"/>
  <c r="AR70" i="40"/>
  <c r="AQ70" i="40"/>
  <c r="AW70" i="40" s="1"/>
  <c r="AL70" i="40"/>
  <c r="AN70" i="40"/>
  <c r="R70" i="40"/>
  <c r="Q70" i="40"/>
  <c r="E70" i="40"/>
  <c r="L70" i="40" s="1"/>
  <c r="AU69" i="40"/>
  <c r="AT69" i="40"/>
  <c r="AS69" i="40"/>
  <c r="AR69" i="40"/>
  <c r="AQ69" i="40"/>
  <c r="AL69" i="40"/>
  <c r="AN69" i="40"/>
  <c r="R69" i="40"/>
  <c r="Q69" i="40"/>
  <c r="E69" i="40"/>
  <c r="L69" i="40" s="1"/>
  <c r="AU68" i="40"/>
  <c r="AT68" i="40"/>
  <c r="AS68" i="40"/>
  <c r="AR68" i="40"/>
  <c r="AQ68" i="40"/>
  <c r="AW68" i="40" s="1"/>
  <c r="AL68" i="40"/>
  <c r="AN68" i="40"/>
  <c r="R68" i="40"/>
  <c r="Q68" i="40"/>
  <c r="E68" i="40"/>
  <c r="L68" i="40" s="1"/>
  <c r="AU67" i="40"/>
  <c r="AT67" i="40"/>
  <c r="AS67" i="40"/>
  <c r="AR67" i="40"/>
  <c r="AQ67" i="40"/>
  <c r="AW67" i="40" s="1"/>
  <c r="AL67" i="40"/>
  <c r="AN67" i="40"/>
  <c r="R67" i="40"/>
  <c r="Q67" i="40"/>
  <c r="E67" i="40"/>
  <c r="L67" i="40" s="1"/>
  <c r="AU66" i="40"/>
  <c r="AT66" i="40"/>
  <c r="AS66" i="40"/>
  <c r="AR66" i="40"/>
  <c r="AQ66" i="40"/>
  <c r="AW66" i="40" s="1"/>
  <c r="AL66" i="40"/>
  <c r="AN66" i="40"/>
  <c r="R66" i="40"/>
  <c r="Q66" i="40"/>
  <c r="E66" i="40"/>
  <c r="L66" i="40" s="1"/>
  <c r="AU65" i="40"/>
  <c r="AT65" i="40"/>
  <c r="AR65" i="40"/>
  <c r="AL65" i="40"/>
  <c r="AN65" i="40"/>
  <c r="Q65" i="40"/>
  <c r="E65" i="40"/>
  <c r="L65" i="40" s="1"/>
  <c r="AU64" i="40"/>
  <c r="AT64" i="40"/>
  <c r="AR64" i="40"/>
  <c r="AN64" i="40"/>
  <c r="AL64" i="40"/>
  <c r="AO64" i="40"/>
  <c r="Q64" i="40"/>
  <c r="E64" i="40"/>
  <c r="L64" i="40" s="1"/>
  <c r="AU63" i="40"/>
  <c r="AT63" i="40"/>
  <c r="AR63" i="40"/>
  <c r="AN63" i="40"/>
  <c r="AL63" i="40"/>
  <c r="Q63" i="40"/>
  <c r="E63" i="40"/>
  <c r="L63" i="40" s="1"/>
  <c r="AU62" i="40"/>
  <c r="AT62" i="40"/>
  <c r="AR62" i="40"/>
  <c r="AN62" i="40"/>
  <c r="AL62" i="40"/>
  <c r="Q62" i="40"/>
  <c r="E62" i="40"/>
  <c r="L62" i="40" s="1"/>
  <c r="AU61" i="40"/>
  <c r="AT61" i="40"/>
  <c r="AR61" i="40"/>
  <c r="AN61" i="40"/>
  <c r="AL61" i="40"/>
  <c r="Q61" i="40"/>
  <c r="E61" i="40"/>
  <c r="L61" i="40" s="1"/>
  <c r="AU60" i="40"/>
  <c r="AT60" i="40"/>
  <c r="AR60" i="40"/>
  <c r="AN60" i="40"/>
  <c r="AL60" i="40"/>
  <c r="Q60" i="40"/>
  <c r="E60" i="40"/>
  <c r="L60" i="40" s="1"/>
  <c r="AU59" i="40"/>
  <c r="AT59" i="40"/>
  <c r="AR59" i="40"/>
  <c r="AN59" i="40"/>
  <c r="AL59" i="40"/>
  <c r="Q59" i="40"/>
  <c r="E59" i="40"/>
  <c r="L59" i="40" s="1"/>
  <c r="AU58" i="40"/>
  <c r="AT58" i="40"/>
  <c r="AR58" i="40"/>
  <c r="AN58" i="40"/>
  <c r="AL58" i="40"/>
  <c r="Q58" i="40"/>
  <c r="E58" i="40"/>
  <c r="L58" i="40" s="1"/>
  <c r="AU57" i="40"/>
  <c r="AT57" i="40"/>
  <c r="AR57" i="40"/>
  <c r="AN57" i="40"/>
  <c r="AL57" i="40"/>
  <c r="Q57" i="40"/>
  <c r="E57" i="40"/>
  <c r="L57" i="40" s="1"/>
  <c r="AU56" i="40"/>
  <c r="AT56" i="40"/>
  <c r="AR56" i="40"/>
  <c r="AN56" i="40"/>
  <c r="AL56" i="40"/>
  <c r="Q56" i="40"/>
  <c r="E56" i="40"/>
  <c r="L56" i="40" s="1"/>
  <c r="AU55" i="40"/>
  <c r="AT55" i="40"/>
  <c r="AR55" i="40"/>
  <c r="AN55" i="40"/>
  <c r="AL55" i="40"/>
  <c r="Q55" i="40"/>
  <c r="E55" i="40"/>
  <c r="L55" i="40" s="1"/>
  <c r="AU54" i="40"/>
  <c r="AT54" i="40"/>
  <c r="AR54" i="40"/>
  <c r="AN54" i="40"/>
  <c r="AL54" i="40"/>
  <c r="Q54" i="40"/>
  <c r="E54" i="40"/>
  <c r="L54" i="40" s="1"/>
  <c r="AU53" i="40"/>
  <c r="AT53" i="40"/>
  <c r="AR53" i="40"/>
  <c r="AN53" i="40"/>
  <c r="AL53" i="40"/>
  <c r="Q53" i="40"/>
  <c r="E53" i="40"/>
  <c r="L53" i="40" s="1"/>
  <c r="AU52" i="40"/>
  <c r="AT52" i="40"/>
  <c r="AR52" i="40"/>
  <c r="AN52" i="40"/>
  <c r="AL52" i="40"/>
  <c r="Q52" i="40"/>
  <c r="E52" i="40"/>
  <c r="L52" i="40" s="1"/>
  <c r="AU51" i="40"/>
  <c r="AT51" i="40"/>
  <c r="AR51" i="40"/>
  <c r="AN51" i="40"/>
  <c r="AL51" i="40"/>
  <c r="R51" i="40"/>
  <c r="Q51" i="40"/>
  <c r="E51" i="40"/>
  <c r="L51" i="40" s="1"/>
  <c r="AU50" i="40"/>
  <c r="AT50" i="40"/>
  <c r="AR50" i="40"/>
  <c r="AN50" i="40"/>
  <c r="AL50" i="40"/>
  <c r="R50" i="40"/>
  <c r="Q50" i="40"/>
  <c r="E50" i="40"/>
  <c r="L50" i="40" s="1"/>
  <c r="AU49" i="40"/>
  <c r="AT49" i="40"/>
  <c r="AR49" i="40"/>
  <c r="AN49" i="40"/>
  <c r="AL49" i="40"/>
  <c r="R49" i="40"/>
  <c r="Q49" i="40"/>
  <c r="E49" i="40"/>
  <c r="L49" i="40" s="1"/>
  <c r="AU48" i="40"/>
  <c r="AT48" i="40"/>
  <c r="AR48" i="40"/>
  <c r="AN48" i="40"/>
  <c r="AL48" i="40"/>
  <c r="R48" i="40"/>
  <c r="Q48" i="40"/>
  <c r="E48" i="40"/>
  <c r="L48" i="40" s="1"/>
  <c r="AU47" i="40"/>
  <c r="AT47" i="40"/>
  <c r="AR47" i="40"/>
  <c r="AN47" i="40"/>
  <c r="AL47" i="40"/>
  <c r="R47" i="40"/>
  <c r="Q47" i="40"/>
  <c r="E47" i="40"/>
  <c r="L47" i="40" s="1"/>
  <c r="AU46" i="40"/>
  <c r="AT46" i="40"/>
  <c r="AR46" i="40"/>
  <c r="AN46" i="40"/>
  <c r="AL46" i="40"/>
  <c r="R46" i="40"/>
  <c r="Q46" i="40"/>
  <c r="E46" i="40"/>
  <c r="L46" i="40" s="1"/>
  <c r="AU45" i="40"/>
  <c r="AT45" i="40"/>
  <c r="AR45" i="40"/>
  <c r="AN45" i="40"/>
  <c r="AL45" i="40"/>
  <c r="R45" i="40"/>
  <c r="Q45" i="40"/>
  <c r="E45" i="40"/>
  <c r="L45" i="40" s="1"/>
  <c r="AU44" i="40"/>
  <c r="AT44" i="40"/>
  <c r="AR44" i="40"/>
  <c r="AN44" i="40"/>
  <c r="AL44" i="40"/>
  <c r="R44" i="40"/>
  <c r="Q44" i="40"/>
  <c r="E44" i="40"/>
  <c r="L44" i="40" s="1"/>
  <c r="AU43" i="40"/>
  <c r="AT43" i="40"/>
  <c r="AR43" i="40"/>
  <c r="AN43" i="40"/>
  <c r="AL43" i="40"/>
  <c r="R43" i="40"/>
  <c r="Q43" i="40"/>
  <c r="E43" i="40"/>
  <c r="L43" i="40" s="1"/>
  <c r="AU42" i="40"/>
  <c r="AT42" i="40"/>
  <c r="AR42" i="40"/>
  <c r="AN42" i="40"/>
  <c r="AL42" i="40"/>
  <c r="R42" i="40"/>
  <c r="Q42" i="40"/>
  <c r="E42" i="40"/>
  <c r="L42" i="40" s="1"/>
  <c r="AU41" i="40"/>
  <c r="AT41" i="40"/>
  <c r="AR41" i="40"/>
  <c r="AN41" i="40"/>
  <c r="AL41" i="40"/>
  <c r="R41" i="40"/>
  <c r="Q41" i="40"/>
  <c r="E41" i="40"/>
  <c r="L41" i="40" s="1"/>
  <c r="AU40" i="40"/>
  <c r="AT40" i="40"/>
  <c r="AS40" i="40"/>
  <c r="AR40" i="40"/>
  <c r="AN40" i="40"/>
  <c r="AL40" i="40"/>
  <c r="R40" i="40"/>
  <c r="Q40" i="40"/>
  <c r="E40" i="40"/>
  <c r="L40" i="40" s="1"/>
  <c r="AU39" i="40"/>
  <c r="AT39" i="40"/>
  <c r="AR39" i="40"/>
  <c r="AN39" i="40"/>
  <c r="AL39" i="40"/>
  <c r="R39" i="40"/>
  <c r="Q39" i="40"/>
  <c r="E39" i="40"/>
  <c r="L39" i="40" s="1"/>
  <c r="AU38" i="40"/>
  <c r="AT38" i="40"/>
  <c r="AS38" i="40"/>
  <c r="AR38" i="40"/>
  <c r="AN38" i="40"/>
  <c r="AL38" i="40"/>
  <c r="R38" i="40"/>
  <c r="Q38" i="40"/>
  <c r="E38" i="40"/>
  <c r="L38" i="40" s="1"/>
  <c r="AU37" i="40"/>
  <c r="AT37" i="40"/>
  <c r="AR37" i="40"/>
  <c r="AN37" i="40"/>
  <c r="AL37" i="40"/>
  <c r="AS37" i="40"/>
  <c r="R37" i="40"/>
  <c r="Q37" i="40"/>
  <c r="E37" i="40"/>
  <c r="L37" i="40" s="1"/>
  <c r="AU36" i="40"/>
  <c r="AT36" i="40"/>
  <c r="AR36" i="40"/>
  <c r="AN36" i="40"/>
  <c r="AL36" i="40"/>
  <c r="AL36" i="43" s="1"/>
  <c r="AL36" i="38" s="1"/>
  <c r="R36" i="40"/>
  <c r="Q36" i="40"/>
  <c r="E36" i="40"/>
  <c r="L36" i="40" s="1"/>
  <c r="AU35" i="40"/>
  <c r="AT35" i="40"/>
  <c r="AS35" i="40"/>
  <c r="AR35" i="40"/>
  <c r="AN35" i="40"/>
  <c r="AL35" i="40"/>
  <c r="R35" i="40"/>
  <c r="Q35" i="40"/>
  <c r="E35" i="40"/>
  <c r="L35" i="40" s="1"/>
  <c r="AU34" i="40"/>
  <c r="AT34" i="40"/>
  <c r="AS34" i="40"/>
  <c r="AR34" i="40"/>
  <c r="AN34" i="40"/>
  <c r="AL34" i="40"/>
  <c r="R34" i="40"/>
  <c r="Q34" i="40"/>
  <c r="E34" i="40"/>
  <c r="L34" i="40" s="1"/>
  <c r="AU33" i="40"/>
  <c r="AT33" i="40"/>
  <c r="AR33" i="40"/>
  <c r="AN33" i="40"/>
  <c r="AL33" i="40"/>
  <c r="Q33" i="40"/>
  <c r="E33" i="40"/>
  <c r="L33" i="40" s="1"/>
  <c r="AU32" i="40"/>
  <c r="AT32" i="40"/>
  <c r="AR32" i="40"/>
  <c r="AN32" i="40"/>
  <c r="AL32" i="40"/>
  <c r="R32" i="40"/>
  <c r="Q32" i="40"/>
  <c r="E32" i="40"/>
  <c r="L32" i="40" s="1"/>
  <c r="AU31" i="40"/>
  <c r="AT31" i="40"/>
  <c r="AR31" i="40"/>
  <c r="AN31" i="40"/>
  <c r="AL31" i="40"/>
  <c r="Q31" i="40"/>
  <c r="E31" i="40"/>
  <c r="L31" i="40" s="1"/>
  <c r="AU30" i="40"/>
  <c r="AT30" i="40"/>
  <c r="AR30" i="40"/>
  <c r="AN30" i="40"/>
  <c r="AL30" i="40"/>
  <c r="R30" i="40"/>
  <c r="Q30" i="40"/>
  <c r="E30" i="40"/>
  <c r="L30" i="40" s="1"/>
  <c r="AU29" i="40"/>
  <c r="AT29" i="40"/>
  <c r="AR29" i="40"/>
  <c r="AN29" i="40"/>
  <c r="AL29" i="40"/>
  <c r="R29" i="40"/>
  <c r="Q29" i="40"/>
  <c r="E29" i="40"/>
  <c r="L29" i="40" s="1"/>
  <c r="AU28" i="40"/>
  <c r="AT28" i="40"/>
  <c r="AS28" i="40"/>
  <c r="AR28" i="40"/>
  <c r="AQ28" i="40"/>
  <c r="AN28" i="40"/>
  <c r="AL28" i="40"/>
  <c r="R28" i="40"/>
  <c r="Q28" i="40"/>
  <c r="E28" i="40"/>
  <c r="L28" i="40" s="1"/>
  <c r="AU27" i="40"/>
  <c r="AT27" i="40"/>
  <c r="AS27" i="40"/>
  <c r="AR27" i="40"/>
  <c r="AQ27" i="40"/>
  <c r="AN27" i="40"/>
  <c r="AL27" i="40"/>
  <c r="R27" i="40"/>
  <c r="Q27" i="40"/>
  <c r="E27" i="40"/>
  <c r="L27" i="40" s="1"/>
  <c r="AU26" i="40"/>
  <c r="AT26" i="40"/>
  <c r="AS26" i="40"/>
  <c r="AR26" i="40"/>
  <c r="AQ26" i="40"/>
  <c r="AN26" i="40"/>
  <c r="AL26" i="40"/>
  <c r="R26" i="40"/>
  <c r="Q26" i="40"/>
  <c r="E26" i="40"/>
  <c r="L26" i="40" s="1"/>
  <c r="AU25" i="40"/>
  <c r="AT25" i="40"/>
  <c r="AS25" i="40"/>
  <c r="AR25" i="40"/>
  <c r="AQ25" i="40"/>
  <c r="AW25" i="40" s="1"/>
  <c r="AN25" i="40"/>
  <c r="AL25" i="40"/>
  <c r="AO25" i="40"/>
  <c r="AV25" i="40" s="1" a="1"/>
  <c r="AV25" i="40" s="1"/>
  <c r="R25" i="40"/>
  <c r="Q25" i="40"/>
  <c r="E25" i="40"/>
  <c r="L25" i="40" s="1"/>
  <c r="AU24" i="40"/>
  <c r="AT24" i="40"/>
  <c r="AS24" i="40"/>
  <c r="AR24" i="40"/>
  <c r="AQ24" i="40"/>
  <c r="AW24" i="40" s="1"/>
  <c r="AN24" i="40"/>
  <c r="AL24" i="40"/>
  <c r="R24" i="40"/>
  <c r="Q24" i="40"/>
  <c r="E24" i="40"/>
  <c r="L24" i="40" s="1"/>
  <c r="AU23" i="40"/>
  <c r="AT23" i="40"/>
  <c r="AS23" i="40"/>
  <c r="AR23" i="40"/>
  <c r="AQ23" i="40"/>
  <c r="AW23" i="40" s="1"/>
  <c r="AN23" i="40"/>
  <c r="AL23" i="40"/>
  <c r="R23" i="40"/>
  <c r="Q23" i="40"/>
  <c r="E23" i="40"/>
  <c r="L23" i="40" s="1"/>
  <c r="AU22" i="40"/>
  <c r="AT22" i="40"/>
  <c r="AS22" i="40"/>
  <c r="AR22" i="40"/>
  <c r="AQ22" i="40"/>
  <c r="AW22" i="40" s="1"/>
  <c r="AN22" i="40"/>
  <c r="AL22" i="40"/>
  <c r="R22" i="40"/>
  <c r="Q22" i="40"/>
  <c r="E22" i="40"/>
  <c r="L22" i="40" s="1"/>
  <c r="AU21" i="40"/>
  <c r="AT21" i="40"/>
  <c r="AS21" i="40"/>
  <c r="AR21" i="40"/>
  <c r="AQ21" i="40"/>
  <c r="AW21" i="40" s="1"/>
  <c r="AN21" i="40"/>
  <c r="AL21" i="40"/>
  <c r="R21" i="40"/>
  <c r="Q21" i="40"/>
  <c r="E21" i="40"/>
  <c r="L21" i="40" s="1"/>
  <c r="AU20" i="40"/>
  <c r="AT20" i="40"/>
  <c r="AS20" i="40"/>
  <c r="AR20" i="40"/>
  <c r="AQ20" i="40"/>
  <c r="AW20" i="40" s="1"/>
  <c r="AN20" i="40"/>
  <c r="AL20" i="40"/>
  <c r="R20" i="40"/>
  <c r="Q20" i="40"/>
  <c r="E20" i="40"/>
  <c r="L20" i="40" s="1"/>
  <c r="AU19" i="40"/>
  <c r="AT19" i="40"/>
  <c r="AS19" i="40"/>
  <c r="AR19" i="40"/>
  <c r="AQ19" i="40"/>
  <c r="AW19" i="40" s="1"/>
  <c r="AN19" i="40"/>
  <c r="AL19" i="40"/>
  <c r="R19" i="40"/>
  <c r="Q19" i="40"/>
  <c r="E19" i="40"/>
  <c r="L19" i="40" s="1"/>
  <c r="AU18" i="40"/>
  <c r="AT18" i="40"/>
  <c r="AS18" i="40"/>
  <c r="AR18" i="40"/>
  <c r="AQ18" i="40"/>
  <c r="AN18" i="40"/>
  <c r="AL18" i="40"/>
  <c r="R18" i="40"/>
  <c r="Q18" i="40"/>
  <c r="E18" i="40"/>
  <c r="L18" i="40" s="1"/>
  <c r="AU17" i="40"/>
  <c r="AT17" i="40"/>
  <c r="AS17" i="40"/>
  <c r="AR17" i="40"/>
  <c r="AQ17" i="40"/>
  <c r="AN17" i="40"/>
  <c r="AL17" i="40"/>
  <c r="AO17" i="40"/>
  <c r="AV17" i="40" s="1" a="1"/>
  <c r="AV17" i="40" s="1"/>
  <c r="R17" i="40"/>
  <c r="Q17" i="40"/>
  <c r="E17" i="40"/>
  <c r="L17" i="40" s="1"/>
  <c r="AU16" i="40"/>
  <c r="AT16" i="40"/>
  <c r="AS16" i="40"/>
  <c r="AR16" i="40"/>
  <c r="AQ16" i="40"/>
  <c r="AN16" i="40"/>
  <c r="AL16" i="40"/>
  <c r="R16" i="40"/>
  <c r="Q16" i="40"/>
  <c r="E16" i="40"/>
  <c r="L16" i="40" s="1"/>
  <c r="AU15" i="40"/>
  <c r="AT15" i="40"/>
  <c r="AS15" i="40"/>
  <c r="AR15" i="40"/>
  <c r="AQ15" i="40"/>
  <c r="AN15" i="40"/>
  <c r="AL15" i="40"/>
  <c r="R15" i="40"/>
  <c r="Q15" i="40"/>
  <c r="E15" i="40"/>
  <c r="L15" i="40" s="1"/>
  <c r="AU14" i="40"/>
  <c r="AT14" i="40"/>
  <c r="AS14" i="40"/>
  <c r="AR14" i="40"/>
  <c r="AQ14" i="40"/>
  <c r="AL14" i="40"/>
  <c r="AN14" i="40"/>
  <c r="R14" i="40"/>
  <c r="Q14" i="40"/>
  <c r="E14" i="40"/>
  <c r="L14" i="40" s="1"/>
  <c r="AU13" i="40"/>
  <c r="AT13" i="40"/>
  <c r="AS13" i="40"/>
  <c r="AR13" i="40"/>
  <c r="AQ13" i="40"/>
  <c r="AL13" i="40"/>
  <c r="AN13" i="40"/>
  <c r="R13" i="40"/>
  <c r="Q13" i="40"/>
  <c r="E13" i="40"/>
  <c r="L13" i="40" s="1"/>
  <c r="AU12" i="40"/>
  <c r="AT12" i="40"/>
  <c r="AS12" i="40"/>
  <c r="AR12" i="40"/>
  <c r="AQ12" i="40"/>
  <c r="AN12" i="40"/>
  <c r="AL12" i="40"/>
  <c r="R12" i="40"/>
  <c r="Q12" i="40"/>
  <c r="E12" i="40"/>
  <c r="L12" i="40" s="1"/>
  <c r="AU11" i="40"/>
  <c r="AT11" i="40"/>
  <c r="AS11" i="40"/>
  <c r="AR11" i="40"/>
  <c r="AQ11" i="40"/>
  <c r="AN11" i="40"/>
  <c r="AL11" i="40"/>
  <c r="R11" i="40"/>
  <c r="Q11" i="40"/>
  <c r="E11" i="40"/>
  <c r="L11" i="40" s="1"/>
  <c r="AU10" i="40"/>
  <c r="AT10" i="40"/>
  <c r="AS10" i="40"/>
  <c r="AR10" i="40"/>
  <c r="AQ10" i="40"/>
  <c r="AN10" i="40"/>
  <c r="AL10" i="40"/>
  <c r="R10" i="40"/>
  <c r="Q10" i="40"/>
  <c r="E10" i="40"/>
  <c r="L10" i="40" s="1"/>
  <c r="AU9" i="40"/>
  <c r="AT9" i="40"/>
  <c r="AS9" i="40"/>
  <c r="AR9" i="40"/>
  <c r="AQ9" i="40"/>
  <c r="AN9" i="40"/>
  <c r="AL9" i="40"/>
  <c r="R9" i="40"/>
  <c r="Q9" i="40"/>
  <c r="E9" i="40"/>
  <c r="L9" i="40" s="1"/>
  <c r="AU8" i="40"/>
  <c r="AT8" i="40"/>
  <c r="AS8" i="40"/>
  <c r="AR8" i="40"/>
  <c r="AQ8" i="40"/>
  <c r="AL8" i="40"/>
  <c r="AN8" i="40"/>
  <c r="R8" i="40"/>
  <c r="Q8" i="40"/>
  <c r="E8" i="40"/>
  <c r="L8" i="40" s="1"/>
  <c r="AU7" i="40"/>
  <c r="AT7" i="40"/>
  <c r="AS7" i="40"/>
  <c r="AR7" i="40"/>
  <c r="AR104" i="40" s="1"/>
  <c r="AQ7" i="40"/>
  <c r="AL7" i="40"/>
  <c r="AN7" i="40"/>
  <c r="R7" i="40"/>
  <c r="Q7" i="40"/>
  <c r="E7" i="40"/>
  <c r="L7" i="40" s="1"/>
  <c r="AU6" i="40"/>
  <c r="AT6" i="40"/>
  <c r="AS6" i="40"/>
  <c r="AR6" i="40"/>
  <c r="AQ6" i="40"/>
  <c r="AL6" i="40"/>
  <c r="AL6" i="43" s="1"/>
  <c r="AL6" i="38" s="1"/>
  <c r="AN6" i="40"/>
  <c r="R6" i="40"/>
  <c r="Q6" i="40"/>
  <c r="E6" i="40"/>
  <c r="L6" i="40" s="1"/>
  <c r="AU5" i="40"/>
  <c r="AT5" i="40"/>
  <c r="AS5" i="40"/>
  <c r="AR5" i="40"/>
  <c r="AQ5" i="40"/>
  <c r="AL5" i="40"/>
  <c r="AO5" i="40"/>
  <c r="AV5" i="40" s="1" a="1"/>
  <c r="AV5" i="40" s="1"/>
  <c r="AN5" i="40"/>
  <c r="R5" i="40"/>
  <c r="Q5" i="40"/>
  <c r="E5" i="40"/>
  <c r="L5" i="40" s="1"/>
  <c r="AU4" i="40"/>
  <c r="AT4" i="40"/>
  <c r="AS4" i="40"/>
  <c r="AR4" i="40"/>
  <c r="AQ4" i="40"/>
  <c r="AL4" i="40"/>
  <c r="AN4" i="40"/>
  <c r="R4" i="40"/>
  <c r="Q4" i="40"/>
  <c r="E4" i="40"/>
  <c r="L4" i="40" s="1"/>
  <c r="AU3" i="40"/>
  <c r="AT3" i="40"/>
  <c r="AR3" i="40"/>
  <c r="AL3" i="40"/>
  <c r="AL3" i="43" s="1"/>
  <c r="AL3" i="38" s="1"/>
  <c r="AB3" i="40"/>
  <c r="AB105" i="40" s="1"/>
  <c r="AB126" i="40" s="1"/>
  <c r="AA3" i="40"/>
  <c r="AF3" i="40" s="1"/>
  <c r="X3" i="40"/>
  <c r="X105" i="40" s="1"/>
  <c r="X126" i="40" s="1"/>
  <c r="U3" i="40"/>
  <c r="U105" i="40" s="1"/>
  <c r="U126" i="40" s="1"/>
  <c r="Q3" i="40"/>
  <c r="E3" i="40"/>
  <c r="L3" i="40" s="1"/>
  <c r="AH127" i="39"/>
  <c r="R126" i="39"/>
  <c r="Q126" i="39"/>
  <c r="P126" i="39"/>
  <c r="O126" i="39"/>
  <c r="M126" i="39"/>
  <c r="K126" i="39"/>
  <c r="AM124" i="39"/>
  <c r="AK124" i="39"/>
  <c r="AJ124" i="39"/>
  <c r="AI124" i="39"/>
  <c r="AH124" i="39"/>
  <c r="AG124" i="39"/>
  <c r="AE124" i="39"/>
  <c r="AA124" i="39"/>
  <c r="Z124" i="39"/>
  <c r="Y124" i="39"/>
  <c r="W124" i="39"/>
  <c r="V124" i="39"/>
  <c r="U124" i="39"/>
  <c r="T124" i="39"/>
  <c r="S124" i="39"/>
  <c r="N124" i="39"/>
  <c r="J124" i="39"/>
  <c r="I124" i="39"/>
  <c r="H124" i="39"/>
  <c r="G124" i="39"/>
  <c r="F124" i="39"/>
  <c r="AU123" i="39"/>
  <c r="AT123" i="39"/>
  <c r="AS123" i="39"/>
  <c r="AR123" i="39"/>
  <c r="AN124" i="39"/>
  <c r="AB124" i="39"/>
  <c r="X124" i="39"/>
  <c r="AM113" i="39"/>
  <c r="AK113" i="39"/>
  <c r="AJ113" i="39"/>
  <c r="AI113" i="39"/>
  <c r="AH113" i="39"/>
  <c r="AG113" i="39"/>
  <c r="AE113" i="39"/>
  <c r="AB113" i="39"/>
  <c r="Z113" i="39"/>
  <c r="Y113" i="39"/>
  <c r="W113" i="39"/>
  <c r="V113" i="39"/>
  <c r="T113" i="39"/>
  <c r="S113" i="39"/>
  <c r="N113" i="39"/>
  <c r="J113" i="39"/>
  <c r="I113" i="39"/>
  <c r="H113" i="39"/>
  <c r="G113" i="39"/>
  <c r="F113" i="39"/>
  <c r="AR112" i="39"/>
  <c r="AU112" i="39"/>
  <c r="AT112" i="39"/>
  <c r="AA113" i="39"/>
  <c r="AF113" i="39" s="1"/>
  <c r="X113" i="39"/>
  <c r="E113" i="39"/>
  <c r="AM105" i="39"/>
  <c r="U17" i="3" s="1"/>
  <c r="AK105" i="39"/>
  <c r="Z17" i="3" s="1"/>
  <c r="AJ105" i="39"/>
  <c r="AI105" i="39"/>
  <c r="AH105" i="39"/>
  <c r="W17" i="3" s="1"/>
  <c r="AG105" i="39"/>
  <c r="Q17" i="3" s="1"/>
  <c r="AE105" i="39"/>
  <c r="R17" i="3" s="1"/>
  <c r="Z105" i="39"/>
  <c r="N17" i="3" s="1"/>
  <c r="Y105" i="39"/>
  <c r="M17" i="3" s="1"/>
  <c r="W105" i="39"/>
  <c r="K17" i="3" s="1"/>
  <c r="V105" i="39"/>
  <c r="J17" i="3" s="1"/>
  <c r="T105" i="39"/>
  <c r="I17" i="3" s="1"/>
  <c r="S105" i="39"/>
  <c r="H17" i="3" s="1"/>
  <c r="N105" i="39"/>
  <c r="G17" i="3" s="1"/>
  <c r="J105" i="39"/>
  <c r="I105" i="39"/>
  <c r="H105" i="39"/>
  <c r="G105" i="39"/>
  <c r="F105" i="39"/>
  <c r="AU103" i="39"/>
  <c r="AT103" i="39"/>
  <c r="AR103" i="39"/>
  <c r="AN103" i="39"/>
  <c r="Q103" i="39"/>
  <c r="E103" i="39"/>
  <c r="L103" i="39" s="1"/>
  <c r="AU102" i="39"/>
  <c r="AT102" i="39"/>
  <c r="AR102" i="39"/>
  <c r="AN102" i="39"/>
  <c r="Q102" i="39"/>
  <c r="E102" i="39"/>
  <c r="L102" i="39" s="1"/>
  <c r="AU101" i="39"/>
  <c r="AT101" i="39"/>
  <c r="AR101" i="39"/>
  <c r="AN101" i="39"/>
  <c r="Q101" i="39"/>
  <c r="E101" i="39"/>
  <c r="L101" i="39" s="1"/>
  <c r="AU100" i="39"/>
  <c r="AT100" i="39"/>
  <c r="AR100" i="39"/>
  <c r="AN100" i="39"/>
  <c r="Q100" i="39"/>
  <c r="E100" i="39"/>
  <c r="L100" i="39" s="1"/>
  <c r="AU99" i="39"/>
  <c r="AT99" i="39"/>
  <c r="AR99" i="39"/>
  <c r="AN99" i="39"/>
  <c r="Q99" i="39"/>
  <c r="E99" i="39"/>
  <c r="L99" i="39" s="1"/>
  <c r="AU98" i="39"/>
  <c r="AT98" i="39"/>
  <c r="AR98" i="39"/>
  <c r="AN98" i="39"/>
  <c r="Q98" i="39"/>
  <c r="E98" i="39"/>
  <c r="L98" i="39" s="1"/>
  <c r="AU97" i="39"/>
  <c r="AT97" i="39"/>
  <c r="AR97" i="39"/>
  <c r="AN97" i="39"/>
  <c r="Q97" i="39"/>
  <c r="E97" i="39"/>
  <c r="L97" i="39" s="1"/>
  <c r="AU96" i="39"/>
  <c r="AT96" i="39"/>
  <c r="AR96" i="39"/>
  <c r="AN96" i="39"/>
  <c r="Q96" i="39"/>
  <c r="E96" i="39"/>
  <c r="L96" i="39" s="1"/>
  <c r="AU95" i="39"/>
  <c r="AT95" i="39"/>
  <c r="AR95" i="39"/>
  <c r="AN95" i="39"/>
  <c r="Q95" i="39"/>
  <c r="E95" i="39"/>
  <c r="L95" i="39" s="1"/>
  <c r="AU94" i="39"/>
  <c r="AT94" i="39"/>
  <c r="AR94" i="39"/>
  <c r="AN94" i="39"/>
  <c r="Q94" i="39"/>
  <c r="E94" i="39"/>
  <c r="L94" i="39" s="1"/>
  <c r="AU93" i="39"/>
  <c r="AT93" i="39"/>
  <c r="AR93" i="39"/>
  <c r="AN93" i="39"/>
  <c r="AQ93" i="39"/>
  <c r="Q93" i="39"/>
  <c r="E93" i="39"/>
  <c r="L93" i="39" s="1"/>
  <c r="AU92" i="39"/>
  <c r="AT92" i="39"/>
  <c r="AR92" i="39"/>
  <c r="AQ92" i="39"/>
  <c r="AW92" i="39" s="1"/>
  <c r="AN92" i="39"/>
  <c r="Q92" i="39"/>
  <c r="E92" i="39"/>
  <c r="L92" i="39" s="1"/>
  <c r="AU91" i="39"/>
  <c r="AT91" i="39"/>
  <c r="AR91" i="39"/>
  <c r="AN91" i="39"/>
  <c r="Q91" i="39"/>
  <c r="E91" i="39"/>
  <c r="L91" i="39" s="1"/>
  <c r="AU90" i="39"/>
  <c r="AT90" i="39"/>
  <c r="AR90" i="39"/>
  <c r="AN90" i="39"/>
  <c r="Q90" i="39"/>
  <c r="E90" i="39"/>
  <c r="L90" i="39" s="1"/>
  <c r="AU89" i="39"/>
  <c r="AT89" i="39"/>
  <c r="AR89" i="39"/>
  <c r="AN89" i="39"/>
  <c r="AQ89" i="39"/>
  <c r="Q89" i="39"/>
  <c r="E89" i="39"/>
  <c r="L89" i="39" s="1"/>
  <c r="AU88" i="39"/>
  <c r="AT88" i="39"/>
  <c r="AR88" i="39"/>
  <c r="AN88" i="39"/>
  <c r="Q88" i="39"/>
  <c r="E88" i="39"/>
  <c r="L88" i="39" s="1"/>
  <c r="AU87" i="39"/>
  <c r="AT87" i="39"/>
  <c r="AR87" i="39"/>
  <c r="AN87" i="39"/>
  <c r="Q87" i="39"/>
  <c r="E87" i="39"/>
  <c r="L87" i="39" s="1"/>
  <c r="AU86" i="39"/>
  <c r="AT86" i="39"/>
  <c r="AR86" i="39"/>
  <c r="AN86" i="39"/>
  <c r="AQ86" i="39"/>
  <c r="Q86" i="39"/>
  <c r="E86" i="39"/>
  <c r="L86" i="39" s="1"/>
  <c r="AU85" i="39"/>
  <c r="AT85" i="39"/>
  <c r="AR85" i="39"/>
  <c r="AN85" i="39"/>
  <c r="AQ85" i="39"/>
  <c r="Q85" i="39"/>
  <c r="E85" i="39"/>
  <c r="L85" i="39" s="1"/>
  <c r="AU84" i="39"/>
  <c r="AT84" i="39"/>
  <c r="AR84" i="39"/>
  <c r="AN84" i="39"/>
  <c r="AQ84" i="39"/>
  <c r="AW84" i="39" s="1"/>
  <c r="Q84" i="39"/>
  <c r="E84" i="39"/>
  <c r="L84" i="39" s="1"/>
  <c r="AU83" i="39"/>
  <c r="AT83" i="39"/>
  <c r="AR83" i="39"/>
  <c r="AN83" i="39"/>
  <c r="AQ83" i="39"/>
  <c r="Q83" i="39"/>
  <c r="E83" i="39"/>
  <c r="L83" i="39" s="1"/>
  <c r="AU82" i="39"/>
  <c r="AT82" i="39"/>
  <c r="AR82" i="39"/>
  <c r="AN82" i="39"/>
  <c r="Q82" i="39"/>
  <c r="E82" i="39"/>
  <c r="L82" i="39" s="1"/>
  <c r="AU81" i="39"/>
  <c r="AT81" i="39"/>
  <c r="AR81" i="39"/>
  <c r="AQ81" i="39"/>
  <c r="AN81" i="39"/>
  <c r="Q81" i="39"/>
  <c r="E81" i="39"/>
  <c r="L81" i="39" s="1"/>
  <c r="AU80" i="39"/>
  <c r="AT80" i="39"/>
  <c r="AR80" i="39"/>
  <c r="AN80" i="39"/>
  <c r="Q80" i="39"/>
  <c r="E80" i="39"/>
  <c r="L80" i="39" s="1"/>
  <c r="AU79" i="39"/>
  <c r="AT79" i="39"/>
  <c r="AR79" i="39"/>
  <c r="AN79" i="39"/>
  <c r="AQ79" i="39"/>
  <c r="AW79" i="39" s="1"/>
  <c r="Q79" i="39"/>
  <c r="E79" i="39"/>
  <c r="L79" i="39" s="1"/>
  <c r="AU78" i="39"/>
  <c r="AT78" i="39"/>
  <c r="AR78" i="39"/>
  <c r="AN78" i="39"/>
  <c r="Q78" i="39"/>
  <c r="E78" i="39"/>
  <c r="L78" i="39" s="1"/>
  <c r="AU77" i="39"/>
  <c r="AT77" i="39"/>
  <c r="AR77" i="39"/>
  <c r="AQ77" i="39"/>
  <c r="AN77" i="39"/>
  <c r="Q77" i="39"/>
  <c r="E77" i="39"/>
  <c r="L77" i="39" s="1"/>
  <c r="AU76" i="39"/>
  <c r="AT76" i="39"/>
  <c r="AR76" i="39"/>
  <c r="AN76" i="39"/>
  <c r="AQ76" i="39"/>
  <c r="Q76" i="39"/>
  <c r="E76" i="39"/>
  <c r="L76" i="39" s="1"/>
  <c r="AU75" i="39"/>
  <c r="AT75" i="39"/>
  <c r="AR75" i="39"/>
  <c r="AN75" i="39"/>
  <c r="AQ75" i="39"/>
  <c r="Q75" i="39"/>
  <c r="E75" i="39"/>
  <c r="L75" i="39" s="1"/>
  <c r="AU74" i="39"/>
  <c r="AT74" i="39"/>
  <c r="AR74" i="39"/>
  <c r="AN74" i="39"/>
  <c r="Q74" i="39"/>
  <c r="E74" i="39"/>
  <c r="L74" i="39" s="1"/>
  <c r="AU73" i="39"/>
  <c r="AT73" i="39"/>
  <c r="AR73" i="39"/>
  <c r="AN73" i="39"/>
  <c r="AQ73" i="39"/>
  <c r="Q73" i="39"/>
  <c r="E73" i="39"/>
  <c r="L73" i="39" s="1"/>
  <c r="AU72" i="39"/>
  <c r="AT72" i="39"/>
  <c r="AR72" i="39"/>
  <c r="AN72" i="39"/>
  <c r="Q72" i="39"/>
  <c r="E72" i="39"/>
  <c r="L72" i="39" s="1"/>
  <c r="AU71" i="39"/>
  <c r="AT71" i="39"/>
  <c r="AR71" i="39"/>
  <c r="AN71" i="39"/>
  <c r="AQ71" i="39"/>
  <c r="Q71" i="39"/>
  <c r="E71" i="39"/>
  <c r="L71" i="39" s="1"/>
  <c r="AU70" i="39"/>
  <c r="AT70" i="39"/>
  <c r="AR70" i="39"/>
  <c r="AN70" i="39"/>
  <c r="Q70" i="39"/>
  <c r="E70" i="39"/>
  <c r="L70" i="39" s="1"/>
  <c r="AU69" i="39"/>
  <c r="AT69" i="39"/>
  <c r="AR69" i="39"/>
  <c r="AN69" i="39"/>
  <c r="AQ69" i="39"/>
  <c r="AW69" i="39" s="1"/>
  <c r="Q69" i="39"/>
  <c r="E69" i="39"/>
  <c r="L69" i="39" s="1"/>
  <c r="AU68" i="39"/>
  <c r="AT68" i="39"/>
  <c r="AR68" i="39"/>
  <c r="AN68" i="39"/>
  <c r="AQ68" i="39"/>
  <c r="AW68" i="39" s="1"/>
  <c r="Q68" i="39"/>
  <c r="E68" i="39"/>
  <c r="L68" i="39" s="1"/>
  <c r="AU67" i="39"/>
  <c r="AT67" i="39"/>
  <c r="AR67" i="39"/>
  <c r="AN67" i="39"/>
  <c r="AQ67" i="39"/>
  <c r="Q67" i="39"/>
  <c r="E67" i="39"/>
  <c r="L67" i="39" s="1"/>
  <c r="AU66" i="39"/>
  <c r="AT66" i="39"/>
  <c r="AR66" i="39"/>
  <c r="AN66" i="39"/>
  <c r="Q66" i="39"/>
  <c r="E66" i="39"/>
  <c r="L66" i="39" s="1"/>
  <c r="AU65" i="39"/>
  <c r="AT65" i="39"/>
  <c r="AR65" i="39"/>
  <c r="AN65" i="39"/>
  <c r="AQ65" i="39"/>
  <c r="AW65" i="39" s="1"/>
  <c r="Q65" i="39"/>
  <c r="E65" i="39"/>
  <c r="L65" i="39" s="1"/>
  <c r="AU64" i="39"/>
  <c r="AT64" i="39"/>
  <c r="AR64" i="39"/>
  <c r="AN64" i="39"/>
  <c r="AQ64" i="39"/>
  <c r="AW64" i="39" s="1"/>
  <c r="Q64" i="39"/>
  <c r="E64" i="39"/>
  <c r="L64" i="39" s="1"/>
  <c r="AU63" i="39"/>
  <c r="AT63" i="39"/>
  <c r="AR63" i="39"/>
  <c r="AN63" i="39"/>
  <c r="Q63" i="39"/>
  <c r="E63" i="39"/>
  <c r="L63" i="39" s="1"/>
  <c r="AU62" i="39"/>
  <c r="AT62" i="39"/>
  <c r="AR62" i="39"/>
  <c r="AN62" i="39"/>
  <c r="AQ62" i="39"/>
  <c r="AW62" i="39" s="1"/>
  <c r="Q62" i="39"/>
  <c r="E62" i="39"/>
  <c r="L62" i="39" s="1"/>
  <c r="AU61" i="39"/>
  <c r="AT61" i="39"/>
  <c r="AR61" i="39"/>
  <c r="AN61" i="39"/>
  <c r="AQ61" i="39"/>
  <c r="AW61" i="39" s="1"/>
  <c r="R61" i="39"/>
  <c r="Q61" i="39"/>
  <c r="E61" i="39"/>
  <c r="L61" i="39" s="1"/>
  <c r="AU60" i="39"/>
  <c r="AT60" i="39"/>
  <c r="AR60" i="39"/>
  <c r="AQ60" i="39"/>
  <c r="AW60" i="39" s="1"/>
  <c r="AN60" i="39"/>
  <c r="R60" i="39"/>
  <c r="Q60" i="39"/>
  <c r="E60" i="39"/>
  <c r="L60" i="39" s="1"/>
  <c r="AU59" i="39"/>
  <c r="AT59" i="39"/>
  <c r="AR59" i="39"/>
  <c r="AN59" i="39"/>
  <c r="AS59" i="39"/>
  <c r="R59" i="39"/>
  <c r="Q59" i="39"/>
  <c r="E59" i="39"/>
  <c r="L59" i="39" s="1"/>
  <c r="AU58" i="39"/>
  <c r="AT58" i="39"/>
  <c r="AR58" i="39"/>
  <c r="AN58" i="39"/>
  <c r="R58" i="39"/>
  <c r="Q58" i="39"/>
  <c r="E58" i="39"/>
  <c r="L58" i="39" s="1"/>
  <c r="AU57" i="39"/>
  <c r="AT57" i="39"/>
  <c r="AS57" i="39"/>
  <c r="AR57" i="39"/>
  <c r="AQ57" i="39"/>
  <c r="AW57" i="39" s="1"/>
  <c r="AN57" i="39"/>
  <c r="R57" i="39"/>
  <c r="Q57" i="39"/>
  <c r="E57" i="39"/>
  <c r="L57" i="39" s="1"/>
  <c r="AU56" i="39"/>
  <c r="AT56" i="39"/>
  <c r="AR56" i="39"/>
  <c r="AN56" i="39"/>
  <c r="Q56" i="39"/>
  <c r="E56" i="39"/>
  <c r="L56" i="39" s="1"/>
  <c r="AU55" i="39"/>
  <c r="AT55" i="39"/>
  <c r="AR55" i="39"/>
  <c r="AQ55" i="39"/>
  <c r="AW55" i="39" s="1"/>
  <c r="AN55" i="39"/>
  <c r="Q55" i="39"/>
  <c r="E55" i="39"/>
  <c r="L55" i="39" s="1"/>
  <c r="AU54" i="39"/>
  <c r="AT54" i="39"/>
  <c r="AR54" i="39"/>
  <c r="AQ54" i="39"/>
  <c r="AN54" i="39"/>
  <c r="R54" i="39"/>
  <c r="Q54" i="39"/>
  <c r="E54" i="39"/>
  <c r="L54" i="39" s="1"/>
  <c r="AU53" i="39"/>
  <c r="AT53" i="39"/>
  <c r="AR53" i="39"/>
  <c r="AN53" i="39"/>
  <c r="Q53" i="39"/>
  <c r="E53" i="39"/>
  <c r="L53" i="39" s="1"/>
  <c r="AU52" i="39"/>
  <c r="AT52" i="39"/>
  <c r="AR52" i="39"/>
  <c r="AN52" i="39"/>
  <c r="Q52" i="39"/>
  <c r="E52" i="39"/>
  <c r="L52" i="39" s="1"/>
  <c r="AU51" i="39"/>
  <c r="AT51" i="39"/>
  <c r="AS51" i="39"/>
  <c r="AR51" i="39"/>
  <c r="AN51" i="39"/>
  <c r="Q51" i="39"/>
  <c r="E51" i="39"/>
  <c r="L51" i="39" s="1"/>
  <c r="AU50" i="39"/>
  <c r="AT50" i="39"/>
  <c r="AR50" i="39"/>
  <c r="AQ50" i="39"/>
  <c r="AN50" i="39"/>
  <c r="AS50" i="39"/>
  <c r="R50" i="39"/>
  <c r="Q50" i="39"/>
  <c r="E50" i="39"/>
  <c r="L50" i="39" s="1"/>
  <c r="AU49" i="39"/>
  <c r="AT49" i="39"/>
  <c r="AS49" i="39"/>
  <c r="AR49" i="39"/>
  <c r="AN49" i="39"/>
  <c r="Q49" i="39"/>
  <c r="E49" i="39"/>
  <c r="L49" i="39" s="1"/>
  <c r="AU48" i="39"/>
  <c r="AT48" i="39"/>
  <c r="AR48" i="39"/>
  <c r="AN48" i="39"/>
  <c r="R48" i="39"/>
  <c r="Q48" i="39"/>
  <c r="E48" i="39"/>
  <c r="L48" i="39" s="1"/>
  <c r="AU47" i="39"/>
  <c r="AT47" i="39"/>
  <c r="AR47" i="39"/>
  <c r="AN47" i="39"/>
  <c r="Q47" i="39"/>
  <c r="E47" i="39"/>
  <c r="L47" i="39" s="1"/>
  <c r="AU46" i="39"/>
  <c r="AT46" i="39"/>
  <c r="AS46" i="39"/>
  <c r="AR46" i="39"/>
  <c r="AQ46" i="39"/>
  <c r="AW46" i="39" s="1"/>
  <c r="AN46" i="39"/>
  <c r="Q46" i="39"/>
  <c r="E46" i="39"/>
  <c r="L46" i="39" s="1"/>
  <c r="AU45" i="39"/>
  <c r="AT45" i="39"/>
  <c r="AR45" i="39"/>
  <c r="AN45" i="39"/>
  <c r="AS45" i="39"/>
  <c r="Q45" i="39"/>
  <c r="E45" i="39"/>
  <c r="L45" i="39" s="1"/>
  <c r="AU44" i="39"/>
  <c r="AT44" i="39"/>
  <c r="AS44" i="39"/>
  <c r="AR44" i="39"/>
  <c r="AN44" i="39"/>
  <c r="R44" i="39"/>
  <c r="Q44" i="39"/>
  <c r="E44" i="39"/>
  <c r="L44" i="39" s="1"/>
  <c r="AU43" i="39"/>
  <c r="AT43" i="39"/>
  <c r="AR43" i="39"/>
  <c r="AN43" i="39"/>
  <c r="R43" i="39"/>
  <c r="Q43" i="39"/>
  <c r="E43" i="39"/>
  <c r="L43" i="39" s="1"/>
  <c r="AU42" i="39"/>
  <c r="AT42" i="39"/>
  <c r="AS42" i="39"/>
  <c r="AR42" i="39"/>
  <c r="AN42" i="39"/>
  <c r="AQ42" i="39"/>
  <c r="Q42" i="39"/>
  <c r="E42" i="39"/>
  <c r="L42" i="39" s="1"/>
  <c r="AU41" i="39"/>
  <c r="AT41" i="39"/>
  <c r="AS41" i="39"/>
  <c r="AR41" i="39"/>
  <c r="AN41" i="39"/>
  <c r="Q41" i="39"/>
  <c r="E41" i="39"/>
  <c r="L41" i="39" s="1"/>
  <c r="AU40" i="39"/>
  <c r="AT40" i="39"/>
  <c r="AR40" i="39"/>
  <c r="AN40" i="39"/>
  <c r="AQ40" i="39"/>
  <c r="AW40" i="39" s="1"/>
  <c r="Q40" i="39"/>
  <c r="E40" i="39"/>
  <c r="L40" i="39" s="1"/>
  <c r="AU39" i="39"/>
  <c r="AT39" i="39"/>
  <c r="AR39" i="39"/>
  <c r="AN39" i="39"/>
  <c r="R39" i="39"/>
  <c r="Q39" i="39"/>
  <c r="E39" i="39"/>
  <c r="L39" i="39" s="1"/>
  <c r="AU38" i="39"/>
  <c r="AT38" i="39"/>
  <c r="AR38" i="39"/>
  <c r="AN38" i="39"/>
  <c r="AQ38" i="39"/>
  <c r="AW38" i="39" s="1"/>
  <c r="Q38" i="39"/>
  <c r="E38" i="39"/>
  <c r="L38" i="39" s="1"/>
  <c r="AU37" i="39"/>
  <c r="AT37" i="39"/>
  <c r="AR37" i="39"/>
  <c r="AN37" i="39"/>
  <c r="AS37" i="39"/>
  <c r="Q37" i="39"/>
  <c r="E37" i="39"/>
  <c r="L37" i="39" s="1"/>
  <c r="AU36" i="39"/>
  <c r="AT36" i="39"/>
  <c r="AR36" i="39"/>
  <c r="AN36" i="39"/>
  <c r="AS36" i="39"/>
  <c r="Q36" i="39"/>
  <c r="E36" i="39"/>
  <c r="L36" i="39" s="1"/>
  <c r="AU35" i="39"/>
  <c r="AT35" i="39"/>
  <c r="AS35" i="39"/>
  <c r="AR35" i="39"/>
  <c r="AQ35" i="39"/>
  <c r="AW35" i="39" s="1"/>
  <c r="AN35" i="39"/>
  <c r="R35" i="39"/>
  <c r="Q35" i="39"/>
  <c r="E35" i="39"/>
  <c r="L35" i="39" s="1"/>
  <c r="AU34" i="39"/>
  <c r="AT34" i="39"/>
  <c r="AR34" i="39"/>
  <c r="AN34" i="39"/>
  <c r="AS34" i="39"/>
  <c r="R34" i="39"/>
  <c r="Q34" i="39"/>
  <c r="E34" i="39"/>
  <c r="L34" i="39" s="1"/>
  <c r="AU33" i="39"/>
  <c r="AT33" i="39"/>
  <c r="AR33" i="39"/>
  <c r="AN33" i="39"/>
  <c r="AQ33" i="39"/>
  <c r="Q33" i="39"/>
  <c r="E33" i="39"/>
  <c r="L33" i="39" s="1"/>
  <c r="AU32" i="39"/>
  <c r="AT32" i="39"/>
  <c r="AS32" i="39"/>
  <c r="AR32" i="39"/>
  <c r="AN32" i="39"/>
  <c r="AQ32" i="39"/>
  <c r="AW32" i="39" s="1"/>
  <c r="Q32" i="39"/>
  <c r="E32" i="39"/>
  <c r="L32" i="39" s="1"/>
  <c r="AU31" i="39"/>
  <c r="AT31" i="39"/>
  <c r="AS31" i="39"/>
  <c r="AR31" i="39"/>
  <c r="AQ31" i="39"/>
  <c r="AW31" i="39" s="1"/>
  <c r="AN31" i="39"/>
  <c r="R31" i="39"/>
  <c r="Q31" i="39"/>
  <c r="E31" i="39"/>
  <c r="L31" i="39" s="1"/>
  <c r="AU30" i="39"/>
  <c r="AT30" i="39"/>
  <c r="AS30" i="39"/>
  <c r="AR30" i="39"/>
  <c r="AN30" i="39"/>
  <c r="R30" i="39"/>
  <c r="Q30" i="39"/>
  <c r="E30" i="39"/>
  <c r="L30" i="39" s="1"/>
  <c r="AU29" i="39"/>
  <c r="AT29" i="39"/>
  <c r="AR29" i="39"/>
  <c r="AN29" i="39"/>
  <c r="R29" i="39"/>
  <c r="Q29" i="39"/>
  <c r="E29" i="39"/>
  <c r="L29" i="39" s="1"/>
  <c r="AU28" i="39"/>
  <c r="AT28" i="39"/>
  <c r="AR28" i="39"/>
  <c r="AN28" i="39"/>
  <c r="R28" i="39"/>
  <c r="Q28" i="39"/>
  <c r="E28" i="39"/>
  <c r="L28" i="39" s="1"/>
  <c r="AU27" i="39"/>
  <c r="AT27" i="39"/>
  <c r="AR27" i="39"/>
  <c r="AN27" i="39"/>
  <c r="Q27" i="39"/>
  <c r="E27" i="39"/>
  <c r="L27" i="39" s="1"/>
  <c r="AU26" i="39"/>
  <c r="AT26" i="39"/>
  <c r="AR26" i="39"/>
  <c r="AN26" i="39"/>
  <c r="Q26" i="39"/>
  <c r="E26" i="39"/>
  <c r="L26" i="39" s="1"/>
  <c r="AU25" i="39"/>
  <c r="AT25" i="39"/>
  <c r="AR25" i="39"/>
  <c r="AN25" i="39"/>
  <c r="Q25" i="39"/>
  <c r="E25" i="39"/>
  <c r="L25" i="39" s="1"/>
  <c r="AU24" i="39"/>
  <c r="AT24" i="39"/>
  <c r="AR24" i="39"/>
  <c r="AN24" i="39"/>
  <c r="Q24" i="39"/>
  <c r="E24" i="39"/>
  <c r="L24" i="39" s="1"/>
  <c r="AU23" i="39"/>
  <c r="AT23" i="39"/>
  <c r="AR23" i="39"/>
  <c r="AN23" i="39"/>
  <c r="Q23" i="39"/>
  <c r="E23" i="39"/>
  <c r="L23" i="39" s="1"/>
  <c r="AU22" i="39"/>
  <c r="AT22" i="39"/>
  <c r="AR22" i="39"/>
  <c r="AN22" i="39"/>
  <c r="Q22" i="39"/>
  <c r="E22" i="39"/>
  <c r="L22" i="39" s="1"/>
  <c r="AU21" i="39"/>
  <c r="AT21" i="39"/>
  <c r="AR21" i="39"/>
  <c r="AN21" i="39"/>
  <c r="Q21" i="39"/>
  <c r="E21" i="39"/>
  <c r="L21" i="39" s="1"/>
  <c r="AU20" i="39"/>
  <c r="AT20" i="39"/>
  <c r="AR20" i="39"/>
  <c r="AN20" i="39"/>
  <c r="Q20" i="39"/>
  <c r="E20" i="39"/>
  <c r="L20" i="39" s="1"/>
  <c r="AU19" i="39"/>
  <c r="AT19" i="39"/>
  <c r="AR19" i="39"/>
  <c r="AN19" i="39"/>
  <c r="Q19" i="39"/>
  <c r="E19" i="39"/>
  <c r="L19" i="39" s="1"/>
  <c r="AU18" i="39"/>
  <c r="AT18" i="39"/>
  <c r="AR18" i="39"/>
  <c r="AN18" i="39"/>
  <c r="Q18" i="39"/>
  <c r="E18" i="39"/>
  <c r="L18" i="39" s="1"/>
  <c r="AU17" i="39"/>
  <c r="AT17" i="39"/>
  <c r="AR17" i="39"/>
  <c r="AN17" i="39"/>
  <c r="Q17" i="39"/>
  <c r="E17" i="39"/>
  <c r="L17" i="39" s="1"/>
  <c r="AU16" i="39"/>
  <c r="AT16" i="39"/>
  <c r="AR16" i="39"/>
  <c r="AN16" i="39"/>
  <c r="Q16" i="39"/>
  <c r="E16" i="39"/>
  <c r="L16" i="39" s="1"/>
  <c r="AU15" i="39"/>
  <c r="AT15" i="39"/>
  <c r="AR15" i="39"/>
  <c r="AN15" i="39"/>
  <c r="Q15" i="39"/>
  <c r="E15" i="39"/>
  <c r="L15" i="39" s="1"/>
  <c r="AU14" i="39"/>
  <c r="AT14" i="39"/>
  <c r="AR14" i="39"/>
  <c r="AN14" i="39"/>
  <c r="AQ14" i="39"/>
  <c r="Q14" i="39"/>
  <c r="L14" i="39"/>
  <c r="E14" i="39"/>
  <c r="AU13" i="39"/>
  <c r="AT13" i="39"/>
  <c r="AR13" i="39"/>
  <c r="AN13" i="39"/>
  <c r="AQ13" i="39"/>
  <c r="Q13" i="39"/>
  <c r="E13" i="39"/>
  <c r="L13" i="39" s="1"/>
  <c r="AU12" i="39"/>
  <c r="AT12" i="39"/>
  <c r="AR12" i="39"/>
  <c r="AN12" i="39"/>
  <c r="AQ12" i="39"/>
  <c r="Q12" i="39"/>
  <c r="L12" i="39"/>
  <c r="E12" i="39"/>
  <c r="AU11" i="39"/>
  <c r="AT11" i="39"/>
  <c r="AR11" i="39"/>
  <c r="AN11" i="39"/>
  <c r="AQ11" i="39"/>
  <c r="Q11" i="39"/>
  <c r="E11" i="39"/>
  <c r="L11" i="39" s="1"/>
  <c r="AU10" i="39"/>
  <c r="AT10" i="39"/>
  <c r="AR10" i="39"/>
  <c r="AN10" i="39"/>
  <c r="AQ10" i="39"/>
  <c r="Q10" i="39"/>
  <c r="E10" i="39"/>
  <c r="L10" i="39" s="1"/>
  <c r="AU9" i="39"/>
  <c r="AT9" i="39"/>
  <c r="AR9" i="39"/>
  <c r="AN9" i="39"/>
  <c r="AQ9" i="39"/>
  <c r="Q9" i="39"/>
  <c r="E9" i="39"/>
  <c r="L9" i="39" s="1"/>
  <c r="AU8" i="39"/>
  <c r="AT8" i="39"/>
  <c r="AR8" i="39"/>
  <c r="AN8" i="39"/>
  <c r="AQ8" i="39"/>
  <c r="Q8" i="39"/>
  <c r="E8" i="39"/>
  <c r="L8" i="39" s="1"/>
  <c r="AU7" i="39"/>
  <c r="AT7" i="39"/>
  <c r="AR7" i="39"/>
  <c r="AR104" i="39" s="1"/>
  <c r="AN7" i="39"/>
  <c r="Q7" i="39"/>
  <c r="E7" i="39"/>
  <c r="L7" i="39" s="1"/>
  <c r="AU6" i="39"/>
  <c r="AT6" i="39"/>
  <c r="AR6" i="39"/>
  <c r="AN6" i="39"/>
  <c r="AQ6" i="39"/>
  <c r="Q6" i="39"/>
  <c r="E6" i="39"/>
  <c r="L6" i="39" s="1"/>
  <c r="AU5" i="39"/>
  <c r="AT5" i="39"/>
  <c r="AR5" i="39"/>
  <c r="AQ5" i="39"/>
  <c r="AN5" i="39"/>
  <c r="AS5" i="39"/>
  <c r="Q5" i="39"/>
  <c r="E5" i="39"/>
  <c r="L5" i="39" s="1"/>
  <c r="AU4" i="39"/>
  <c r="AT4" i="39"/>
  <c r="AR4" i="39"/>
  <c r="AN4" i="39"/>
  <c r="AS4" i="39"/>
  <c r="Q4" i="39"/>
  <c r="E4" i="39"/>
  <c r="L4" i="39" s="1"/>
  <c r="AU3" i="39"/>
  <c r="AT3" i="39"/>
  <c r="AR3" i="39"/>
  <c r="AB3" i="39"/>
  <c r="AA3" i="39"/>
  <c r="AF3" i="39" s="1"/>
  <c r="X3" i="39"/>
  <c r="X105" i="39" s="1"/>
  <c r="X126" i="39" s="1"/>
  <c r="U3" i="39"/>
  <c r="AD3" i="39" s="1"/>
  <c r="Q3" i="39"/>
  <c r="E3" i="39"/>
  <c r="L3" i="39" s="1"/>
  <c r="G24" i="61" l="1"/>
  <c r="E89" i="63"/>
  <c r="F88" i="63"/>
  <c r="M64" i="63"/>
  <c r="G64" i="63" s="1"/>
  <c r="L65" i="63"/>
  <c r="L91" i="63"/>
  <c r="M90" i="63"/>
  <c r="G90" i="63" s="1"/>
  <c r="F62" i="63"/>
  <c r="E63" i="63"/>
  <c r="L60" i="61"/>
  <c r="M59" i="61"/>
  <c r="F59" i="61"/>
  <c r="E60" i="61"/>
  <c r="M85" i="61"/>
  <c r="G85" i="61" s="1"/>
  <c r="L86" i="61"/>
  <c r="F85" i="61"/>
  <c r="E86" i="61"/>
  <c r="F31" i="53"/>
  <c r="E32" i="53"/>
  <c r="F46" i="55"/>
  <c r="E47" i="55"/>
  <c r="L47" i="55"/>
  <c r="M46" i="55"/>
  <c r="G46" i="55" s="1"/>
  <c r="G29" i="48"/>
  <c r="G22" i="48"/>
  <c r="M32" i="53"/>
  <c r="L33" i="53"/>
  <c r="G28" i="50"/>
  <c r="M29" i="50"/>
  <c r="G29" i="50" s="1"/>
  <c r="L30" i="50"/>
  <c r="AB20" i="43"/>
  <c r="N126" i="42"/>
  <c r="G20" i="3"/>
  <c r="AJ126" i="42"/>
  <c r="AB4" i="43"/>
  <c r="AB36" i="43"/>
  <c r="AB93" i="43"/>
  <c r="AB105" i="42"/>
  <c r="AB126" i="42" s="1"/>
  <c r="AB29" i="43"/>
  <c r="AB53" i="43"/>
  <c r="AB77" i="43"/>
  <c r="AB5" i="43"/>
  <c r="AB85" i="43"/>
  <c r="AB101" i="43"/>
  <c r="AB12" i="43"/>
  <c r="AB37" i="43"/>
  <c r="AB69" i="43"/>
  <c r="AB21" i="43"/>
  <c r="AB28" i="43"/>
  <c r="AB45" i="43"/>
  <c r="E103" i="43"/>
  <c r="L103" i="43" s="1"/>
  <c r="E95" i="43"/>
  <c r="L95" i="43" s="1"/>
  <c r="E87" i="43"/>
  <c r="L87" i="43" s="1"/>
  <c r="E79" i="43"/>
  <c r="L79" i="43" s="1"/>
  <c r="E71" i="43"/>
  <c r="L71" i="43" s="1"/>
  <c r="E63" i="43"/>
  <c r="L63" i="43" s="1"/>
  <c r="E55" i="43"/>
  <c r="L55" i="43" s="1"/>
  <c r="E47" i="43"/>
  <c r="L47" i="43" s="1"/>
  <c r="E39" i="43"/>
  <c r="L39" i="43" s="1"/>
  <c r="E31" i="43"/>
  <c r="L31" i="43" s="1"/>
  <c r="E23" i="43"/>
  <c r="L23" i="43" s="1"/>
  <c r="E15" i="43"/>
  <c r="L15" i="43" s="1"/>
  <c r="E13" i="43"/>
  <c r="L13" i="43" s="1"/>
  <c r="E10" i="43"/>
  <c r="L10" i="43" s="1"/>
  <c r="E100" i="43"/>
  <c r="L100" i="43" s="1"/>
  <c r="E84" i="43"/>
  <c r="L84" i="43" s="1"/>
  <c r="E68" i="43"/>
  <c r="L68" i="43" s="1"/>
  <c r="E7" i="43"/>
  <c r="L7" i="43" s="1"/>
  <c r="J105" i="43"/>
  <c r="J126" i="43" s="1"/>
  <c r="E97" i="43"/>
  <c r="L97" i="43" s="1"/>
  <c r="E92" i="43"/>
  <c r="L92" i="43" s="1"/>
  <c r="E89" i="43"/>
  <c r="L89" i="43" s="1"/>
  <c r="E4" i="43"/>
  <c r="L4" i="43" s="1"/>
  <c r="I105" i="43"/>
  <c r="I126" i="43" s="1"/>
  <c r="AL29" i="43"/>
  <c r="AL29" i="38" s="1"/>
  <c r="AL30" i="43"/>
  <c r="AL30" i="38" s="1"/>
  <c r="AL71" i="43"/>
  <c r="AL71" i="38" s="1"/>
  <c r="AL33" i="43"/>
  <c r="AL33" i="38" s="1"/>
  <c r="AL31" i="43"/>
  <c r="AL31" i="38" s="1"/>
  <c r="AL35" i="43"/>
  <c r="AL35" i="38" s="1"/>
  <c r="AL66" i="43"/>
  <c r="AL66" i="38" s="1"/>
  <c r="H105" i="43"/>
  <c r="H126" i="43" s="1"/>
  <c r="M30" i="48"/>
  <c r="L31" i="48"/>
  <c r="F29" i="48"/>
  <c r="E30" i="48"/>
  <c r="AK126" i="41"/>
  <c r="Z19" i="3"/>
  <c r="Z45" i="3" s="1"/>
  <c r="AW13" i="41"/>
  <c r="AW28" i="41"/>
  <c r="AH126" i="41"/>
  <c r="W19" i="3"/>
  <c r="W45" i="3" s="1"/>
  <c r="AW12" i="41"/>
  <c r="AI126" i="41"/>
  <c r="X19" i="3"/>
  <c r="AK105" i="43"/>
  <c r="AK126" i="43" s="1"/>
  <c r="AW15" i="41"/>
  <c r="AM126" i="41"/>
  <c r="U19" i="3"/>
  <c r="AE126" i="41"/>
  <c r="R19" i="3"/>
  <c r="AG126" i="41"/>
  <c r="Q19" i="3"/>
  <c r="Z126" i="41"/>
  <c r="N19" i="3"/>
  <c r="Y126" i="41"/>
  <c r="M19" i="3"/>
  <c r="W126" i="41"/>
  <c r="K19" i="3"/>
  <c r="V126" i="41"/>
  <c r="J19" i="3"/>
  <c r="T126" i="41"/>
  <c r="S126" i="41"/>
  <c r="H19" i="3"/>
  <c r="AL69" i="43"/>
  <c r="AL69" i="38" s="1"/>
  <c r="AL10" i="43"/>
  <c r="AL10" i="38" s="1"/>
  <c r="AL25" i="43"/>
  <c r="AL25" i="38" s="1"/>
  <c r="AL11" i="43"/>
  <c r="AL11" i="38" s="1"/>
  <c r="AO8" i="41"/>
  <c r="AV8" i="41" s="1" a="1"/>
  <c r="AV8" i="41" s="1"/>
  <c r="AZ8" i="41" s="1"/>
  <c r="N126" i="41"/>
  <c r="G19" i="3"/>
  <c r="G45" i="3" s="1"/>
  <c r="AZ15" i="41"/>
  <c r="AZ4" i="41"/>
  <c r="AZ13" i="41"/>
  <c r="AZ28" i="41"/>
  <c r="AL7" i="43"/>
  <c r="AL7" i="38" s="1"/>
  <c r="AL19" i="43"/>
  <c r="AL19" i="38" s="1"/>
  <c r="AL23" i="43"/>
  <c r="AL23" i="38" s="1"/>
  <c r="AL41" i="43"/>
  <c r="AL41" i="38" s="1"/>
  <c r="AL43" i="43"/>
  <c r="AL43" i="38" s="1"/>
  <c r="AL18" i="43"/>
  <c r="AL18" i="38" s="1"/>
  <c r="AL22" i="43"/>
  <c r="AL22" i="38" s="1"/>
  <c r="AL37" i="43"/>
  <c r="AL37" i="38" s="1"/>
  <c r="AL26" i="43"/>
  <c r="AL26" i="38" s="1"/>
  <c r="AL39" i="43"/>
  <c r="AL39" i="38" s="1"/>
  <c r="AL4" i="43"/>
  <c r="AL4" i="38" s="1"/>
  <c r="AL12" i="43"/>
  <c r="AL12" i="38" s="1"/>
  <c r="AL27" i="43"/>
  <c r="AL27" i="38" s="1"/>
  <c r="E105" i="41"/>
  <c r="E126" i="41" s="1"/>
  <c r="AL8" i="43"/>
  <c r="AL8" i="38" s="1"/>
  <c r="AL34" i="43"/>
  <c r="AL34" i="38" s="1"/>
  <c r="AL5" i="43"/>
  <c r="AL5" i="38" s="1"/>
  <c r="AL13" i="43"/>
  <c r="AL13" i="38" s="1"/>
  <c r="AL17" i="43"/>
  <c r="AL17" i="38" s="1"/>
  <c r="AL21" i="43"/>
  <c r="AL21" i="38" s="1"/>
  <c r="AL32" i="43"/>
  <c r="AL32" i="38" s="1"/>
  <c r="AL14" i="43"/>
  <c r="AL14" i="38" s="1"/>
  <c r="AL38" i="43"/>
  <c r="AL38" i="38" s="1"/>
  <c r="AL15" i="43"/>
  <c r="AL15" i="38" s="1"/>
  <c r="AL40" i="43"/>
  <c r="AL40" i="38" s="1"/>
  <c r="AL42" i="43"/>
  <c r="AL42" i="38" s="1"/>
  <c r="AO5" i="41"/>
  <c r="AV5" i="41" s="1" a="1"/>
  <c r="AV5" i="41" s="1"/>
  <c r="AZ5" i="41" s="1"/>
  <c r="AL16" i="43"/>
  <c r="AL16" i="38" s="1"/>
  <c r="AL20" i="43"/>
  <c r="AL20" i="38" s="1"/>
  <c r="AL24" i="43"/>
  <c r="AL24" i="38" s="1"/>
  <c r="AL9" i="43"/>
  <c r="AL9" i="38" s="1"/>
  <c r="AL28" i="43"/>
  <c r="AL28" i="38" s="1"/>
  <c r="AO9" i="41"/>
  <c r="AV9" i="41" s="1" a="1"/>
  <c r="AV9" i="41" s="1"/>
  <c r="AZ9" i="41" s="1"/>
  <c r="E24" i="47"/>
  <c r="F23" i="47"/>
  <c r="L24" i="47"/>
  <c r="M23" i="47"/>
  <c r="K17" i="45"/>
  <c r="K21" i="45"/>
  <c r="K25" i="45"/>
  <c r="K29" i="45"/>
  <c r="K33" i="45"/>
  <c r="K37" i="45"/>
  <c r="K41" i="45"/>
  <c r="K45" i="45"/>
  <c r="K51" i="45"/>
  <c r="K18" i="45"/>
  <c r="K22" i="45"/>
  <c r="K26" i="45"/>
  <c r="K30" i="45"/>
  <c r="K34" i="45"/>
  <c r="K38" i="45"/>
  <c r="K42" i="45"/>
  <c r="K90" i="45"/>
  <c r="K19" i="45"/>
  <c r="K23" i="45"/>
  <c r="K27" i="45"/>
  <c r="K31" i="45"/>
  <c r="K35" i="45"/>
  <c r="K39" i="45"/>
  <c r="K43" i="45"/>
  <c r="K56" i="45"/>
  <c r="K63" i="45"/>
  <c r="K73" i="45"/>
  <c r="K91" i="45"/>
  <c r="K48" i="45"/>
  <c r="K52" i="45"/>
  <c r="K57" i="45"/>
  <c r="K64" i="45"/>
  <c r="K74" i="45"/>
  <c r="K58" i="45"/>
  <c r="K65" i="45"/>
  <c r="K75" i="45"/>
  <c r="K96" i="45"/>
  <c r="K49" i="45"/>
  <c r="K53" i="45"/>
  <c r="K59" i="45"/>
  <c r="K81" i="45"/>
  <c r="K97" i="45"/>
  <c r="K60" i="45"/>
  <c r="K66" i="45"/>
  <c r="K82" i="45"/>
  <c r="K98" i="45"/>
  <c r="K46" i="45"/>
  <c r="K50" i="45"/>
  <c r="K54" i="45"/>
  <c r="K61" i="45"/>
  <c r="K67" i="45"/>
  <c r="K83" i="45"/>
  <c r="K55" i="45"/>
  <c r="K68" i="45"/>
  <c r="K89" i="45"/>
  <c r="K69" i="45"/>
  <c r="K76" i="45"/>
  <c r="K84" i="45"/>
  <c r="K99" i="45"/>
  <c r="K70" i="45"/>
  <c r="K77" i="45"/>
  <c r="K85" i="45"/>
  <c r="K92" i="45"/>
  <c r="K100" i="45"/>
  <c r="K71" i="45"/>
  <c r="K78" i="45"/>
  <c r="K86" i="45"/>
  <c r="K93" i="45"/>
  <c r="K101" i="45"/>
  <c r="K79" i="45"/>
  <c r="K87" i="45"/>
  <c r="K94" i="45"/>
  <c r="K102" i="45"/>
  <c r="K72" i="45"/>
  <c r="K80" i="45"/>
  <c r="K88" i="45"/>
  <c r="K95" i="45"/>
  <c r="K103" i="45"/>
  <c r="D58" i="45"/>
  <c r="D80" i="45"/>
  <c r="D63" i="45"/>
  <c r="D68" i="45"/>
  <c r="D100" i="45"/>
  <c r="D55" i="45"/>
  <c r="D59" i="45"/>
  <c r="D88" i="45"/>
  <c r="D64" i="45"/>
  <c r="D76" i="45"/>
  <c r="D56" i="45"/>
  <c r="D60" i="45"/>
  <c r="D96" i="45"/>
  <c r="D84" i="45"/>
  <c r="D61" i="45"/>
  <c r="D65" i="45"/>
  <c r="D69" i="45"/>
  <c r="D73" i="45"/>
  <c r="D77" i="45"/>
  <c r="D81" i="45"/>
  <c r="D85" i="45"/>
  <c r="D89" i="45"/>
  <c r="D93" i="45"/>
  <c r="D97" i="45"/>
  <c r="D101" i="45"/>
  <c r="D70" i="45"/>
  <c r="D74" i="45"/>
  <c r="D78" i="45"/>
  <c r="D82" i="45"/>
  <c r="D86" i="45"/>
  <c r="D90" i="45"/>
  <c r="D94" i="45"/>
  <c r="D98" i="45"/>
  <c r="D102" i="45"/>
  <c r="D67" i="45"/>
  <c r="D71" i="45"/>
  <c r="D75" i="45"/>
  <c r="D79" i="45"/>
  <c r="D83" i="45"/>
  <c r="D87" i="45"/>
  <c r="D91" i="45"/>
  <c r="D95" i="45"/>
  <c r="D99" i="45"/>
  <c r="AS3" i="40"/>
  <c r="V126" i="40"/>
  <c r="J18" i="3"/>
  <c r="W126" i="40"/>
  <c r="K18" i="3"/>
  <c r="Y126" i="40"/>
  <c r="M18" i="3"/>
  <c r="AM126" i="40"/>
  <c r="U18" i="3"/>
  <c r="Z126" i="40"/>
  <c r="N18" i="3"/>
  <c r="AE126" i="40"/>
  <c r="R18" i="3"/>
  <c r="AG126" i="40"/>
  <c r="Q18" i="3"/>
  <c r="S126" i="40"/>
  <c r="H18" i="3"/>
  <c r="AT104" i="40"/>
  <c r="AW5" i="40"/>
  <c r="AW17" i="40"/>
  <c r="AO7" i="40"/>
  <c r="AV7" i="40" s="1" a="1"/>
  <c r="AV7" i="40" s="1"/>
  <c r="AW7" i="40" s="1"/>
  <c r="T126" i="40"/>
  <c r="AD3" i="40"/>
  <c r="R3" i="40"/>
  <c r="AQ3" i="40"/>
  <c r="AU104" i="40"/>
  <c r="AB103" i="43"/>
  <c r="N103" i="38"/>
  <c r="N95" i="38"/>
  <c r="N87" i="38"/>
  <c r="N79" i="38"/>
  <c r="AB71" i="43"/>
  <c r="N71" i="38"/>
  <c r="AB63" i="43"/>
  <c r="N63" i="38"/>
  <c r="AB47" i="43"/>
  <c r="N47" i="38"/>
  <c r="AB102" i="43"/>
  <c r="N102" i="38"/>
  <c r="N100" i="38"/>
  <c r="N92" i="38"/>
  <c r="N84" i="38"/>
  <c r="AB76" i="43"/>
  <c r="N76" i="38"/>
  <c r="N68" i="38"/>
  <c r="AB60" i="43"/>
  <c r="N60" i="38"/>
  <c r="N52" i="38"/>
  <c r="AB44" i="43"/>
  <c r="N44" i="38"/>
  <c r="N99" i="38"/>
  <c r="AB91" i="43"/>
  <c r="N91" i="38"/>
  <c r="N83" i="38"/>
  <c r="N75" i="38"/>
  <c r="AB67" i="43"/>
  <c r="N67" i="38"/>
  <c r="AB59" i="43"/>
  <c r="N59" i="38"/>
  <c r="N51" i="38"/>
  <c r="N43" i="38"/>
  <c r="N35" i="38"/>
  <c r="AB27" i="43"/>
  <c r="N27" i="38"/>
  <c r="AB19" i="43"/>
  <c r="N19" i="38"/>
  <c r="N11" i="38"/>
  <c r="AB3" i="43"/>
  <c r="N3" i="38"/>
  <c r="AO65" i="40"/>
  <c r="AV65" i="40" s="1" a="1"/>
  <c r="AV65" i="40" s="1"/>
  <c r="AO16" i="40"/>
  <c r="AV16" i="40" s="1" a="1"/>
  <c r="AV16" i="40" s="1"/>
  <c r="AZ16" i="40" s="1"/>
  <c r="AO24" i="40"/>
  <c r="AV24" i="40" s="1" a="1"/>
  <c r="AV24" i="40" s="1"/>
  <c r="AO52" i="40"/>
  <c r="AO54" i="40"/>
  <c r="AV54" i="40" s="1" a="1"/>
  <c r="AV54" i="40" s="1"/>
  <c r="AZ54" i="40" s="1"/>
  <c r="AO56" i="40"/>
  <c r="AO58" i="40"/>
  <c r="AV58" i="40" s="1" a="1"/>
  <c r="AV58" i="40" s="1"/>
  <c r="AZ58" i="40" s="1"/>
  <c r="AO60" i="40"/>
  <c r="AO62" i="40"/>
  <c r="AO9" i="40"/>
  <c r="AV9" i="40" s="1" a="1"/>
  <c r="AV9" i="40" s="1"/>
  <c r="AZ9" i="40" s="1"/>
  <c r="AO10" i="40"/>
  <c r="AV10" i="40" s="1" a="1"/>
  <c r="AV10" i="40" s="1"/>
  <c r="AZ10" i="40" s="1"/>
  <c r="AO11" i="40"/>
  <c r="AV11" i="40" s="1" a="1"/>
  <c r="AV11" i="40" s="1"/>
  <c r="AZ11" i="40" s="1"/>
  <c r="AO12" i="40"/>
  <c r="AV12" i="40" s="1" a="1"/>
  <c r="AV12" i="40" s="1"/>
  <c r="AX12" i="40" s="1"/>
  <c r="O17" i="3"/>
  <c r="L17" i="3"/>
  <c r="F14" i="46"/>
  <c r="E15" i="46"/>
  <c r="M14" i="46"/>
  <c r="L15" i="46"/>
  <c r="K8" i="44"/>
  <c r="AH105" i="43"/>
  <c r="AH126" i="43" s="1"/>
  <c r="AI126" i="39"/>
  <c r="X17" i="3"/>
  <c r="AI105" i="43"/>
  <c r="AI126" i="43" s="1"/>
  <c r="AJ126" i="39"/>
  <c r="AS3" i="39"/>
  <c r="R3" i="39"/>
  <c r="AJ105" i="43"/>
  <c r="AJ126" i="43" s="1"/>
  <c r="AB43" i="43"/>
  <c r="AB84" i="43"/>
  <c r="AB87" i="43"/>
  <c r="AB51" i="43"/>
  <c r="AB68" i="43"/>
  <c r="AB75" i="43"/>
  <c r="AB92" i="43"/>
  <c r="AB99" i="43"/>
  <c r="AB83" i="43"/>
  <c r="N105" i="43"/>
  <c r="N126" i="43" s="1"/>
  <c r="E8" i="43"/>
  <c r="L8" i="43" s="1"/>
  <c r="E11" i="43"/>
  <c r="L11" i="43" s="1"/>
  <c r="F105" i="43"/>
  <c r="F126" i="43" s="1"/>
  <c r="E5" i="43"/>
  <c r="L5" i="43" s="1"/>
  <c r="G105" i="43"/>
  <c r="G126" i="43" s="1"/>
  <c r="E5" i="45"/>
  <c r="L4" i="45"/>
  <c r="K10" i="44"/>
  <c r="K18" i="44"/>
  <c r="K28" i="44"/>
  <c r="K33" i="44"/>
  <c r="K76" i="44"/>
  <c r="K92" i="44"/>
  <c r="K6" i="44"/>
  <c r="K100" i="44"/>
  <c r="K4" i="44"/>
  <c r="K24" i="44"/>
  <c r="K58" i="44"/>
  <c r="K62" i="44"/>
  <c r="K77" i="44"/>
  <c r="K79" i="44"/>
  <c r="K90" i="44"/>
  <c r="K94" i="44"/>
  <c r="K5" i="44"/>
  <c r="K11" i="44"/>
  <c r="K12" i="44"/>
  <c r="K13" i="44"/>
  <c r="K22" i="44"/>
  <c r="K29" i="44"/>
  <c r="K37" i="44"/>
  <c r="K43" i="44"/>
  <c r="K46" i="44"/>
  <c r="K60" i="44"/>
  <c r="K73" i="44"/>
  <c r="K75" i="44"/>
  <c r="K101" i="44"/>
  <c r="C105" i="44"/>
  <c r="D17" i="44" s="1"/>
  <c r="K40" i="44"/>
  <c r="K50" i="44"/>
  <c r="K54" i="44"/>
  <c r="K69" i="44"/>
  <c r="K71" i="44"/>
  <c r="K82" i="44"/>
  <c r="K86" i="44"/>
  <c r="K7" i="44"/>
  <c r="K9" i="44"/>
  <c r="K19" i="44"/>
  <c r="K20" i="44"/>
  <c r="K21" i="44"/>
  <c r="K27" i="44"/>
  <c r="K36" i="44"/>
  <c r="K42" i="44"/>
  <c r="K52" i="44"/>
  <c r="K65" i="44"/>
  <c r="K67" i="44"/>
  <c r="K84" i="44"/>
  <c r="K99" i="44"/>
  <c r="K102" i="44"/>
  <c r="K26" i="44"/>
  <c r="K31" i="44"/>
  <c r="K32" i="44"/>
  <c r="K48" i="44"/>
  <c r="K61" i="44"/>
  <c r="K63" i="44"/>
  <c r="K78" i="44"/>
  <c r="K93" i="44"/>
  <c r="K95" i="44"/>
  <c r="K17" i="44"/>
  <c r="K35" i="44"/>
  <c r="K38" i="44"/>
  <c r="K45" i="44"/>
  <c r="K57" i="44"/>
  <c r="K59" i="44"/>
  <c r="K89" i="44"/>
  <c r="K91" i="44"/>
  <c r="K103" i="44"/>
  <c r="K30" i="44"/>
  <c r="K41" i="44"/>
  <c r="K53" i="44"/>
  <c r="K55" i="44"/>
  <c r="K66" i="44"/>
  <c r="K70" i="44"/>
  <c r="K85" i="44"/>
  <c r="K87" i="44"/>
  <c r="K98" i="44"/>
  <c r="K74" i="44"/>
  <c r="K97" i="44"/>
  <c r="K96" i="44"/>
  <c r="K88" i="44"/>
  <c r="K80" i="44"/>
  <c r="K72" i="44"/>
  <c r="K64" i="44"/>
  <c r="K56" i="44"/>
  <c r="K47" i="44"/>
  <c r="K39" i="44"/>
  <c r="K23" i="44"/>
  <c r="K15" i="44"/>
  <c r="K14" i="44"/>
  <c r="K25" i="44"/>
  <c r="K34" i="44"/>
  <c r="D39" i="44"/>
  <c r="K44" i="44"/>
  <c r="K49" i="44"/>
  <c r="K51" i="44"/>
  <c r="K68" i="44"/>
  <c r="K81" i="44"/>
  <c r="K83" i="44"/>
  <c r="K104" i="44"/>
  <c r="AR104" i="43"/>
  <c r="AU124" i="43"/>
  <c r="E105" i="42"/>
  <c r="E126" i="42" s="1"/>
  <c r="L105" i="42"/>
  <c r="L126" i="42" s="1"/>
  <c r="AL44" i="43"/>
  <c r="AL44" i="38" s="1"/>
  <c r="AF124" i="42"/>
  <c r="AI126" i="42"/>
  <c r="AU113" i="42"/>
  <c r="AO6" i="41"/>
  <c r="AV6" i="41" s="1" a="1"/>
  <c r="AV6" i="41" s="1"/>
  <c r="AZ6" i="41" s="1"/>
  <c r="AO10" i="41"/>
  <c r="AV10" i="41" s="1" a="1"/>
  <c r="AV10" i="41" s="1"/>
  <c r="AZ10" i="41" s="1"/>
  <c r="AZ12" i="41"/>
  <c r="AX12" i="41"/>
  <c r="AZ14" i="41"/>
  <c r="AX14" i="41"/>
  <c r="AO7" i="41"/>
  <c r="AV7" i="41" s="1" a="1"/>
  <c r="AV7" i="41" s="1"/>
  <c r="AO11" i="41"/>
  <c r="AV11" i="41" s="1" a="1"/>
  <c r="AV11" i="41" s="1"/>
  <c r="AZ11" i="41" s="1"/>
  <c r="AX4" i="41"/>
  <c r="AX8" i="41"/>
  <c r="AX13" i="41"/>
  <c r="AX15" i="41"/>
  <c r="X105" i="41"/>
  <c r="X126" i="41" s="1"/>
  <c r="AQ4" i="41"/>
  <c r="AW4" i="41" s="1"/>
  <c r="AQ5" i="41"/>
  <c r="AW5" i="41" s="1"/>
  <c r="AQ6" i="41"/>
  <c r="AQ7" i="41"/>
  <c r="AQ8" i="41"/>
  <c r="AW8" i="41" s="1"/>
  <c r="AQ9" i="41"/>
  <c r="AQ10" i="41"/>
  <c r="AQ11" i="41"/>
  <c r="AW11" i="41" s="1"/>
  <c r="AO22" i="41"/>
  <c r="AV22" i="41" s="1" a="1"/>
  <c r="AV22" i="41" s="1"/>
  <c r="AZ22" i="41" s="1"/>
  <c r="AA105" i="41"/>
  <c r="AA126" i="41" s="1"/>
  <c r="AQ3" i="41"/>
  <c r="AR104" i="41"/>
  <c r="AO23" i="41"/>
  <c r="AV23" i="41" s="1" a="1"/>
  <c r="AV23" i="41" s="1"/>
  <c r="AZ23" i="41" s="1"/>
  <c r="AQ30" i="41"/>
  <c r="AW30" i="41" s="1"/>
  <c r="R30" i="41"/>
  <c r="AS39" i="41"/>
  <c r="AQ39" i="41"/>
  <c r="R39" i="41"/>
  <c r="AN105" i="41"/>
  <c r="AB105" i="41"/>
  <c r="AB126" i="41" s="1"/>
  <c r="AO16" i="41"/>
  <c r="AV16" i="41" s="1" a="1"/>
  <c r="AV16" i="41" s="1"/>
  <c r="AZ16" i="41" s="1"/>
  <c r="AO24" i="41"/>
  <c r="AV24" i="41" s="1" a="1"/>
  <c r="AV24" i="41" s="1"/>
  <c r="AZ24" i="41" s="1"/>
  <c r="AO35" i="41"/>
  <c r="AV35" i="41" s="1" a="1"/>
  <c r="AV35" i="41" s="1"/>
  <c r="AS3" i="41"/>
  <c r="AO17" i="41"/>
  <c r="AV17" i="41" s="1" a="1"/>
  <c r="AV17" i="41" s="1"/>
  <c r="AW17" i="41" s="1"/>
  <c r="AO25" i="41"/>
  <c r="AV25" i="41" s="1" a="1"/>
  <c r="AV25" i="41" s="1"/>
  <c r="AO33" i="41"/>
  <c r="AV33" i="41" s="1" a="1"/>
  <c r="AV33" i="41" s="1"/>
  <c r="AS33" i="41"/>
  <c r="AQ33" i="41"/>
  <c r="R33" i="41"/>
  <c r="AO39" i="41"/>
  <c r="AV39" i="41" s="1" a="1"/>
  <c r="AV39" i="41" s="1"/>
  <c r="R41" i="41"/>
  <c r="AQ41" i="41"/>
  <c r="AS41" i="41"/>
  <c r="R45" i="41"/>
  <c r="AS45" i="41"/>
  <c r="AQ45" i="41"/>
  <c r="L3" i="41"/>
  <c r="L105" i="41" s="1"/>
  <c r="L126" i="41" s="1"/>
  <c r="AD3" i="41"/>
  <c r="AO3" i="41" s="1"/>
  <c r="AU104" i="41"/>
  <c r="AO18" i="41"/>
  <c r="AV18" i="41" s="1" a="1"/>
  <c r="AV18" i="41" s="1"/>
  <c r="AW18" i="41" s="1"/>
  <c r="AO26" i="41"/>
  <c r="AV26" i="41" s="1" a="1"/>
  <c r="AV26" i="41" s="1"/>
  <c r="AW26" i="41" s="1"/>
  <c r="AX28" i="41"/>
  <c r="AO19" i="41"/>
  <c r="AV19" i="41" s="1" a="1"/>
  <c r="AV19" i="41" s="1"/>
  <c r="AO27" i="41"/>
  <c r="AV27" i="41" s="1" a="1"/>
  <c r="AV27" i="41" s="1"/>
  <c r="AZ27" i="41" s="1"/>
  <c r="AO45" i="41"/>
  <c r="AV45" i="41" s="1" a="1"/>
  <c r="AV45" i="41" s="1"/>
  <c r="AO71" i="41"/>
  <c r="AV71" i="41" s="1" a="1"/>
  <c r="AV71" i="41" s="1"/>
  <c r="AW71" i="41" s="1"/>
  <c r="R3" i="41"/>
  <c r="AO20" i="41"/>
  <c r="AV20" i="41" s="1" a="1"/>
  <c r="AV20" i="41" s="1"/>
  <c r="AO31" i="41"/>
  <c r="AV31" i="41" s="1" a="1"/>
  <c r="AV31" i="41" s="1"/>
  <c r="AS31" i="41"/>
  <c r="AQ31" i="41"/>
  <c r="AW31" i="41" s="1"/>
  <c r="R31" i="41"/>
  <c r="AO32" i="41"/>
  <c r="AV32" i="41" s="1" a="1"/>
  <c r="AV32" i="41" s="1"/>
  <c r="AQ37" i="41"/>
  <c r="R37" i="41"/>
  <c r="AS37" i="41"/>
  <c r="AO21" i="41"/>
  <c r="AV21" i="41" s="1" a="1"/>
  <c r="AV21" i="41" s="1"/>
  <c r="AZ21" i="41" s="1"/>
  <c r="AO34" i="41"/>
  <c r="AV34" i="41" s="1" a="1"/>
  <c r="AV34" i="41" s="1"/>
  <c r="AZ34" i="41" s="1"/>
  <c r="R35" i="41"/>
  <c r="AQ35" i="41"/>
  <c r="AW35" i="41" s="1"/>
  <c r="R42" i="41"/>
  <c r="AO37" i="41"/>
  <c r="AV37" i="41" s="1" a="1"/>
  <c r="AV37" i="41" s="1"/>
  <c r="R38" i="41"/>
  <c r="AQ38" i="41"/>
  <c r="AW38" i="41" s="1"/>
  <c r="AO41" i="41"/>
  <c r="AV41" i="41" s="1" a="1"/>
  <c r="AV41" i="41" s="1"/>
  <c r="R43" i="41"/>
  <c r="AO43" i="41"/>
  <c r="AV43" i="41" s="1" a="1"/>
  <c r="AV43" i="41" s="1"/>
  <c r="AO42" i="41"/>
  <c r="AV42" i="41" s="1" a="1"/>
  <c r="AV42" i="41" s="1"/>
  <c r="R44" i="41"/>
  <c r="AO30" i="41"/>
  <c r="AV30" i="41" s="1" a="1"/>
  <c r="AV30" i="41" s="1"/>
  <c r="AO38" i="41"/>
  <c r="AV38" i="41" s="1" a="1"/>
  <c r="AV38" i="41" s="1"/>
  <c r="AZ38" i="41" s="1"/>
  <c r="AO44" i="41"/>
  <c r="AV44" i="41" s="1" a="1"/>
  <c r="AV44" i="41" s="1"/>
  <c r="AW44" i="41" s="1"/>
  <c r="R46" i="41"/>
  <c r="AS46" i="41"/>
  <c r="R47" i="41"/>
  <c r="AS47" i="41"/>
  <c r="R48" i="41"/>
  <c r="AS48" i="41"/>
  <c r="R49" i="41"/>
  <c r="AS49" i="41"/>
  <c r="R50" i="41"/>
  <c r="AS50" i="41"/>
  <c r="R51" i="41"/>
  <c r="AS51" i="41"/>
  <c r="R52" i="41"/>
  <c r="AS52" i="41"/>
  <c r="R53" i="41"/>
  <c r="AS53" i="41"/>
  <c r="R54" i="41"/>
  <c r="AS54" i="41"/>
  <c r="R55" i="41"/>
  <c r="AS55" i="41"/>
  <c r="R56" i="41"/>
  <c r="AS56" i="41"/>
  <c r="R57" i="41"/>
  <c r="AS57" i="41"/>
  <c r="R58" i="41"/>
  <c r="AS58" i="41"/>
  <c r="R59" i="41"/>
  <c r="AS59" i="41"/>
  <c r="R60" i="41"/>
  <c r="AS60" i="41"/>
  <c r="R61" i="41"/>
  <c r="AS61" i="41"/>
  <c r="R62" i="41"/>
  <c r="AS62" i="41"/>
  <c r="R63" i="41"/>
  <c r="AS63" i="41"/>
  <c r="R64" i="41"/>
  <c r="AS64" i="41"/>
  <c r="AO29" i="41"/>
  <c r="AV29" i="41" s="1" a="1"/>
  <c r="AV29" i="41" s="1"/>
  <c r="AZ29" i="41" s="1"/>
  <c r="AO36" i="41"/>
  <c r="AV36" i="41" s="1" a="1"/>
  <c r="AV36" i="41" s="1"/>
  <c r="R40" i="41"/>
  <c r="AO40" i="41"/>
  <c r="AV40" i="41" s="1" a="1"/>
  <c r="AV40" i="41" s="1"/>
  <c r="AW40" i="41" s="1"/>
  <c r="AO53" i="41"/>
  <c r="AV53" i="41" s="1" a="1"/>
  <c r="AV53" i="41" s="1"/>
  <c r="AW53" i="41" s="1"/>
  <c r="AO70" i="41"/>
  <c r="AV70" i="41" s="1" a="1"/>
  <c r="AV70" i="41" s="1"/>
  <c r="AW70" i="41" s="1"/>
  <c r="F126" i="41"/>
  <c r="AF124" i="41"/>
  <c r="AO46" i="41"/>
  <c r="AV46" i="41" s="1" a="1"/>
  <c r="AV46" i="41" s="1"/>
  <c r="AO47" i="41"/>
  <c r="AV47" i="41" s="1" a="1"/>
  <c r="AV47" i="41" s="1"/>
  <c r="AW47" i="41" s="1"/>
  <c r="AO49" i="41"/>
  <c r="AV49" i="41" s="1" a="1"/>
  <c r="AV49" i="41" s="1"/>
  <c r="AW49" i="41" s="1"/>
  <c r="AO50" i="41"/>
  <c r="AV50" i="41" s="1" a="1"/>
  <c r="AV50" i="41" s="1"/>
  <c r="AW50" i="41" s="1"/>
  <c r="AO51" i="41"/>
  <c r="AV51" i="41" s="1" a="1"/>
  <c r="AV51" i="41" s="1"/>
  <c r="AW51" i="41" s="1"/>
  <c r="AO54" i="41"/>
  <c r="AV54" i="41" s="1" a="1"/>
  <c r="AV54" i="41" s="1"/>
  <c r="AW54" i="41" s="1"/>
  <c r="AO55" i="41"/>
  <c r="AV55" i="41" s="1" a="1"/>
  <c r="AV55" i="41" s="1"/>
  <c r="AL56" i="43"/>
  <c r="AL56" i="38" s="1"/>
  <c r="AO58" i="41"/>
  <c r="AV58" i="41" s="1" a="1"/>
  <c r="AV58" i="41" s="1"/>
  <c r="AW58" i="41" s="1"/>
  <c r="AO59" i="41"/>
  <c r="AV59" i="41" s="1" a="1"/>
  <c r="AV59" i="41" s="1"/>
  <c r="AL60" i="43"/>
  <c r="AL60" i="38" s="1"/>
  <c r="AO62" i="41"/>
  <c r="AV62" i="41" s="1" a="1"/>
  <c r="AV62" i="41" s="1"/>
  <c r="AO63" i="41"/>
  <c r="AV63" i="41" s="1" a="1"/>
  <c r="AV63" i="41" s="1"/>
  <c r="AL64" i="43"/>
  <c r="AL64" i="38" s="1"/>
  <c r="AO65" i="41"/>
  <c r="AV65" i="41" s="1" a="1"/>
  <c r="AV65" i="41" s="1"/>
  <c r="AO66" i="41"/>
  <c r="AV66" i="41" s="1" a="1"/>
  <c r="AV66" i="41" s="1"/>
  <c r="AO67" i="41"/>
  <c r="AV67" i="41" s="1" a="1"/>
  <c r="AV67" i="41" s="1"/>
  <c r="AO69" i="41"/>
  <c r="AV69" i="41" s="1" a="1"/>
  <c r="AV69" i="41" s="1"/>
  <c r="AW69" i="41" s="1"/>
  <c r="AO102" i="41"/>
  <c r="AV102" i="41" s="1" a="1"/>
  <c r="AV102" i="41" s="1"/>
  <c r="AZ102" i="41" s="1"/>
  <c r="AO101" i="41"/>
  <c r="AV101" i="41" s="1" a="1"/>
  <c r="AV101" i="41" s="1"/>
  <c r="AZ101" i="41" s="1"/>
  <c r="AO100" i="41"/>
  <c r="AV100" i="41" s="1" a="1"/>
  <c r="AV100" i="41" s="1"/>
  <c r="AZ100" i="41" s="1"/>
  <c r="AO99" i="41"/>
  <c r="AV99" i="41" s="1" a="1"/>
  <c r="AV99" i="41" s="1"/>
  <c r="AZ99" i="41" s="1"/>
  <c r="AO98" i="41"/>
  <c r="AV98" i="41" s="1" a="1"/>
  <c r="AV98" i="41" s="1"/>
  <c r="AZ98" i="41" s="1"/>
  <c r="AO94" i="41"/>
  <c r="AV94" i="41" s="1" a="1"/>
  <c r="AV94" i="41" s="1"/>
  <c r="AO93" i="41"/>
  <c r="AV93" i="41" s="1" a="1"/>
  <c r="AV93" i="41" s="1"/>
  <c r="AW93" i="41" s="1"/>
  <c r="AO92" i="41"/>
  <c r="AV92" i="41" s="1" a="1"/>
  <c r="AV92" i="41" s="1"/>
  <c r="AO91" i="41"/>
  <c r="AV91" i="41" s="1" a="1"/>
  <c r="AV91" i="41" s="1"/>
  <c r="AW91" i="41" s="1"/>
  <c r="AO90" i="41"/>
  <c r="AV90" i="41" s="1" a="1"/>
  <c r="AV90" i="41" s="1"/>
  <c r="AO89" i="41"/>
  <c r="AV89" i="41" s="1" a="1"/>
  <c r="AV89" i="41" s="1"/>
  <c r="AW89" i="41" s="1"/>
  <c r="AO87" i="41"/>
  <c r="AV87" i="41" s="1" a="1"/>
  <c r="AV87" i="41" s="1"/>
  <c r="AW87" i="41" s="1"/>
  <c r="AO86" i="41"/>
  <c r="AV86" i="41" s="1" a="1"/>
  <c r="AV86" i="41" s="1"/>
  <c r="AO85" i="41"/>
  <c r="AV85" i="41" s="1" a="1"/>
  <c r="AV85" i="41" s="1"/>
  <c r="AW85" i="41" s="1"/>
  <c r="AO84" i="41"/>
  <c r="AV84" i="41" s="1" a="1"/>
  <c r="AV84" i="41" s="1"/>
  <c r="AO83" i="41"/>
  <c r="AV83" i="41" s="1" a="1"/>
  <c r="AV83" i="41" s="1"/>
  <c r="AW83" i="41" s="1"/>
  <c r="AO82" i="41"/>
  <c r="AV82" i="41" s="1" a="1"/>
  <c r="AV82" i="41" s="1"/>
  <c r="AO78" i="41"/>
  <c r="AV78" i="41" s="1" a="1"/>
  <c r="AV78" i="41" s="1"/>
  <c r="AW78" i="41" s="1"/>
  <c r="AO77" i="41"/>
  <c r="AV77" i="41" s="1" a="1"/>
  <c r="AV77" i="41" s="1"/>
  <c r="AW77" i="41" s="1"/>
  <c r="AO76" i="41"/>
  <c r="AV76" i="41" s="1" a="1"/>
  <c r="AV76" i="41" s="1"/>
  <c r="AO75" i="41"/>
  <c r="AV75" i="41" s="1" a="1"/>
  <c r="AV75" i="41" s="1"/>
  <c r="AW75" i="41" s="1"/>
  <c r="AO74" i="41"/>
  <c r="AV74" i="41" s="1" a="1"/>
  <c r="AV74" i="41" s="1"/>
  <c r="AU124" i="41"/>
  <c r="AO68" i="41"/>
  <c r="AV68" i="41" s="1" a="1"/>
  <c r="AV68" i="41" s="1"/>
  <c r="AO72" i="41"/>
  <c r="AV72" i="41" s="1" a="1"/>
  <c r="AV72" i="41" s="1"/>
  <c r="AW72" i="41" s="1"/>
  <c r="AO73" i="41"/>
  <c r="AV73" i="41" s="1" a="1"/>
  <c r="AV73" i="41" s="1"/>
  <c r="AO79" i="41"/>
  <c r="AV79" i="41" s="1" a="1"/>
  <c r="AV79" i="41" s="1"/>
  <c r="AW79" i="41" s="1"/>
  <c r="AO80" i="41"/>
  <c r="AV80" i="41" s="1" a="1"/>
  <c r="AV80" i="41" s="1"/>
  <c r="AW80" i="41" s="1"/>
  <c r="AO81" i="41"/>
  <c r="AV81" i="41" s="1" a="1"/>
  <c r="AV81" i="41" s="1"/>
  <c r="AW81" i="41" s="1"/>
  <c r="AO88" i="41"/>
  <c r="AV88" i="41" s="1" a="1"/>
  <c r="AV88" i="41" s="1"/>
  <c r="AW88" i="41" s="1"/>
  <c r="AO95" i="41"/>
  <c r="AV95" i="41" s="1" a="1"/>
  <c r="AV95" i="41" s="1"/>
  <c r="AO96" i="41"/>
  <c r="AV96" i="41" s="1" a="1"/>
  <c r="AV96" i="41" s="1"/>
  <c r="AO97" i="41"/>
  <c r="AV97" i="41" s="1" a="1"/>
  <c r="AV97" i="41" s="1"/>
  <c r="AW97" i="41" s="1"/>
  <c r="AO103" i="41"/>
  <c r="AV103" i="41" s="1" a="1"/>
  <c r="AV103" i="41" s="1"/>
  <c r="AZ103" i="41" s="1"/>
  <c r="AQ99" i="41"/>
  <c r="AW99" i="41" s="1"/>
  <c r="AQ100" i="41"/>
  <c r="AQ101" i="41"/>
  <c r="AW101" i="41" s="1"/>
  <c r="AQ102" i="41"/>
  <c r="AQ103" i="41"/>
  <c r="AW103" i="41" s="1"/>
  <c r="AU105" i="41"/>
  <c r="AZ5" i="40"/>
  <c r="AX5" i="40"/>
  <c r="AZ24" i="40"/>
  <c r="AX24" i="40"/>
  <c r="AO4" i="40"/>
  <c r="AV4" i="40" s="1" a="1"/>
  <c r="AV4" i="40" s="1"/>
  <c r="AW4" i="40" s="1"/>
  <c r="AO15" i="40"/>
  <c r="AV15" i="40" s="1" a="1"/>
  <c r="AV15" i="40" s="1"/>
  <c r="AW15" i="40" s="1"/>
  <c r="AO23" i="40"/>
  <c r="AV23" i="40" s="1" a="1"/>
  <c r="AV23" i="40" s="1"/>
  <c r="AO22" i="40"/>
  <c r="AV22" i="40" s="1" a="1"/>
  <c r="AV22" i="40" s="1"/>
  <c r="AO14" i="40"/>
  <c r="AV14" i="40" s="1" a="1"/>
  <c r="AV14" i="40" s="1"/>
  <c r="AW14" i="40" s="1"/>
  <c r="AO21" i="40"/>
  <c r="AV21" i="40" s="1" a="1"/>
  <c r="AV21" i="40" s="1"/>
  <c r="AO13" i="40"/>
  <c r="AV13" i="40" s="1" a="1"/>
  <c r="AV13" i="40" s="1"/>
  <c r="AW13" i="40" s="1"/>
  <c r="AO20" i="40"/>
  <c r="AV20" i="40" s="1" a="1"/>
  <c r="AV20" i="40" s="1"/>
  <c r="AO28" i="40"/>
  <c r="AV28" i="40" s="1"/>
  <c r="AZ28" i="40" s="1"/>
  <c r="AO8" i="40"/>
  <c r="AV8" i="40" s="1" a="1"/>
  <c r="AV8" i="40" s="1"/>
  <c r="AW8" i="40" s="1"/>
  <c r="AO19" i="40"/>
  <c r="AV19" i="40" s="1" a="1"/>
  <c r="AV19" i="40" s="1"/>
  <c r="AO27" i="40"/>
  <c r="AV27" i="40" s="1" a="1"/>
  <c r="AV27" i="40" s="1"/>
  <c r="AW27" i="40" s="1"/>
  <c r="AZ7" i="40"/>
  <c r="AX7" i="40"/>
  <c r="AO18" i="40"/>
  <c r="AV18" i="40" s="1" a="1"/>
  <c r="AV18" i="40" s="1"/>
  <c r="AW18" i="40" s="1"/>
  <c r="AO26" i="40"/>
  <c r="AV26" i="40" s="1" a="1"/>
  <c r="AV26" i="40" s="1"/>
  <c r="AW26" i="40" s="1"/>
  <c r="AO6" i="40"/>
  <c r="AV6" i="40" s="1" a="1"/>
  <c r="AV6" i="40" s="1"/>
  <c r="AW6" i="40" s="1"/>
  <c r="AZ17" i="40"/>
  <c r="AX17" i="40"/>
  <c r="AZ25" i="40"/>
  <c r="AX25" i="40"/>
  <c r="AN3" i="40"/>
  <c r="AN105" i="40" s="1"/>
  <c r="AO29" i="40"/>
  <c r="AV29" i="40" s="1" a="1"/>
  <c r="AV29" i="40" s="1"/>
  <c r="AS29" i="40"/>
  <c r="AO31" i="40"/>
  <c r="AV31" i="40" s="1" a="1"/>
  <c r="AV31" i="40" s="1"/>
  <c r="AZ31" i="40" s="1"/>
  <c r="AS31" i="40"/>
  <c r="AO33" i="40"/>
  <c r="AV33" i="40" s="1" a="1"/>
  <c r="AV33" i="40" s="1"/>
  <c r="AZ33" i="40" s="1"/>
  <c r="AS33" i="40"/>
  <c r="AQ38" i="40"/>
  <c r="AW38" i="40" s="1"/>
  <c r="AS46" i="40"/>
  <c r="AQ46" i="40"/>
  <c r="AW46" i="40" s="1"/>
  <c r="AQ39" i="40"/>
  <c r="AS45" i="40"/>
  <c r="AQ45" i="40"/>
  <c r="AA105" i="40"/>
  <c r="AA126" i="40" s="1"/>
  <c r="AQ30" i="40"/>
  <c r="AQ32" i="40"/>
  <c r="AW32" i="40" s="1"/>
  <c r="AQ34" i="40"/>
  <c r="AW34" i="40" s="1"/>
  <c r="AO38" i="40"/>
  <c r="AV38" i="40" s="1" a="1"/>
  <c r="AV38" i="40" s="1"/>
  <c r="AZ38" i="40" s="1"/>
  <c r="AS39" i="40"/>
  <c r="AQ40" i="40"/>
  <c r="AS44" i="40"/>
  <c r="AQ44" i="40"/>
  <c r="AO46" i="40"/>
  <c r="AV46" i="40" s="1" a="1"/>
  <c r="AV46" i="40" s="1"/>
  <c r="AZ46" i="40" s="1"/>
  <c r="AO39" i="40"/>
  <c r="AV39" i="40" s="1" a="1"/>
  <c r="AV39" i="40" s="1"/>
  <c r="AZ39" i="40" s="1"/>
  <c r="AQ41" i="40"/>
  <c r="AW41" i="40" s="1"/>
  <c r="AO43" i="40"/>
  <c r="AV43" i="40" s="1" a="1"/>
  <c r="AV43" i="40" s="1"/>
  <c r="AS43" i="40"/>
  <c r="AQ43" i="40"/>
  <c r="AO45" i="40"/>
  <c r="AV45" i="40" s="1" a="1"/>
  <c r="AV45" i="40" s="1"/>
  <c r="AZ45" i="40" s="1"/>
  <c r="AZ65" i="40"/>
  <c r="AX65" i="40"/>
  <c r="E105" i="40"/>
  <c r="E126" i="40" s="1"/>
  <c r="AO30" i="40"/>
  <c r="AV30" i="40" s="1" a="1"/>
  <c r="AV30" i="40" s="1"/>
  <c r="AZ30" i="40" s="1"/>
  <c r="AS30" i="40"/>
  <c r="AO32" i="40"/>
  <c r="AV32" i="40" s="1" a="1"/>
  <c r="AV32" i="40" s="1"/>
  <c r="AZ32" i="40" s="1"/>
  <c r="AS32" i="40"/>
  <c r="AO34" i="40"/>
  <c r="AV34" i="40" s="1" a="1"/>
  <c r="AV34" i="40" s="1"/>
  <c r="AQ35" i="40"/>
  <c r="AW35" i="40" s="1"/>
  <c r="AO40" i="40"/>
  <c r="AV40" i="40" s="1" a="1"/>
  <c r="AV40" i="40" s="1"/>
  <c r="AZ40" i="40" s="1"/>
  <c r="AS41" i="40"/>
  <c r="AS42" i="40"/>
  <c r="AQ42" i="40"/>
  <c r="AO44" i="40"/>
  <c r="AV44" i="40" s="1" a="1"/>
  <c r="AV44" i="40" s="1"/>
  <c r="AZ44" i="40" s="1"/>
  <c r="AO50" i="40"/>
  <c r="AV50" i="40" s="1" a="1"/>
  <c r="AV50" i="40" s="1"/>
  <c r="AS50" i="40"/>
  <c r="AQ50" i="40"/>
  <c r="L105" i="40"/>
  <c r="L126" i="40" s="1"/>
  <c r="R31" i="40"/>
  <c r="R33" i="40"/>
  <c r="AO41" i="40"/>
  <c r="AV41" i="40" s="1" a="1"/>
  <c r="AV41" i="40" s="1"/>
  <c r="AS49" i="40"/>
  <c r="AQ49" i="40"/>
  <c r="AO51" i="40"/>
  <c r="AV51" i="40" s="1" a="1"/>
  <c r="AV51" i="40" s="1"/>
  <c r="AZ51" i="40" s="1"/>
  <c r="AO53" i="40"/>
  <c r="AV53" i="40" s="1" a="1"/>
  <c r="AV53" i="40" s="1"/>
  <c r="AZ53" i="40" s="1"/>
  <c r="AO55" i="40"/>
  <c r="AV55" i="40" s="1" a="1"/>
  <c r="AV55" i="40" s="1"/>
  <c r="AZ55" i="40" s="1"/>
  <c r="AO57" i="40"/>
  <c r="AV57" i="40" s="1" a="1"/>
  <c r="AV57" i="40" s="1"/>
  <c r="AZ57" i="40" s="1"/>
  <c r="AO59" i="40"/>
  <c r="AV59" i="40" s="1" a="1"/>
  <c r="AV59" i="40" s="1"/>
  <c r="AZ59" i="40" s="1"/>
  <c r="AO61" i="40"/>
  <c r="AV61" i="40" s="1" a="1"/>
  <c r="AV61" i="40" s="1"/>
  <c r="AZ61" i="40" s="1"/>
  <c r="AO63" i="40"/>
  <c r="AV63" i="40" s="1" a="1"/>
  <c r="AV63" i="40" s="1"/>
  <c r="AZ63" i="40" s="1"/>
  <c r="AQ29" i="40"/>
  <c r="AW29" i="40" s="1"/>
  <c r="AQ31" i="40"/>
  <c r="AW31" i="40" s="1"/>
  <c r="AQ33" i="40"/>
  <c r="AW33" i="40" s="1"/>
  <c r="AO35" i="40"/>
  <c r="AV35" i="40" s="1" a="1"/>
  <c r="AV35" i="40" s="1"/>
  <c r="AO36" i="40"/>
  <c r="AV36" i="40" s="1" a="1"/>
  <c r="AV36" i="40" s="1"/>
  <c r="AQ36" i="40"/>
  <c r="AW36" i="40" s="1"/>
  <c r="AO42" i="40"/>
  <c r="AV42" i="40" s="1" a="1"/>
  <c r="AV42" i="40" s="1"/>
  <c r="AZ42" i="40" s="1"/>
  <c r="AO48" i="40"/>
  <c r="AV48" i="40" s="1" a="1"/>
  <c r="AV48" i="40" s="1"/>
  <c r="AS48" i="40"/>
  <c r="AQ48" i="40"/>
  <c r="AS36" i="40"/>
  <c r="AO37" i="40"/>
  <c r="AV37" i="40" s="1" a="1"/>
  <c r="AV37" i="40" s="1"/>
  <c r="AQ37" i="40"/>
  <c r="AW37" i="40" s="1"/>
  <c r="AO47" i="40"/>
  <c r="AV47" i="40" s="1" a="1"/>
  <c r="AV47" i="40" s="1"/>
  <c r="AS47" i="40"/>
  <c r="AQ47" i="40"/>
  <c r="AO49" i="40"/>
  <c r="AV49" i="40" s="1" a="1"/>
  <c r="AV49" i="40" s="1"/>
  <c r="AZ49" i="40" s="1"/>
  <c r="R52" i="40"/>
  <c r="AV52" i="40" a="1"/>
  <c r="AV52" i="40" s="1"/>
  <c r="AZ52" i="40" s="1"/>
  <c r="R53" i="40"/>
  <c r="R54" i="40"/>
  <c r="R55" i="40"/>
  <c r="R56" i="40"/>
  <c r="AV56" i="40" a="1"/>
  <c r="AV56" i="40" s="1"/>
  <c r="AZ56" i="40" s="1"/>
  <c r="R57" i="40"/>
  <c r="R58" i="40"/>
  <c r="R59" i="40"/>
  <c r="R60" i="40"/>
  <c r="AV60" i="40" a="1"/>
  <c r="AV60" i="40" s="1"/>
  <c r="AZ60" i="40" s="1"/>
  <c r="R61" i="40"/>
  <c r="R62" i="40"/>
  <c r="AV62" i="40" a="1"/>
  <c r="AV62" i="40" s="1"/>
  <c r="AZ62" i="40" s="1"/>
  <c r="R63" i="40"/>
  <c r="R64" i="40"/>
  <c r="AV64" i="40" a="1"/>
  <c r="AV64" i="40" s="1"/>
  <c r="AZ64" i="40" s="1"/>
  <c r="R65" i="40"/>
  <c r="AO66" i="40"/>
  <c r="AV66" i="40" s="1" a="1"/>
  <c r="AV66" i="40" s="1"/>
  <c r="AZ66" i="40" s="1"/>
  <c r="AO68" i="40"/>
  <c r="AV68" i="40" s="1" a="1"/>
  <c r="AV68" i="40" s="1"/>
  <c r="F126" i="40"/>
  <c r="AU126" i="40"/>
  <c r="AQ65" i="40"/>
  <c r="AW65" i="40" s="1"/>
  <c r="AO69" i="40"/>
  <c r="AV69" i="40" s="1" a="1"/>
  <c r="AV69" i="40" s="1"/>
  <c r="AW69" i="40" s="1"/>
  <c r="AQ51" i="40"/>
  <c r="AW51" i="40" s="1"/>
  <c r="AQ52" i="40"/>
  <c r="AW52" i="40" s="1"/>
  <c r="AQ53" i="40"/>
  <c r="AW53" i="40" s="1"/>
  <c r="AQ54" i="40"/>
  <c r="AW54" i="40" s="1"/>
  <c r="AQ55" i="40"/>
  <c r="AW55" i="40" s="1"/>
  <c r="AQ56" i="40"/>
  <c r="AW56" i="40" s="1"/>
  <c r="AQ57" i="40"/>
  <c r="AW57" i="40" s="1"/>
  <c r="AQ58" i="40"/>
  <c r="AW58" i="40" s="1"/>
  <c r="AQ59" i="40"/>
  <c r="AW59" i="40" s="1"/>
  <c r="AQ60" i="40"/>
  <c r="AQ61" i="40"/>
  <c r="AW61" i="40" s="1"/>
  <c r="AQ62" i="40"/>
  <c r="AW62" i="40" s="1"/>
  <c r="AQ63" i="40"/>
  <c r="AW63" i="40" s="1"/>
  <c r="AQ64" i="40"/>
  <c r="AW64" i="40" s="1"/>
  <c r="AO70" i="40"/>
  <c r="AV70" i="40" s="1" a="1"/>
  <c r="AV70" i="40" s="1"/>
  <c r="AL103" i="40"/>
  <c r="AL102" i="40"/>
  <c r="AL101" i="40"/>
  <c r="AL100" i="40"/>
  <c r="AL99" i="40"/>
  <c r="AL98" i="40"/>
  <c r="AL97" i="40"/>
  <c r="AL96" i="40"/>
  <c r="AL96" i="43" s="1"/>
  <c r="AL96" i="38" s="1"/>
  <c r="AL95" i="40"/>
  <c r="AL94" i="40"/>
  <c r="AL93" i="40"/>
  <c r="AL92" i="40"/>
  <c r="AL91" i="40"/>
  <c r="AL90" i="40"/>
  <c r="AL89" i="40"/>
  <c r="AL88" i="40"/>
  <c r="AL88" i="43" s="1"/>
  <c r="AL88" i="38" s="1"/>
  <c r="AL87" i="40"/>
  <c r="AL86" i="40"/>
  <c r="AL85" i="40"/>
  <c r="AL84" i="40"/>
  <c r="AL83" i="40"/>
  <c r="AL82" i="40"/>
  <c r="AL81" i="40"/>
  <c r="AL80" i="40"/>
  <c r="AL80" i="43" s="1"/>
  <c r="AL80" i="38" s="1"/>
  <c r="AL79" i="40"/>
  <c r="AL78" i="40"/>
  <c r="AL77" i="40"/>
  <c r="AL76" i="40"/>
  <c r="AL75" i="40"/>
  <c r="AL74" i="40"/>
  <c r="AL73" i="40"/>
  <c r="AL72" i="40"/>
  <c r="AO72" i="40" s="1"/>
  <c r="AV72" i="40" s="1" a="1"/>
  <c r="AV72" i="40" s="1"/>
  <c r="AW72" i="40" s="1"/>
  <c r="AU124" i="40"/>
  <c r="AS65" i="40"/>
  <c r="AO67" i="40"/>
  <c r="AV67" i="40" s="1" a="1"/>
  <c r="AV67" i="40" s="1"/>
  <c r="AO71" i="40"/>
  <c r="AV71" i="40" s="1" a="1"/>
  <c r="AV71" i="40" s="1"/>
  <c r="AW71" i="40" s="1"/>
  <c r="AS51" i="40"/>
  <c r="AS52" i="40"/>
  <c r="AS53" i="40"/>
  <c r="AS54" i="40"/>
  <c r="AS55" i="40"/>
  <c r="AS56" i="40"/>
  <c r="AS57" i="40"/>
  <c r="AS58" i="40"/>
  <c r="AS59" i="40"/>
  <c r="AS60" i="40"/>
  <c r="AS61" i="40"/>
  <c r="AS62" i="40"/>
  <c r="AS63" i="40"/>
  <c r="AS64" i="40"/>
  <c r="R101" i="40"/>
  <c r="R102" i="40"/>
  <c r="AO74" i="40"/>
  <c r="AV74" i="40" s="1" a="1"/>
  <c r="AV74" i="40" s="1"/>
  <c r="AO78" i="40"/>
  <c r="AV78" i="40" s="1" a="1"/>
  <c r="AV78" i="40" s="1"/>
  <c r="AW78" i="40" s="1"/>
  <c r="AO80" i="40"/>
  <c r="AV80" i="40" s="1" a="1"/>
  <c r="AV80" i="40" s="1"/>
  <c r="AW80" i="40" s="1"/>
  <c r="AO86" i="40"/>
  <c r="AV86" i="40" s="1" a="1"/>
  <c r="AV86" i="40" s="1"/>
  <c r="AW86" i="40" s="1"/>
  <c r="AO90" i="40"/>
  <c r="AV90" i="40" s="1" a="1"/>
  <c r="AV90" i="40" s="1"/>
  <c r="AO92" i="40"/>
  <c r="AV92" i="40" s="1" a="1"/>
  <c r="AV92" i="40" s="1"/>
  <c r="AO95" i="40"/>
  <c r="AV95" i="40" s="1" a="1"/>
  <c r="AV95" i="40" s="1"/>
  <c r="AZ95" i="40" s="1"/>
  <c r="AO96" i="40"/>
  <c r="AV96" i="40" s="1" a="1"/>
  <c r="AV96" i="40" s="1"/>
  <c r="AZ96" i="40" s="1"/>
  <c r="AO100" i="40"/>
  <c r="AV100" i="40" s="1" a="1"/>
  <c r="AV100" i="40" s="1"/>
  <c r="AO102" i="40"/>
  <c r="AV102" i="40" s="1" a="1"/>
  <c r="AV102" i="40" s="1"/>
  <c r="AO103" i="40"/>
  <c r="AV103" i="40" s="1" a="1"/>
  <c r="AV103" i="40" s="1"/>
  <c r="AF105" i="40"/>
  <c r="AQ96" i="40"/>
  <c r="AW96" i="40" s="1"/>
  <c r="AQ97" i="40"/>
  <c r="AW97" i="40" s="1"/>
  <c r="AQ98" i="40"/>
  <c r="AW98" i="40" s="1"/>
  <c r="AQ99" i="40"/>
  <c r="AW99" i="40" s="1"/>
  <c r="AQ100" i="40"/>
  <c r="AW100" i="40" s="1"/>
  <c r="AQ101" i="40"/>
  <c r="AW101" i="40" s="1"/>
  <c r="AQ102" i="40"/>
  <c r="AQ103" i="40"/>
  <c r="AW103" i="40" s="1"/>
  <c r="AU105" i="40"/>
  <c r="V126" i="39"/>
  <c r="AQ4" i="39"/>
  <c r="AS40" i="39"/>
  <c r="AS56" i="39"/>
  <c r="AS33" i="39"/>
  <c r="R4" i="39"/>
  <c r="AS29" i="39"/>
  <c r="AQ36" i="39"/>
  <c r="AW36" i="39" s="1"/>
  <c r="AS38" i="39"/>
  <c r="R40" i="39"/>
  <c r="AS43" i="39"/>
  <c r="R45" i="39"/>
  <c r="AS48" i="39"/>
  <c r="AQ53" i="39"/>
  <c r="AW53" i="39" s="1"/>
  <c r="R56" i="39"/>
  <c r="AS58" i="39"/>
  <c r="AQ30" i="39"/>
  <c r="AW30" i="39" s="1"/>
  <c r="AS53" i="39"/>
  <c r="AQ37" i="39"/>
  <c r="AS39" i="39"/>
  <c r="AQ47" i="39"/>
  <c r="R51" i="39"/>
  <c r="R53" i="39"/>
  <c r="R55" i="39"/>
  <c r="AS55" i="39"/>
  <c r="AQ59" i="39"/>
  <c r="AW59" i="39" s="1"/>
  <c r="AQ52" i="39"/>
  <c r="AS47" i="39"/>
  <c r="AQ56" i="39"/>
  <c r="AQ29" i="39"/>
  <c r="AW29" i="39" s="1"/>
  <c r="AQ43" i="39"/>
  <c r="R47" i="39"/>
  <c r="R52" i="39"/>
  <c r="AS52" i="39"/>
  <c r="AS54" i="39"/>
  <c r="AB105" i="39"/>
  <c r="AB126" i="39" s="1"/>
  <c r="N126" i="39"/>
  <c r="T126" i="39"/>
  <c r="AK126" i="39"/>
  <c r="J126" i="39"/>
  <c r="AU124" i="39"/>
  <c r="Y126" i="39"/>
  <c r="AM126" i="39"/>
  <c r="AF124" i="39"/>
  <c r="AH126" i="39"/>
  <c r="I126" i="39"/>
  <c r="Z126" i="39"/>
  <c r="AG126" i="39"/>
  <c r="S126" i="39"/>
  <c r="W126" i="39"/>
  <c r="L105" i="39"/>
  <c r="F126" i="39"/>
  <c r="R24" i="39"/>
  <c r="AS24" i="39"/>
  <c r="AQ24" i="39"/>
  <c r="AW24" i="39" s="1"/>
  <c r="AA105" i="39"/>
  <c r="AA126" i="39" s="1"/>
  <c r="AQ3" i="39"/>
  <c r="AT104" i="39"/>
  <c r="R8" i="39"/>
  <c r="AS8" i="39"/>
  <c r="R23" i="39"/>
  <c r="AS23" i="39"/>
  <c r="AQ23" i="39"/>
  <c r="AW23" i="39" s="1"/>
  <c r="AQ39" i="39"/>
  <c r="R15" i="39"/>
  <c r="AS15" i="39"/>
  <c r="R82" i="39"/>
  <c r="AS82" i="39"/>
  <c r="AQ82" i="39"/>
  <c r="R10" i="39"/>
  <c r="AS10" i="39"/>
  <c r="R21" i="39"/>
  <c r="AS21" i="39"/>
  <c r="AQ21" i="39"/>
  <c r="AW21" i="39" s="1"/>
  <c r="R7" i="39"/>
  <c r="AS7" i="39"/>
  <c r="R11" i="39"/>
  <c r="AS11" i="39"/>
  <c r="R20" i="39"/>
  <c r="AS20" i="39"/>
  <c r="AQ20" i="39"/>
  <c r="AW20" i="39" s="1"/>
  <c r="AQ49" i="39"/>
  <c r="R22" i="39"/>
  <c r="AS22" i="39"/>
  <c r="AQ22" i="39"/>
  <c r="R5" i="39"/>
  <c r="R6" i="39"/>
  <c r="R12" i="39"/>
  <c r="AS12" i="39"/>
  <c r="R19" i="39"/>
  <c r="AS19" i="39"/>
  <c r="AQ19" i="39"/>
  <c r="AW19" i="39" s="1"/>
  <c r="R27" i="39"/>
  <c r="AS27" i="39"/>
  <c r="AQ27" i="39"/>
  <c r="R9" i="39"/>
  <c r="AS9" i="39"/>
  <c r="E105" i="39"/>
  <c r="AS6" i="39"/>
  <c r="R13" i="39"/>
  <c r="AS13" i="39"/>
  <c r="R18" i="39"/>
  <c r="AS18" i="39"/>
  <c r="AQ18" i="39"/>
  <c r="R26" i="39"/>
  <c r="AS26" i="39"/>
  <c r="AQ26" i="39"/>
  <c r="R16" i="39"/>
  <c r="AS16" i="39"/>
  <c r="AQ16" i="39"/>
  <c r="U105" i="39"/>
  <c r="AN3" i="39"/>
  <c r="AN105" i="39" s="1"/>
  <c r="AQ7" i="39"/>
  <c r="R14" i="39"/>
  <c r="AS14" i="39"/>
  <c r="AQ15" i="39"/>
  <c r="R17" i="39"/>
  <c r="AS17" i="39"/>
  <c r="AQ17" i="39"/>
  <c r="R25" i="39"/>
  <c r="AS25" i="39"/>
  <c r="AQ25" i="39"/>
  <c r="AW25" i="39" s="1"/>
  <c r="R74" i="39"/>
  <c r="AS74" i="39"/>
  <c r="AQ74" i="39"/>
  <c r="AW74" i="39" s="1"/>
  <c r="R63" i="39"/>
  <c r="AS63" i="39"/>
  <c r="AQ63" i="39"/>
  <c r="AW63" i="39" s="1"/>
  <c r="R66" i="39"/>
  <c r="AS66" i="39"/>
  <c r="AQ66" i="39"/>
  <c r="AW66" i="39" s="1"/>
  <c r="R80" i="39"/>
  <c r="AS80" i="39"/>
  <c r="AQ80" i="39"/>
  <c r="R72" i="39"/>
  <c r="AS72" i="39"/>
  <c r="AQ72" i="39"/>
  <c r="AU104" i="39"/>
  <c r="AQ45" i="39"/>
  <c r="AQ41" i="39"/>
  <c r="AQ48" i="39"/>
  <c r="AQ58" i="39"/>
  <c r="AQ78" i="39"/>
  <c r="AS90" i="39"/>
  <c r="R90" i="39"/>
  <c r="AQ90" i="39"/>
  <c r="AW90" i="39" s="1"/>
  <c r="AU113" i="39"/>
  <c r="AS28" i="39"/>
  <c r="AQ28" i="39"/>
  <c r="AQ34" i="39"/>
  <c r="AQ44" i="39"/>
  <c r="AQ51" i="39"/>
  <c r="AQ70" i="39"/>
  <c r="R69" i="39"/>
  <c r="AS69" i="39"/>
  <c r="R77" i="39"/>
  <c r="AS77" i="39"/>
  <c r="AS94" i="39"/>
  <c r="AQ94" i="39"/>
  <c r="AW94" i="39" s="1"/>
  <c r="R94" i="39"/>
  <c r="AS101" i="39"/>
  <c r="AQ101" i="39"/>
  <c r="AW101" i="39" s="1"/>
  <c r="R101" i="39"/>
  <c r="AS103" i="39"/>
  <c r="AQ103" i="39"/>
  <c r="AW103" i="39" s="1"/>
  <c r="R103" i="39"/>
  <c r="R71" i="39"/>
  <c r="AS71" i="39"/>
  <c r="R79" i="39"/>
  <c r="AS79" i="39"/>
  <c r="AS99" i="39"/>
  <c r="AQ99" i="39"/>
  <c r="AW99" i="39" s="1"/>
  <c r="R99" i="39"/>
  <c r="R65" i="39"/>
  <c r="AS65" i="39"/>
  <c r="R68" i="39"/>
  <c r="AS68" i="39"/>
  <c r="R76" i="39"/>
  <c r="AS76" i="39"/>
  <c r="R84" i="39"/>
  <c r="AS84" i="39"/>
  <c r="AS86" i="39"/>
  <c r="R86" i="39"/>
  <c r="AQ88" i="39"/>
  <c r="H126" i="39"/>
  <c r="R32" i="39"/>
  <c r="R33" i="39"/>
  <c r="R36" i="39"/>
  <c r="R37" i="39"/>
  <c r="R38" i="39"/>
  <c r="R41" i="39"/>
  <c r="R42" i="39"/>
  <c r="R46" i="39"/>
  <c r="R49" i="39"/>
  <c r="R62" i="39"/>
  <c r="AS62" i="39"/>
  <c r="R73" i="39"/>
  <c r="AS73" i="39"/>
  <c r="R81" i="39"/>
  <c r="AS81" i="39"/>
  <c r="AS91" i="39"/>
  <c r="R91" i="39"/>
  <c r="AQ91" i="39"/>
  <c r="AW91" i="39" s="1"/>
  <c r="AS60" i="39"/>
  <c r="R70" i="39"/>
  <c r="AS70" i="39"/>
  <c r="R78" i="39"/>
  <c r="AS78" i="39"/>
  <c r="AS61" i="39"/>
  <c r="R64" i="39"/>
  <c r="AS64" i="39"/>
  <c r="R67" i="39"/>
  <c r="AS67" i="39"/>
  <c r="R75" i="39"/>
  <c r="AS75" i="39"/>
  <c r="R83" i="39"/>
  <c r="AS83" i="39"/>
  <c r="AS87" i="39"/>
  <c r="R87" i="39"/>
  <c r="AQ87" i="39"/>
  <c r="AS96" i="39"/>
  <c r="AQ96" i="39"/>
  <c r="AW96" i="39" s="1"/>
  <c r="R96" i="39"/>
  <c r="AW123" i="39"/>
  <c r="AQ123" i="39"/>
  <c r="E124" i="39"/>
  <c r="AS85" i="39"/>
  <c r="R85" i="39"/>
  <c r="AS89" i="39"/>
  <c r="R89" i="39"/>
  <c r="AS93" i="39"/>
  <c r="R93" i="39"/>
  <c r="AS98" i="39"/>
  <c r="AQ98" i="39"/>
  <c r="AW98" i="39" s="1"/>
  <c r="R98" i="39"/>
  <c r="AS100" i="39"/>
  <c r="AQ100" i="39"/>
  <c r="AW100" i="39" s="1"/>
  <c r="R100" i="39"/>
  <c r="AE126" i="39"/>
  <c r="AF105" i="39"/>
  <c r="L113" i="39"/>
  <c r="AS102" i="39"/>
  <c r="AQ102" i="39"/>
  <c r="R102" i="39"/>
  <c r="AD113" i="39"/>
  <c r="AS88" i="39"/>
  <c r="R88" i="39"/>
  <c r="AS92" i="39"/>
  <c r="R92" i="39"/>
  <c r="AS95" i="39"/>
  <c r="AQ95" i="39"/>
  <c r="AW95" i="39" s="1"/>
  <c r="R95" i="39"/>
  <c r="L124" i="39"/>
  <c r="AS97" i="39"/>
  <c r="AQ97" i="39"/>
  <c r="AW97" i="39" s="1"/>
  <c r="R97" i="39"/>
  <c r="G126" i="39"/>
  <c r="AS112" i="39"/>
  <c r="U113" i="39"/>
  <c r="AN113" i="39"/>
  <c r="AU105" i="39"/>
  <c r="G26" i="61" l="1"/>
  <c r="E64" i="63"/>
  <c r="F63" i="63"/>
  <c r="L92" i="63"/>
  <c r="M91" i="63"/>
  <c r="G91" i="63" s="1"/>
  <c r="M65" i="63"/>
  <c r="G65" i="63" s="1"/>
  <c r="L66" i="63"/>
  <c r="F89" i="63"/>
  <c r="E90" i="63"/>
  <c r="E87" i="61"/>
  <c r="F86" i="61"/>
  <c r="M86" i="61"/>
  <c r="L87" i="61"/>
  <c r="F60" i="61"/>
  <c r="E61" i="61"/>
  <c r="L61" i="61"/>
  <c r="M60" i="61"/>
  <c r="E33" i="53"/>
  <c r="F32" i="53"/>
  <c r="M47" i="55"/>
  <c r="L48" i="55"/>
  <c r="E48" i="55"/>
  <c r="F47" i="55"/>
  <c r="M33" i="53"/>
  <c r="L34" i="53"/>
  <c r="M30" i="50"/>
  <c r="L31" i="50"/>
  <c r="AL61" i="43"/>
  <c r="AL61" i="38" s="1"/>
  <c r="AL95" i="43"/>
  <c r="AL95" i="38" s="1"/>
  <c r="AL103" i="43"/>
  <c r="AL103" i="38" s="1"/>
  <c r="AL57" i="43"/>
  <c r="AL57" i="38" s="1"/>
  <c r="L105" i="43"/>
  <c r="L126" i="43" s="1"/>
  <c r="E105" i="43"/>
  <c r="E126" i="43" s="1"/>
  <c r="AL53" i="43"/>
  <c r="AL53" i="38" s="1"/>
  <c r="AL52" i="43"/>
  <c r="AL52" i="38" s="1"/>
  <c r="AL48" i="43"/>
  <c r="AL48" i="38" s="1"/>
  <c r="AL105" i="42"/>
  <c r="AL45" i="43"/>
  <c r="AL45" i="38" s="1"/>
  <c r="E31" i="48"/>
  <c r="F30" i="48"/>
  <c r="M31" i="48"/>
  <c r="L32" i="48"/>
  <c r="G14" i="46"/>
  <c r="G12" i="46"/>
  <c r="AW100" i="41"/>
  <c r="AW41" i="41"/>
  <c r="AW39" i="41"/>
  <c r="AW9" i="41"/>
  <c r="AW10" i="41"/>
  <c r="AW6" i="41"/>
  <c r="AU126" i="41"/>
  <c r="AW98" i="41"/>
  <c r="O19" i="3"/>
  <c r="AW37" i="41"/>
  <c r="AW16" i="41"/>
  <c r="AW27" i="41"/>
  <c r="AW102" i="41"/>
  <c r="AW45" i="41"/>
  <c r="AW33" i="41"/>
  <c r="AS104" i="41"/>
  <c r="AC17" i="41"/>
  <c r="AC24" i="41"/>
  <c r="AC56" i="41"/>
  <c r="AC40" i="41"/>
  <c r="AC59" i="41"/>
  <c r="AC91" i="41"/>
  <c r="AC48" i="41"/>
  <c r="AC62" i="41"/>
  <c r="AC49" i="41"/>
  <c r="AC77" i="41"/>
  <c r="AC9" i="41"/>
  <c r="AC33" i="41"/>
  <c r="AC25" i="41"/>
  <c r="AC93" i="41"/>
  <c r="AC64" i="41"/>
  <c r="AC72" i="41"/>
  <c r="AC27" i="41"/>
  <c r="AC19" i="41"/>
  <c r="AC38" i="41"/>
  <c r="AC26" i="41"/>
  <c r="AC73" i="41"/>
  <c r="AC10" i="41"/>
  <c r="AC28" i="41"/>
  <c r="AC45" i="41"/>
  <c r="AC39" i="41"/>
  <c r="AC23" i="41"/>
  <c r="AC65" i="41"/>
  <c r="AC15" i="41"/>
  <c r="AC32" i="41"/>
  <c r="AC79" i="41"/>
  <c r="AC34" i="41"/>
  <c r="AC94" i="41"/>
  <c r="AC98" i="41"/>
  <c r="AC67" i="41"/>
  <c r="AC88" i="41"/>
  <c r="AC21" i="41"/>
  <c r="AC61" i="41"/>
  <c r="AC13" i="41"/>
  <c r="AC81" i="41"/>
  <c r="AC41" i="41"/>
  <c r="AC31" i="41"/>
  <c r="AC80" i="41"/>
  <c r="AC86" i="41"/>
  <c r="AC20" i="41"/>
  <c r="AC50" i="41"/>
  <c r="AC22" i="41"/>
  <c r="AC71" i="41"/>
  <c r="AC103" i="41"/>
  <c r="AC42" i="41"/>
  <c r="AC58" i="41"/>
  <c r="AC55" i="41"/>
  <c r="AC8" i="41"/>
  <c r="AC90" i="41"/>
  <c r="AC5" i="41"/>
  <c r="AC18" i="41"/>
  <c r="AC87" i="41"/>
  <c r="AC66" i="41"/>
  <c r="AC74" i="41"/>
  <c r="AC35" i="41"/>
  <c r="AC63" i="41"/>
  <c r="AC83" i="41"/>
  <c r="AC16" i="41"/>
  <c r="AC14" i="41"/>
  <c r="AC6" i="41"/>
  <c r="AC7" i="41"/>
  <c r="AC29" i="41"/>
  <c r="AC95" i="41"/>
  <c r="AC57" i="41"/>
  <c r="AC75" i="41"/>
  <c r="AC99" i="41"/>
  <c r="AC51" i="41"/>
  <c r="AC11" i="41"/>
  <c r="AC37" i="41"/>
  <c r="AC76" i="41"/>
  <c r="AC82" i="41"/>
  <c r="AC43" i="41"/>
  <c r="AC96" i="41"/>
  <c r="AC53" i="41"/>
  <c r="AC85" i="41"/>
  <c r="AC46" i="41"/>
  <c r="AC101" i="41"/>
  <c r="AC69" i="41"/>
  <c r="AC30" i="41"/>
  <c r="AC47" i="41"/>
  <c r="AC84" i="41"/>
  <c r="AC44" i="41"/>
  <c r="AC54" i="41"/>
  <c r="AC78" i="41"/>
  <c r="AC89" i="41"/>
  <c r="AC60" i="41"/>
  <c r="AC97" i="41"/>
  <c r="AC36" i="41"/>
  <c r="AC12" i="41"/>
  <c r="AC92" i="41"/>
  <c r="AC70" i="41"/>
  <c r="AC102" i="41"/>
  <c r="AC52" i="41"/>
  <c r="AC100" i="41"/>
  <c r="AC4" i="41"/>
  <c r="AC68" i="41"/>
  <c r="AF105" i="41"/>
  <c r="AF126" i="41"/>
  <c r="L19" i="3"/>
  <c r="AN126" i="41"/>
  <c r="AL98" i="43"/>
  <c r="AL98" i="38" s="1"/>
  <c r="AL74" i="43"/>
  <c r="AL74" i="38" s="1"/>
  <c r="AL82" i="43"/>
  <c r="AL82" i="38" s="1"/>
  <c r="AL90" i="43"/>
  <c r="AL90" i="38" s="1"/>
  <c r="AL50" i="43"/>
  <c r="AL50" i="38" s="1"/>
  <c r="AO61" i="41"/>
  <c r="AV61" i="41" s="1" a="1"/>
  <c r="AV61" i="41" s="1"/>
  <c r="AW61" i="41" s="1"/>
  <c r="AL62" i="43"/>
  <c r="AL62" i="38" s="1"/>
  <c r="AX6" i="41"/>
  <c r="AL51" i="43"/>
  <c r="AL51" i="38" s="1"/>
  <c r="AL58" i="43"/>
  <c r="AL58" i="38" s="1"/>
  <c r="AL65" i="43"/>
  <c r="AL65" i="38" s="1"/>
  <c r="AO64" i="41"/>
  <c r="AV64" i="41" s="1" a="1"/>
  <c r="AV64" i="41" s="1"/>
  <c r="AX64" i="41" s="1"/>
  <c r="AL49" i="43"/>
  <c r="AL49" i="38" s="1"/>
  <c r="AL92" i="43"/>
  <c r="AL92" i="38" s="1"/>
  <c r="AL77" i="43"/>
  <c r="AL77" i="38" s="1"/>
  <c r="AL85" i="43"/>
  <c r="AL85" i="38" s="1"/>
  <c r="AL93" i="43"/>
  <c r="AL93" i="38" s="1"/>
  <c r="AL101" i="43"/>
  <c r="AL101" i="38" s="1"/>
  <c r="AX27" i="41"/>
  <c r="AL47" i="43"/>
  <c r="AL47" i="38" s="1"/>
  <c r="AX9" i="41"/>
  <c r="AL70" i="43"/>
  <c r="AL70" i="38" s="1"/>
  <c r="AO56" i="41"/>
  <c r="AV56" i="41" s="1" a="1"/>
  <c r="AV56" i="41" s="1"/>
  <c r="AO48" i="41"/>
  <c r="AV48" i="41" s="1" a="1"/>
  <c r="AV48" i="41" s="1"/>
  <c r="AW48" i="41" s="1"/>
  <c r="AL76" i="43"/>
  <c r="AL76" i="38" s="1"/>
  <c r="AL100" i="43"/>
  <c r="AL100" i="38" s="1"/>
  <c r="AL78" i="43"/>
  <c r="AL78" i="38" s="1"/>
  <c r="AL86" i="43"/>
  <c r="AL86" i="38" s="1"/>
  <c r="AL94" i="43"/>
  <c r="AL94" i="38" s="1"/>
  <c r="AL102" i="43"/>
  <c r="AL102" i="38" s="1"/>
  <c r="AO60" i="41"/>
  <c r="AV60" i="41" s="1" a="1"/>
  <c r="AV60" i="41" s="1"/>
  <c r="AW60" i="41" s="1"/>
  <c r="AO52" i="41"/>
  <c r="AV52" i="41" s="1" a="1"/>
  <c r="AV52" i="41" s="1"/>
  <c r="AL46" i="43"/>
  <c r="AL46" i="38" s="1"/>
  <c r="AX5" i="41"/>
  <c r="AL84" i="43"/>
  <c r="AL84" i="38" s="1"/>
  <c r="AO57" i="41"/>
  <c r="AV57" i="41" s="1" a="1"/>
  <c r="AV57" i="41" s="1"/>
  <c r="AL54" i="43"/>
  <c r="AL54" i="38" s="1"/>
  <c r="AL68" i="43"/>
  <c r="AL67" i="43"/>
  <c r="AL67" i="38" s="1"/>
  <c r="AL63" i="43"/>
  <c r="AL63" i="38" s="1"/>
  <c r="AX10" i="41"/>
  <c r="AL59" i="43"/>
  <c r="AL59" i="38" s="1"/>
  <c r="AL55" i="43"/>
  <c r="AL55" i="38" s="1"/>
  <c r="M24" i="47"/>
  <c r="L25" i="47"/>
  <c r="E25" i="47"/>
  <c r="F24" i="47"/>
  <c r="K105" i="45"/>
  <c r="D105" i="45"/>
  <c r="AW10" i="40"/>
  <c r="AN126" i="40"/>
  <c r="L18" i="3"/>
  <c r="O18" i="3"/>
  <c r="AW30" i="40"/>
  <c r="AW48" i="40"/>
  <c r="AW50" i="40"/>
  <c r="AW44" i="40"/>
  <c r="AC6" i="40"/>
  <c r="AC14" i="40"/>
  <c r="AC46" i="40"/>
  <c r="AC25" i="40"/>
  <c r="AC16" i="40"/>
  <c r="AC7" i="40"/>
  <c r="AC31" i="40"/>
  <c r="AC65" i="40"/>
  <c r="AC23" i="40"/>
  <c r="AC60" i="40"/>
  <c r="AC55" i="40"/>
  <c r="AC44" i="40"/>
  <c r="AC52" i="40"/>
  <c r="AC103" i="40"/>
  <c r="AC95" i="40"/>
  <c r="AC91" i="40"/>
  <c r="AC61" i="40"/>
  <c r="AC8" i="40"/>
  <c r="AC35" i="40"/>
  <c r="AC94" i="40"/>
  <c r="AC24" i="40"/>
  <c r="AC86" i="40"/>
  <c r="AC34" i="40"/>
  <c r="AC74" i="40"/>
  <c r="AC51" i="40"/>
  <c r="AC72" i="40"/>
  <c r="AC15" i="40"/>
  <c r="AC53" i="40"/>
  <c r="AC83" i="40"/>
  <c r="AC87" i="40"/>
  <c r="AC71" i="40"/>
  <c r="AC59" i="40"/>
  <c r="AC41" i="40"/>
  <c r="AC88" i="40"/>
  <c r="AC37" i="40"/>
  <c r="AC12" i="40"/>
  <c r="AC18" i="40"/>
  <c r="AC9" i="40"/>
  <c r="AC30" i="40"/>
  <c r="AC102" i="40"/>
  <c r="AC93" i="40"/>
  <c r="AC77" i="40"/>
  <c r="AC79" i="40"/>
  <c r="AC82" i="40"/>
  <c r="AC58" i="40"/>
  <c r="AC80" i="40"/>
  <c r="AC10" i="40"/>
  <c r="AC75" i="40"/>
  <c r="AC54" i="40"/>
  <c r="AC67" i="40"/>
  <c r="AC39" i="40"/>
  <c r="AC49" i="40"/>
  <c r="AC27" i="40"/>
  <c r="AC21" i="40"/>
  <c r="AC56" i="40"/>
  <c r="AC78" i="40"/>
  <c r="AC26" i="40"/>
  <c r="AC48" i="40"/>
  <c r="AC38" i="40"/>
  <c r="AC85" i="40"/>
  <c r="AC47" i="40"/>
  <c r="AC101" i="40"/>
  <c r="AC89" i="40"/>
  <c r="AC66" i="40"/>
  <c r="AC50" i="40"/>
  <c r="AC32" i="40"/>
  <c r="AC4" i="40"/>
  <c r="AC97" i="40"/>
  <c r="AC19" i="40"/>
  <c r="AC98" i="40"/>
  <c r="AC43" i="40"/>
  <c r="AC33" i="40"/>
  <c r="AC96" i="40"/>
  <c r="AC40" i="40"/>
  <c r="AC81" i="40"/>
  <c r="AC69" i="40"/>
  <c r="AC90" i="40"/>
  <c r="AC36" i="40"/>
  <c r="AC11" i="40"/>
  <c r="AC45" i="40"/>
  <c r="AC29" i="40"/>
  <c r="AC57" i="40"/>
  <c r="AC70" i="40"/>
  <c r="AC62" i="40"/>
  <c r="AC63" i="40"/>
  <c r="AC22" i="40"/>
  <c r="AC99" i="40"/>
  <c r="AC64" i="40"/>
  <c r="AC17" i="40"/>
  <c r="AC42" i="40"/>
  <c r="AC13" i="40"/>
  <c r="AC5" i="40"/>
  <c r="AC76" i="40"/>
  <c r="AC68" i="40"/>
  <c r="AC28" i="40"/>
  <c r="AC100" i="40"/>
  <c r="AC84" i="40"/>
  <c r="AC20" i="40"/>
  <c r="AC73" i="40"/>
  <c r="AC92" i="40"/>
  <c r="AW16" i="40"/>
  <c r="AW45" i="40"/>
  <c r="AW12" i="40"/>
  <c r="AW102" i="40"/>
  <c r="AW47" i="40"/>
  <c r="AW49" i="40"/>
  <c r="AW43" i="40"/>
  <c r="AW40" i="40"/>
  <c r="AW28" i="40"/>
  <c r="AW11" i="40"/>
  <c r="AW39" i="40"/>
  <c r="AW42" i="40"/>
  <c r="AS104" i="40"/>
  <c r="AX16" i="40"/>
  <c r="AW60" i="40"/>
  <c r="AW9" i="40"/>
  <c r="AO101" i="40"/>
  <c r="AV101" i="40" s="1" a="1"/>
  <c r="AV101" i="40" s="1"/>
  <c r="AO84" i="40"/>
  <c r="AV84" i="40" s="1" a="1"/>
  <c r="AV84" i="40" s="1"/>
  <c r="AZ84" i="40" s="1"/>
  <c r="AX46" i="40"/>
  <c r="AO93" i="40"/>
  <c r="AV93" i="40" s="1" a="1"/>
  <c r="AV93" i="40" s="1"/>
  <c r="AW93" i="40" s="1"/>
  <c r="AF126" i="40"/>
  <c r="AC3" i="40"/>
  <c r="AZ12" i="40"/>
  <c r="AX9" i="40"/>
  <c r="AX11" i="40"/>
  <c r="AX10" i="40"/>
  <c r="AO98" i="40"/>
  <c r="AV98" i="40" s="1" a="1"/>
  <c r="AV98" i="40" s="1"/>
  <c r="AZ98" i="40" s="1"/>
  <c r="AO85" i="40"/>
  <c r="AV85" i="40" s="1" a="1"/>
  <c r="AV85" i="40" s="1"/>
  <c r="AO77" i="40"/>
  <c r="AV77" i="40" s="1" a="1"/>
  <c r="AV77" i="40" s="1"/>
  <c r="AZ77" i="40" s="1"/>
  <c r="AO88" i="40"/>
  <c r="AV88" i="40" s="1" a="1"/>
  <c r="AV88" i="40" s="1"/>
  <c r="AO97" i="40"/>
  <c r="AV97" i="40" s="1" a="1"/>
  <c r="AV97" i="40" s="1"/>
  <c r="AL97" i="43"/>
  <c r="AO81" i="40"/>
  <c r="AV81" i="40" s="1" a="1"/>
  <c r="AV81" i="40" s="1"/>
  <c r="AW81" i="40" s="1"/>
  <c r="AL81" i="43"/>
  <c r="AO94" i="40"/>
  <c r="AV94" i="40" s="1" a="1"/>
  <c r="AV94" i="40" s="1"/>
  <c r="AO82" i="40"/>
  <c r="AV82" i="40" s="1" a="1"/>
  <c r="AV82" i="40" s="1"/>
  <c r="AO75" i="40"/>
  <c r="AV75" i="40" s="1" a="1"/>
  <c r="AV75" i="40" s="1"/>
  <c r="AW75" i="40" s="1"/>
  <c r="AL75" i="43"/>
  <c r="AL75" i="38" s="1"/>
  <c r="AO83" i="40"/>
  <c r="AV83" i="40" s="1" a="1"/>
  <c r="AV83" i="40" s="1"/>
  <c r="AZ83" i="40" s="1"/>
  <c r="AL83" i="43"/>
  <c r="AO91" i="40"/>
  <c r="AV91" i="40" s="1" a="1"/>
  <c r="AV91" i="40" s="1"/>
  <c r="AL91" i="43"/>
  <c r="AL91" i="38" s="1"/>
  <c r="AO99" i="40"/>
  <c r="AV99" i="40" s="1" a="1"/>
  <c r="AV99" i="40" s="1"/>
  <c r="AZ99" i="40" s="1"/>
  <c r="AL99" i="43"/>
  <c r="AO73" i="40"/>
  <c r="AV73" i="40" s="1" a="1"/>
  <c r="AV73" i="40" s="1"/>
  <c r="AL73" i="43"/>
  <c r="AX54" i="40"/>
  <c r="AO89" i="40"/>
  <c r="AV89" i="40" s="1" a="1"/>
  <c r="AV89" i="40" s="1"/>
  <c r="AL89" i="43"/>
  <c r="AO76" i="40"/>
  <c r="AV76" i="40" s="1" a="1"/>
  <c r="AV76" i="40" s="1"/>
  <c r="AW76" i="40" s="1"/>
  <c r="AO79" i="40"/>
  <c r="AV79" i="40" s="1" a="1"/>
  <c r="AV79" i="40" s="1"/>
  <c r="AX79" i="40" s="1"/>
  <c r="AL79" i="43"/>
  <c r="AO87" i="40"/>
  <c r="AV87" i="40" s="1" a="1"/>
  <c r="AV87" i="40" s="1"/>
  <c r="AL87" i="43"/>
  <c r="AL105" i="40"/>
  <c r="AL72" i="43"/>
  <c r="AL72" i="38" s="1"/>
  <c r="AK17" i="3"/>
  <c r="X45" i="3"/>
  <c r="L16" i="46"/>
  <c r="M15" i="46"/>
  <c r="E16" i="46"/>
  <c r="F15" i="46"/>
  <c r="D54" i="44"/>
  <c r="D83" i="44"/>
  <c r="AC9" i="39"/>
  <c r="AC17" i="39"/>
  <c r="AC41" i="39"/>
  <c r="AC85" i="39"/>
  <c r="AC22" i="39"/>
  <c r="AC10" i="39"/>
  <c r="AC14" i="39"/>
  <c r="AC96" i="39"/>
  <c r="AC44" i="39"/>
  <c r="AC19" i="39"/>
  <c r="AC84" i="39"/>
  <c r="AC50" i="39"/>
  <c r="AC99" i="39"/>
  <c r="AC69" i="39"/>
  <c r="AC43" i="39"/>
  <c r="AC5" i="39"/>
  <c r="AC47" i="39"/>
  <c r="AC101" i="39"/>
  <c r="AC29" i="39"/>
  <c r="AC76" i="39"/>
  <c r="AC55" i="39"/>
  <c r="AC79" i="39"/>
  <c r="AC92" i="39"/>
  <c r="AC11" i="39"/>
  <c r="AC86" i="39"/>
  <c r="AC35" i="39"/>
  <c r="AC23" i="39"/>
  <c r="AC37" i="39"/>
  <c r="AC54" i="39"/>
  <c r="AC12" i="39"/>
  <c r="AC75" i="39"/>
  <c r="AC38" i="39"/>
  <c r="AC24" i="39"/>
  <c r="AC42" i="39"/>
  <c r="AC21" i="39"/>
  <c r="AC71" i="39"/>
  <c r="AC97" i="39"/>
  <c r="AC60" i="39"/>
  <c r="AC95" i="39"/>
  <c r="AC20" i="39"/>
  <c r="AC63" i="39"/>
  <c r="AC81" i="39"/>
  <c r="AC49" i="39"/>
  <c r="AC8" i="39"/>
  <c r="AC70" i="39"/>
  <c r="AC82" i="39"/>
  <c r="AC103" i="39"/>
  <c r="AC73" i="39"/>
  <c r="AC67" i="39"/>
  <c r="AC48" i="39"/>
  <c r="AC15" i="39"/>
  <c r="AC93" i="39"/>
  <c r="AC31" i="39"/>
  <c r="AC34" i="39"/>
  <c r="AC30" i="39"/>
  <c r="AC80" i="39"/>
  <c r="AC87" i="39"/>
  <c r="AC59" i="39"/>
  <c r="AC36" i="39"/>
  <c r="AC4" i="39"/>
  <c r="AC32" i="39"/>
  <c r="AC16" i="39"/>
  <c r="AC100" i="39"/>
  <c r="AC98" i="39"/>
  <c r="AC62" i="39"/>
  <c r="AC39" i="39"/>
  <c r="AC13" i="39"/>
  <c r="AC45" i="39"/>
  <c r="AC57" i="39"/>
  <c r="AC6" i="39"/>
  <c r="AC58" i="39"/>
  <c r="AC52" i="39"/>
  <c r="AC83" i="39"/>
  <c r="AC18" i="39"/>
  <c r="AC51" i="39"/>
  <c r="AC89" i="39"/>
  <c r="AC72" i="39"/>
  <c r="AC28" i="39"/>
  <c r="AC77" i="39"/>
  <c r="AC40" i="39"/>
  <c r="AC64" i="39"/>
  <c r="AC102" i="39"/>
  <c r="AC56" i="39"/>
  <c r="AC25" i="39"/>
  <c r="AC66" i="39"/>
  <c r="AC68" i="39"/>
  <c r="AC33" i="39"/>
  <c r="AC65" i="39"/>
  <c r="AC61" i="39"/>
  <c r="AC94" i="39"/>
  <c r="AC53" i="39"/>
  <c r="AC26" i="39"/>
  <c r="AC88" i="39"/>
  <c r="AC46" i="39"/>
  <c r="AC91" i="39"/>
  <c r="AC27" i="39"/>
  <c r="AC74" i="39"/>
  <c r="AC7" i="39"/>
  <c r="AC90" i="39"/>
  <c r="AC78" i="39"/>
  <c r="AB105" i="43"/>
  <c r="AB126" i="43" s="1"/>
  <c r="M4" i="45"/>
  <c r="L5" i="45"/>
  <c r="E6" i="45"/>
  <c r="F5" i="45"/>
  <c r="D60" i="44"/>
  <c r="D84" i="44"/>
  <c r="D19" i="44"/>
  <c r="D70" i="44"/>
  <c r="D90" i="44"/>
  <c r="D98" i="44"/>
  <c r="D86" i="44"/>
  <c r="D59" i="44"/>
  <c r="D52" i="44"/>
  <c r="D75" i="44"/>
  <c r="D46" i="44"/>
  <c r="D23" i="44"/>
  <c r="D27" i="44"/>
  <c r="D91" i="44"/>
  <c r="D99" i="44"/>
  <c r="D65" i="44"/>
  <c r="D15" i="44"/>
  <c r="D57" i="44"/>
  <c r="D28" i="44"/>
  <c r="D68" i="44"/>
  <c r="D87" i="44"/>
  <c r="D55" i="44"/>
  <c r="D82" i="44"/>
  <c r="D50" i="44"/>
  <c r="D7" i="44"/>
  <c r="D49" i="44"/>
  <c r="D20" i="44"/>
  <c r="D66" i="44"/>
  <c r="D78" i="44"/>
  <c r="D31" i="44"/>
  <c r="D26" i="44"/>
  <c r="D41" i="44"/>
  <c r="D62" i="44"/>
  <c r="D11" i="44"/>
  <c r="D76" i="44"/>
  <c r="D47" i="44"/>
  <c r="D38" i="44"/>
  <c r="D101" i="44"/>
  <c r="D97" i="44"/>
  <c r="D25" i="44"/>
  <c r="D100" i="44"/>
  <c r="D103" i="44"/>
  <c r="D74" i="44"/>
  <c r="D35" i="44"/>
  <c r="K105" i="44"/>
  <c r="L4" i="44"/>
  <c r="D89" i="44"/>
  <c r="D95" i="44"/>
  <c r="D79" i="44"/>
  <c r="D71" i="44"/>
  <c r="D102" i="44"/>
  <c r="D94" i="44"/>
  <c r="D93" i="44"/>
  <c r="D85" i="44"/>
  <c r="D77" i="44"/>
  <c r="D69" i="44"/>
  <c r="D61" i="44"/>
  <c r="D53" i="44"/>
  <c r="D44" i="44"/>
  <c r="D36" i="44"/>
  <c r="D12" i="44"/>
  <c r="D33" i="44"/>
  <c r="D10" i="44"/>
  <c r="D8" i="44"/>
  <c r="D96" i="44"/>
  <c r="D64" i="44"/>
  <c r="D40" i="44"/>
  <c r="D37" i="44"/>
  <c r="D21" i="44"/>
  <c r="D34" i="44"/>
  <c r="D29" i="44"/>
  <c r="D22" i="44"/>
  <c r="D6" i="44"/>
  <c r="D72" i="44"/>
  <c r="D13" i="44"/>
  <c r="D30" i="44"/>
  <c r="D14" i="44"/>
  <c r="D4" i="44"/>
  <c r="D80" i="44"/>
  <c r="D45" i="44"/>
  <c r="D48" i="44"/>
  <c r="D42" i="44"/>
  <c r="D18" i="44"/>
  <c r="D88" i="44"/>
  <c r="D56" i="44"/>
  <c r="D32" i="44"/>
  <c r="D67" i="44"/>
  <c r="D24" i="44"/>
  <c r="D81" i="44"/>
  <c r="D9" i="44"/>
  <c r="D92" i="44"/>
  <c r="D58" i="44"/>
  <c r="D104" i="44"/>
  <c r="D43" i="44"/>
  <c r="D51" i="44"/>
  <c r="D63" i="44"/>
  <c r="D16" i="44"/>
  <c r="D73" i="44"/>
  <c r="D5" i="44"/>
  <c r="AZ58" i="41"/>
  <c r="AX58" i="41"/>
  <c r="AZ62" i="41"/>
  <c r="AX62" i="41"/>
  <c r="AZ54" i="41"/>
  <c r="AX54" i="41"/>
  <c r="AZ46" i="41"/>
  <c r="AX46" i="41"/>
  <c r="AZ57" i="41"/>
  <c r="AX57" i="41"/>
  <c r="AZ41" i="41"/>
  <c r="AX41" i="41"/>
  <c r="AZ50" i="41"/>
  <c r="AX50" i="41"/>
  <c r="AZ68" i="41"/>
  <c r="AX68" i="41"/>
  <c r="AZ65" i="41"/>
  <c r="AX65" i="41"/>
  <c r="AZ49" i="41"/>
  <c r="AX49" i="41"/>
  <c r="AZ60" i="41"/>
  <c r="AX60" i="41"/>
  <c r="AX52" i="41"/>
  <c r="AZ42" i="41"/>
  <c r="AX42" i="41"/>
  <c r="AZ31" i="41"/>
  <c r="AX31" i="41"/>
  <c r="AZ53" i="41"/>
  <c r="AX53" i="41"/>
  <c r="AZ67" i="41"/>
  <c r="AX67" i="41"/>
  <c r="AZ59" i="41"/>
  <c r="AX59" i="41"/>
  <c r="AZ51" i="41"/>
  <c r="AX51" i="41"/>
  <c r="AZ61" i="41"/>
  <c r="AX61" i="41"/>
  <c r="AX36" i="41"/>
  <c r="AZ36" i="41"/>
  <c r="AZ39" i="41"/>
  <c r="AX39" i="41"/>
  <c r="AZ37" i="41"/>
  <c r="AX37" i="41"/>
  <c r="AZ43" i="41"/>
  <c r="AX43" i="41"/>
  <c r="AZ45" i="41"/>
  <c r="AX45" i="41"/>
  <c r="AZ72" i="41"/>
  <c r="AX72" i="41"/>
  <c r="AZ64" i="41"/>
  <c r="AZ56" i="41"/>
  <c r="AX56" i="41"/>
  <c r="AX48" i="41"/>
  <c r="AZ30" i="41"/>
  <c r="AX30" i="41"/>
  <c r="AZ63" i="41"/>
  <c r="AX63" i="41"/>
  <c r="AZ55" i="41"/>
  <c r="AX55" i="41"/>
  <c r="AZ47" i="41"/>
  <c r="AX47" i="41"/>
  <c r="AZ40" i="41"/>
  <c r="AX40" i="41"/>
  <c r="AZ44" i="41"/>
  <c r="AX44" i="41"/>
  <c r="AV3" i="41"/>
  <c r="AW3" i="41" s="1"/>
  <c r="AZ33" i="41"/>
  <c r="AX33" i="41"/>
  <c r="AZ97" i="41"/>
  <c r="AX97" i="41"/>
  <c r="AZ89" i="41"/>
  <c r="AX89" i="41"/>
  <c r="AZ81" i="41"/>
  <c r="AX81" i="41"/>
  <c r="AZ73" i="41"/>
  <c r="AX73" i="41"/>
  <c r="AX98" i="41"/>
  <c r="AX102" i="41"/>
  <c r="AX32" i="41"/>
  <c r="AZ32" i="41"/>
  <c r="AZ19" i="41"/>
  <c r="AX19" i="41"/>
  <c r="AZ96" i="41"/>
  <c r="AX96" i="41"/>
  <c r="AZ88" i="41"/>
  <c r="AX88" i="41"/>
  <c r="AZ80" i="41"/>
  <c r="AX80" i="41"/>
  <c r="AX100" i="41"/>
  <c r="AZ25" i="41"/>
  <c r="AX25" i="41"/>
  <c r="AX22" i="41"/>
  <c r="AZ95" i="41"/>
  <c r="AX95" i="41"/>
  <c r="AZ87" i="41"/>
  <c r="AX87" i="41"/>
  <c r="AZ79" i="41"/>
  <c r="AX79" i="41"/>
  <c r="AZ66" i="41"/>
  <c r="AX66" i="41"/>
  <c r="AZ18" i="41"/>
  <c r="AX18" i="41"/>
  <c r="AC3" i="41"/>
  <c r="AX11" i="41"/>
  <c r="AZ94" i="41"/>
  <c r="AX94" i="41"/>
  <c r="AZ86" i="41"/>
  <c r="AX86" i="41"/>
  <c r="AZ78" i="41"/>
  <c r="AX78" i="41"/>
  <c r="AX99" i="41"/>
  <c r="AL105" i="41"/>
  <c r="S19" i="3" s="1"/>
  <c r="AX38" i="41"/>
  <c r="AX34" i="41"/>
  <c r="AZ7" i="41"/>
  <c r="AX7" i="41"/>
  <c r="AZ93" i="41"/>
  <c r="AX93" i="41"/>
  <c r="AZ85" i="41"/>
  <c r="AX85" i="41"/>
  <c r="AZ77" i="41"/>
  <c r="AX77" i="41"/>
  <c r="AX103" i="41"/>
  <c r="AZ70" i="41"/>
  <c r="AX70" i="41"/>
  <c r="AZ17" i="41"/>
  <c r="AX17" i="41"/>
  <c r="AZ92" i="41"/>
  <c r="AX92" i="41"/>
  <c r="AZ84" i="41"/>
  <c r="AX84" i="41"/>
  <c r="AZ76" i="41"/>
  <c r="AX76" i="41"/>
  <c r="AX29" i="41"/>
  <c r="AX20" i="41"/>
  <c r="AZ20" i="41"/>
  <c r="AX23" i="41"/>
  <c r="AX24" i="41"/>
  <c r="AX21" i="41"/>
  <c r="AZ91" i="41"/>
  <c r="AX91" i="41"/>
  <c r="AZ83" i="41"/>
  <c r="AX83" i="41"/>
  <c r="AZ75" i="41"/>
  <c r="AX75" i="41"/>
  <c r="AZ71" i="41"/>
  <c r="AX71" i="41"/>
  <c r="AD105" i="41"/>
  <c r="AZ35" i="41"/>
  <c r="AX35" i="41"/>
  <c r="AX16" i="41"/>
  <c r="AZ90" i="41"/>
  <c r="AX90" i="41"/>
  <c r="AZ82" i="41"/>
  <c r="AX82" i="41"/>
  <c r="AZ74" i="41"/>
  <c r="AX74" i="41"/>
  <c r="AX101" i="41"/>
  <c r="AZ69" i="41"/>
  <c r="AX69" i="41"/>
  <c r="AZ26" i="41"/>
  <c r="AX26" i="41"/>
  <c r="AQ104" i="41"/>
  <c r="AW7" i="41"/>
  <c r="AZ102" i="40"/>
  <c r="AX102" i="40"/>
  <c r="AZ47" i="40"/>
  <c r="AX47" i="40"/>
  <c r="AZ101" i="40"/>
  <c r="AX101" i="40"/>
  <c r="AZ100" i="40"/>
  <c r="AX100" i="40"/>
  <c r="AZ48" i="40"/>
  <c r="AX48" i="40"/>
  <c r="AZ79" i="40"/>
  <c r="AZ37" i="40"/>
  <c r="AX37" i="40"/>
  <c r="AZ43" i="40"/>
  <c r="AX43" i="40"/>
  <c r="AZ89" i="40"/>
  <c r="AZ50" i="40"/>
  <c r="AX50" i="40"/>
  <c r="AZ81" i="40"/>
  <c r="AX81" i="40"/>
  <c r="AZ97" i="40"/>
  <c r="AX97" i="40"/>
  <c r="AZ41" i="40"/>
  <c r="AX41" i="40"/>
  <c r="AZ91" i="40"/>
  <c r="AX91" i="40"/>
  <c r="AZ36" i="40"/>
  <c r="AX36" i="40"/>
  <c r="AZ75" i="40"/>
  <c r="AX75" i="40"/>
  <c r="AZ103" i="40"/>
  <c r="AX103" i="40"/>
  <c r="AZ35" i="40"/>
  <c r="AX35" i="40"/>
  <c r="AZ34" i="40"/>
  <c r="AX34" i="40"/>
  <c r="AX96" i="40"/>
  <c r="AX56" i="40"/>
  <c r="AX49" i="40"/>
  <c r="AX63" i="40"/>
  <c r="AX38" i="40"/>
  <c r="AZ27" i="40"/>
  <c r="AX27" i="40"/>
  <c r="AZ21" i="40"/>
  <c r="AX21" i="40"/>
  <c r="AZ4" i="40"/>
  <c r="AX4" i="40"/>
  <c r="AZ86" i="40"/>
  <c r="AX86" i="40"/>
  <c r="AZ78" i="40"/>
  <c r="AX78" i="40"/>
  <c r="AX61" i="40"/>
  <c r="AQ104" i="40"/>
  <c r="AZ29" i="40"/>
  <c r="AX29" i="40"/>
  <c r="AZ6" i="40"/>
  <c r="AX6" i="40"/>
  <c r="AZ19" i="40"/>
  <c r="AX19" i="40"/>
  <c r="AZ14" i="40"/>
  <c r="AX14" i="40"/>
  <c r="AZ93" i="40"/>
  <c r="AX93" i="40"/>
  <c r="AX77" i="40"/>
  <c r="AZ67" i="40"/>
  <c r="AX67" i="40"/>
  <c r="AZ69" i="40"/>
  <c r="AX69" i="40"/>
  <c r="AX52" i="40"/>
  <c r="AX59" i="40"/>
  <c r="AX30" i="40"/>
  <c r="AZ8" i="40"/>
  <c r="AX8" i="40"/>
  <c r="AZ92" i="40"/>
  <c r="AX92" i="40"/>
  <c r="AZ76" i="40"/>
  <c r="AX76" i="40"/>
  <c r="AD105" i="40"/>
  <c r="AX42" i="40"/>
  <c r="AX57" i="40"/>
  <c r="AZ26" i="40"/>
  <c r="AX26" i="40"/>
  <c r="AO3" i="40"/>
  <c r="AX31" i="40"/>
  <c r="AZ70" i="40"/>
  <c r="AX70" i="40"/>
  <c r="AX98" i="40"/>
  <c r="AZ68" i="40"/>
  <c r="AX68" i="40"/>
  <c r="AX66" i="40"/>
  <c r="AX64" i="40"/>
  <c r="AX55" i="40"/>
  <c r="AX40" i="40"/>
  <c r="AX44" i="40"/>
  <c r="AX32" i="40"/>
  <c r="AZ18" i="40"/>
  <c r="AX18" i="40"/>
  <c r="AX28" i="40"/>
  <c r="AZ90" i="40"/>
  <c r="AX90" i="40"/>
  <c r="AZ74" i="40"/>
  <c r="AX74" i="40"/>
  <c r="AX62" i="40"/>
  <c r="AX53" i="40"/>
  <c r="AX39" i="40"/>
  <c r="AZ20" i="40"/>
  <c r="AX20" i="40"/>
  <c r="AZ22" i="40"/>
  <c r="AX22" i="40"/>
  <c r="AX60" i="40"/>
  <c r="AX51" i="40"/>
  <c r="AZ13" i="40"/>
  <c r="AX13" i="40"/>
  <c r="AZ23" i="40"/>
  <c r="AX23" i="40"/>
  <c r="AZ80" i="40"/>
  <c r="AX80" i="40"/>
  <c r="AZ72" i="40"/>
  <c r="AX72" i="40"/>
  <c r="AZ71" i="40"/>
  <c r="AX71" i="40"/>
  <c r="AX95" i="40"/>
  <c r="AX58" i="40"/>
  <c r="AX45" i="40"/>
  <c r="AX33" i="40"/>
  <c r="AZ15" i="40"/>
  <c r="AX15" i="40"/>
  <c r="AU126" i="39"/>
  <c r="AF126" i="39"/>
  <c r="L126" i="39"/>
  <c r="AS104" i="39"/>
  <c r="AD124" i="39"/>
  <c r="AO103" i="39"/>
  <c r="AV103" i="39" s="1" a="1"/>
  <c r="AV103" i="39" s="1"/>
  <c r="AO102" i="39"/>
  <c r="AV102" i="39" s="1" a="1"/>
  <c r="AV102" i="39" s="1"/>
  <c r="AW102" i="39" s="1"/>
  <c r="AO101" i="39"/>
  <c r="AV101" i="39" s="1" a="1"/>
  <c r="AV101" i="39" s="1"/>
  <c r="AO100" i="39"/>
  <c r="AV100" i="39" s="1" a="1"/>
  <c r="AV100" i="39" s="1"/>
  <c r="AO99" i="39"/>
  <c r="AV99" i="39" s="1" a="1"/>
  <c r="AV99" i="39" s="1"/>
  <c r="AO98" i="39"/>
  <c r="AV98" i="39" s="1" a="1"/>
  <c r="AV98" i="39" s="1"/>
  <c r="AO97" i="39"/>
  <c r="AV97" i="39" s="1" a="1"/>
  <c r="AV97" i="39" s="1"/>
  <c r="AO96" i="39"/>
  <c r="AV96" i="39" s="1" a="1"/>
  <c r="AV96" i="39" s="1"/>
  <c r="AO95" i="39"/>
  <c r="AV95" i="39" s="1" a="1"/>
  <c r="AV95" i="39" s="1"/>
  <c r="AO94" i="39"/>
  <c r="AV94" i="39" s="1" a="1"/>
  <c r="AV94" i="39" s="1"/>
  <c r="AO93" i="39"/>
  <c r="AV93" i="39" s="1" a="1"/>
  <c r="AV93" i="39" s="1"/>
  <c r="AW93" i="39" s="1"/>
  <c r="AO92" i="39"/>
  <c r="AV92" i="39" s="1" a="1"/>
  <c r="AV92" i="39" s="1"/>
  <c r="AO91" i="39"/>
  <c r="AV91" i="39" s="1" a="1"/>
  <c r="AV91" i="39" s="1"/>
  <c r="AO90" i="39"/>
  <c r="AV90" i="39" s="1" a="1"/>
  <c r="AV90" i="39" s="1"/>
  <c r="AO89" i="39"/>
  <c r="AV89" i="39" s="1" a="1"/>
  <c r="AV89" i="39" s="1"/>
  <c r="AO88" i="39"/>
  <c r="AV88" i="39" s="1" a="1"/>
  <c r="AV88" i="39" s="1"/>
  <c r="AO87" i="39"/>
  <c r="AV87" i="39" s="1" a="1"/>
  <c r="AV87" i="39" s="1"/>
  <c r="AO86" i="39"/>
  <c r="AV86" i="39" s="1" a="1"/>
  <c r="AV86" i="39" s="1"/>
  <c r="AO85" i="39"/>
  <c r="AV85" i="39" s="1" a="1"/>
  <c r="AV85" i="39" s="1"/>
  <c r="AW85" i="39" s="1"/>
  <c r="AO84" i="39"/>
  <c r="AV84" i="39" s="1" a="1"/>
  <c r="AV84" i="39" s="1"/>
  <c r="AO83" i="39"/>
  <c r="AV83" i="39" s="1" a="1"/>
  <c r="AV83" i="39" s="1"/>
  <c r="AO82" i="39"/>
  <c r="AV82" i="39" s="1" a="1"/>
  <c r="AV82" i="39" s="1"/>
  <c r="AW82" i="39" s="1"/>
  <c r="AO81" i="39"/>
  <c r="AV81" i="39" s="1" a="1"/>
  <c r="AV81" i="39" s="1"/>
  <c r="AO80" i="39"/>
  <c r="AV80" i="39" s="1" a="1"/>
  <c r="AV80" i="39" s="1"/>
  <c r="AO79" i="39"/>
  <c r="AV79" i="39" s="1" a="1"/>
  <c r="AV79" i="39" s="1"/>
  <c r="AO78" i="39"/>
  <c r="AV78" i="39" s="1" a="1"/>
  <c r="AV78" i="39" s="1"/>
  <c r="AO77" i="39"/>
  <c r="AV77" i="39" s="1" a="1"/>
  <c r="AV77" i="39" s="1"/>
  <c r="AW77" i="39" s="1"/>
  <c r="AO76" i="39"/>
  <c r="AV76" i="39" s="1" a="1"/>
  <c r="AV76" i="39" s="1"/>
  <c r="AO75" i="39"/>
  <c r="AV75" i="39" s="1" a="1"/>
  <c r="AV75" i="39" s="1"/>
  <c r="AW75" i="39" s="1"/>
  <c r="AO74" i="39"/>
  <c r="AV74" i="39" s="1" a="1"/>
  <c r="AV74" i="39" s="1"/>
  <c r="AO73" i="39"/>
  <c r="AV73" i="39" s="1" a="1"/>
  <c r="AV73" i="39" s="1"/>
  <c r="AW73" i="39" s="1"/>
  <c r="AO72" i="39"/>
  <c r="AV72" i="39" s="1" a="1"/>
  <c r="AV72" i="39" s="1"/>
  <c r="AW72" i="39" s="1"/>
  <c r="AO71" i="39"/>
  <c r="AV71" i="39" s="1" a="1"/>
  <c r="AV71" i="39" s="1"/>
  <c r="AO70" i="39"/>
  <c r="AV70" i="39" s="1" a="1"/>
  <c r="AV70" i="39" s="1"/>
  <c r="AO69" i="39"/>
  <c r="AV69" i="39" s="1" a="1"/>
  <c r="AV69" i="39" s="1"/>
  <c r="AO68" i="39"/>
  <c r="AV68" i="39" s="1" a="1"/>
  <c r="AV68" i="39" s="1"/>
  <c r="AO67" i="39"/>
  <c r="AV67" i="39" s="1" a="1"/>
  <c r="AV67" i="39" s="1"/>
  <c r="AW67" i="39" s="1"/>
  <c r="AO66" i="39"/>
  <c r="AV66" i="39" s="1" a="1"/>
  <c r="AV66" i="39" s="1"/>
  <c r="AO65" i="39"/>
  <c r="AV65" i="39" s="1" a="1"/>
  <c r="AV65" i="39" s="1"/>
  <c r="AO64" i="39"/>
  <c r="AV64" i="39" s="1" a="1"/>
  <c r="AV64" i="39" s="1"/>
  <c r="AO63" i="39"/>
  <c r="AV63" i="39" s="1" a="1"/>
  <c r="AV63" i="39" s="1"/>
  <c r="AO62" i="39"/>
  <c r="AV62" i="39" s="1" a="1"/>
  <c r="AV62" i="39" s="1"/>
  <c r="AO28" i="39"/>
  <c r="AV28" i="39" s="1"/>
  <c r="AO59" i="39"/>
  <c r="AV59" i="39" s="1" a="1"/>
  <c r="AV59" i="39" s="1"/>
  <c r="AO58" i="39"/>
  <c r="AV58" i="39" s="1" a="1"/>
  <c r="AV58" i="39" s="1"/>
  <c r="AW58" i="39" s="1"/>
  <c r="AO57" i="39"/>
  <c r="AV57" i="39" s="1" a="1"/>
  <c r="AV57" i="39" s="1"/>
  <c r="AO56" i="39"/>
  <c r="AV56" i="39" s="1" a="1"/>
  <c r="AV56" i="39" s="1"/>
  <c r="AO55" i="39"/>
  <c r="AV55" i="39" s="1" a="1"/>
  <c r="AV55" i="39" s="1"/>
  <c r="AO54" i="39"/>
  <c r="AV54" i="39" s="1" a="1"/>
  <c r="AV54" i="39" s="1"/>
  <c r="AO53" i="39"/>
  <c r="AV53" i="39" s="1" a="1"/>
  <c r="AV53" i="39" s="1"/>
  <c r="AO52" i="39"/>
  <c r="AV52" i="39" s="1" a="1"/>
  <c r="AV52" i="39" s="1"/>
  <c r="AW52" i="39" s="1"/>
  <c r="AO51" i="39"/>
  <c r="AV51" i="39" s="1" a="1"/>
  <c r="AV51" i="39" s="1"/>
  <c r="AO50" i="39"/>
  <c r="AV50" i="39" s="1" a="1"/>
  <c r="AV50" i="39" s="1"/>
  <c r="AO49" i="39"/>
  <c r="AV49" i="39" s="1" a="1"/>
  <c r="AV49" i="39" s="1"/>
  <c r="AO48" i="39"/>
  <c r="AV48" i="39" s="1" a="1"/>
  <c r="AV48" i="39" s="1"/>
  <c r="AO47" i="39"/>
  <c r="AV47" i="39" s="1" a="1"/>
  <c r="AV47" i="39" s="1"/>
  <c r="AO46" i="39"/>
  <c r="AV46" i="39" s="1" a="1"/>
  <c r="AV46" i="39" s="1"/>
  <c r="AO45" i="39"/>
  <c r="AV45" i="39" s="1" a="1"/>
  <c r="AV45" i="39" s="1"/>
  <c r="AO44" i="39"/>
  <c r="AV44" i="39" s="1" a="1"/>
  <c r="AV44" i="39" s="1"/>
  <c r="AO43" i="39"/>
  <c r="AV43" i="39" s="1" a="1"/>
  <c r="AV43" i="39" s="1"/>
  <c r="AO42" i="39"/>
  <c r="AV42" i="39" s="1" a="1"/>
  <c r="AV42" i="39" s="1"/>
  <c r="AW42" i="39" s="1"/>
  <c r="AO41" i="39"/>
  <c r="AV41" i="39" s="1" a="1"/>
  <c r="AV41" i="39" s="1"/>
  <c r="AW41" i="39" s="1"/>
  <c r="AO40" i="39"/>
  <c r="AV40" i="39" s="1" a="1"/>
  <c r="AV40" i="39" s="1"/>
  <c r="AO39" i="39"/>
  <c r="AV39" i="39" s="1" a="1"/>
  <c r="AV39" i="39" s="1"/>
  <c r="AW39" i="39" s="1"/>
  <c r="AO38" i="39"/>
  <c r="AV38" i="39" s="1" a="1"/>
  <c r="AV38" i="39" s="1"/>
  <c r="AO37" i="39"/>
  <c r="AV37" i="39" s="1" a="1"/>
  <c r="AV37" i="39" s="1"/>
  <c r="AO36" i="39"/>
  <c r="AV36" i="39" s="1" a="1"/>
  <c r="AV36" i="39" s="1"/>
  <c r="AO35" i="39"/>
  <c r="AV35" i="39" s="1" a="1"/>
  <c r="AV35" i="39" s="1"/>
  <c r="AO34" i="39"/>
  <c r="AV34" i="39" s="1" a="1"/>
  <c r="AV34" i="39" s="1"/>
  <c r="AO33" i="39"/>
  <c r="AV33" i="39" s="1" a="1"/>
  <c r="AV33" i="39" s="1"/>
  <c r="AO32" i="39"/>
  <c r="AV32" i="39" s="1" a="1"/>
  <c r="AV32" i="39" s="1"/>
  <c r="AO31" i="39"/>
  <c r="AV31" i="39" s="1" a="1"/>
  <c r="AV31" i="39" s="1"/>
  <c r="AO30" i="39"/>
  <c r="AV30" i="39" s="1" a="1"/>
  <c r="AV30" i="39" s="1"/>
  <c r="AO61" i="39"/>
  <c r="AV61" i="39" s="1" a="1"/>
  <c r="AV61" i="39" s="1"/>
  <c r="AO60" i="39"/>
  <c r="AV60" i="39" s="1" a="1"/>
  <c r="AV60" i="39" s="1"/>
  <c r="AO27" i="39"/>
  <c r="AV27" i="39" s="1" a="1"/>
  <c r="AV27" i="39" s="1"/>
  <c r="AW27" i="39" s="1"/>
  <c r="AO26" i="39"/>
  <c r="AV26" i="39" s="1" a="1"/>
  <c r="AV26" i="39" s="1"/>
  <c r="AW26" i="39" s="1"/>
  <c r="AO25" i="39"/>
  <c r="AV25" i="39" s="1" a="1"/>
  <c r="AV25" i="39" s="1"/>
  <c r="AO24" i="39"/>
  <c r="AV24" i="39" s="1" a="1"/>
  <c r="AV24" i="39" s="1"/>
  <c r="AO23" i="39"/>
  <c r="AV23" i="39" s="1" a="1"/>
  <c r="AV23" i="39" s="1"/>
  <c r="AO22" i="39"/>
  <c r="AV22" i="39" s="1" a="1"/>
  <c r="AV22" i="39" s="1"/>
  <c r="AW22" i="39" s="1"/>
  <c r="AO21" i="39"/>
  <c r="AV21" i="39" s="1" a="1"/>
  <c r="AV21" i="39" s="1"/>
  <c r="AO20" i="39"/>
  <c r="AV20" i="39" s="1" a="1"/>
  <c r="AV20" i="39" s="1"/>
  <c r="AO19" i="39"/>
  <c r="AV19" i="39" s="1" a="1"/>
  <c r="AV19" i="39" s="1"/>
  <c r="AO18" i="39"/>
  <c r="AV18" i="39" s="1" a="1"/>
  <c r="AV18" i="39" s="1"/>
  <c r="AW18" i="39" s="1"/>
  <c r="AO17" i="39"/>
  <c r="AV17" i="39" s="1" a="1"/>
  <c r="AV17" i="39" s="1"/>
  <c r="AW17" i="39" s="1"/>
  <c r="AO16" i="39"/>
  <c r="AV16" i="39" s="1" a="1"/>
  <c r="AV16" i="39" s="1"/>
  <c r="AW16" i="39" s="1"/>
  <c r="AO15" i="39"/>
  <c r="AV15" i="39" s="1" a="1"/>
  <c r="AV15" i="39" s="1"/>
  <c r="AO14" i="39"/>
  <c r="AV14" i="39" s="1" a="1"/>
  <c r="AV14" i="39" s="1"/>
  <c r="AO13" i="39"/>
  <c r="AV13" i="39" s="1" a="1"/>
  <c r="AV13" i="39" s="1"/>
  <c r="AO12" i="39"/>
  <c r="AV12" i="39" s="1" a="1"/>
  <c r="AV12" i="39" s="1"/>
  <c r="AO11" i="39"/>
  <c r="AV11" i="39" s="1" a="1"/>
  <c r="AV11" i="39" s="1"/>
  <c r="AO10" i="39"/>
  <c r="AV10" i="39" s="1" a="1"/>
  <c r="AV10" i="39" s="1"/>
  <c r="AO9" i="39"/>
  <c r="AV9" i="39" s="1" a="1"/>
  <c r="AV9" i="39" s="1"/>
  <c r="AO8" i="39"/>
  <c r="AV8" i="39" s="1" a="1"/>
  <c r="AV8" i="39" s="1"/>
  <c r="AO7" i="39"/>
  <c r="AV7" i="39" s="1" a="1"/>
  <c r="AV7" i="39" s="1"/>
  <c r="AO6" i="39"/>
  <c r="AV6" i="39" s="1" a="1"/>
  <c r="AV6" i="39" s="1"/>
  <c r="AO29" i="39"/>
  <c r="AV29" i="39" s="1" a="1"/>
  <c r="AV29" i="39" s="1"/>
  <c r="AL3" i="39"/>
  <c r="AO5" i="39"/>
  <c r="AV5" i="39" s="1" a="1"/>
  <c r="AV5" i="39" s="1"/>
  <c r="AO4" i="39"/>
  <c r="AV4" i="39" s="1" a="1"/>
  <c r="AV4" i="39" s="1"/>
  <c r="AQ104" i="39"/>
  <c r="AC3" i="39"/>
  <c r="AD105" i="39"/>
  <c r="AN126" i="39"/>
  <c r="AQ112" i="39"/>
  <c r="AW112" i="39"/>
  <c r="U126" i="39"/>
  <c r="E126" i="39"/>
  <c r="G60" i="61" l="1"/>
  <c r="G30" i="61"/>
  <c r="AK19" i="3"/>
  <c r="F90" i="63"/>
  <c r="E91" i="63"/>
  <c r="E65" i="63"/>
  <c r="F64" i="63"/>
  <c r="M66" i="63"/>
  <c r="G66" i="63" s="1"/>
  <c r="L67" i="63"/>
  <c r="L93" i="63"/>
  <c r="M92" i="63"/>
  <c r="G92" i="63" s="1"/>
  <c r="M61" i="61"/>
  <c r="L62" i="61"/>
  <c r="F61" i="61"/>
  <c r="E62" i="61"/>
  <c r="M87" i="61"/>
  <c r="G87" i="61" s="1"/>
  <c r="L88" i="61"/>
  <c r="E88" i="61"/>
  <c r="F87" i="61"/>
  <c r="F33" i="53"/>
  <c r="E34" i="53"/>
  <c r="F48" i="55"/>
  <c r="E49" i="55"/>
  <c r="M48" i="55"/>
  <c r="G48" i="55" s="1"/>
  <c r="L49" i="55"/>
  <c r="M34" i="53"/>
  <c r="L35" i="53"/>
  <c r="M31" i="50"/>
  <c r="L32" i="50"/>
  <c r="G18" i="47"/>
  <c r="M32" i="48"/>
  <c r="L33" i="48"/>
  <c r="E32" i="48"/>
  <c r="F31" i="48"/>
  <c r="G7" i="46"/>
  <c r="AZ52" i="41"/>
  <c r="AW52" i="41"/>
  <c r="AW104" i="41"/>
  <c r="AC105" i="41"/>
  <c r="AC126" i="41" s="1"/>
  <c r="AD126" i="41"/>
  <c r="P19" i="3"/>
  <c r="AH19" i="3" s="1"/>
  <c r="AV104" i="41"/>
  <c r="AL68" i="38"/>
  <c r="AZ48" i="41"/>
  <c r="F19" i="3"/>
  <c r="AO105" i="41"/>
  <c r="AO126" i="41" s="1"/>
  <c r="F25" i="47"/>
  <c r="E26" i="47"/>
  <c r="M25" i="47"/>
  <c r="L26" i="47"/>
  <c r="AD126" i="40"/>
  <c r="P18" i="3"/>
  <c r="AH18" i="3" s="1"/>
  <c r="F18" i="3"/>
  <c r="AK18" i="3"/>
  <c r="AX89" i="40"/>
  <c r="AW89" i="40"/>
  <c r="AZ73" i="40"/>
  <c r="AW73" i="40"/>
  <c r="AZ87" i="40"/>
  <c r="AW87" i="40"/>
  <c r="AZ88" i="40"/>
  <c r="AW88" i="40"/>
  <c r="AZ94" i="40"/>
  <c r="AW94" i="40"/>
  <c r="AX84" i="40"/>
  <c r="AZ85" i="40"/>
  <c r="AW85" i="40"/>
  <c r="AX85" i="40"/>
  <c r="AL105" i="43"/>
  <c r="AL126" i="43" s="1"/>
  <c r="AX73" i="40"/>
  <c r="AX83" i="40"/>
  <c r="AC105" i="40"/>
  <c r="AC126" i="40" s="1"/>
  <c r="AX94" i="40"/>
  <c r="AX99" i="40"/>
  <c r="AV104" i="40"/>
  <c r="AX88" i="40"/>
  <c r="AX82" i="40"/>
  <c r="AX87" i="40"/>
  <c r="AX104" i="40" s="1"/>
  <c r="AL79" i="38"/>
  <c r="AZ82" i="40"/>
  <c r="AL81" i="38"/>
  <c r="AL89" i="38"/>
  <c r="AL73" i="38"/>
  <c r="AL83" i="38"/>
  <c r="AL99" i="38"/>
  <c r="AL97" i="38"/>
  <c r="AL87" i="38"/>
  <c r="E17" i="46"/>
  <c r="F16" i="46"/>
  <c r="L17" i="46"/>
  <c r="M16" i="46"/>
  <c r="AD126" i="39"/>
  <c r="P17" i="3"/>
  <c r="E7" i="45"/>
  <c r="F6" i="45"/>
  <c r="M5" i="45"/>
  <c r="G5" i="45" s="1"/>
  <c r="L6" i="45"/>
  <c r="D105" i="44"/>
  <c r="E4" i="44"/>
  <c r="L5" i="44"/>
  <c r="M4" i="44"/>
  <c r="AX104" i="41"/>
  <c r="AZ3" i="41"/>
  <c r="AX3" i="41"/>
  <c r="AO126" i="40"/>
  <c r="AV3" i="40"/>
  <c r="AW3" i="40" s="1"/>
  <c r="AZ22" i="39"/>
  <c r="AX22" i="39"/>
  <c r="AZ30" i="39"/>
  <c r="AX30" i="39"/>
  <c r="AZ38" i="39"/>
  <c r="AX38" i="39"/>
  <c r="AZ46" i="39"/>
  <c r="AX46" i="39"/>
  <c r="AZ90" i="39"/>
  <c r="AX90" i="39"/>
  <c r="AZ23" i="39"/>
  <c r="AX23" i="39"/>
  <c r="AZ8" i="39"/>
  <c r="AX8" i="39"/>
  <c r="AW8" i="39"/>
  <c r="AZ40" i="39"/>
  <c r="AX40" i="39"/>
  <c r="AZ48" i="39"/>
  <c r="AX48" i="39"/>
  <c r="AW48" i="39"/>
  <c r="AZ84" i="39"/>
  <c r="AX84" i="39"/>
  <c r="AZ92" i="39"/>
  <c r="AX92" i="39"/>
  <c r="AZ15" i="39"/>
  <c r="AX15" i="39"/>
  <c r="AW15" i="39"/>
  <c r="AZ83" i="39"/>
  <c r="AX83" i="39"/>
  <c r="AW83" i="39"/>
  <c r="AZ33" i="39"/>
  <c r="AX33" i="39"/>
  <c r="AW33" i="39"/>
  <c r="AZ49" i="39"/>
  <c r="AX49" i="39"/>
  <c r="AW49" i="39"/>
  <c r="AZ69" i="39"/>
  <c r="AX69" i="39"/>
  <c r="AZ77" i="39"/>
  <c r="AX77" i="39"/>
  <c r="AZ93" i="39"/>
  <c r="AX93" i="39"/>
  <c r="AZ101" i="39"/>
  <c r="AX101" i="39"/>
  <c r="AV104" i="39"/>
  <c r="AZ7" i="39"/>
  <c r="AX7" i="39"/>
  <c r="AW7" i="39"/>
  <c r="AZ10" i="39"/>
  <c r="AX10" i="39"/>
  <c r="AW10" i="39"/>
  <c r="AZ34" i="39"/>
  <c r="AX34" i="39"/>
  <c r="AW34" i="39"/>
  <c r="AZ42" i="39"/>
  <c r="AX42" i="39"/>
  <c r="AZ50" i="39"/>
  <c r="AX50" i="39"/>
  <c r="AW50" i="39"/>
  <c r="AZ70" i="39"/>
  <c r="AX70" i="39"/>
  <c r="AW70" i="39"/>
  <c r="AZ78" i="39"/>
  <c r="AX78" i="39"/>
  <c r="AW78" i="39"/>
  <c r="AZ35" i="39"/>
  <c r="AX35" i="39"/>
  <c r="AZ79" i="39"/>
  <c r="AX79" i="39"/>
  <c r="AZ12" i="39"/>
  <c r="AX12" i="39"/>
  <c r="AW12" i="39"/>
  <c r="AZ36" i="39"/>
  <c r="AX36" i="39"/>
  <c r="AZ28" i="39"/>
  <c r="AX28" i="39"/>
  <c r="AW28" i="39"/>
  <c r="AZ64" i="39"/>
  <c r="AX64" i="39"/>
  <c r="AZ80" i="39"/>
  <c r="AX80" i="39"/>
  <c r="AW80" i="39"/>
  <c r="AZ88" i="39"/>
  <c r="AX88" i="39"/>
  <c r="AW88" i="39"/>
  <c r="AZ95" i="39"/>
  <c r="AX95" i="39"/>
  <c r="AZ21" i="39"/>
  <c r="AX21" i="39"/>
  <c r="AZ61" i="39"/>
  <c r="AX61" i="39"/>
  <c r="AZ37" i="39"/>
  <c r="AX37" i="39"/>
  <c r="AW37" i="39"/>
  <c r="AZ45" i="39"/>
  <c r="AX45" i="39"/>
  <c r="AW45" i="39"/>
  <c r="AZ58" i="39"/>
  <c r="AX58" i="39"/>
  <c r="AZ62" i="39"/>
  <c r="AX62" i="39"/>
  <c r="AZ86" i="39"/>
  <c r="AX86" i="39"/>
  <c r="AW86" i="39"/>
  <c r="AC124" i="39"/>
  <c r="AX5" i="39"/>
  <c r="AZ5" i="39"/>
  <c r="AW5" i="39"/>
  <c r="AZ11" i="39"/>
  <c r="AX11" i="39"/>
  <c r="AW11" i="39"/>
  <c r="AZ19" i="39"/>
  <c r="AX19" i="39"/>
  <c r="AZ27" i="39"/>
  <c r="AX27" i="39"/>
  <c r="AZ43" i="39"/>
  <c r="AX43" i="39"/>
  <c r="AW43" i="39"/>
  <c r="AZ51" i="39"/>
  <c r="AX51" i="39"/>
  <c r="AZ59" i="39"/>
  <c r="AX59" i="39"/>
  <c r="AZ63" i="39"/>
  <c r="AX63" i="39"/>
  <c r="AZ71" i="39"/>
  <c r="AX71" i="39"/>
  <c r="AW71" i="39"/>
  <c r="AZ87" i="39"/>
  <c r="AX87" i="39"/>
  <c r="AZ103" i="39"/>
  <c r="AX103" i="39"/>
  <c r="AZ96" i="39"/>
  <c r="AX96" i="39"/>
  <c r="AL124" i="39"/>
  <c r="AZ73" i="39"/>
  <c r="AX73" i="39"/>
  <c r="AZ81" i="39"/>
  <c r="AX81" i="39"/>
  <c r="AW81" i="39"/>
  <c r="AZ89" i="39"/>
  <c r="AX89" i="39"/>
  <c r="AW89" i="39"/>
  <c r="AZ97" i="39"/>
  <c r="AX97" i="39"/>
  <c r="AW87" i="39"/>
  <c r="AZ24" i="39"/>
  <c r="AX24" i="39"/>
  <c r="AZ44" i="39"/>
  <c r="AX44" i="39"/>
  <c r="AZ29" i="39"/>
  <c r="AX29" i="39"/>
  <c r="AZ53" i="39"/>
  <c r="AX53" i="39"/>
  <c r="AZ6" i="39"/>
  <c r="AX6" i="39"/>
  <c r="AW6" i="39"/>
  <c r="AZ66" i="39"/>
  <c r="AX66" i="39"/>
  <c r="AZ74" i="39"/>
  <c r="AX74" i="39"/>
  <c r="AZ82" i="39"/>
  <c r="AX82" i="39"/>
  <c r="AZ98" i="39"/>
  <c r="AX98" i="39"/>
  <c r="AZ72" i="39"/>
  <c r="AX72" i="39"/>
  <c r="AZ13" i="39"/>
  <c r="AX13" i="39"/>
  <c r="AW13" i="39"/>
  <c r="AZ65" i="39"/>
  <c r="AX65" i="39"/>
  <c r="AZ14" i="39"/>
  <c r="AX14" i="39"/>
  <c r="AW14" i="39"/>
  <c r="AC105" i="39"/>
  <c r="AZ39" i="39"/>
  <c r="AX39" i="39"/>
  <c r="AZ67" i="39"/>
  <c r="AX67" i="39"/>
  <c r="AZ99" i="39"/>
  <c r="AX99" i="39"/>
  <c r="AZ55" i="39"/>
  <c r="AX55" i="39"/>
  <c r="AZ75" i="39"/>
  <c r="AX75" i="39"/>
  <c r="AZ91" i="39"/>
  <c r="AX91" i="39"/>
  <c r="AW51" i="39"/>
  <c r="AZ16" i="39"/>
  <c r="AX16" i="39"/>
  <c r="AZ100" i="39"/>
  <c r="AX100" i="39"/>
  <c r="AZ20" i="39"/>
  <c r="AX20" i="39"/>
  <c r="AZ52" i="39"/>
  <c r="AX52" i="39"/>
  <c r="AZ54" i="39"/>
  <c r="AX54" i="39"/>
  <c r="AW54" i="39"/>
  <c r="AO124" i="39"/>
  <c r="AC113" i="39"/>
  <c r="AZ31" i="39"/>
  <c r="AX31" i="39"/>
  <c r="AZ47" i="39"/>
  <c r="AX47" i="39"/>
  <c r="AW47" i="39"/>
  <c r="AZ32" i="39"/>
  <c r="AX32" i="39"/>
  <c r="AZ56" i="39"/>
  <c r="AX56" i="39"/>
  <c r="AW56" i="39"/>
  <c r="AZ68" i="39"/>
  <c r="AX68" i="39"/>
  <c r="AZ76" i="39"/>
  <c r="AX76" i="39"/>
  <c r="AW76" i="39"/>
  <c r="AW44" i="39"/>
  <c r="AZ17" i="39"/>
  <c r="AX17" i="39"/>
  <c r="AZ25" i="39"/>
  <c r="AX25" i="39"/>
  <c r="AZ41" i="39"/>
  <c r="AX41" i="39"/>
  <c r="AZ57" i="39"/>
  <c r="AX57" i="39"/>
  <c r="AL113" i="39"/>
  <c r="AZ85" i="39"/>
  <c r="AX85" i="39"/>
  <c r="AL105" i="39"/>
  <c r="S17" i="3" s="1"/>
  <c r="S45" i="3" s="1"/>
  <c r="AO3" i="39"/>
  <c r="AZ60" i="39"/>
  <c r="AX60" i="39"/>
  <c r="AZ9" i="39"/>
  <c r="AX9" i="39"/>
  <c r="AW9" i="39"/>
  <c r="AX4" i="39"/>
  <c r="AZ4" i="39"/>
  <c r="AW4" i="39"/>
  <c r="AZ18" i="39"/>
  <c r="AX18" i="39"/>
  <c r="AZ26" i="39"/>
  <c r="AX26" i="39"/>
  <c r="AZ94" i="39"/>
  <c r="AX94" i="39"/>
  <c r="AZ102" i="39"/>
  <c r="AX102" i="39"/>
  <c r="J4" i="37"/>
  <c r="J7" i="37"/>
  <c r="J9" i="37"/>
  <c r="J5" i="37"/>
  <c r="J15" i="37"/>
  <c r="J8" i="37"/>
  <c r="J6" i="37"/>
  <c r="J16" i="37"/>
  <c r="J14" i="37"/>
  <c r="J13" i="37"/>
  <c r="J19" i="37"/>
  <c r="J22" i="37"/>
  <c r="J12" i="37"/>
  <c r="J24" i="37"/>
  <c r="J18" i="37"/>
  <c r="J71" i="37"/>
  <c r="J72" i="37"/>
  <c r="J73" i="37"/>
  <c r="J50" i="37"/>
  <c r="J74" i="37"/>
  <c r="J75" i="37"/>
  <c r="J38" i="37"/>
  <c r="J20" i="37"/>
  <c r="J28" i="37"/>
  <c r="J11" i="37"/>
  <c r="J47" i="37"/>
  <c r="J48" i="37"/>
  <c r="J51" i="37"/>
  <c r="J62" i="37"/>
  <c r="J30" i="37"/>
  <c r="J29" i="37"/>
  <c r="J76" i="37"/>
  <c r="J77" i="37"/>
  <c r="J36" i="37"/>
  <c r="J78" i="37"/>
  <c r="J33" i="37"/>
  <c r="J79" i="37"/>
  <c r="J63" i="37"/>
  <c r="J52" i="37"/>
  <c r="J39" i="37"/>
  <c r="J27" i="37"/>
  <c r="J17" i="37"/>
  <c r="J80" i="37"/>
  <c r="J25" i="37"/>
  <c r="J23" i="37"/>
  <c r="J21" i="37"/>
  <c r="J26" i="37"/>
  <c r="J34" i="37"/>
  <c r="J81" i="37"/>
  <c r="J53" i="37"/>
  <c r="J40" i="37"/>
  <c r="J82" i="37"/>
  <c r="J54" i="37"/>
  <c r="J83" i="37"/>
  <c r="J35" i="37"/>
  <c r="J84" i="37"/>
  <c r="J55" i="37"/>
  <c r="J85" i="37"/>
  <c r="J86" i="37"/>
  <c r="J87" i="37"/>
  <c r="J88" i="37"/>
  <c r="J89" i="37"/>
  <c r="J90" i="37"/>
  <c r="J42" i="37"/>
  <c r="J91" i="37"/>
  <c r="J92" i="37"/>
  <c r="J56" i="37"/>
  <c r="J45" i="37"/>
  <c r="J43" i="37"/>
  <c r="J41" i="37"/>
  <c r="J64" i="37"/>
  <c r="J65" i="37"/>
  <c r="J66" i="37"/>
  <c r="J93" i="37"/>
  <c r="J46" i="37"/>
  <c r="J67" i="37"/>
  <c r="J44" i="37"/>
  <c r="J31" i="37"/>
  <c r="J68" i="37"/>
  <c r="J57" i="37"/>
  <c r="J94" i="37"/>
  <c r="J95" i="37"/>
  <c r="J58" i="37"/>
  <c r="J49" i="37"/>
  <c r="J32" i="37"/>
  <c r="J37" i="37"/>
  <c r="J96" i="37"/>
  <c r="J59" i="37"/>
  <c r="J97" i="37"/>
  <c r="J98" i="37"/>
  <c r="J69" i="37"/>
  <c r="J70" i="37"/>
  <c r="J99" i="37"/>
  <c r="J100" i="37"/>
  <c r="J60" i="37"/>
  <c r="J101" i="37"/>
  <c r="J102" i="37"/>
  <c r="J61" i="37"/>
  <c r="J103" i="37"/>
  <c r="J104" i="37"/>
  <c r="J10" i="37"/>
  <c r="J4" i="36"/>
  <c r="J7" i="36"/>
  <c r="J10" i="36"/>
  <c r="J5" i="36"/>
  <c r="J16" i="36"/>
  <c r="J8" i="36"/>
  <c r="J6" i="36"/>
  <c r="J15" i="36"/>
  <c r="J14" i="36"/>
  <c r="J9" i="36"/>
  <c r="J19" i="36"/>
  <c r="J22" i="36"/>
  <c r="J12" i="36"/>
  <c r="J24" i="36"/>
  <c r="J17" i="36"/>
  <c r="J49" i="36"/>
  <c r="J50" i="36"/>
  <c r="J51" i="36"/>
  <c r="J52" i="36"/>
  <c r="J53" i="36"/>
  <c r="J54" i="36"/>
  <c r="J55" i="36"/>
  <c r="J20" i="36"/>
  <c r="J28" i="36"/>
  <c r="J13" i="36"/>
  <c r="J56" i="36"/>
  <c r="J57" i="36"/>
  <c r="J58" i="36"/>
  <c r="J59" i="36"/>
  <c r="J36" i="36"/>
  <c r="J33" i="36"/>
  <c r="J60" i="36"/>
  <c r="J61" i="36"/>
  <c r="J30" i="36"/>
  <c r="J62" i="36"/>
  <c r="J42" i="36"/>
  <c r="J63" i="36"/>
  <c r="J43" i="36"/>
  <c r="J64" i="36"/>
  <c r="J37" i="36"/>
  <c r="J25" i="36"/>
  <c r="J18" i="36"/>
  <c r="J65" i="36"/>
  <c r="J26" i="36"/>
  <c r="J23" i="36"/>
  <c r="J21" i="36"/>
  <c r="J27" i="36"/>
  <c r="J38" i="36"/>
  <c r="J66" i="36"/>
  <c r="J67" i="36"/>
  <c r="J34" i="36"/>
  <c r="J68" i="36"/>
  <c r="J44" i="36"/>
  <c r="J69" i="36"/>
  <c r="J45" i="36"/>
  <c r="J70" i="36"/>
  <c r="J71" i="36"/>
  <c r="J72" i="36"/>
  <c r="J73" i="36"/>
  <c r="J74" i="36"/>
  <c r="J75" i="36"/>
  <c r="J76" i="36"/>
  <c r="J77" i="36"/>
  <c r="J78" i="36"/>
  <c r="J79" i="36"/>
  <c r="J80" i="36"/>
  <c r="J46" i="36"/>
  <c r="J31" i="36"/>
  <c r="J81" i="36"/>
  <c r="J82" i="36"/>
  <c r="J83" i="36"/>
  <c r="J84" i="36"/>
  <c r="J104" i="36"/>
  <c r="J85" i="36"/>
  <c r="J39" i="36"/>
  <c r="J86" i="36"/>
  <c r="J35" i="36"/>
  <c r="J29" i="36"/>
  <c r="J87" i="36"/>
  <c r="J40" i="36"/>
  <c r="J88" i="36"/>
  <c r="J89" i="36"/>
  <c r="J47" i="36"/>
  <c r="J48" i="36"/>
  <c r="J32" i="36"/>
  <c r="J41" i="36"/>
  <c r="J90" i="36"/>
  <c r="J91" i="36"/>
  <c r="J92" i="36"/>
  <c r="J93" i="36"/>
  <c r="J94" i="36"/>
  <c r="J95" i="36"/>
  <c r="J96" i="36"/>
  <c r="J97" i="36"/>
  <c r="J98" i="36"/>
  <c r="J99" i="36"/>
  <c r="J100" i="36"/>
  <c r="J101" i="36"/>
  <c r="J102" i="36"/>
  <c r="J103" i="36"/>
  <c r="J11" i="36"/>
  <c r="C4" i="36"/>
  <c r="C6" i="36"/>
  <c r="C10" i="36"/>
  <c r="C5" i="36"/>
  <c r="C16" i="36"/>
  <c r="C7" i="36"/>
  <c r="C9" i="36"/>
  <c r="C12" i="36"/>
  <c r="C13" i="36"/>
  <c r="C8" i="36"/>
  <c r="C18" i="36"/>
  <c r="C20" i="36"/>
  <c r="C11" i="36"/>
  <c r="C21" i="36"/>
  <c r="C14" i="36"/>
  <c r="C43" i="36"/>
  <c r="C44" i="36"/>
  <c r="C80" i="36"/>
  <c r="C45" i="36"/>
  <c r="C46" i="36"/>
  <c r="C47" i="36"/>
  <c r="C48" i="36"/>
  <c r="C104" i="36"/>
  <c r="C41" i="36"/>
  <c r="C17" i="36"/>
  <c r="C49" i="36"/>
  <c r="C85" i="36"/>
  <c r="C50" i="36"/>
  <c r="C51" i="36"/>
  <c r="C27" i="36"/>
  <c r="C40" i="36"/>
  <c r="C52" i="36"/>
  <c r="C53" i="36"/>
  <c r="C28" i="36"/>
  <c r="C73" i="36"/>
  <c r="C94" i="36"/>
  <c r="C84" i="36"/>
  <c r="C37" i="36"/>
  <c r="C87" i="36"/>
  <c r="C103" i="36"/>
  <c r="C25" i="36"/>
  <c r="C22" i="36"/>
  <c r="C54" i="36"/>
  <c r="C23" i="36"/>
  <c r="C24" i="36"/>
  <c r="C19" i="36"/>
  <c r="C26" i="36"/>
  <c r="C34" i="36"/>
  <c r="C92" i="36"/>
  <c r="C88" i="36"/>
  <c r="C32" i="36"/>
  <c r="C82" i="36"/>
  <c r="C38" i="36"/>
  <c r="C55" i="36"/>
  <c r="C102" i="36"/>
  <c r="C56" i="36"/>
  <c r="C91" i="36"/>
  <c r="C83" i="36"/>
  <c r="C57" i="36"/>
  <c r="C58" i="36"/>
  <c r="C59" i="36"/>
  <c r="C60" i="36"/>
  <c r="C69" i="36"/>
  <c r="C81" i="36"/>
  <c r="C61" i="36"/>
  <c r="C71" i="36"/>
  <c r="C39" i="36"/>
  <c r="C42" i="36"/>
  <c r="C96" i="36"/>
  <c r="C95" i="36"/>
  <c r="C62" i="36"/>
  <c r="C86" i="36"/>
  <c r="C100" i="36"/>
  <c r="C89" i="36"/>
  <c r="C35" i="36"/>
  <c r="C93" i="36"/>
  <c r="C33" i="36"/>
  <c r="C99" i="36"/>
  <c r="C75" i="36"/>
  <c r="C30" i="36"/>
  <c r="C76" i="36"/>
  <c r="C97" i="36"/>
  <c r="C36" i="36"/>
  <c r="C101" i="36"/>
  <c r="C31" i="36"/>
  <c r="C29" i="36"/>
  <c r="C78" i="36"/>
  <c r="C98" i="36"/>
  <c r="C90" i="36"/>
  <c r="C74" i="36"/>
  <c r="C63" i="36"/>
  <c r="C64" i="36"/>
  <c r="C65" i="36"/>
  <c r="C70" i="36"/>
  <c r="C72" i="36"/>
  <c r="C66" i="36"/>
  <c r="C79" i="36"/>
  <c r="C67" i="36"/>
  <c r="C77" i="36"/>
  <c r="C68" i="36"/>
  <c r="C15" i="36"/>
  <c r="AO125" i="38"/>
  <c r="AO125" i="35"/>
  <c r="AG125" i="38"/>
  <c r="Q16" i="3"/>
  <c r="F16" i="3" s="1"/>
  <c r="AG126" i="35"/>
  <c r="AG125" i="35"/>
  <c r="AG126" i="31"/>
  <c r="AB108" i="31"/>
  <c r="AB109" i="31"/>
  <c r="AB110" i="31"/>
  <c r="AB111" i="31"/>
  <c r="AB116" i="31"/>
  <c r="AB117" i="31"/>
  <c r="AB118" i="31"/>
  <c r="AB119" i="31"/>
  <c r="AB120" i="31"/>
  <c r="AB121" i="31"/>
  <c r="AB122" i="31"/>
  <c r="AB115" i="31"/>
  <c r="AB107" i="31"/>
  <c r="AB4" i="31"/>
  <c r="AB5" i="31"/>
  <c r="AB6" i="31"/>
  <c r="AB7" i="31"/>
  <c r="AB8" i="31"/>
  <c r="AB9" i="31"/>
  <c r="AB10" i="31"/>
  <c r="AB11" i="31"/>
  <c r="AB12" i="31"/>
  <c r="AB13" i="31"/>
  <c r="AB14" i="31"/>
  <c r="AB15" i="31"/>
  <c r="AB16" i="31"/>
  <c r="AB17" i="31"/>
  <c r="AB18" i="31"/>
  <c r="AB19" i="31"/>
  <c r="AB20" i="31"/>
  <c r="AB21" i="31"/>
  <c r="AB22" i="31"/>
  <c r="AB23" i="31"/>
  <c r="AB24" i="31"/>
  <c r="AB25" i="31"/>
  <c r="AB26" i="31"/>
  <c r="AB27" i="31"/>
  <c r="AB28" i="31"/>
  <c r="AB29" i="31"/>
  <c r="AB30" i="31"/>
  <c r="AB31" i="31"/>
  <c r="AB32" i="31"/>
  <c r="AB33" i="31"/>
  <c r="AB34" i="31"/>
  <c r="AB35" i="31"/>
  <c r="AB36" i="31"/>
  <c r="AB37" i="31"/>
  <c r="AB38" i="31"/>
  <c r="AB39" i="31"/>
  <c r="AB40" i="31"/>
  <c r="AB41" i="31"/>
  <c r="AB42" i="31"/>
  <c r="AB43" i="31"/>
  <c r="AB44" i="31"/>
  <c r="AB45" i="31"/>
  <c r="AB46" i="31"/>
  <c r="AB47" i="31"/>
  <c r="AB48" i="31"/>
  <c r="AB49" i="31"/>
  <c r="AB50" i="31"/>
  <c r="AB51" i="31"/>
  <c r="AB52" i="31"/>
  <c r="AB53" i="31"/>
  <c r="AB54" i="31"/>
  <c r="AB55" i="31"/>
  <c r="AB56" i="31"/>
  <c r="AB57" i="31"/>
  <c r="AB58" i="31"/>
  <c r="AB59" i="31"/>
  <c r="AB60" i="31"/>
  <c r="AB61" i="31"/>
  <c r="AB62" i="31"/>
  <c r="AB63" i="31"/>
  <c r="AB64" i="31"/>
  <c r="AB65" i="31"/>
  <c r="AB66" i="31"/>
  <c r="AB67" i="31"/>
  <c r="AB68" i="31"/>
  <c r="AB69" i="31"/>
  <c r="AB70" i="31"/>
  <c r="AB71" i="31"/>
  <c r="AB72" i="31"/>
  <c r="AB73" i="31"/>
  <c r="AB74" i="31"/>
  <c r="AB75" i="31"/>
  <c r="AB76" i="31"/>
  <c r="AB77" i="31"/>
  <c r="AB78" i="31"/>
  <c r="AB79" i="31"/>
  <c r="AB80" i="31"/>
  <c r="AB81" i="31"/>
  <c r="AB82" i="31"/>
  <c r="AB83" i="31"/>
  <c r="AB84" i="31"/>
  <c r="AB85" i="31"/>
  <c r="AB86" i="31"/>
  <c r="AB87" i="31"/>
  <c r="AB88" i="31"/>
  <c r="AB89" i="31"/>
  <c r="AB90" i="31"/>
  <c r="AB91" i="31"/>
  <c r="AB92" i="31"/>
  <c r="AB93" i="31"/>
  <c r="AB94" i="31"/>
  <c r="AB95" i="31"/>
  <c r="AB96" i="31"/>
  <c r="AB97" i="31"/>
  <c r="AB98" i="31"/>
  <c r="AB99" i="31"/>
  <c r="AB100" i="31"/>
  <c r="AB101" i="31"/>
  <c r="AB102" i="31"/>
  <c r="AB103" i="31"/>
  <c r="G61" i="61" l="1"/>
  <c r="G31" i="61"/>
  <c r="M93" i="63"/>
  <c r="G93" i="63" s="1"/>
  <c r="L94" i="63"/>
  <c r="L99" i="63"/>
  <c r="L68" i="63"/>
  <c r="M67" i="63"/>
  <c r="G67" i="63" s="1"/>
  <c r="F65" i="63"/>
  <c r="E66" i="63"/>
  <c r="F91" i="63"/>
  <c r="E92" i="63"/>
  <c r="F88" i="61"/>
  <c r="E89" i="61"/>
  <c r="M88" i="61"/>
  <c r="L89" i="61"/>
  <c r="E63" i="61"/>
  <c r="F62" i="61"/>
  <c r="M62" i="61"/>
  <c r="L63" i="61"/>
  <c r="F34" i="53"/>
  <c r="E35" i="53"/>
  <c r="AE17" i="3"/>
  <c r="L76" i="55"/>
  <c r="M49" i="55"/>
  <c r="G49" i="55" s="1"/>
  <c r="L50" i="55"/>
  <c r="E50" i="55"/>
  <c r="E76" i="55"/>
  <c r="F49" i="55"/>
  <c r="AE18" i="3"/>
  <c r="AE19" i="3"/>
  <c r="L36" i="53"/>
  <c r="L39" i="53"/>
  <c r="M35" i="53"/>
  <c r="M32" i="50"/>
  <c r="L33" i="50"/>
  <c r="E33" i="48"/>
  <c r="F32" i="48"/>
  <c r="M33" i="48"/>
  <c r="L34" i="48"/>
  <c r="AZ105" i="41"/>
  <c r="AZ126" i="41" s="1"/>
  <c r="M26" i="47"/>
  <c r="L27" i="47"/>
  <c r="E27" i="47"/>
  <c r="F26" i="47"/>
  <c r="AW104" i="40"/>
  <c r="AL105" i="38"/>
  <c r="AL126" i="38" s="1"/>
  <c r="AH17" i="3"/>
  <c r="AE16" i="3"/>
  <c r="M17" i="46"/>
  <c r="L18" i="46"/>
  <c r="F17" i="46"/>
  <c r="E18" i="46"/>
  <c r="F17" i="3"/>
  <c r="M6" i="45"/>
  <c r="L7" i="45"/>
  <c r="E8" i="45"/>
  <c r="F7" i="45"/>
  <c r="L6" i="44"/>
  <c r="M5" i="44"/>
  <c r="G5" i="44" s="1"/>
  <c r="E5" i="44"/>
  <c r="F4" i="44"/>
  <c r="AZ3" i="40"/>
  <c r="AZ105" i="40" s="1"/>
  <c r="AZ126" i="40" s="1"/>
  <c r="AX3" i="40"/>
  <c r="AC126" i="39"/>
  <c r="AO105" i="39"/>
  <c r="AV3" i="39"/>
  <c r="AZ124" i="39"/>
  <c r="AX123" i="39"/>
  <c r="AV123" i="39"/>
  <c r="AW104" i="39"/>
  <c r="AX104" i="39"/>
  <c r="AO113" i="39"/>
  <c r="U100" i="31"/>
  <c r="AD100" i="31" s="1"/>
  <c r="X99" i="31"/>
  <c r="AA103" i="31"/>
  <c r="AF103" i="31" s="1"/>
  <c r="U101" i="31"/>
  <c r="AD101" i="31" s="1"/>
  <c r="X103" i="31"/>
  <c r="U103" i="31"/>
  <c r="AD103" i="31" s="1"/>
  <c r="X102" i="31"/>
  <c r="AA101" i="31"/>
  <c r="AF101" i="31" s="1"/>
  <c r="X100" i="31"/>
  <c r="AA102" i="31"/>
  <c r="AF102" i="31" s="1"/>
  <c r="U99" i="31"/>
  <c r="AD99" i="31" s="1"/>
  <c r="U102" i="31"/>
  <c r="AD102" i="31" s="1"/>
  <c r="X101" i="31"/>
  <c r="AA100" i="31"/>
  <c r="AF100" i="31" s="1"/>
  <c r="AA99" i="31"/>
  <c r="AF99" i="31" s="1"/>
  <c r="G88" i="61" l="1"/>
  <c r="G77" i="61"/>
  <c r="G62" i="61"/>
  <c r="G32" i="61"/>
  <c r="L100" i="63"/>
  <c r="M100" i="63" s="1"/>
  <c r="G100" i="63" s="1"/>
  <c r="M94" i="63"/>
  <c r="G94" i="63" s="1"/>
  <c r="L95" i="63"/>
  <c r="F92" i="63"/>
  <c r="E93" i="63"/>
  <c r="F66" i="63"/>
  <c r="E67" i="63"/>
  <c r="L69" i="63"/>
  <c r="M68" i="63"/>
  <c r="G68" i="63" s="1"/>
  <c r="L105" i="63"/>
  <c r="M105" i="63" s="1"/>
  <c r="M99" i="63"/>
  <c r="G99" i="63" s="1"/>
  <c r="E64" i="61"/>
  <c r="F63" i="61"/>
  <c r="M89" i="61"/>
  <c r="L90" i="61"/>
  <c r="F89" i="61"/>
  <c r="E90" i="61"/>
  <c r="M63" i="61"/>
  <c r="L64" i="61"/>
  <c r="E39" i="53"/>
  <c r="E36" i="53"/>
  <c r="F35" i="53"/>
  <c r="F76" i="55"/>
  <c r="E77" i="55"/>
  <c r="E51" i="55"/>
  <c r="F50" i="55"/>
  <c r="M50" i="55"/>
  <c r="G50" i="55" s="1"/>
  <c r="L51" i="55"/>
  <c r="M76" i="55"/>
  <c r="G76" i="55" s="1"/>
  <c r="L77" i="55"/>
  <c r="G21" i="48"/>
  <c r="L40" i="53"/>
  <c r="M39" i="53"/>
  <c r="L37" i="53"/>
  <c r="M36" i="53"/>
  <c r="L34" i="50"/>
  <c r="M33" i="50"/>
  <c r="L35" i="48"/>
  <c r="M34" i="48"/>
  <c r="G34" i="48" s="1"/>
  <c r="F33" i="48"/>
  <c r="E34" i="48"/>
  <c r="G17" i="46"/>
  <c r="G15" i="46"/>
  <c r="E28" i="47"/>
  <c r="F27" i="47"/>
  <c r="L28" i="47"/>
  <c r="M27" i="47"/>
  <c r="G27" i="47" s="1"/>
  <c r="F18" i="46"/>
  <c r="E19" i="46"/>
  <c r="M18" i="46"/>
  <c r="L19" i="46"/>
  <c r="F8" i="45"/>
  <c r="E9" i="45"/>
  <c r="M7" i="45"/>
  <c r="L8" i="45"/>
  <c r="E6" i="44"/>
  <c r="F5" i="44"/>
  <c r="L7" i="44"/>
  <c r="M6" i="44"/>
  <c r="AX3" i="39"/>
  <c r="AZ3" i="39"/>
  <c r="AZ105" i="39" s="1"/>
  <c r="AZ126" i="39" s="1"/>
  <c r="AW3" i="39"/>
  <c r="AZ113" i="39"/>
  <c r="AV112" i="39"/>
  <c r="AX112" i="39"/>
  <c r="AO126" i="39"/>
  <c r="X49" i="31"/>
  <c r="AA49" i="31"/>
  <c r="U50" i="31"/>
  <c r="AD50" i="31" s="1"/>
  <c r="X50" i="31"/>
  <c r="U51" i="31"/>
  <c r="AD51" i="31" s="1"/>
  <c r="X52" i="31"/>
  <c r="U60" i="31"/>
  <c r="AD60" i="31" s="1"/>
  <c r="AA62" i="31"/>
  <c r="AF62" i="31" s="1"/>
  <c r="X63" i="31"/>
  <c r="U64" i="31"/>
  <c r="AD64" i="31" s="1"/>
  <c r="AA66" i="31"/>
  <c r="AF66" i="31" s="1"/>
  <c r="X67" i="31"/>
  <c r="U68" i="31"/>
  <c r="AD68" i="31" s="1"/>
  <c r="AA70" i="31"/>
  <c r="X71" i="31"/>
  <c r="U72" i="31"/>
  <c r="AD72" i="31" s="1"/>
  <c r="G81" i="61" l="1"/>
  <c r="G63" i="61"/>
  <c r="G33" i="61"/>
  <c r="M69" i="63"/>
  <c r="G69" i="63" s="1"/>
  <c r="L70" i="63"/>
  <c r="F67" i="63"/>
  <c r="E68" i="63"/>
  <c r="E99" i="63"/>
  <c r="F93" i="63"/>
  <c r="E94" i="63"/>
  <c r="L101" i="63"/>
  <c r="M101" i="63" s="1"/>
  <c r="G101" i="63" s="1"/>
  <c r="M95" i="63"/>
  <c r="G95" i="63" s="1"/>
  <c r="L96" i="63"/>
  <c r="F90" i="61"/>
  <c r="E91" i="61"/>
  <c r="L91" i="61"/>
  <c r="M90" i="61"/>
  <c r="M64" i="61"/>
  <c r="L65" i="61"/>
  <c r="E65" i="61"/>
  <c r="F64" i="61"/>
  <c r="F36" i="53"/>
  <c r="E37" i="53"/>
  <c r="E40" i="53"/>
  <c r="F39" i="53"/>
  <c r="L78" i="55"/>
  <c r="M77" i="55"/>
  <c r="L52" i="55"/>
  <c r="M51" i="55"/>
  <c r="G51" i="55" s="1"/>
  <c r="F51" i="55"/>
  <c r="E52" i="55"/>
  <c r="F77" i="55"/>
  <c r="E78" i="55"/>
  <c r="M37" i="53"/>
  <c r="L38" i="53"/>
  <c r="M38" i="53" s="1"/>
  <c r="M40" i="53"/>
  <c r="G40" i="53" s="1"/>
  <c r="L41" i="53"/>
  <c r="L35" i="50"/>
  <c r="M34" i="50"/>
  <c r="F34" i="48"/>
  <c r="E35" i="48"/>
  <c r="L36" i="48"/>
  <c r="L39" i="48"/>
  <c r="M35" i="48"/>
  <c r="G16" i="46"/>
  <c r="M28" i="47"/>
  <c r="L29" i="47"/>
  <c r="F28" i="47"/>
  <c r="E29" i="47"/>
  <c r="L20" i="46"/>
  <c r="M19" i="46"/>
  <c r="G19" i="46" s="1"/>
  <c r="E20" i="46"/>
  <c r="F19" i="46"/>
  <c r="M8" i="45"/>
  <c r="G8" i="45" s="1"/>
  <c r="L9" i="45"/>
  <c r="F9" i="45"/>
  <c r="E10" i="45"/>
  <c r="L8" i="44"/>
  <c r="M7" i="44"/>
  <c r="G6" i="44" s="1"/>
  <c r="E7" i="44"/>
  <c r="F6" i="44"/>
  <c r="U54" i="31"/>
  <c r="AD54" i="31" s="1"/>
  <c r="U62" i="31"/>
  <c r="AD62" i="31" s="1"/>
  <c r="X59" i="31"/>
  <c r="U56" i="31"/>
  <c r="AD56" i="31" s="1"/>
  <c r="AA54" i="31"/>
  <c r="U52" i="31"/>
  <c r="AD52" i="31" s="1"/>
  <c r="X51" i="31"/>
  <c r="U67" i="31"/>
  <c r="AD67" i="31" s="1"/>
  <c r="U63" i="31"/>
  <c r="AD63" i="31" s="1"/>
  <c r="U59" i="31"/>
  <c r="AD59" i="31" s="1"/>
  <c r="X58" i="31"/>
  <c r="AA57" i="31"/>
  <c r="AF57" i="31" s="1"/>
  <c r="X54" i="31"/>
  <c r="AA53" i="31"/>
  <c r="AF53" i="31" s="1"/>
  <c r="U74" i="31"/>
  <c r="AD74" i="31" s="1"/>
  <c r="X73" i="31"/>
  <c r="AA72" i="31"/>
  <c r="AF72" i="31" s="1"/>
  <c r="X57" i="31"/>
  <c r="U49" i="31"/>
  <c r="AD49" i="31" s="1"/>
  <c r="AF70" i="31"/>
  <c r="AF54" i="31"/>
  <c r="U71" i="31"/>
  <c r="AD71" i="31" s="1"/>
  <c r="AA69" i="31"/>
  <c r="AF69" i="31" s="1"/>
  <c r="AA61" i="31"/>
  <c r="AF61" i="31" s="1"/>
  <c r="AA56" i="31"/>
  <c r="AF56" i="31" s="1"/>
  <c r="AA58" i="31"/>
  <c r="AF58" i="31" s="1"/>
  <c r="X55" i="31"/>
  <c r="AA50" i="31"/>
  <c r="AF50" i="31" s="1"/>
  <c r="AA74" i="31"/>
  <c r="AF74" i="31" s="1"/>
  <c r="X62" i="31"/>
  <c r="U55" i="31"/>
  <c r="AD55" i="31" s="1"/>
  <c r="X74" i="31"/>
  <c r="AA73" i="31"/>
  <c r="AF73" i="31" s="1"/>
  <c r="X70" i="31"/>
  <c r="X66" i="31"/>
  <c r="AA65" i="31"/>
  <c r="AF65" i="31" s="1"/>
  <c r="AF49" i="31"/>
  <c r="U58" i="31"/>
  <c r="AD58" i="31" s="1"/>
  <c r="X53" i="31"/>
  <c r="U70" i="31"/>
  <c r="AD70" i="31" s="1"/>
  <c r="X69" i="31"/>
  <c r="AA68" i="31"/>
  <c r="AF68" i="31" s="1"/>
  <c r="U66" i="31"/>
  <c r="AD66" i="31" s="1"/>
  <c r="X65" i="31"/>
  <c r="AA64" i="31"/>
  <c r="AF64" i="31" s="1"/>
  <c r="X61" i="31"/>
  <c r="AA60" i="31"/>
  <c r="AF60" i="31" s="1"/>
  <c r="AA52" i="31"/>
  <c r="AF52" i="31" s="1"/>
  <c r="U73" i="31"/>
  <c r="AD73" i="31" s="1"/>
  <c r="X72" i="31"/>
  <c r="AA71" i="31"/>
  <c r="AF71" i="31" s="1"/>
  <c r="U69" i="31"/>
  <c r="AD69" i="31" s="1"/>
  <c r="X68" i="31"/>
  <c r="AA67" i="31"/>
  <c r="AF67" i="31" s="1"/>
  <c r="U65" i="31"/>
  <c r="AD65" i="31" s="1"/>
  <c r="X64" i="31"/>
  <c r="AA63" i="31"/>
  <c r="AF63" i="31" s="1"/>
  <c r="U61" i="31"/>
  <c r="AD61" i="31" s="1"/>
  <c r="X60" i="31"/>
  <c r="AA59" i="31"/>
  <c r="AF59" i="31" s="1"/>
  <c r="U57" i="31"/>
  <c r="AD57" i="31" s="1"/>
  <c r="X56" i="31"/>
  <c r="AA55" i="31"/>
  <c r="AF55" i="31" s="1"/>
  <c r="U53" i="31"/>
  <c r="AD53" i="31" s="1"/>
  <c r="AA51" i="31"/>
  <c r="AF51" i="31" s="1"/>
  <c r="U89" i="31"/>
  <c r="AD89" i="31" s="1"/>
  <c r="X89" i="31"/>
  <c r="AA89" i="31"/>
  <c r="U90" i="31"/>
  <c r="AD90" i="31" s="1"/>
  <c r="X90" i="31"/>
  <c r="AA90" i="31"/>
  <c r="AF90" i="31" s="1"/>
  <c r="U91" i="31"/>
  <c r="AD91" i="31" s="1"/>
  <c r="X92" i="31"/>
  <c r="X37" i="31"/>
  <c r="AA39" i="31"/>
  <c r="G64" i="61" l="1"/>
  <c r="G36" i="61"/>
  <c r="G90" i="61"/>
  <c r="G82" i="61"/>
  <c r="E100" i="63"/>
  <c r="F100" i="63" s="1"/>
  <c r="F94" i="63"/>
  <c r="E95" i="63"/>
  <c r="E105" i="63"/>
  <c r="F105" i="63" s="1"/>
  <c r="F99" i="63"/>
  <c r="F68" i="63"/>
  <c r="E69" i="63"/>
  <c r="L102" i="63"/>
  <c r="M102" i="63" s="1"/>
  <c r="G102" i="63" s="1"/>
  <c r="M96" i="63"/>
  <c r="G96" i="63" s="1"/>
  <c r="L97" i="63"/>
  <c r="M70" i="63"/>
  <c r="G70" i="63" s="1"/>
  <c r="L71" i="63"/>
  <c r="F65" i="61"/>
  <c r="E66" i="61"/>
  <c r="M65" i="61"/>
  <c r="L66" i="61"/>
  <c r="L92" i="61"/>
  <c r="M91" i="61"/>
  <c r="F91" i="61"/>
  <c r="E92" i="61"/>
  <c r="G34" i="53"/>
  <c r="G28" i="53"/>
  <c r="E41" i="53"/>
  <c r="F40" i="53"/>
  <c r="E38" i="53"/>
  <c r="F38" i="53" s="1"/>
  <c r="F37" i="53"/>
  <c r="E79" i="55"/>
  <c r="F78" i="55"/>
  <c r="F52" i="55"/>
  <c r="E53" i="55"/>
  <c r="M52" i="55"/>
  <c r="L53" i="55"/>
  <c r="L79" i="55"/>
  <c r="M78" i="55"/>
  <c r="G78" i="55" s="1"/>
  <c r="M41" i="53"/>
  <c r="G41" i="53" s="1"/>
  <c r="L42" i="53"/>
  <c r="L36" i="50"/>
  <c r="L39" i="50"/>
  <c r="M35" i="50"/>
  <c r="M39" i="48"/>
  <c r="L40" i="48"/>
  <c r="L37" i="48"/>
  <c r="M36" i="48"/>
  <c r="E39" i="48"/>
  <c r="F35" i="48"/>
  <c r="E36" i="48"/>
  <c r="F29" i="47"/>
  <c r="E30" i="47"/>
  <c r="M29" i="47"/>
  <c r="G29" i="47" s="1"/>
  <c r="L30" i="47"/>
  <c r="E21" i="46"/>
  <c r="F20" i="46"/>
  <c r="L21" i="46"/>
  <c r="M20" i="46"/>
  <c r="F10" i="45"/>
  <c r="E11" i="45"/>
  <c r="L10" i="45"/>
  <c r="M9" i="45"/>
  <c r="E8" i="44"/>
  <c r="F7" i="44"/>
  <c r="M8" i="44"/>
  <c r="L9" i="44"/>
  <c r="AA40" i="31"/>
  <c r="AF40" i="31" s="1"/>
  <c r="X35" i="31"/>
  <c r="U92" i="31"/>
  <c r="AD92" i="31" s="1"/>
  <c r="U40" i="31"/>
  <c r="AD40" i="31" s="1"/>
  <c r="X38" i="31"/>
  <c r="U35" i="31"/>
  <c r="AD35" i="31" s="1"/>
  <c r="X93" i="31"/>
  <c r="U39" i="31"/>
  <c r="AD39" i="31" s="1"/>
  <c r="AA37" i="31"/>
  <c r="AF37" i="31" s="1"/>
  <c r="AA92" i="31"/>
  <c r="AF92" i="31" s="1"/>
  <c r="U93" i="31"/>
  <c r="AD93" i="31" s="1"/>
  <c r="U38" i="31"/>
  <c r="AD38" i="31" s="1"/>
  <c r="AA36" i="31"/>
  <c r="AF36" i="31" s="1"/>
  <c r="AA91" i="31"/>
  <c r="AF91" i="31" s="1"/>
  <c r="U37" i="31"/>
  <c r="AD37" i="31" s="1"/>
  <c r="X36" i="31"/>
  <c r="AA35" i="31"/>
  <c r="AF35" i="31" s="1"/>
  <c r="X91" i="31"/>
  <c r="U36" i="31"/>
  <c r="AD36" i="31" s="1"/>
  <c r="AA93" i="31"/>
  <c r="AF93" i="31" s="1"/>
  <c r="X40" i="31"/>
  <c r="AF89" i="31"/>
  <c r="AF39" i="31"/>
  <c r="AA38" i="31"/>
  <c r="AF38" i="31" s="1"/>
  <c r="X39" i="31"/>
  <c r="G83" i="61" l="1"/>
  <c r="G65" i="61"/>
  <c r="G37" i="61"/>
  <c r="F69" i="63"/>
  <c r="E70" i="63"/>
  <c r="M71" i="63"/>
  <c r="G71" i="63" s="1"/>
  <c r="L72" i="63"/>
  <c r="E96" i="63"/>
  <c r="E101" i="63"/>
  <c r="F101" i="63" s="1"/>
  <c r="F95" i="63"/>
  <c r="L103" i="63"/>
  <c r="M103" i="63" s="1"/>
  <c r="G103" i="63" s="1"/>
  <c r="M97" i="63"/>
  <c r="G97" i="63" s="1"/>
  <c r="L98" i="63"/>
  <c r="F92" i="61"/>
  <c r="E93" i="61"/>
  <c r="M92" i="61"/>
  <c r="L93" i="61"/>
  <c r="M66" i="61"/>
  <c r="L67" i="61"/>
  <c r="F66" i="61"/>
  <c r="E67" i="61"/>
  <c r="F41" i="53"/>
  <c r="E42" i="53"/>
  <c r="M79" i="55"/>
  <c r="G79" i="55" s="1"/>
  <c r="L80" i="55"/>
  <c r="F53" i="55"/>
  <c r="E54" i="55"/>
  <c r="L54" i="55"/>
  <c r="M53" i="55"/>
  <c r="G53" i="55" s="1"/>
  <c r="E80" i="55"/>
  <c r="F79" i="55"/>
  <c r="M42" i="53"/>
  <c r="L43" i="53"/>
  <c r="M39" i="50"/>
  <c r="L40" i="50"/>
  <c r="M36" i="50"/>
  <c r="L37" i="50"/>
  <c r="F36" i="48"/>
  <c r="E37" i="48"/>
  <c r="E40" i="48"/>
  <c r="F39" i="48"/>
  <c r="M37" i="48"/>
  <c r="L38" i="48"/>
  <c r="M38" i="48" s="1"/>
  <c r="M40" i="48"/>
  <c r="L41" i="48"/>
  <c r="F30" i="47"/>
  <c r="E31" i="47"/>
  <c r="L31" i="47"/>
  <c r="M30" i="47"/>
  <c r="M21" i="46"/>
  <c r="L22" i="46"/>
  <c r="F21" i="46"/>
  <c r="E22" i="46"/>
  <c r="L11" i="45"/>
  <c r="M10" i="45"/>
  <c r="F11" i="45"/>
  <c r="E12" i="45"/>
  <c r="M9" i="44"/>
  <c r="L10" i="44"/>
  <c r="E9" i="44"/>
  <c r="F8" i="44"/>
  <c r="U115" i="31"/>
  <c r="AD115" i="31" s="1"/>
  <c r="X115" i="31"/>
  <c r="AA115" i="31"/>
  <c r="AF115" i="31" s="1"/>
  <c r="U116" i="31"/>
  <c r="AD116" i="31" s="1"/>
  <c r="X116" i="31"/>
  <c r="AA116" i="31"/>
  <c r="AF116" i="31" s="1"/>
  <c r="U117" i="31"/>
  <c r="AD117" i="31" s="1"/>
  <c r="X117" i="31"/>
  <c r="AA117" i="31"/>
  <c r="AF117" i="31" s="1"/>
  <c r="U118" i="31"/>
  <c r="AD118" i="31" s="1"/>
  <c r="X118" i="31"/>
  <c r="AA118" i="31"/>
  <c r="AF118" i="31" s="1"/>
  <c r="U119" i="31"/>
  <c r="AD119" i="31" s="1"/>
  <c r="X119" i="31"/>
  <c r="AA119" i="31"/>
  <c r="AF119" i="31" s="1"/>
  <c r="U120" i="31"/>
  <c r="AD120" i="31" s="1"/>
  <c r="X120" i="31"/>
  <c r="AA120" i="31"/>
  <c r="AF120" i="31" s="1"/>
  <c r="U121" i="31"/>
  <c r="AD121" i="31" s="1"/>
  <c r="X121" i="31"/>
  <c r="AA121" i="31"/>
  <c r="AF121" i="31" s="1"/>
  <c r="U122" i="31"/>
  <c r="AD122" i="31" s="1"/>
  <c r="X122" i="31"/>
  <c r="AA122" i="31"/>
  <c r="AF122" i="31" s="1"/>
  <c r="U108" i="31"/>
  <c r="AD108" i="31" s="1"/>
  <c r="X108" i="31"/>
  <c r="AA108" i="31"/>
  <c r="AF108" i="31" s="1"/>
  <c r="U109" i="31"/>
  <c r="AD109" i="31" s="1"/>
  <c r="X109" i="31"/>
  <c r="AA109" i="31"/>
  <c r="AF109" i="31" s="1"/>
  <c r="U110" i="31"/>
  <c r="AD110" i="31" s="1"/>
  <c r="X110" i="31"/>
  <c r="AA110" i="31"/>
  <c r="AF110" i="31" s="1"/>
  <c r="U111" i="31"/>
  <c r="AD111" i="31" s="1"/>
  <c r="X111" i="31"/>
  <c r="AA111" i="31"/>
  <c r="AF111" i="31" s="1"/>
  <c r="AA107" i="31"/>
  <c r="AF107" i="31" s="1"/>
  <c r="X107" i="31"/>
  <c r="U107" i="31"/>
  <c r="AD107" i="31" s="1"/>
  <c r="U4" i="31"/>
  <c r="AD4" i="31" s="1"/>
  <c r="X4" i="31"/>
  <c r="AA4" i="31"/>
  <c r="AF4" i="31" s="1"/>
  <c r="U5" i="31"/>
  <c r="AD5" i="31" s="1"/>
  <c r="X5" i="31"/>
  <c r="AA5" i="31"/>
  <c r="AF5" i="31" s="1"/>
  <c r="U6" i="31"/>
  <c r="AD6" i="31" s="1"/>
  <c r="X6" i="31"/>
  <c r="AA6" i="31"/>
  <c r="U7" i="31"/>
  <c r="AD7" i="31" s="1"/>
  <c r="X7" i="31"/>
  <c r="AA7" i="31"/>
  <c r="U8" i="31"/>
  <c r="AD8" i="31" s="1"/>
  <c r="X8" i="31"/>
  <c r="AA8" i="31"/>
  <c r="U9" i="31"/>
  <c r="AD9" i="31" s="1"/>
  <c r="X9" i="31"/>
  <c r="AA9" i="31"/>
  <c r="AF9" i="31" s="1"/>
  <c r="U10" i="31"/>
  <c r="AD10" i="31" s="1"/>
  <c r="X10" i="31"/>
  <c r="AA10" i="31"/>
  <c r="U11" i="31"/>
  <c r="AD11" i="31" s="1"/>
  <c r="X11" i="31"/>
  <c r="AA11" i="31"/>
  <c r="AF11" i="31" s="1"/>
  <c r="U12" i="31"/>
  <c r="AD12" i="31" s="1"/>
  <c r="X12" i="31"/>
  <c r="AA12" i="31"/>
  <c r="AF12" i="31" s="1"/>
  <c r="U13" i="31"/>
  <c r="AD13" i="31" s="1"/>
  <c r="X13" i="31"/>
  <c r="AA13" i="31"/>
  <c r="AF13" i="31" s="1"/>
  <c r="U14" i="31"/>
  <c r="AD14" i="31" s="1"/>
  <c r="X14" i="31"/>
  <c r="AA14" i="31"/>
  <c r="U15" i="31"/>
  <c r="AD15" i="31" s="1"/>
  <c r="X15" i="31"/>
  <c r="AA15" i="31"/>
  <c r="U16" i="31"/>
  <c r="AD16" i="31" s="1"/>
  <c r="X16" i="31"/>
  <c r="AA16" i="31"/>
  <c r="U17" i="31"/>
  <c r="AD17" i="31" s="1"/>
  <c r="X17" i="31"/>
  <c r="AA17" i="31"/>
  <c r="AF17" i="31" s="1"/>
  <c r="U18" i="31"/>
  <c r="AD18" i="31" s="1"/>
  <c r="X18" i="31"/>
  <c r="AA18" i="31"/>
  <c r="U19" i="31"/>
  <c r="AD19" i="31" s="1"/>
  <c r="X19" i="31"/>
  <c r="AA19" i="31"/>
  <c r="AF19" i="31" s="1"/>
  <c r="U20" i="31"/>
  <c r="AD20" i="31" s="1"/>
  <c r="X20" i="31"/>
  <c r="AA20" i="31"/>
  <c r="AF20" i="31" s="1"/>
  <c r="U21" i="31"/>
  <c r="AD21" i="31" s="1"/>
  <c r="X21" i="31"/>
  <c r="AA21" i="31"/>
  <c r="AF21" i="31" s="1"/>
  <c r="U22" i="31"/>
  <c r="AD22" i="31" s="1"/>
  <c r="X22" i="31"/>
  <c r="AA22" i="31"/>
  <c r="AF22" i="31" s="1"/>
  <c r="U23" i="31"/>
  <c r="AD23" i="31" s="1"/>
  <c r="X23" i="31"/>
  <c r="AA23" i="31"/>
  <c r="AF23" i="31" s="1"/>
  <c r="U24" i="31"/>
  <c r="AD24" i="31" s="1"/>
  <c r="X24" i="31"/>
  <c r="AA24" i="31"/>
  <c r="AF24" i="31" s="1"/>
  <c r="U25" i="31"/>
  <c r="AD25" i="31" s="1"/>
  <c r="X25" i="31"/>
  <c r="AA25" i="31"/>
  <c r="AF25" i="31" s="1"/>
  <c r="U26" i="31"/>
  <c r="AD26" i="31" s="1"/>
  <c r="X26" i="31"/>
  <c r="AA26" i="31"/>
  <c r="U27" i="31"/>
  <c r="AD27" i="31" s="1"/>
  <c r="X27" i="31"/>
  <c r="AA27" i="31"/>
  <c r="AF27" i="31" s="1"/>
  <c r="U28" i="31"/>
  <c r="AD28" i="31" s="1"/>
  <c r="X28" i="31"/>
  <c r="AA28" i="31"/>
  <c r="AF28" i="31" s="1"/>
  <c r="U29" i="31"/>
  <c r="AD29" i="31" s="1"/>
  <c r="X29" i="31"/>
  <c r="AA29" i="31"/>
  <c r="AF29" i="31" s="1"/>
  <c r="U30" i="31"/>
  <c r="AD30" i="31" s="1"/>
  <c r="X30" i="31"/>
  <c r="AA30" i="31"/>
  <c r="AF30" i="31" s="1"/>
  <c r="U31" i="31"/>
  <c r="AD31" i="31" s="1"/>
  <c r="X31" i="31"/>
  <c r="AA31" i="31"/>
  <c r="AF31" i="31" s="1"/>
  <c r="U32" i="31"/>
  <c r="AD32" i="31" s="1"/>
  <c r="X32" i="31"/>
  <c r="AA32" i="31"/>
  <c r="AF32" i="31" s="1"/>
  <c r="U33" i="31"/>
  <c r="AD33" i="31" s="1"/>
  <c r="X33" i="31"/>
  <c r="AA33" i="31"/>
  <c r="AF33" i="31" s="1"/>
  <c r="U34" i="31"/>
  <c r="AD34" i="31" s="1"/>
  <c r="X34" i="31"/>
  <c r="AA34" i="31"/>
  <c r="U41" i="31"/>
  <c r="AD41" i="31" s="1"/>
  <c r="X41" i="31"/>
  <c r="AA41" i="31"/>
  <c r="U42" i="31"/>
  <c r="AD42" i="31" s="1"/>
  <c r="X42" i="31"/>
  <c r="AA42" i="31"/>
  <c r="AF42" i="31" s="1"/>
  <c r="U43" i="31"/>
  <c r="AD43" i="31" s="1"/>
  <c r="X43" i="31"/>
  <c r="AA43" i="31"/>
  <c r="U44" i="31"/>
  <c r="AD44" i="31" s="1"/>
  <c r="X44" i="31"/>
  <c r="AA44" i="31"/>
  <c r="AF44" i="31" s="1"/>
  <c r="U45" i="31"/>
  <c r="AD45" i="31" s="1"/>
  <c r="X45" i="31"/>
  <c r="AA45" i="31"/>
  <c r="AF45" i="31" s="1"/>
  <c r="U46" i="31"/>
  <c r="AD46" i="31" s="1"/>
  <c r="X46" i="31"/>
  <c r="AA46" i="31"/>
  <c r="AF46" i="31" s="1"/>
  <c r="U47" i="31"/>
  <c r="AD47" i="31" s="1"/>
  <c r="X47" i="31"/>
  <c r="AA47" i="31"/>
  <c r="U48" i="31"/>
  <c r="AD48" i="31" s="1"/>
  <c r="X48" i="31"/>
  <c r="AA48" i="31"/>
  <c r="U75" i="31"/>
  <c r="AD75" i="31" s="1"/>
  <c r="X75" i="31"/>
  <c r="AA75" i="31"/>
  <c r="AF75" i="31" s="1"/>
  <c r="U76" i="31"/>
  <c r="AD76" i="31" s="1"/>
  <c r="X76" i="31"/>
  <c r="AA76" i="31"/>
  <c r="U77" i="31"/>
  <c r="AD77" i="31" s="1"/>
  <c r="X77" i="31"/>
  <c r="AA77" i="31"/>
  <c r="AF77" i="31" s="1"/>
  <c r="U78" i="31"/>
  <c r="AD78" i="31" s="1"/>
  <c r="X78" i="31"/>
  <c r="AA78" i="31"/>
  <c r="AF78" i="31" s="1"/>
  <c r="U79" i="31"/>
  <c r="AD79" i="31" s="1"/>
  <c r="X79" i="31"/>
  <c r="AA79" i="31"/>
  <c r="AF79" i="31" s="1"/>
  <c r="U80" i="31"/>
  <c r="AD80" i="31" s="1"/>
  <c r="X80" i="31"/>
  <c r="AA80" i="31"/>
  <c r="AF80" i="31" s="1"/>
  <c r="U81" i="31"/>
  <c r="AD81" i="31" s="1"/>
  <c r="X81" i="31"/>
  <c r="AA81" i="31"/>
  <c r="U82" i="31"/>
  <c r="AD82" i="31" s="1"/>
  <c r="X82" i="31"/>
  <c r="AA82" i="31"/>
  <c r="AF82" i="31" s="1"/>
  <c r="U83" i="31"/>
  <c r="AD83" i="31" s="1"/>
  <c r="X83" i="31"/>
  <c r="AA83" i="31"/>
  <c r="U84" i="31"/>
  <c r="AD84" i="31" s="1"/>
  <c r="X84" i="31"/>
  <c r="AA84" i="31"/>
  <c r="AF84" i="31" s="1"/>
  <c r="U85" i="31"/>
  <c r="AD85" i="31" s="1"/>
  <c r="X85" i="31"/>
  <c r="AA85" i="31"/>
  <c r="AF85" i="31" s="1"/>
  <c r="U86" i="31"/>
  <c r="AD86" i="31" s="1"/>
  <c r="X86" i="31"/>
  <c r="AA86" i="31"/>
  <c r="AF86" i="31" s="1"/>
  <c r="U87" i="31"/>
  <c r="AD87" i="31" s="1"/>
  <c r="X87" i="31"/>
  <c r="AA87" i="31"/>
  <c r="AF87" i="31" s="1"/>
  <c r="U88" i="31"/>
  <c r="AD88" i="31" s="1"/>
  <c r="X88" i="31"/>
  <c r="AA88" i="31"/>
  <c r="AF88" i="31" s="1"/>
  <c r="U94" i="31"/>
  <c r="AD94" i="31" s="1"/>
  <c r="X94" i="31"/>
  <c r="AA94" i="31"/>
  <c r="AF94" i="31" s="1"/>
  <c r="U95" i="31"/>
  <c r="AD95" i="31" s="1"/>
  <c r="X95" i="31"/>
  <c r="AA95" i="31"/>
  <c r="AF95" i="31" s="1"/>
  <c r="U96" i="31"/>
  <c r="AD96" i="31" s="1"/>
  <c r="X96" i="31"/>
  <c r="AA96" i="31"/>
  <c r="AF96" i="31" s="1"/>
  <c r="U97" i="31"/>
  <c r="AD97" i="31" s="1"/>
  <c r="X97" i="31"/>
  <c r="AA97" i="31"/>
  <c r="AF97" i="31" s="1"/>
  <c r="U98" i="31"/>
  <c r="AD98" i="31" s="1"/>
  <c r="X98" i="31"/>
  <c r="AA98" i="31"/>
  <c r="AF98" i="31" s="1"/>
  <c r="G66" i="61" l="1"/>
  <c r="G38" i="61"/>
  <c r="G92" i="61"/>
  <c r="G84" i="61"/>
  <c r="E97" i="63"/>
  <c r="F96" i="63"/>
  <c r="E102" i="63"/>
  <c r="F102" i="63" s="1"/>
  <c r="M72" i="63"/>
  <c r="G72" i="63" s="1"/>
  <c r="L73" i="63"/>
  <c r="L104" i="63"/>
  <c r="M104" i="63" s="1"/>
  <c r="G104" i="63" s="1"/>
  <c r="M98" i="63"/>
  <c r="G98" i="63" s="1"/>
  <c r="F70" i="63"/>
  <c r="E71" i="63"/>
  <c r="F67" i="61"/>
  <c r="E68" i="61"/>
  <c r="L68" i="61"/>
  <c r="M67" i="61"/>
  <c r="M93" i="61"/>
  <c r="L94" i="61"/>
  <c r="L99" i="61"/>
  <c r="E99" i="61"/>
  <c r="F93" i="61"/>
  <c r="E94" i="61"/>
  <c r="E43" i="53"/>
  <c r="F42" i="53"/>
  <c r="F80" i="55"/>
  <c r="E81" i="55"/>
  <c r="L55" i="55"/>
  <c r="M54" i="55"/>
  <c r="F54" i="55"/>
  <c r="E55" i="55"/>
  <c r="M80" i="55"/>
  <c r="G80" i="55" s="1"/>
  <c r="L81" i="55"/>
  <c r="L44" i="53"/>
  <c r="M43" i="53"/>
  <c r="M37" i="50"/>
  <c r="L38" i="50"/>
  <c r="M38" i="50" s="1"/>
  <c r="M40" i="50"/>
  <c r="G40" i="50" s="1"/>
  <c r="L41" i="50"/>
  <c r="M41" i="48"/>
  <c r="L42" i="48"/>
  <c r="F40" i="48"/>
  <c r="E41" i="48"/>
  <c r="F37" i="48"/>
  <c r="E38" i="48"/>
  <c r="F38" i="48" s="1"/>
  <c r="L32" i="47"/>
  <c r="M31" i="47"/>
  <c r="E32" i="47"/>
  <c r="F31" i="47"/>
  <c r="G10" i="45"/>
  <c r="G6" i="45"/>
  <c r="F22" i="46"/>
  <c r="E23" i="46"/>
  <c r="M22" i="46"/>
  <c r="L23" i="46"/>
  <c r="F12" i="45"/>
  <c r="E13" i="45"/>
  <c r="L12" i="45"/>
  <c r="M11" i="45"/>
  <c r="G8" i="44"/>
  <c r="E10" i="44"/>
  <c r="F9" i="44"/>
  <c r="M10" i="44"/>
  <c r="L11" i="44"/>
  <c r="AF43" i="31"/>
  <c r="AF34" i="31"/>
  <c r="AF26" i="31"/>
  <c r="AF48" i="31"/>
  <c r="AF7" i="31"/>
  <c r="AF76" i="31"/>
  <c r="AF81" i="31"/>
  <c r="AF47" i="31"/>
  <c r="AF14" i="31"/>
  <c r="AF6" i="31"/>
  <c r="AF15" i="31"/>
  <c r="AF83" i="31"/>
  <c r="AF41" i="31"/>
  <c r="AF18" i="31"/>
  <c r="AF16" i="31"/>
  <c r="AF10" i="31"/>
  <c r="AF8" i="31"/>
  <c r="G93" i="61" l="1"/>
  <c r="G86" i="61"/>
  <c r="G67" i="61"/>
  <c r="G39" i="61"/>
  <c r="M73" i="63"/>
  <c r="G73" i="63" s="1"/>
  <c r="L74" i="63"/>
  <c r="E72" i="63"/>
  <c r="F71" i="63"/>
  <c r="F97" i="63"/>
  <c r="E98" i="63"/>
  <c r="E103" i="63"/>
  <c r="F103" i="63" s="1"/>
  <c r="G54" i="55"/>
  <c r="G20" i="55"/>
  <c r="L105" i="61"/>
  <c r="M105" i="61" s="1"/>
  <c r="M99" i="61"/>
  <c r="G99" i="61" s="1"/>
  <c r="L69" i="61"/>
  <c r="M68" i="61"/>
  <c r="L100" i="61"/>
  <c r="M100" i="61" s="1"/>
  <c r="M94" i="61"/>
  <c r="L95" i="61"/>
  <c r="E100" i="61"/>
  <c r="F100" i="61" s="1"/>
  <c r="E95" i="61"/>
  <c r="F94" i="61"/>
  <c r="F68" i="61"/>
  <c r="E69" i="61"/>
  <c r="E105" i="61"/>
  <c r="F105" i="61" s="1"/>
  <c r="F99" i="61"/>
  <c r="F43" i="53"/>
  <c r="E44" i="53"/>
  <c r="M55" i="55"/>
  <c r="L56" i="55"/>
  <c r="F55" i="55"/>
  <c r="E56" i="55"/>
  <c r="E82" i="55"/>
  <c r="F81" i="55"/>
  <c r="M81" i="55"/>
  <c r="G81" i="55" s="1"/>
  <c r="L82" i="55"/>
  <c r="G28" i="48"/>
  <c r="L45" i="53"/>
  <c r="M44" i="53"/>
  <c r="L42" i="50"/>
  <c r="M41" i="50"/>
  <c r="G41" i="50" s="1"/>
  <c r="F41" i="48"/>
  <c r="E42" i="48"/>
  <c r="L43" i="48"/>
  <c r="M42" i="48"/>
  <c r="E33" i="47"/>
  <c r="F32" i="47"/>
  <c r="M32" i="47"/>
  <c r="L33" i="47"/>
  <c r="G11" i="45"/>
  <c r="G4" i="45"/>
  <c r="L24" i="46"/>
  <c r="M23" i="46"/>
  <c r="E24" i="46"/>
  <c r="F23" i="46"/>
  <c r="F13" i="45"/>
  <c r="E14" i="45"/>
  <c r="M12" i="45"/>
  <c r="L13" i="45"/>
  <c r="M11" i="44"/>
  <c r="G10" i="44" s="1"/>
  <c r="L12" i="44"/>
  <c r="E11" i="44"/>
  <c r="F10" i="44"/>
  <c r="Q108" i="31"/>
  <c r="R108" i="31"/>
  <c r="Q109" i="31"/>
  <c r="R109" i="31"/>
  <c r="Q110" i="31"/>
  <c r="R110" i="31"/>
  <c r="Q111" i="31"/>
  <c r="R111" i="31"/>
  <c r="Q116" i="31"/>
  <c r="R116" i="31"/>
  <c r="Q117" i="31"/>
  <c r="R117" i="31"/>
  <c r="Q118" i="31"/>
  <c r="R118" i="31"/>
  <c r="Q119" i="31"/>
  <c r="R119" i="31"/>
  <c r="Q120" i="31"/>
  <c r="R120" i="31"/>
  <c r="Q121" i="31"/>
  <c r="R121" i="31"/>
  <c r="Q122" i="31"/>
  <c r="R122" i="31"/>
  <c r="R115" i="31"/>
  <c r="Q115" i="31"/>
  <c r="R107" i="31"/>
  <c r="Q107" i="31"/>
  <c r="Q4" i="31"/>
  <c r="R4" i="31"/>
  <c r="Q5" i="31"/>
  <c r="R5" i="31"/>
  <c r="Q6" i="31"/>
  <c r="R6" i="31"/>
  <c r="Q7" i="31"/>
  <c r="R7" i="31"/>
  <c r="Q8" i="31"/>
  <c r="R8" i="31"/>
  <c r="Q9" i="31"/>
  <c r="R9" i="31"/>
  <c r="Q10" i="31"/>
  <c r="R10" i="31"/>
  <c r="Q11" i="31"/>
  <c r="R11" i="31"/>
  <c r="Q12" i="31"/>
  <c r="R12" i="31"/>
  <c r="Q13" i="31"/>
  <c r="R13" i="31"/>
  <c r="Q14" i="31"/>
  <c r="R14" i="31"/>
  <c r="Q15" i="31"/>
  <c r="R15" i="31"/>
  <c r="Q16" i="31"/>
  <c r="R16" i="31"/>
  <c r="Q17" i="31"/>
  <c r="R17" i="31"/>
  <c r="Q18" i="31"/>
  <c r="R18" i="31"/>
  <c r="Q19" i="31"/>
  <c r="R19" i="31"/>
  <c r="Q20" i="31"/>
  <c r="R20" i="31"/>
  <c r="Q21" i="31"/>
  <c r="R21" i="31"/>
  <c r="Q22" i="31"/>
  <c r="R22" i="31"/>
  <c r="Q23" i="31"/>
  <c r="R23" i="31"/>
  <c r="Q24" i="31"/>
  <c r="R24" i="31"/>
  <c r="Q25" i="31"/>
  <c r="R25" i="31"/>
  <c r="Q26" i="31"/>
  <c r="R26" i="31"/>
  <c r="Q27" i="31"/>
  <c r="R27" i="31"/>
  <c r="Q28" i="31"/>
  <c r="R28" i="31"/>
  <c r="Q29" i="31"/>
  <c r="R29" i="31"/>
  <c r="Q30" i="31"/>
  <c r="R30" i="31"/>
  <c r="Q31" i="31"/>
  <c r="R31" i="31"/>
  <c r="Q32" i="31"/>
  <c r="R32" i="31"/>
  <c r="Q33" i="31"/>
  <c r="R33" i="31"/>
  <c r="Q34" i="31"/>
  <c r="R34" i="31"/>
  <c r="Q35" i="31"/>
  <c r="R35" i="31"/>
  <c r="Q36" i="31"/>
  <c r="R36" i="31"/>
  <c r="Q37" i="31"/>
  <c r="R37" i="31"/>
  <c r="Q38" i="31"/>
  <c r="R38" i="31"/>
  <c r="Q39" i="31"/>
  <c r="R39" i="31"/>
  <c r="Q40" i="31"/>
  <c r="R40" i="31"/>
  <c r="Q41" i="31"/>
  <c r="R41" i="31"/>
  <c r="Q42" i="31"/>
  <c r="R42" i="31"/>
  <c r="Q43" i="31"/>
  <c r="R43" i="31"/>
  <c r="Q44" i="31"/>
  <c r="R44" i="31"/>
  <c r="Q45" i="31"/>
  <c r="R45" i="31"/>
  <c r="Q46" i="31"/>
  <c r="R46" i="31"/>
  <c r="Q47" i="31"/>
  <c r="R47" i="31"/>
  <c r="Q48" i="31"/>
  <c r="R48" i="31"/>
  <c r="Q49" i="31"/>
  <c r="R49" i="31"/>
  <c r="Q50" i="31"/>
  <c r="R50" i="31"/>
  <c r="Q51" i="31"/>
  <c r="R51" i="31"/>
  <c r="Q52" i="31"/>
  <c r="R52" i="31"/>
  <c r="Q53" i="31"/>
  <c r="R53" i="31"/>
  <c r="Q54" i="31"/>
  <c r="R54" i="31"/>
  <c r="Q55" i="31"/>
  <c r="R55" i="31"/>
  <c r="Q56" i="31"/>
  <c r="R56" i="31"/>
  <c r="Q57" i="31"/>
  <c r="R57" i="31"/>
  <c r="Q58" i="31"/>
  <c r="R58" i="31"/>
  <c r="Q59" i="31"/>
  <c r="R59" i="31"/>
  <c r="Q60" i="31"/>
  <c r="R60" i="31"/>
  <c r="Q61" i="31"/>
  <c r="R61" i="31"/>
  <c r="Q62" i="31"/>
  <c r="R62" i="31"/>
  <c r="Q63" i="31"/>
  <c r="R63" i="31"/>
  <c r="Q64" i="31"/>
  <c r="R64" i="31"/>
  <c r="Q65" i="31"/>
  <c r="R65" i="31"/>
  <c r="Q66" i="31"/>
  <c r="R66" i="31"/>
  <c r="Q67" i="31"/>
  <c r="R67" i="31"/>
  <c r="Q68" i="31"/>
  <c r="R68" i="31"/>
  <c r="Q69" i="31"/>
  <c r="R69" i="31"/>
  <c r="Q70" i="31"/>
  <c r="R70" i="31"/>
  <c r="Q71" i="31"/>
  <c r="R71" i="31"/>
  <c r="Q72" i="31"/>
  <c r="R72" i="31"/>
  <c r="Q73" i="31"/>
  <c r="R73" i="31"/>
  <c r="Q74" i="31"/>
  <c r="R74" i="31"/>
  <c r="Q75" i="31"/>
  <c r="R75" i="31"/>
  <c r="Q76" i="31"/>
  <c r="R76" i="31"/>
  <c r="Q77" i="31"/>
  <c r="R77" i="31"/>
  <c r="Q78" i="31"/>
  <c r="R78" i="31"/>
  <c r="Q79" i="31"/>
  <c r="R79" i="31"/>
  <c r="Q80" i="31"/>
  <c r="R80" i="31"/>
  <c r="Q81" i="31"/>
  <c r="R81" i="31"/>
  <c r="Q82" i="31"/>
  <c r="R82" i="31"/>
  <c r="Q83" i="31"/>
  <c r="R83" i="31"/>
  <c r="Q84" i="31"/>
  <c r="R84" i="31"/>
  <c r="Q85" i="31"/>
  <c r="R85" i="31"/>
  <c r="Q86" i="31"/>
  <c r="R86" i="31"/>
  <c r="Q87" i="31"/>
  <c r="R87" i="31"/>
  <c r="Q88" i="31"/>
  <c r="R88" i="31"/>
  <c r="Q89" i="31"/>
  <c r="R89" i="31"/>
  <c r="Q90" i="31"/>
  <c r="R90" i="31"/>
  <c r="Q91" i="31"/>
  <c r="R91" i="31"/>
  <c r="Q92" i="31"/>
  <c r="R92" i="31"/>
  <c r="Q93" i="31"/>
  <c r="R93" i="31"/>
  <c r="Q94" i="31"/>
  <c r="R94" i="31"/>
  <c r="Q95" i="31"/>
  <c r="R95" i="31"/>
  <c r="Q96" i="31"/>
  <c r="R96" i="31"/>
  <c r="Q97" i="31"/>
  <c r="R97" i="31"/>
  <c r="Q98" i="31"/>
  <c r="R98" i="31"/>
  <c r="Q99" i="31"/>
  <c r="R99" i="31"/>
  <c r="Q100" i="31"/>
  <c r="R100" i="31"/>
  <c r="Q101" i="31"/>
  <c r="R101" i="31"/>
  <c r="Q102" i="31"/>
  <c r="R102" i="31"/>
  <c r="Q103" i="31"/>
  <c r="R103" i="31"/>
  <c r="F105" i="31"/>
  <c r="F126" i="31" s="1"/>
  <c r="G105" i="31"/>
  <c r="H105" i="31"/>
  <c r="F113" i="31"/>
  <c r="G113" i="31"/>
  <c r="H113" i="31"/>
  <c r="H124" i="31"/>
  <c r="F124" i="31"/>
  <c r="G124" i="31"/>
  <c r="J105" i="31"/>
  <c r="J126" i="31" s="1"/>
  <c r="I105" i="31"/>
  <c r="I126" i="31" s="1"/>
  <c r="I113" i="31"/>
  <c r="J113" i="31"/>
  <c r="I124" i="31"/>
  <c r="J124" i="31"/>
  <c r="Q3" i="31"/>
  <c r="G89" i="61" l="1"/>
  <c r="G100" i="61"/>
  <c r="G68" i="61"/>
  <c r="G43" i="61"/>
  <c r="E104" i="63"/>
  <c r="F104" i="63" s="1"/>
  <c r="F98" i="63"/>
  <c r="E73" i="63"/>
  <c r="F72" i="63"/>
  <c r="L75" i="63"/>
  <c r="M75" i="63" s="1"/>
  <c r="G75" i="63" s="1"/>
  <c r="M74" i="63"/>
  <c r="G74" i="63" s="1"/>
  <c r="G24" i="55"/>
  <c r="L101" i="61"/>
  <c r="M101" i="61" s="1"/>
  <c r="G101" i="61" s="1"/>
  <c r="M95" i="61"/>
  <c r="L96" i="61"/>
  <c r="F69" i="61"/>
  <c r="E70" i="61"/>
  <c r="M69" i="61"/>
  <c r="L70" i="61"/>
  <c r="E96" i="61"/>
  <c r="E101" i="61"/>
  <c r="F101" i="61" s="1"/>
  <c r="F95" i="61"/>
  <c r="F44" i="53"/>
  <c r="E45" i="53"/>
  <c r="L83" i="55"/>
  <c r="M82" i="55"/>
  <c r="G82" i="55" s="1"/>
  <c r="E83" i="55"/>
  <c r="F82" i="55"/>
  <c r="F56" i="55"/>
  <c r="E57" i="55"/>
  <c r="M56" i="55"/>
  <c r="L57" i="55"/>
  <c r="M45" i="53"/>
  <c r="L46" i="53"/>
  <c r="L43" i="50"/>
  <c r="M42" i="50"/>
  <c r="L44" i="48"/>
  <c r="M43" i="48"/>
  <c r="G43" i="48" s="1"/>
  <c r="F42" i="48"/>
  <c r="E43" i="48"/>
  <c r="M33" i="47"/>
  <c r="L34" i="47"/>
  <c r="F33" i="47"/>
  <c r="E34" i="47"/>
  <c r="E25" i="46"/>
  <c r="F24" i="46"/>
  <c r="L25" i="46"/>
  <c r="M24" i="46"/>
  <c r="M13" i="45"/>
  <c r="G13" i="45" s="1"/>
  <c r="L14" i="45"/>
  <c r="E15" i="45"/>
  <c r="F14" i="45"/>
  <c r="F11" i="44"/>
  <c r="E12" i="44"/>
  <c r="L13" i="44"/>
  <c r="M12" i="44"/>
  <c r="H126" i="31"/>
  <c r="G126" i="31"/>
  <c r="AG123" i="38"/>
  <c r="AG119" i="30"/>
  <c r="AG121" i="30"/>
  <c r="AL126" i="35"/>
  <c r="AM122" i="35"/>
  <c r="AM121" i="35"/>
  <c r="AM120" i="35"/>
  <c r="AM119" i="35"/>
  <c r="AM118" i="35"/>
  <c r="AM117" i="35"/>
  <c r="AM116" i="35"/>
  <c r="AM115" i="35"/>
  <c r="AM111" i="35"/>
  <c r="AM110" i="35"/>
  <c r="AM109" i="35"/>
  <c r="AM108" i="35"/>
  <c r="AM107" i="35"/>
  <c r="AK122" i="35"/>
  <c r="AK121" i="35"/>
  <c r="AK120" i="35"/>
  <c r="AK119" i="35"/>
  <c r="AK118" i="35"/>
  <c r="AK117" i="35"/>
  <c r="AK116" i="35"/>
  <c r="AK115" i="35"/>
  <c r="AK124" i="35" s="1"/>
  <c r="AK111" i="35"/>
  <c r="AK110" i="35"/>
  <c r="AK109" i="35"/>
  <c r="AK108" i="35"/>
  <c r="AK107" i="35"/>
  <c r="AK113" i="35" s="1"/>
  <c r="AJ122" i="35"/>
  <c r="AJ121" i="35"/>
  <c r="AJ120" i="35"/>
  <c r="AJ119" i="35"/>
  <c r="AJ118" i="35"/>
  <c r="AJ117" i="35"/>
  <c r="AJ116" i="35"/>
  <c r="AJ115" i="35"/>
  <c r="AJ124" i="35" s="1"/>
  <c r="AJ111" i="35"/>
  <c r="AJ110" i="35"/>
  <c r="AJ109" i="35"/>
  <c r="AJ108" i="35"/>
  <c r="AJ107" i="35"/>
  <c r="AJ113" i="35" s="1"/>
  <c r="AI122" i="35"/>
  <c r="AI121" i="35"/>
  <c r="AI120" i="35"/>
  <c r="AI119" i="35"/>
  <c r="AI118" i="35"/>
  <c r="AI117" i="35"/>
  <c r="AI116" i="35"/>
  <c r="AI115" i="35"/>
  <c r="AI115" i="38" s="1"/>
  <c r="AI111" i="35"/>
  <c r="AI110" i="35"/>
  <c r="AI109" i="35"/>
  <c r="AI108" i="35"/>
  <c r="AI107" i="35"/>
  <c r="AI113" i="35" s="1"/>
  <c r="AH122" i="35"/>
  <c r="AH121" i="35"/>
  <c r="AH120" i="35"/>
  <c r="AH119" i="35"/>
  <c r="AH118" i="35"/>
  <c r="AH117" i="35"/>
  <c r="AH124" i="35" s="1"/>
  <c r="AH116" i="35"/>
  <c r="AH115" i="35"/>
  <c r="AH111" i="35"/>
  <c r="AH110" i="35"/>
  <c r="AH109" i="35"/>
  <c r="AH108" i="35"/>
  <c r="AH107" i="35"/>
  <c r="AH113" i="35" s="1"/>
  <c r="AG122" i="35"/>
  <c r="AG121" i="35"/>
  <c r="AG120" i="35"/>
  <c r="AG119" i="35"/>
  <c r="AG118" i="35"/>
  <c r="AG117" i="35"/>
  <c r="AG117" i="38" s="1"/>
  <c r="AG116" i="35"/>
  <c r="AG115" i="35"/>
  <c r="AG111" i="35"/>
  <c r="AG110" i="35"/>
  <c r="AG109" i="35"/>
  <c r="AG108" i="35"/>
  <c r="AG107" i="35"/>
  <c r="AE122" i="35"/>
  <c r="AE121" i="35"/>
  <c r="AE120" i="35"/>
  <c r="AE119" i="35"/>
  <c r="AE118" i="35"/>
  <c r="AE117" i="35"/>
  <c r="AE116" i="35"/>
  <c r="AE115" i="35"/>
  <c r="AE111" i="35"/>
  <c r="AE110" i="35"/>
  <c r="AE109" i="35"/>
  <c r="AE108" i="35"/>
  <c r="AE107" i="35"/>
  <c r="Z122" i="35"/>
  <c r="Z121" i="35"/>
  <c r="Z120" i="35"/>
  <c r="Z120" i="38" s="1"/>
  <c r="Z119" i="35"/>
  <c r="Z118" i="35"/>
  <c r="Z117" i="35"/>
  <c r="Z116" i="35"/>
  <c r="Z115" i="35"/>
  <c r="Z115" i="38" s="1"/>
  <c r="Z111" i="35"/>
  <c r="Z110" i="35"/>
  <c r="Z109" i="35"/>
  <c r="Z108" i="35"/>
  <c r="Z107" i="35"/>
  <c r="Y122" i="35"/>
  <c r="Y121" i="35"/>
  <c r="Y120" i="35"/>
  <c r="Y119" i="35"/>
  <c r="Y118" i="35"/>
  <c r="Y117" i="35"/>
  <c r="Y116" i="35"/>
  <c r="Y115" i="35"/>
  <c r="Y115" i="38" s="1"/>
  <c r="Y111" i="35"/>
  <c r="Y110" i="35"/>
  <c r="Y109" i="35"/>
  <c r="Y108" i="35"/>
  <c r="Y107" i="35"/>
  <c r="W122" i="35"/>
  <c r="W122" i="38" s="1"/>
  <c r="W121" i="35"/>
  <c r="W120" i="35"/>
  <c r="W119" i="35"/>
  <c r="W118" i="35"/>
  <c r="W117" i="35"/>
  <c r="W116" i="35"/>
  <c r="W115" i="35"/>
  <c r="W111" i="35"/>
  <c r="W110" i="35"/>
  <c r="W109" i="35"/>
  <c r="W108" i="35"/>
  <c r="W107" i="35"/>
  <c r="V122" i="35"/>
  <c r="V121" i="35"/>
  <c r="V120" i="35"/>
  <c r="V119" i="35"/>
  <c r="V118" i="35"/>
  <c r="V117" i="35"/>
  <c r="V116" i="35"/>
  <c r="V115" i="35"/>
  <c r="V115" i="38" s="1"/>
  <c r="V111" i="35"/>
  <c r="V110" i="35"/>
  <c r="V109" i="35"/>
  <c r="V108" i="35"/>
  <c r="V107" i="35"/>
  <c r="T122" i="35"/>
  <c r="T121" i="35"/>
  <c r="T120" i="35"/>
  <c r="T119" i="35"/>
  <c r="T118" i="35"/>
  <c r="T117" i="35"/>
  <c r="T116" i="35"/>
  <c r="T116" i="38" s="1"/>
  <c r="T115" i="35"/>
  <c r="T115" i="38" s="1"/>
  <c r="T111" i="35"/>
  <c r="T110" i="35"/>
  <c r="T109" i="35"/>
  <c r="T108" i="35"/>
  <c r="T107" i="35"/>
  <c r="S122" i="35"/>
  <c r="S121" i="35"/>
  <c r="S121" i="38" s="1"/>
  <c r="S120" i="35"/>
  <c r="S119" i="35"/>
  <c r="S118" i="35"/>
  <c r="S117" i="35"/>
  <c r="S116" i="35"/>
  <c r="S115" i="35"/>
  <c r="S111" i="35"/>
  <c r="S110" i="35"/>
  <c r="S109" i="35"/>
  <c r="S108" i="35"/>
  <c r="S107" i="35"/>
  <c r="N116" i="35"/>
  <c r="N117" i="35"/>
  <c r="N118" i="35"/>
  <c r="N119" i="35"/>
  <c r="N120" i="35"/>
  <c r="N121" i="35"/>
  <c r="N121" i="38" s="1"/>
  <c r="AB121" i="38" s="1"/>
  <c r="N122" i="35"/>
  <c r="N122" i="38" s="1"/>
  <c r="AB122" i="38" s="1"/>
  <c r="N115" i="35"/>
  <c r="N108" i="35"/>
  <c r="N109" i="35"/>
  <c r="N110" i="35"/>
  <c r="N111" i="35"/>
  <c r="N107" i="35"/>
  <c r="N107" i="38" s="1"/>
  <c r="AB107" i="38" s="1"/>
  <c r="AM103" i="35"/>
  <c r="AM102" i="35"/>
  <c r="AM101" i="35"/>
  <c r="AM100" i="35"/>
  <c r="AM99" i="35"/>
  <c r="AM98" i="35"/>
  <c r="AM97" i="35"/>
  <c r="AM96" i="35"/>
  <c r="AM95" i="35"/>
  <c r="AM94" i="35"/>
  <c r="AM93" i="35"/>
  <c r="AM92" i="35"/>
  <c r="AM91" i="35"/>
  <c r="AM90" i="35"/>
  <c r="AM89" i="35"/>
  <c r="AM88" i="35"/>
  <c r="AM87" i="35"/>
  <c r="AM86" i="35"/>
  <c r="AM85" i="35"/>
  <c r="AM84" i="35"/>
  <c r="AM83" i="35"/>
  <c r="AM82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M67" i="35"/>
  <c r="AM66" i="35"/>
  <c r="AM65" i="35"/>
  <c r="AM64" i="35"/>
  <c r="AM63" i="35"/>
  <c r="AM62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M47" i="35"/>
  <c r="AM46" i="35"/>
  <c r="AM45" i="35"/>
  <c r="AM44" i="35"/>
  <c r="AM43" i="35"/>
  <c r="AM42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M6" i="35"/>
  <c r="AM5" i="35"/>
  <c r="AM4" i="35"/>
  <c r="AM3" i="35"/>
  <c r="AK103" i="35"/>
  <c r="AK102" i="35"/>
  <c r="AK101" i="35"/>
  <c r="AK100" i="35"/>
  <c r="AK99" i="35"/>
  <c r="AK98" i="35"/>
  <c r="AK97" i="35"/>
  <c r="AK96" i="35"/>
  <c r="AK95" i="35"/>
  <c r="AK94" i="35"/>
  <c r="AK93" i="35"/>
  <c r="AK92" i="35"/>
  <c r="AK91" i="35"/>
  <c r="AK90" i="35"/>
  <c r="AK89" i="35"/>
  <c r="AK88" i="35"/>
  <c r="AK87" i="35"/>
  <c r="AK86" i="35"/>
  <c r="AK85" i="35"/>
  <c r="AK84" i="35"/>
  <c r="AK83" i="35"/>
  <c r="AK82" i="35"/>
  <c r="AK81" i="35"/>
  <c r="AK80" i="35"/>
  <c r="AK79" i="35"/>
  <c r="AK78" i="35"/>
  <c r="AK77" i="35"/>
  <c r="AK76" i="35"/>
  <c r="AK75" i="35"/>
  <c r="AK74" i="35"/>
  <c r="AK73" i="35"/>
  <c r="AK72" i="35"/>
  <c r="AK71" i="35"/>
  <c r="AK70" i="35"/>
  <c r="AK69" i="35"/>
  <c r="AK68" i="35"/>
  <c r="AK67" i="35"/>
  <c r="AK66" i="35"/>
  <c r="AK65" i="35"/>
  <c r="AK64" i="35"/>
  <c r="AK63" i="35"/>
  <c r="AK62" i="35"/>
  <c r="AK61" i="35"/>
  <c r="AK60" i="35"/>
  <c r="AK59" i="35"/>
  <c r="AK58" i="35"/>
  <c r="AK57" i="35"/>
  <c r="AK56" i="35"/>
  <c r="AK55" i="35"/>
  <c r="AK54" i="35"/>
  <c r="AK53" i="35"/>
  <c r="AK52" i="35"/>
  <c r="AK51" i="35"/>
  <c r="AK50" i="35"/>
  <c r="AK49" i="35"/>
  <c r="AK48" i="35"/>
  <c r="AK47" i="35"/>
  <c r="AK46" i="35"/>
  <c r="AK45" i="35"/>
  <c r="AK44" i="35"/>
  <c r="AK43" i="35"/>
  <c r="AK42" i="35"/>
  <c r="AK41" i="35"/>
  <c r="AK40" i="35"/>
  <c r="AK39" i="35"/>
  <c r="AK38" i="35"/>
  <c r="AK37" i="35"/>
  <c r="AK36" i="35"/>
  <c r="AK35" i="35"/>
  <c r="AK34" i="35"/>
  <c r="AK33" i="35"/>
  <c r="AK32" i="35"/>
  <c r="AK31" i="35"/>
  <c r="AK30" i="35"/>
  <c r="AK29" i="35"/>
  <c r="AK28" i="35"/>
  <c r="AK27" i="35"/>
  <c r="AK26" i="35"/>
  <c r="AK25" i="35"/>
  <c r="AK24" i="35"/>
  <c r="AK23" i="35"/>
  <c r="AK22" i="35"/>
  <c r="AK21" i="35"/>
  <c r="AK20" i="35"/>
  <c r="AK19" i="35"/>
  <c r="AK18" i="35"/>
  <c r="AK17" i="35"/>
  <c r="AK16" i="35"/>
  <c r="AK15" i="35"/>
  <c r="AK14" i="35"/>
  <c r="AK13" i="35"/>
  <c r="AK12" i="35"/>
  <c r="AK11" i="35"/>
  <c r="AK10" i="35"/>
  <c r="AK9" i="35"/>
  <c r="AK8" i="35"/>
  <c r="AK7" i="35"/>
  <c r="AK6" i="35"/>
  <c r="AK5" i="35"/>
  <c r="AK4" i="35"/>
  <c r="AK3" i="35"/>
  <c r="AK105" i="35" s="1"/>
  <c r="AJ103" i="35"/>
  <c r="AJ102" i="35"/>
  <c r="AJ101" i="35"/>
  <c r="AJ100" i="35"/>
  <c r="AJ99" i="35"/>
  <c r="AJ98" i="35"/>
  <c r="AJ97" i="35"/>
  <c r="AJ96" i="35"/>
  <c r="AJ95" i="35"/>
  <c r="AJ94" i="35"/>
  <c r="AJ93" i="35"/>
  <c r="AJ92" i="35"/>
  <c r="AJ91" i="35"/>
  <c r="AJ90" i="35"/>
  <c r="AJ89" i="35"/>
  <c r="AJ88" i="35"/>
  <c r="AJ87" i="35"/>
  <c r="AJ86" i="35"/>
  <c r="AJ85" i="35"/>
  <c r="AJ84" i="35"/>
  <c r="AJ83" i="35"/>
  <c r="AJ82" i="35"/>
  <c r="AJ81" i="35"/>
  <c r="AJ80" i="35"/>
  <c r="AJ79" i="35"/>
  <c r="AJ78" i="35"/>
  <c r="AJ77" i="35"/>
  <c r="AJ76" i="35"/>
  <c r="AJ75" i="35"/>
  <c r="AJ74" i="35"/>
  <c r="AJ73" i="35"/>
  <c r="AJ72" i="35"/>
  <c r="AJ71" i="35"/>
  <c r="AJ70" i="35"/>
  <c r="AJ69" i="35"/>
  <c r="AJ68" i="35"/>
  <c r="AJ67" i="35"/>
  <c r="AJ66" i="35"/>
  <c r="AJ65" i="35"/>
  <c r="AJ64" i="35"/>
  <c r="AJ63" i="35"/>
  <c r="AJ62" i="35"/>
  <c r="AJ61" i="35"/>
  <c r="AJ60" i="35"/>
  <c r="AJ59" i="35"/>
  <c r="AJ58" i="35"/>
  <c r="AJ57" i="35"/>
  <c r="AJ56" i="35"/>
  <c r="AJ55" i="35"/>
  <c r="AJ54" i="35"/>
  <c r="AJ53" i="35"/>
  <c r="AJ52" i="35"/>
  <c r="AJ51" i="35"/>
  <c r="AJ50" i="35"/>
  <c r="AJ49" i="35"/>
  <c r="AJ48" i="35"/>
  <c r="AJ47" i="35"/>
  <c r="AJ46" i="35"/>
  <c r="AJ45" i="35"/>
  <c r="AJ44" i="35"/>
  <c r="AJ43" i="35"/>
  <c r="AJ42" i="35"/>
  <c r="AJ41" i="35"/>
  <c r="AJ40" i="35"/>
  <c r="AJ39" i="35"/>
  <c r="AJ38" i="35"/>
  <c r="AJ37" i="35"/>
  <c r="AJ36" i="35"/>
  <c r="AJ35" i="35"/>
  <c r="AJ34" i="35"/>
  <c r="AJ33" i="35"/>
  <c r="AJ32" i="35"/>
  <c r="AJ31" i="35"/>
  <c r="AJ30" i="35"/>
  <c r="AJ29" i="35"/>
  <c r="AJ28" i="35"/>
  <c r="AJ27" i="35"/>
  <c r="AJ26" i="35"/>
  <c r="AJ25" i="35"/>
  <c r="AJ24" i="35"/>
  <c r="AJ23" i="35"/>
  <c r="AJ22" i="35"/>
  <c r="AJ21" i="35"/>
  <c r="AJ20" i="35"/>
  <c r="AJ19" i="35"/>
  <c r="AJ18" i="35"/>
  <c r="AJ17" i="35"/>
  <c r="AJ16" i="35"/>
  <c r="AJ15" i="35"/>
  <c r="AJ14" i="35"/>
  <c r="AJ13" i="35"/>
  <c r="AJ12" i="35"/>
  <c r="AJ11" i="35"/>
  <c r="AJ10" i="35"/>
  <c r="AJ9" i="35"/>
  <c r="AJ8" i="35"/>
  <c r="AJ7" i="35"/>
  <c r="AJ6" i="35"/>
  <c r="AJ5" i="35"/>
  <c r="AJ4" i="35"/>
  <c r="AJ3" i="35"/>
  <c r="AI124" i="35"/>
  <c r="AI103" i="35"/>
  <c r="AI102" i="35"/>
  <c r="AI101" i="35"/>
  <c r="AI100" i="35"/>
  <c r="AI99" i="35"/>
  <c r="AI98" i="35"/>
  <c r="AI97" i="35"/>
  <c r="AI96" i="35"/>
  <c r="AI95" i="35"/>
  <c r="AI94" i="35"/>
  <c r="AI93" i="35"/>
  <c r="AI92" i="35"/>
  <c r="AI91" i="35"/>
  <c r="AI90" i="35"/>
  <c r="AI89" i="35"/>
  <c r="AI88" i="35"/>
  <c r="AI87" i="35"/>
  <c r="AI86" i="35"/>
  <c r="AI85" i="35"/>
  <c r="AI84" i="35"/>
  <c r="AI83" i="35"/>
  <c r="AI82" i="35"/>
  <c r="AI81" i="35"/>
  <c r="AI80" i="35"/>
  <c r="AI79" i="35"/>
  <c r="AI78" i="35"/>
  <c r="AI77" i="35"/>
  <c r="AI76" i="35"/>
  <c r="AI75" i="35"/>
  <c r="AI74" i="35"/>
  <c r="AI73" i="35"/>
  <c r="AI72" i="35"/>
  <c r="AI71" i="35"/>
  <c r="AI70" i="35"/>
  <c r="AI69" i="35"/>
  <c r="AI68" i="35"/>
  <c r="AI67" i="35"/>
  <c r="AI66" i="35"/>
  <c r="AI65" i="35"/>
  <c r="AI64" i="35"/>
  <c r="AI63" i="35"/>
  <c r="AI62" i="35"/>
  <c r="AI61" i="35"/>
  <c r="AI60" i="35"/>
  <c r="AI59" i="35"/>
  <c r="AI58" i="35"/>
  <c r="AI57" i="35"/>
  <c r="AI56" i="35"/>
  <c r="AI55" i="35"/>
  <c r="AI54" i="35"/>
  <c r="AI53" i="35"/>
  <c r="AI52" i="35"/>
  <c r="AI51" i="35"/>
  <c r="AI50" i="35"/>
  <c r="AI49" i="35"/>
  <c r="AI48" i="35"/>
  <c r="AI47" i="35"/>
  <c r="AI46" i="35"/>
  <c r="AI45" i="35"/>
  <c r="AI44" i="35"/>
  <c r="AI43" i="35"/>
  <c r="AI42" i="35"/>
  <c r="AI41" i="35"/>
  <c r="AI40" i="35"/>
  <c r="AI39" i="35"/>
  <c r="AI38" i="35"/>
  <c r="AI37" i="35"/>
  <c r="AI36" i="35"/>
  <c r="AI35" i="35"/>
  <c r="AI34" i="35"/>
  <c r="AI33" i="35"/>
  <c r="AI32" i="35"/>
  <c r="AI31" i="35"/>
  <c r="AI30" i="35"/>
  <c r="AI29" i="35"/>
  <c r="AI28" i="35"/>
  <c r="AI27" i="35"/>
  <c r="AI26" i="35"/>
  <c r="AI25" i="35"/>
  <c r="AI24" i="35"/>
  <c r="AI23" i="35"/>
  <c r="AI22" i="35"/>
  <c r="AI21" i="35"/>
  <c r="AI20" i="35"/>
  <c r="AI19" i="35"/>
  <c r="AI18" i="35"/>
  <c r="AI17" i="35"/>
  <c r="AI16" i="35"/>
  <c r="AI15" i="35"/>
  <c r="AI14" i="35"/>
  <c r="AI13" i="35"/>
  <c r="AI12" i="35"/>
  <c r="AI11" i="35"/>
  <c r="AI10" i="35"/>
  <c r="AI9" i="35"/>
  <c r="AI8" i="35"/>
  <c r="AI7" i="35"/>
  <c r="AI6" i="35"/>
  <c r="AI5" i="35"/>
  <c r="AI4" i="35"/>
  <c r="AI3" i="35"/>
  <c r="AH103" i="35"/>
  <c r="AH102" i="35"/>
  <c r="AH101" i="35"/>
  <c r="AH100" i="35"/>
  <c r="AH99" i="35"/>
  <c r="AH98" i="35"/>
  <c r="AH97" i="35"/>
  <c r="AH96" i="35"/>
  <c r="AH95" i="35"/>
  <c r="AH94" i="35"/>
  <c r="AH93" i="35"/>
  <c r="AH92" i="35"/>
  <c r="AH91" i="35"/>
  <c r="AH90" i="35"/>
  <c r="AH89" i="35"/>
  <c r="AH88" i="35"/>
  <c r="AH87" i="35"/>
  <c r="AH86" i="35"/>
  <c r="AH85" i="35"/>
  <c r="AH84" i="35"/>
  <c r="AH83" i="35"/>
  <c r="AH82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H67" i="35"/>
  <c r="AH66" i="35"/>
  <c r="AH65" i="35"/>
  <c r="AH64" i="35"/>
  <c r="AH63" i="35"/>
  <c r="AH62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H47" i="35"/>
  <c r="AH46" i="35"/>
  <c r="AH45" i="35"/>
  <c r="AH44" i="35"/>
  <c r="AH43" i="35"/>
  <c r="AH42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H27" i="35"/>
  <c r="AH26" i="35"/>
  <c r="AH25" i="35"/>
  <c r="AH24" i="35"/>
  <c r="AH23" i="35"/>
  <c r="AH22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H6" i="35"/>
  <c r="AH5" i="35"/>
  <c r="AH4" i="35"/>
  <c r="AH3" i="35"/>
  <c r="AG103" i="35"/>
  <c r="AG102" i="35"/>
  <c r="AG101" i="35"/>
  <c r="AG100" i="35"/>
  <c r="AG99" i="35"/>
  <c r="AG98" i="35"/>
  <c r="AG97" i="35"/>
  <c r="AG96" i="35"/>
  <c r="AG95" i="35"/>
  <c r="AG94" i="35"/>
  <c r="AG93" i="35"/>
  <c r="AG92" i="35"/>
  <c r="AG91" i="35"/>
  <c r="AG90" i="35"/>
  <c r="AG89" i="35"/>
  <c r="AG88" i="35"/>
  <c r="AG87" i="35"/>
  <c r="AG86" i="35"/>
  <c r="AG85" i="35"/>
  <c r="AG84" i="35"/>
  <c r="AG83" i="35"/>
  <c r="AG82" i="35"/>
  <c r="AG81" i="35"/>
  <c r="AG80" i="35"/>
  <c r="AG79" i="35"/>
  <c r="AG78" i="35"/>
  <c r="AG77" i="35"/>
  <c r="AG76" i="35"/>
  <c r="AG75" i="35"/>
  <c r="AG74" i="35"/>
  <c r="AG73" i="35"/>
  <c r="AG72" i="35"/>
  <c r="AG71" i="35"/>
  <c r="AG70" i="35"/>
  <c r="AG69" i="35"/>
  <c r="AG68" i="35"/>
  <c r="AG67" i="35"/>
  <c r="AG66" i="35"/>
  <c r="AG65" i="35"/>
  <c r="AG64" i="35"/>
  <c r="AG63" i="35"/>
  <c r="AG62" i="35"/>
  <c r="AG61" i="35"/>
  <c r="AG60" i="35"/>
  <c r="AG59" i="35"/>
  <c r="AG58" i="35"/>
  <c r="AG57" i="35"/>
  <c r="AG56" i="35"/>
  <c r="AG55" i="35"/>
  <c r="AG54" i="35"/>
  <c r="AG53" i="35"/>
  <c r="AG52" i="35"/>
  <c r="AG51" i="35"/>
  <c r="AG50" i="35"/>
  <c r="AG49" i="35"/>
  <c r="AG48" i="35"/>
  <c r="AG47" i="35"/>
  <c r="AG46" i="35"/>
  <c r="AG45" i="35"/>
  <c r="AG44" i="35"/>
  <c r="AG43" i="35"/>
  <c r="AG42" i="35"/>
  <c r="AG41" i="35"/>
  <c r="AG40" i="35"/>
  <c r="AG39" i="35"/>
  <c r="AG38" i="35"/>
  <c r="AG37" i="35"/>
  <c r="AG36" i="35"/>
  <c r="AG35" i="35"/>
  <c r="AG34" i="35"/>
  <c r="AG33" i="35"/>
  <c r="AG32" i="35"/>
  <c r="AG31" i="35"/>
  <c r="AG30" i="35"/>
  <c r="AG29" i="35"/>
  <c r="AG28" i="35"/>
  <c r="AG27" i="35"/>
  <c r="AG26" i="35"/>
  <c r="AG25" i="35"/>
  <c r="AG24" i="35"/>
  <c r="AG23" i="35"/>
  <c r="AG22" i="35"/>
  <c r="AG21" i="35"/>
  <c r="AG20" i="35"/>
  <c r="AG19" i="35"/>
  <c r="AG18" i="35"/>
  <c r="AG17" i="35"/>
  <c r="AG16" i="35"/>
  <c r="AG15" i="35"/>
  <c r="AG14" i="35"/>
  <c r="AG13" i="35"/>
  <c r="AG12" i="35"/>
  <c r="AG11" i="35"/>
  <c r="AG10" i="35"/>
  <c r="AG9" i="35"/>
  <c r="AG8" i="35"/>
  <c r="AG7" i="35"/>
  <c r="AG6" i="35"/>
  <c r="AG5" i="35"/>
  <c r="AG4" i="35"/>
  <c r="AG3" i="35"/>
  <c r="AE103" i="35"/>
  <c r="AE102" i="35"/>
  <c r="AE101" i="35"/>
  <c r="AE100" i="35"/>
  <c r="AE99" i="35"/>
  <c r="AE98" i="35"/>
  <c r="AE97" i="35"/>
  <c r="AE96" i="35"/>
  <c r="AE95" i="35"/>
  <c r="AE94" i="35"/>
  <c r="AE93" i="35"/>
  <c r="AE92" i="35"/>
  <c r="AE91" i="35"/>
  <c r="AE90" i="35"/>
  <c r="AE89" i="35"/>
  <c r="AE88" i="35"/>
  <c r="AE87" i="35"/>
  <c r="AE86" i="35"/>
  <c r="AE85" i="35"/>
  <c r="AE84" i="35"/>
  <c r="AE83" i="35"/>
  <c r="AE82" i="35"/>
  <c r="AE81" i="35"/>
  <c r="AE80" i="35"/>
  <c r="AE79" i="35"/>
  <c r="AE78" i="35"/>
  <c r="AE77" i="35"/>
  <c r="AE76" i="35"/>
  <c r="AE75" i="35"/>
  <c r="AE74" i="35"/>
  <c r="AE73" i="35"/>
  <c r="AE72" i="35"/>
  <c r="AE71" i="35"/>
  <c r="AE70" i="35"/>
  <c r="AE69" i="35"/>
  <c r="AE68" i="35"/>
  <c r="AE67" i="35"/>
  <c r="AE66" i="35"/>
  <c r="AE65" i="35"/>
  <c r="AE64" i="35"/>
  <c r="AE63" i="35"/>
  <c r="AE62" i="35"/>
  <c r="AE61" i="35"/>
  <c r="AE60" i="35"/>
  <c r="AE59" i="35"/>
  <c r="AE58" i="35"/>
  <c r="AE57" i="35"/>
  <c r="AE56" i="35"/>
  <c r="AE55" i="35"/>
  <c r="AE54" i="35"/>
  <c r="AE53" i="35"/>
  <c r="AE52" i="35"/>
  <c r="AE51" i="35"/>
  <c r="AE50" i="35"/>
  <c r="AE49" i="35"/>
  <c r="AE48" i="35"/>
  <c r="AE47" i="35"/>
  <c r="AE46" i="35"/>
  <c r="AE45" i="35"/>
  <c r="AE44" i="35"/>
  <c r="AE43" i="35"/>
  <c r="AE42" i="35"/>
  <c r="AE41" i="35"/>
  <c r="AE40" i="35"/>
  <c r="AE39" i="35"/>
  <c r="AE38" i="35"/>
  <c r="AE37" i="35"/>
  <c r="AE36" i="35"/>
  <c r="AE35" i="35"/>
  <c r="AE34" i="35"/>
  <c r="AE33" i="35"/>
  <c r="AE32" i="35"/>
  <c r="AE31" i="35"/>
  <c r="AE30" i="35"/>
  <c r="AE29" i="35"/>
  <c r="AE28" i="35"/>
  <c r="AE27" i="35"/>
  <c r="AE26" i="35"/>
  <c r="AE25" i="35"/>
  <c r="AE24" i="35"/>
  <c r="AE23" i="35"/>
  <c r="AE22" i="35"/>
  <c r="AE21" i="35"/>
  <c r="AE20" i="35"/>
  <c r="AE19" i="35"/>
  <c r="AE18" i="35"/>
  <c r="AE17" i="35"/>
  <c r="AE16" i="35"/>
  <c r="AE15" i="35"/>
  <c r="AE14" i="35"/>
  <c r="AE13" i="35"/>
  <c r="AE12" i="35"/>
  <c r="AE11" i="35"/>
  <c r="AE10" i="35"/>
  <c r="AE9" i="35"/>
  <c r="AE8" i="35"/>
  <c r="AE7" i="35"/>
  <c r="AE6" i="35"/>
  <c r="AE5" i="35"/>
  <c r="AE4" i="35"/>
  <c r="AE3" i="35"/>
  <c r="W103" i="35"/>
  <c r="W102" i="35"/>
  <c r="W101" i="35"/>
  <c r="W100" i="35"/>
  <c r="W99" i="35"/>
  <c r="W98" i="35"/>
  <c r="W97" i="35"/>
  <c r="W96" i="35"/>
  <c r="W95" i="35"/>
  <c r="W94" i="35"/>
  <c r="W93" i="35"/>
  <c r="W92" i="35"/>
  <c r="W91" i="35"/>
  <c r="W90" i="35"/>
  <c r="W89" i="35"/>
  <c r="W88" i="35"/>
  <c r="W87" i="35"/>
  <c r="W86" i="35"/>
  <c r="W85" i="35"/>
  <c r="W84" i="35"/>
  <c r="W83" i="35"/>
  <c r="W82" i="35"/>
  <c r="W81" i="35"/>
  <c r="W80" i="35"/>
  <c r="W79" i="35"/>
  <c r="W78" i="35"/>
  <c r="W77" i="35"/>
  <c r="W76" i="35"/>
  <c r="W75" i="35"/>
  <c r="W74" i="35"/>
  <c r="W73" i="35"/>
  <c r="W72" i="35"/>
  <c r="W71" i="35"/>
  <c r="W70" i="35"/>
  <c r="W69" i="35"/>
  <c r="W68" i="35"/>
  <c r="W67" i="35"/>
  <c r="W66" i="35"/>
  <c r="W65" i="35"/>
  <c r="W64" i="35"/>
  <c r="W63" i="35"/>
  <c r="W62" i="35"/>
  <c r="W61" i="35"/>
  <c r="W60" i="35"/>
  <c r="W59" i="35"/>
  <c r="W58" i="35"/>
  <c r="W57" i="35"/>
  <c r="W56" i="35"/>
  <c r="W55" i="35"/>
  <c r="W54" i="35"/>
  <c r="W53" i="35"/>
  <c r="W52" i="35"/>
  <c r="W51" i="35"/>
  <c r="W50" i="35"/>
  <c r="W49" i="35"/>
  <c r="W48" i="35"/>
  <c r="W47" i="35"/>
  <c r="W46" i="35"/>
  <c r="W45" i="35"/>
  <c r="W44" i="35"/>
  <c r="W43" i="35"/>
  <c r="W42" i="35"/>
  <c r="W41" i="35"/>
  <c r="W40" i="35"/>
  <c r="W39" i="35"/>
  <c r="W38" i="35"/>
  <c r="W37" i="35"/>
  <c r="W36" i="35"/>
  <c r="W35" i="35"/>
  <c r="W34" i="35"/>
  <c r="W33" i="35"/>
  <c r="W32" i="35"/>
  <c r="W31" i="35"/>
  <c r="W30" i="35"/>
  <c r="W29" i="35"/>
  <c r="W28" i="35"/>
  <c r="W27" i="35"/>
  <c r="W26" i="35"/>
  <c r="W25" i="35"/>
  <c r="W24" i="35"/>
  <c r="W23" i="35"/>
  <c r="W22" i="35"/>
  <c r="W21" i="35"/>
  <c r="W20" i="35"/>
  <c r="W19" i="35"/>
  <c r="W18" i="35"/>
  <c r="W17" i="35"/>
  <c r="W16" i="35"/>
  <c r="W15" i="35"/>
  <c r="W14" i="35"/>
  <c r="W13" i="35"/>
  <c r="W12" i="35"/>
  <c r="W11" i="35"/>
  <c r="W10" i="35"/>
  <c r="W9" i="35"/>
  <c r="W8" i="35"/>
  <c r="W7" i="35"/>
  <c r="W6" i="35"/>
  <c r="W5" i="35"/>
  <c r="W4" i="35"/>
  <c r="W3" i="35"/>
  <c r="W105" i="35" s="1"/>
  <c r="V103" i="35"/>
  <c r="V102" i="35"/>
  <c r="V101" i="35"/>
  <c r="V100" i="35"/>
  <c r="V99" i="35"/>
  <c r="V98" i="35"/>
  <c r="V97" i="35"/>
  <c r="V96" i="35"/>
  <c r="V95" i="35"/>
  <c r="V94" i="35"/>
  <c r="V93" i="35"/>
  <c r="V92" i="35"/>
  <c r="V91" i="35"/>
  <c r="V90" i="35"/>
  <c r="V89" i="35"/>
  <c r="V88" i="35"/>
  <c r="V87" i="35"/>
  <c r="V86" i="35"/>
  <c r="V85" i="35"/>
  <c r="V84" i="35"/>
  <c r="V83" i="35"/>
  <c r="V82" i="35"/>
  <c r="V81" i="35"/>
  <c r="V80" i="35"/>
  <c r="V79" i="35"/>
  <c r="V78" i="35"/>
  <c r="V77" i="35"/>
  <c r="V76" i="35"/>
  <c r="V75" i="35"/>
  <c r="V74" i="35"/>
  <c r="V73" i="35"/>
  <c r="V72" i="35"/>
  <c r="V71" i="35"/>
  <c r="V70" i="35"/>
  <c r="V69" i="35"/>
  <c r="V68" i="35"/>
  <c r="V67" i="35"/>
  <c r="V66" i="35"/>
  <c r="V65" i="35"/>
  <c r="V64" i="35"/>
  <c r="V63" i="35"/>
  <c r="V62" i="35"/>
  <c r="V61" i="35"/>
  <c r="V60" i="35"/>
  <c r="V59" i="35"/>
  <c r="V58" i="35"/>
  <c r="V57" i="35"/>
  <c r="V56" i="35"/>
  <c r="V55" i="35"/>
  <c r="V54" i="35"/>
  <c r="V53" i="35"/>
  <c r="V52" i="35"/>
  <c r="V51" i="35"/>
  <c r="V50" i="35"/>
  <c r="V49" i="35"/>
  <c r="V48" i="35"/>
  <c r="V47" i="35"/>
  <c r="V46" i="35"/>
  <c r="V45" i="35"/>
  <c r="V44" i="35"/>
  <c r="V43" i="35"/>
  <c r="V42" i="35"/>
  <c r="V41" i="35"/>
  <c r="V40" i="35"/>
  <c r="V39" i="35"/>
  <c r="V38" i="35"/>
  <c r="V37" i="35"/>
  <c r="V36" i="35"/>
  <c r="V35" i="35"/>
  <c r="V34" i="35"/>
  <c r="V33" i="35"/>
  <c r="V32" i="35"/>
  <c r="V31" i="35"/>
  <c r="V30" i="35"/>
  <c r="V29" i="35"/>
  <c r="V28" i="35"/>
  <c r="V27" i="35"/>
  <c r="V26" i="35"/>
  <c r="V25" i="35"/>
  <c r="V24" i="35"/>
  <c r="V23" i="35"/>
  <c r="V22" i="35"/>
  <c r="V21" i="35"/>
  <c r="V20" i="35"/>
  <c r="V19" i="35"/>
  <c r="V18" i="35"/>
  <c r="V17" i="35"/>
  <c r="V16" i="35"/>
  <c r="V15" i="35"/>
  <c r="V14" i="35"/>
  <c r="V13" i="35"/>
  <c r="V12" i="35"/>
  <c r="V11" i="35"/>
  <c r="V10" i="35"/>
  <c r="V9" i="35"/>
  <c r="V8" i="35"/>
  <c r="V7" i="35"/>
  <c r="V6" i="35"/>
  <c r="V5" i="35"/>
  <c r="V4" i="35"/>
  <c r="V3" i="35"/>
  <c r="T103" i="35"/>
  <c r="T102" i="35"/>
  <c r="T101" i="35"/>
  <c r="T100" i="35"/>
  <c r="T99" i="35"/>
  <c r="T98" i="35"/>
  <c r="T97" i="35"/>
  <c r="T96" i="35"/>
  <c r="T95" i="35"/>
  <c r="T94" i="35"/>
  <c r="T93" i="35"/>
  <c r="T92" i="35"/>
  <c r="T91" i="35"/>
  <c r="T90" i="35"/>
  <c r="T89" i="35"/>
  <c r="T88" i="35"/>
  <c r="T87" i="35"/>
  <c r="T86" i="35"/>
  <c r="T85" i="35"/>
  <c r="T84" i="35"/>
  <c r="T83" i="35"/>
  <c r="T82" i="35"/>
  <c r="T81" i="35"/>
  <c r="T80" i="35"/>
  <c r="T79" i="35"/>
  <c r="T78" i="35"/>
  <c r="T77" i="35"/>
  <c r="T76" i="35"/>
  <c r="T75" i="35"/>
  <c r="T74" i="35"/>
  <c r="T73" i="35"/>
  <c r="T72" i="35"/>
  <c r="T71" i="35"/>
  <c r="T70" i="35"/>
  <c r="T69" i="35"/>
  <c r="T68" i="35"/>
  <c r="T67" i="35"/>
  <c r="T66" i="35"/>
  <c r="T65" i="35"/>
  <c r="T64" i="35"/>
  <c r="T63" i="35"/>
  <c r="T62" i="35"/>
  <c r="T61" i="35"/>
  <c r="T60" i="35"/>
  <c r="T59" i="35"/>
  <c r="T58" i="35"/>
  <c r="T57" i="35"/>
  <c r="T56" i="35"/>
  <c r="T55" i="35"/>
  <c r="T54" i="35"/>
  <c r="T53" i="35"/>
  <c r="T52" i="35"/>
  <c r="T51" i="35"/>
  <c r="T50" i="35"/>
  <c r="T49" i="35"/>
  <c r="T48" i="35"/>
  <c r="T47" i="35"/>
  <c r="T46" i="35"/>
  <c r="T45" i="35"/>
  <c r="T44" i="35"/>
  <c r="T43" i="35"/>
  <c r="T42" i="35"/>
  <c r="T41" i="35"/>
  <c r="T40" i="35"/>
  <c r="T39" i="35"/>
  <c r="T38" i="35"/>
  <c r="T37" i="35"/>
  <c r="T36" i="35"/>
  <c r="T35" i="35"/>
  <c r="T34" i="35"/>
  <c r="T33" i="35"/>
  <c r="T32" i="35"/>
  <c r="T31" i="35"/>
  <c r="T30" i="35"/>
  <c r="T29" i="35"/>
  <c r="T28" i="35"/>
  <c r="T27" i="35"/>
  <c r="T26" i="35"/>
  <c r="T25" i="35"/>
  <c r="T24" i="35"/>
  <c r="T23" i="35"/>
  <c r="T22" i="35"/>
  <c r="T21" i="35"/>
  <c r="T20" i="35"/>
  <c r="T19" i="35"/>
  <c r="T18" i="35"/>
  <c r="T17" i="35"/>
  <c r="T16" i="35"/>
  <c r="T15" i="35"/>
  <c r="T14" i="35"/>
  <c r="T13" i="35"/>
  <c r="T12" i="35"/>
  <c r="T11" i="35"/>
  <c r="T10" i="35"/>
  <c r="T9" i="35"/>
  <c r="T8" i="35"/>
  <c r="T7" i="35"/>
  <c r="T6" i="35"/>
  <c r="T5" i="35"/>
  <c r="T4" i="35"/>
  <c r="T3" i="35"/>
  <c r="S103" i="35"/>
  <c r="S102" i="35"/>
  <c r="S101" i="35"/>
  <c r="S100" i="35"/>
  <c r="S99" i="35"/>
  <c r="S98" i="35"/>
  <c r="S97" i="35"/>
  <c r="S96" i="35"/>
  <c r="S95" i="35"/>
  <c r="S94" i="35"/>
  <c r="S93" i="35"/>
  <c r="S92" i="35"/>
  <c r="S91" i="35"/>
  <c r="S90" i="35"/>
  <c r="S89" i="35"/>
  <c r="S88" i="35"/>
  <c r="S87" i="35"/>
  <c r="S86" i="35"/>
  <c r="S85" i="35"/>
  <c r="S84" i="35"/>
  <c r="S83" i="35"/>
  <c r="S82" i="35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S67" i="35"/>
  <c r="S66" i="35"/>
  <c r="S65" i="35"/>
  <c r="S64" i="35"/>
  <c r="S63" i="35"/>
  <c r="S62" i="35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S47" i="35"/>
  <c r="S46" i="35"/>
  <c r="S45" i="35"/>
  <c r="S44" i="35"/>
  <c r="S43" i="35"/>
  <c r="S42" i="35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S27" i="35"/>
  <c r="S26" i="35"/>
  <c r="S25" i="35"/>
  <c r="S24" i="35"/>
  <c r="S23" i="35"/>
  <c r="S22" i="35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7" i="35"/>
  <c r="S6" i="35"/>
  <c r="S5" i="35"/>
  <c r="S4" i="35"/>
  <c r="S3" i="35"/>
  <c r="AM122" i="38"/>
  <c r="AM121" i="38"/>
  <c r="AM120" i="38"/>
  <c r="AM119" i="38"/>
  <c r="AM118" i="38"/>
  <c r="AM117" i="38"/>
  <c r="AM116" i="38"/>
  <c r="AM111" i="38"/>
  <c r="AM110" i="38"/>
  <c r="AM109" i="38"/>
  <c r="AM108" i="38"/>
  <c r="AM107" i="38"/>
  <c r="AJ122" i="38"/>
  <c r="AJ121" i="38"/>
  <c r="AJ120" i="38"/>
  <c r="AJ119" i="38"/>
  <c r="AJ118" i="38"/>
  <c r="AJ117" i="38"/>
  <c r="AJ116" i="38"/>
  <c r="AJ111" i="38"/>
  <c r="AJ110" i="38"/>
  <c r="AJ109" i="38"/>
  <c r="AJ108" i="38"/>
  <c r="AJ107" i="38"/>
  <c r="AI122" i="38"/>
  <c r="AI121" i="38"/>
  <c r="AI120" i="38"/>
  <c r="AI119" i="38"/>
  <c r="AI118" i="38"/>
  <c r="AI117" i="38"/>
  <c r="AI116" i="38"/>
  <c r="AI111" i="38"/>
  <c r="AI110" i="38"/>
  <c r="AI109" i="38"/>
  <c r="AI108" i="38"/>
  <c r="AI107" i="38"/>
  <c r="AH122" i="38"/>
  <c r="AH121" i="38"/>
  <c r="AH120" i="38"/>
  <c r="AH119" i="38"/>
  <c r="AH118" i="38"/>
  <c r="AH116" i="38"/>
  <c r="AH115" i="38"/>
  <c r="AH111" i="38"/>
  <c r="AH110" i="38"/>
  <c r="AH109" i="38"/>
  <c r="AH108" i="38"/>
  <c r="AG122" i="38"/>
  <c r="AG121" i="38"/>
  <c r="AG120" i="38"/>
  <c r="AG119" i="38"/>
  <c r="AG118" i="38"/>
  <c r="AG116" i="38"/>
  <c r="AG111" i="38"/>
  <c r="AG110" i="38"/>
  <c r="AG109" i="38"/>
  <c r="AG108" i="38"/>
  <c r="AG107" i="38"/>
  <c r="AE122" i="38"/>
  <c r="AE121" i="38"/>
  <c r="AE120" i="38"/>
  <c r="AE119" i="38"/>
  <c r="AE118" i="38"/>
  <c r="AE117" i="38"/>
  <c r="AE116" i="38"/>
  <c r="AE115" i="38"/>
  <c r="AE124" i="38" s="1"/>
  <c r="AE111" i="38"/>
  <c r="AE110" i="38"/>
  <c r="AE109" i="38"/>
  <c r="AE108" i="38"/>
  <c r="AE107" i="38"/>
  <c r="Z122" i="38"/>
  <c r="Z121" i="38"/>
  <c r="Z119" i="38"/>
  <c r="Z118" i="38"/>
  <c r="Z117" i="38"/>
  <c r="Z116" i="38"/>
  <c r="Z111" i="38"/>
  <c r="Z110" i="38"/>
  <c r="Z109" i="38"/>
  <c r="Z108" i="38"/>
  <c r="Y122" i="38"/>
  <c r="Y121" i="38"/>
  <c r="AA121" i="38" s="1"/>
  <c r="AF121" i="38" s="1"/>
  <c r="Y120" i="38"/>
  <c r="Y119" i="38"/>
  <c r="Y118" i="38"/>
  <c r="Y117" i="38"/>
  <c r="Y116" i="38"/>
  <c r="Y111" i="38"/>
  <c r="Y110" i="38"/>
  <c r="Y109" i="38"/>
  <c r="Y108" i="38"/>
  <c r="Y107" i="38"/>
  <c r="W121" i="38"/>
  <c r="W120" i="38"/>
  <c r="W119" i="38"/>
  <c r="W118" i="38"/>
  <c r="W117" i="38"/>
  <c r="W116" i="38"/>
  <c r="W111" i="38"/>
  <c r="W110" i="38"/>
  <c r="W109" i="38"/>
  <c r="W108" i="38"/>
  <c r="W107" i="38"/>
  <c r="V122" i="38"/>
  <c r="V121" i="38"/>
  <c r="V120" i="38"/>
  <c r="V119" i="38"/>
  <c r="V118" i="38"/>
  <c r="V117" i="38"/>
  <c r="V116" i="38"/>
  <c r="V111" i="38"/>
  <c r="V110" i="38"/>
  <c r="X110" i="38" s="1"/>
  <c r="V109" i="38"/>
  <c r="V108" i="38"/>
  <c r="V107" i="38"/>
  <c r="T122" i="38"/>
  <c r="T121" i="38"/>
  <c r="T120" i="38"/>
  <c r="T119" i="38"/>
  <c r="T118" i="38"/>
  <c r="T117" i="38"/>
  <c r="T111" i="38"/>
  <c r="T110" i="38"/>
  <c r="T109" i="38"/>
  <c r="T108" i="38"/>
  <c r="T107" i="38"/>
  <c r="S122" i="38"/>
  <c r="AU122" i="38" s="1"/>
  <c r="S120" i="38"/>
  <c r="S119" i="38"/>
  <c r="S118" i="38"/>
  <c r="AU118" i="38" s="1"/>
  <c r="S117" i="38"/>
  <c r="AU117" i="38" s="1"/>
  <c r="S116" i="38"/>
  <c r="S111" i="38"/>
  <c r="U111" i="38" s="1"/>
  <c r="AS111" i="38" s="1"/>
  <c r="S110" i="38"/>
  <c r="U110" i="38" s="1"/>
  <c r="AS110" i="38" s="1"/>
  <c r="S109" i="38"/>
  <c r="S108" i="38"/>
  <c r="S107" i="38"/>
  <c r="AT107" i="38" s="1"/>
  <c r="N116" i="38"/>
  <c r="N117" i="38"/>
  <c r="AB117" i="38" s="1"/>
  <c r="N118" i="38"/>
  <c r="AB118" i="38" s="1"/>
  <c r="N119" i="38"/>
  <c r="N120" i="38"/>
  <c r="N115" i="38"/>
  <c r="N108" i="38"/>
  <c r="N109" i="38"/>
  <c r="N110" i="38"/>
  <c r="N111" i="38"/>
  <c r="AB111" i="38" s="1"/>
  <c r="R126" i="38"/>
  <c r="Q126" i="38"/>
  <c r="P126" i="38"/>
  <c r="O126" i="38"/>
  <c r="M126" i="38"/>
  <c r="K126" i="38"/>
  <c r="AK124" i="38"/>
  <c r="J124" i="38"/>
  <c r="I124" i="38"/>
  <c r="H124" i="38"/>
  <c r="G124" i="38"/>
  <c r="F124" i="38"/>
  <c r="AR122" i="38"/>
  <c r="U122" i="38"/>
  <c r="AD122" i="38" s="1"/>
  <c r="E122" i="38"/>
  <c r="L122" i="38" s="1"/>
  <c r="AR121" i="38"/>
  <c r="E121" i="38"/>
  <c r="L121" i="38" s="1"/>
  <c r="AU120" i="38"/>
  <c r="AT120" i="38"/>
  <c r="AR120" i="38"/>
  <c r="AB120" i="38"/>
  <c r="X120" i="38"/>
  <c r="E120" i="38"/>
  <c r="L120" i="38" s="1"/>
  <c r="AU119" i="38"/>
  <c r="AT119" i="38"/>
  <c r="AR119" i="38"/>
  <c r="AB119" i="38"/>
  <c r="AA119" i="38"/>
  <c r="AF119" i="38" s="1"/>
  <c r="E119" i="38"/>
  <c r="L119" i="38" s="1"/>
  <c r="AR118" i="38"/>
  <c r="AA118" i="38"/>
  <c r="AF118" i="38" s="1"/>
  <c r="E118" i="38"/>
  <c r="L118" i="38" s="1"/>
  <c r="AR117" i="38"/>
  <c r="U117" i="38"/>
  <c r="AS117" i="38" s="1"/>
  <c r="E117" i="38"/>
  <c r="L117" i="38" s="1"/>
  <c r="AU116" i="38"/>
  <c r="AT116" i="38"/>
  <c r="AR116" i="38"/>
  <c r="AB116" i="38"/>
  <c r="X116" i="38"/>
  <c r="E116" i="38"/>
  <c r="L116" i="38" s="1"/>
  <c r="AR115" i="38"/>
  <c r="AR123" i="38" s="1"/>
  <c r="E115" i="38"/>
  <c r="L115" i="38" s="1"/>
  <c r="AK113" i="38"/>
  <c r="J113" i="38"/>
  <c r="I113" i="38"/>
  <c r="H113" i="38"/>
  <c r="G113" i="38"/>
  <c r="F113" i="38"/>
  <c r="AR112" i="38"/>
  <c r="AR111" i="38"/>
  <c r="AA111" i="38"/>
  <c r="AF111" i="38" s="1"/>
  <c r="X111" i="38"/>
  <c r="L111" i="38"/>
  <c r="E111" i="38"/>
  <c r="AR110" i="38"/>
  <c r="AB110" i="38"/>
  <c r="AA110" i="38"/>
  <c r="AF110" i="38" s="1"/>
  <c r="L110" i="38"/>
  <c r="E110" i="38"/>
  <c r="AU109" i="38"/>
  <c r="AT109" i="38"/>
  <c r="AR109" i="38"/>
  <c r="AA109" i="38"/>
  <c r="AF109" i="38" s="1"/>
  <c r="X109" i="38"/>
  <c r="L109" i="38"/>
  <c r="E109" i="38"/>
  <c r="AR108" i="38"/>
  <c r="AB108" i="38"/>
  <c r="AA108" i="38"/>
  <c r="AF108" i="38" s="1"/>
  <c r="L108" i="38"/>
  <c r="E108" i="38"/>
  <c r="AU107" i="38"/>
  <c r="AR107" i="38"/>
  <c r="L107" i="38"/>
  <c r="L113" i="38" s="1"/>
  <c r="E107" i="38"/>
  <c r="E113" i="38" s="1"/>
  <c r="AK105" i="38"/>
  <c r="AK126" i="38" s="1"/>
  <c r="J105" i="38"/>
  <c r="J126" i="38" s="1"/>
  <c r="I105" i="38"/>
  <c r="I126" i="38" s="1"/>
  <c r="H105" i="38"/>
  <c r="H126" i="38" s="1"/>
  <c r="G105" i="38"/>
  <c r="G126" i="38" s="1"/>
  <c r="F105" i="38"/>
  <c r="F126" i="38" s="1"/>
  <c r="AR103" i="38"/>
  <c r="E103" i="38"/>
  <c r="L103" i="38" s="1"/>
  <c r="AR102" i="38"/>
  <c r="E102" i="38"/>
  <c r="L102" i="38" s="1"/>
  <c r="AR101" i="38"/>
  <c r="E101" i="38"/>
  <c r="L101" i="38" s="1"/>
  <c r="AR100" i="38"/>
  <c r="E100" i="38"/>
  <c r="L100" i="38" s="1"/>
  <c r="AR99" i="38"/>
  <c r="L99" i="38"/>
  <c r="E99" i="38"/>
  <c r="AR98" i="38"/>
  <c r="L98" i="38"/>
  <c r="E98" i="38"/>
  <c r="AR97" i="38"/>
  <c r="L97" i="38"/>
  <c r="E97" i="38"/>
  <c r="AR96" i="38"/>
  <c r="L96" i="38"/>
  <c r="E96" i="38"/>
  <c r="AR95" i="38"/>
  <c r="E95" i="38"/>
  <c r="L95" i="38" s="1"/>
  <c r="AR94" i="38"/>
  <c r="E94" i="38"/>
  <c r="L94" i="38" s="1"/>
  <c r="AR93" i="38"/>
  <c r="E93" i="38"/>
  <c r="L93" i="38" s="1"/>
  <c r="AR92" i="38"/>
  <c r="E92" i="38"/>
  <c r="L92" i="38" s="1"/>
  <c r="AR91" i="38"/>
  <c r="L91" i="38"/>
  <c r="E91" i="38"/>
  <c r="AR90" i="38"/>
  <c r="L90" i="38"/>
  <c r="E90" i="38"/>
  <c r="AR89" i="38"/>
  <c r="L89" i="38"/>
  <c r="E89" i="38"/>
  <c r="AR88" i="38"/>
  <c r="L88" i="38"/>
  <c r="E88" i="38"/>
  <c r="AR87" i="38"/>
  <c r="L87" i="38"/>
  <c r="E87" i="38"/>
  <c r="AR86" i="38"/>
  <c r="E86" i="38"/>
  <c r="L86" i="38" s="1"/>
  <c r="AR85" i="38"/>
  <c r="E85" i="38"/>
  <c r="L85" i="38" s="1"/>
  <c r="AR84" i="38"/>
  <c r="E84" i="38"/>
  <c r="L84" i="38" s="1"/>
  <c r="AR83" i="38"/>
  <c r="L83" i="38"/>
  <c r="E83" i="38"/>
  <c r="AR82" i="38"/>
  <c r="E82" i="38"/>
  <c r="L82" i="38" s="1"/>
  <c r="AR81" i="38"/>
  <c r="L81" i="38"/>
  <c r="E81" i="38"/>
  <c r="AR80" i="38"/>
  <c r="E80" i="38"/>
  <c r="L80" i="38" s="1"/>
  <c r="AR79" i="38"/>
  <c r="E79" i="38"/>
  <c r="L79" i="38" s="1"/>
  <c r="AR78" i="38"/>
  <c r="E78" i="38"/>
  <c r="L78" i="38" s="1"/>
  <c r="AR77" i="38"/>
  <c r="L77" i="38"/>
  <c r="E77" i="38"/>
  <c r="AR76" i="38"/>
  <c r="E76" i="38"/>
  <c r="L76" i="38" s="1"/>
  <c r="AR75" i="38"/>
  <c r="E75" i="38"/>
  <c r="L75" i="38" s="1"/>
  <c r="AR74" i="38"/>
  <c r="E74" i="38"/>
  <c r="L74" i="38" s="1"/>
  <c r="AR73" i="38"/>
  <c r="E73" i="38"/>
  <c r="L73" i="38" s="1"/>
  <c r="AR72" i="38"/>
  <c r="L72" i="38"/>
  <c r="E72" i="38"/>
  <c r="AR71" i="38"/>
  <c r="L71" i="38"/>
  <c r="E71" i="38"/>
  <c r="AR70" i="38"/>
  <c r="E70" i="38"/>
  <c r="L70" i="38" s="1"/>
  <c r="AR69" i="38"/>
  <c r="E69" i="38"/>
  <c r="L69" i="38" s="1"/>
  <c r="AR68" i="38"/>
  <c r="E68" i="38"/>
  <c r="L68" i="38" s="1"/>
  <c r="AR67" i="38"/>
  <c r="E67" i="38"/>
  <c r="L67" i="38" s="1"/>
  <c r="AR66" i="38"/>
  <c r="E66" i="38"/>
  <c r="L66" i="38" s="1"/>
  <c r="AR65" i="38"/>
  <c r="E65" i="38"/>
  <c r="L65" i="38" s="1"/>
  <c r="AR64" i="38"/>
  <c r="L64" i="38"/>
  <c r="E64" i="38"/>
  <c r="AR63" i="38"/>
  <c r="L63" i="38"/>
  <c r="E63" i="38"/>
  <c r="AR62" i="38"/>
  <c r="E62" i="38"/>
  <c r="L62" i="38" s="1"/>
  <c r="AR61" i="38"/>
  <c r="E61" i="38"/>
  <c r="L61" i="38" s="1"/>
  <c r="AR60" i="38"/>
  <c r="E60" i="38"/>
  <c r="L60" i="38" s="1"/>
  <c r="AR59" i="38"/>
  <c r="E59" i="38"/>
  <c r="L59" i="38" s="1"/>
  <c r="AR58" i="38"/>
  <c r="E58" i="38"/>
  <c r="L58" i="38" s="1"/>
  <c r="AR57" i="38"/>
  <c r="E57" i="38"/>
  <c r="L57" i="38" s="1"/>
  <c r="AR56" i="38"/>
  <c r="L56" i="38"/>
  <c r="E56" i="38"/>
  <c r="AR55" i="38"/>
  <c r="L55" i="38"/>
  <c r="E55" i="38"/>
  <c r="AR54" i="38"/>
  <c r="E54" i="38"/>
  <c r="L54" i="38" s="1"/>
  <c r="AR53" i="38"/>
  <c r="E53" i="38"/>
  <c r="L53" i="38" s="1"/>
  <c r="AR52" i="38"/>
  <c r="E52" i="38"/>
  <c r="L52" i="38" s="1"/>
  <c r="AR51" i="38"/>
  <c r="E51" i="38"/>
  <c r="L51" i="38" s="1"/>
  <c r="AR50" i="38"/>
  <c r="E50" i="38"/>
  <c r="L50" i="38" s="1"/>
  <c r="AR49" i="38"/>
  <c r="E49" i="38"/>
  <c r="L49" i="38" s="1"/>
  <c r="AR48" i="38"/>
  <c r="L48" i="38"/>
  <c r="E48" i="38"/>
  <c r="AR47" i="38"/>
  <c r="L47" i="38"/>
  <c r="E47" i="38"/>
  <c r="AR46" i="38"/>
  <c r="E46" i="38"/>
  <c r="L46" i="38" s="1"/>
  <c r="AR45" i="38"/>
  <c r="E45" i="38"/>
  <c r="L45" i="38" s="1"/>
  <c r="AR44" i="38"/>
  <c r="E44" i="38"/>
  <c r="L44" i="38" s="1"/>
  <c r="AR43" i="38"/>
  <c r="E43" i="38"/>
  <c r="L43" i="38" s="1"/>
  <c r="AR42" i="38"/>
  <c r="E42" i="38"/>
  <c r="L42" i="38" s="1"/>
  <c r="AR41" i="38"/>
  <c r="L41" i="38"/>
  <c r="E41" i="38"/>
  <c r="AR40" i="38"/>
  <c r="E40" i="38"/>
  <c r="L40" i="38" s="1"/>
  <c r="AR39" i="38"/>
  <c r="E39" i="38"/>
  <c r="L39" i="38" s="1"/>
  <c r="AR38" i="38"/>
  <c r="E38" i="38"/>
  <c r="L38" i="38" s="1"/>
  <c r="AR37" i="38"/>
  <c r="E37" i="38"/>
  <c r="L37" i="38" s="1"/>
  <c r="AR36" i="38"/>
  <c r="E36" i="38"/>
  <c r="L36" i="38" s="1"/>
  <c r="AR35" i="38"/>
  <c r="E35" i="38"/>
  <c r="L35" i="38" s="1"/>
  <c r="AR34" i="38"/>
  <c r="E34" i="38"/>
  <c r="L34" i="38" s="1"/>
  <c r="AR33" i="38"/>
  <c r="L33" i="38"/>
  <c r="E33" i="38"/>
  <c r="AR32" i="38"/>
  <c r="E32" i="38"/>
  <c r="L32" i="38" s="1"/>
  <c r="AR31" i="38"/>
  <c r="L31" i="38"/>
  <c r="E31" i="38"/>
  <c r="AR30" i="38"/>
  <c r="E30" i="38"/>
  <c r="L30" i="38" s="1"/>
  <c r="AR29" i="38"/>
  <c r="E29" i="38"/>
  <c r="L29" i="38" s="1"/>
  <c r="AR28" i="38"/>
  <c r="E28" i="38"/>
  <c r="L28" i="38" s="1"/>
  <c r="AR27" i="38"/>
  <c r="E27" i="38"/>
  <c r="L27" i="38" s="1"/>
  <c r="AR26" i="38"/>
  <c r="E26" i="38"/>
  <c r="L26" i="38" s="1"/>
  <c r="AR25" i="38"/>
  <c r="E25" i="38"/>
  <c r="L25" i="38" s="1"/>
  <c r="AR24" i="38"/>
  <c r="E24" i="38"/>
  <c r="L24" i="38" s="1"/>
  <c r="AR23" i="38"/>
  <c r="E23" i="38"/>
  <c r="L23" i="38" s="1"/>
  <c r="AR22" i="38"/>
  <c r="L22" i="38"/>
  <c r="E22" i="38"/>
  <c r="AR21" i="38"/>
  <c r="E21" i="38"/>
  <c r="L21" i="38" s="1"/>
  <c r="AR20" i="38"/>
  <c r="E20" i="38"/>
  <c r="L20" i="38" s="1"/>
  <c r="AR19" i="38"/>
  <c r="E19" i="38"/>
  <c r="L19" i="38" s="1"/>
  <c r="AR18" i="38"/>
  <c r="E18" i="38"/>
  <c r="L18" i="38" s="1"/>
  <c r="AR17" i="38"/>
  <c r="E17" i="38"/>
  <c r="L17" i="38" s="1"/>
  <c r="AR16" i="38"/>
  <c r="E16" i="38"/>
  <c r="L16" i="38" s="1"/>
  <c r="AR15" i="38"/>
  <c r="E15" i="38"/>
  <c r="L15" i="38" s="1"/>
  <c r="AR14" i="38"/>
  <c r="L14" i="38"/>
  <c r="E14" i="38"/>
  <c r="AR13" i="38"/>
  <c r="E13" i="38"/>
  <c r="L13" i="38" s="1"/>
  <c r="AR12" i="38"/>
  <c r="E12" i="38"/>
  <c r="L12" i="38" s="1"/>
  <c r="AR11" i="38"/>
  <c r="E11" i="38"/>
  <c r="L11" i="38" s="1"/>
  <c r="AR10" i="38"/>
  <c r="E10" i="38"/>
  <c r="L10" i="38" s="1"/>
  <c r="AR9" i="38"/>
  <c r="E9" i="38"/>
  <c r="L9" i="38" s="1"/>
  <c r="AR8" i="38"/>
  <c r="E8" i="38"/>
  <c r="L8" i="38" s="1"/>
  <c r="AR7" i="38"/>
  <c r="AR104" i="38" s="1"/>
  <c r="E7" i="38"/>
  <c r="L7" i="38" s="1"/>
  <c r="AR6" i="38"/>
  <c r="E6" i="38"/>
  <c r="L6" i="38" s="1"/>
  <c r="AR5" i="38"/>
  <c r="E5" i="38"/>
  <c r="L5" i="38" s="1"/>
  <c r="AR4" i="38"/>
  <c r="E4" i="38"/>
  <c r="L4" i="38" s="1"/>
  <c r="AR3" i="38"/>
  <c r="E3" i="38"/>
  <c r="T39" i="3"/>
  <c r="V39" i="3"/>
  <c r="AD39" i="3"/>
  <c r="G91" i="61" l="1"/>
  <c r="G69" i="61"/>
  <c r="G47" i="61"/>
  <c r="F73" i="63"/>
  <c r="E74" i="63"/>
  <c r="G26" i="55"/>
  <c r="F96" i="61"/>
  <c r="E97" i="61"/>
  <c r="E102" i="61"/>
  <c r="F102" i="61" s="1"/>
  <c r="M70" i="61"/>
  <c r="L71" i="61"/>
  <c r="E71" i="61"/>
  <c r="F70" i="61"/>
  <c r="L102" i="61"/>
  <c r="M102" i="61" s="1"/>
  <c r="G102" i="61" s="1"/>
  <c r="M96" i="61"/>
  <c r="L97" i="61"/>
  <c r="G45" i="53"/>
  <c r="G42" i="53"/>
  <c r="F45" i="53"/>
  <c r="E46" i="53"/>
  <c r="M57" i="55"/>
  <c r="L58" i="55"/>
  <c r="E58" i="55"/>
  <c r="F57" i="55"/>
  <c r="F83" i="55"/>
  <c r="E84" i="55"/>
  <c r="L84" i="55"/>
  <c r="M83" i="55"/>
  <c r="M46" i="53"/>
  <c r="G46" i="53" s="1"/>
  <c r="L47" i="53"/>
  <c r="L44" i="50"/>
  <c r="M43" i="50"/>
  <c r="F43" i="48"/>
  <c r="E44" i="48"/>
  <c r="L45" i="48"/>
  <c r="M44" i="48"/>
  <c r="G18" i="46"/>
  <c r="E35" i="47"/>
  <c r="F34" i="47"/>
  <c r="M34" i="47"/>
  <c r="L35" i="47"/>
  <c r="M25" i="46"/>
  <c r="L26" i="46"/>
  <c r="F25" i="46"/>
  <c r="E26" i="46"/>
  <c r="G11" i="44"/>
  <c r="G7" i="44"/>
  <c r="E16" i="45"/>
  <c r="F15" i="45"/>
  <c r="M14" i="45"/>
  <c r="L15" i="45"/>
  <c r="L14" i="44"/>
  <c r="M13" i="44"/>
  <c r="G4" i="44" s="1"/>
  <c r="F12" i="44"/>
  <c r="E13" i="44"/>
  <c r="AG113" i="35"/>
  <c r="AA122" i="38"/>
  <c r="T113" i="35"/>
  <c r="U119" i="38"/>
  <c r="AS119" i="38" s="1"/>
  <c r="U116" i="38"/>
  <c r="AS116" i="38" s="1"/>
  <c r="X122" i="38"/>
  <c r="AA120" i="38"/>
  <c r="AF120" i="38" s="1"/>
  <c r="AE124" i="35"/>
  <c r="AE113" i="35"/>
  <c r="S113" i="35"/>
  <c r="Z113" i="35"/>
  <c r="U109" i="38"/>
  <c r="Y113" i="35"/>
  <c r="AT121" i="38"/>
  <c r="U121" i="38"/>
  <c r="AS121" i="38" s="1"/>
  <c r="AU121" i="38"/>
  <c r="U120" i="38"/>
  <c r="AD120" i="38" s="1"/>
  <c r="T124" i="35"/>
  <c r="W124" i="35"/>
  <c r="X121" i="38"/>
  <c r="AA116" i="38"/>
  <c r="AF116" i="38" s="1"/>
  <c r="S124" i="35"/>
  <c r="Z124" i="38"/>
  <c r="AG124" i="35"/>
  <c r="V113" i="35"/>
  <c r="Z107" i="38"/>
  <c r="W113" i="35"/>
  <c r="S105" i="35"/>
  <c r="AG105" i="35"/>
  <c r="V105" i="35"/>
  <c r="T105" i="35"/>
  <c r="AE105" i="35"/>
  <c r="AE126" i="35" s="1"/>
  <c r="AM113" i="35"/>
  <c r="AM124" i="35"/>
  <c r="AM105" i="35"/>
  <c r="AJ105" i="35"/>
  <c r="AJ126" i="35" s="1"/>
  <c r="AI105" i="35"/>
  <c r="AI126" i="35" s="1"/>
  <c r="AH105" i="35"/>
  <c r="AH126" i="35" s="1"/>
  <c r="AM115" i="38"/>
  <c r="AM124" i="38" s="1"/>
  <c r="AM113" i="38"/>
  <c r="AK126" i="35"/>
  <c r="AJ115" i="38"/>
  <c r="AU108" i="38"/>
  <c r="AI113" i="38"/>
  <c r="AH117" i="38"/>
  <c r="AH107" i="38"/>
  <c r="AG115" i="38"/>
  <c r="AG124" i="38" s="1"/>
  <c r="AG113" i="38"/>
  <c r="Y124" i="38"/>
  <c r="AA115" i="38"/>
  <c r="Y113" i="38"/>
  <c r="W115" i="38"/>
  <c r="X115" i="38" s="1"/>
  <c r="X119" i="38"/>
  <c r="W113" i="38"/>
  <c r="W126" i="35"/>
  <c r="X118" i="38"/>
  <c r="V124" i="35"/>
  <c r="V126" i="35" s="1"/>
  <c r="X108" i="38"/>
  <c r="AS109" i="38"/>
  <c r="AD109" i="38"/>
  <c r="T113" i="38"/>
  <c r="AT111" i="38"/>
  <c r="S115" i="38"/>
  <c r="S126" i="35"/>
  <c r="AU111" i="38"/>
  <c r="AT122" i="38"/>
  <c r="N124" i="38"/>
  <c r="AB115" i="38"/>
  <c r="N113" i="38"/>
  <c r="AJ124" i="38"/>
  <c r="AJ113" i="38"/>
  <c r="AJ105" i="38"/>
  <c r="AI105" i="38"/>
  <c r="AI126" i="38" s="1"/>
  <c r="AI124" i="38"/>
  <c r="AH105" i="38"/>
  <c r="AH126" i="38" s="1"/>
  <c r="AH124" i="38"/>
  <c r="AH113" i="38"/>
  <c r="AE113" i="38"/>
  <c r="W124" i="38"/>
  <c r="V124" i="38"/>
  <c r="V113" i="38"/>
  <c r="T124" i="38"/>
  <c r="AD116" i="38"/>
  <c r="AT110" i="38"/>
  <c r="AU110" i="38"/>
  <c r="AT117" i="38"/>
  <c r="AA117" i="38"/>
  <c r="X117" i="38"/>
  <c r="X107" i="38"/>
  <c r="AD119" i="38"/>
  <c r="AQ122" i="38"/>
  <c r="AW122" i="38" s="1"/>
  <c r="AQ119" i="38"/>
  <c r="AW119" i="38" s="1"/>
  <c r="AQ120" i="38"/>
  <c r="AW120" i="38" s="1"/>
  <c r="AD111" i="38"/>
  <c r="AQ116" i="38"/>
  <c r="AW116" i="38" s="1"/>
  <c r="AS122" i="38"/>
  <c r="U108" i="38"/>
  <c r="AQ108" i="38" s="1"/>
  <c r="AT108" i="38"/>
  <c r="AT112" i="38" s="1"/>
  <c r="U118" i="38"/>
  <c r="AS120" i="38"/>
  <c r="AD117" i="38"/>
  <c r="AT118" i="38"/>
  <c r="AQ117" i="38"/>
  <c r="AW117" i="38" s="1"/>
  <c r="S113" i="38"/>
  <c r="AD110" i="38"/>
  <c r="U107" i="38"/>
  <c r="AQ107" i="38" s="1"/>
  <c r="AB124" i="38"/>
  <c r="AB109" i="38"/>
  <c r="AB113" i="38" s="1"/>
  <c r="E105" i="38"/>
  <c r="L3" i="38"/>
  <c r="L105" i="38" s="1"/>
  <c r="L124" i="38"/>
  <c r="E124" i="38"/>
  <c r="AF115" i="38"/>
  <c r="AF117" i="38"/>
  <c r="AF122" i="38"/>
  <c r="AQ109" i="38"/>
  <c r="AW109" i="38" s="1"/>
  <c r="AQ110" i="38"/>
  <c r="AW110" i="38" s="1"/>
  <c r="AQ111" i="38"/>
  <c r="AW111" i="38" s="1"/>
  <c r="Z15" i="3"/>
  <c r="Z13" i="3"/>
  <c r="X13" i="3"/>
  <c r="W13" i="3"/>
  <c r="U13" i="3"/>
  <c r="S13" i="3"/>
  <c r="R13" i="3"/>
  <c r="Q13" i="3"/>
  <c r="P13" i="3"/>
  <c r="N13" i="3"/>
  <c r="M13" i="3"/>
  <c r="K13" i="3"/>
  <c r="J13" i="3"/>
  <c r="I13" i="3"/>
  <c r="H13" i="3"/>
  <c r="G13" i="3"/>
  <c r="Z12" i="3"/>
  <c r="X12" i="3"/>
  <c r="W12" i="3"/>
  <c r="S12" i="3"/>
  <c r="G12" i="3"/>
  <c r="Z11" i="3"/>
  <c r="X11" i="3"/>
  <c r="W11" i="3"/>
  <c r="S11" i="3"/>
  <c r="G11" i="3"/>
  <c r="AI6" i="34"/>
  <c r="G94" i="61" l="1"/>
  <c r="G70" i="61"/>
  <c r="G52" i="61"/>
  <c r="F74" i="63"/>
  <c r="E75" i="63"/>
  <c r="F75" i="63" s="1"/>
  <c r="G30" i="55"/>
  <c r="E72" i="61"/>
  <c r="F71" i="61"/>
  <c r="M71" i="61"/>
  <c r="L72" i="61"/>
  <c r="L103" i="61"/>
  <c r="M103" i="61" s="1"/>
  <c r="G103" i="61" s="1"/>
  <c r="M97" i="61"/>
  <c r="L98" i="61"/>
  <c r="F97" i="61"/>
  <c r="E98" i="61"/>
  <c r="E103" i="61"/>
  <c r="F103" i="61" s="1"/>
  <c r="F46" i="53"/>
  <c r="E47" i="53"/>
  <c r="M84" i="55"/>
  <c r="G84" i="55" s="1"/>
  <c r="L85" i="55"/>
  <c r="F84" i="55"/>
  <c r="E85" i="55"/>
  <c r="E59" i="55"/>
  <c r="F58" i="55"/>
  <c r="L59" i="55"/>
  <c r="M58" i="55"/>
  <c r="M47" i="53"/>
  <c r="L48" i="53"/>
  <c r="G43" i="50"/>
  <c r="G34" i="50"/>
  <c r="M44" i="50"/>
  <c r="G44" i="50" s="1"/>
  <c r="L45" i="50"/>
  <c r="M45" i="48"/>
  <c r="G45" i="48" s="1"/>
  <c r="L46" i="48"/>
  <c r="F44" i="48"/>
  <c r="E45" i="48"/>
  <c r="G9" i="46"/>
  <c r="L36" i="47"/>
  <c r="L39" i="47"/>
  <c r="M35" i="47"/>
  <c r="E36" i="47"/>
  <c r="E39" i="47"/>
  <c r="F35" i="47"/>
  <c r="G14" i="45"/>
  <c r="G7" i="45"/>
  <c r="F26" i="46"/>
  <c r="E27" i="46"/>
  <c r="L27" i="46"/>
  <c r="M26" i="46"/>
  <c r="M15" i="45"/>
  <c r="L16" i="45"/>
  <c r="F16" i="45"/>
  <c r="E17" i="45"/>
  <c r="F13" i="44"/>
  <c r="E14" i="44"/>
  <c r="L15" i="44"/>
  <c r="M14" i="44"/>
  <c r="AM126" i="35"/>
  <c r="AT115" i="38"/>
  <c r="AD121" i="38"/>
  <c r="AQ121" i="38"/>
  <c r="AW121" i="38" s="1"/>
  <c r="S124" i="38"/>
  <c r="AU124" i="38" s="1"/>
  <c r="T126" i="35"/>
  <c r="AA124" i="38"/>
  <c r="AF124" i="38" s="1"/>
  <c r="Z113" i="38"/>
  <c r="AA107" i="38"/>
  <c r="AJ126" i="38"/>
  <c r="AU113" i="38"/>
  <c r="X124" i="38"/>
  <c r="U113" i="38"/>
  <c r="AT123" i="38"/>
  <c r="AU115" i="38"/>
  <c r="AU123" i="38" s="1"/>
  <c r="U115" i="38"/>
  <c r="AU112" i="38"/>
  <c r="X113" i="38"/>
  <c r="AD118" i="38"/>
  <c r="AQ118" i="38"/>
  <c r="AW118" i="38" s="1"/>
  <c r="AS118" i="38"/>
  <c r="AS108" i="38"/>
  <c r="AD108" i="38"/>
  <c r="AS107" i="38"/>
  <c r="AD107" i="38"/>
  <c r="U124" i="38"/>
  <c r="L126" i="38"/>
  <c r="E126" i="38"/>
  <c r="AQ112" i="38"/>
  <c r="AW107" i="38"/>
  <c r="G97" i="61" l="1"/>
  <c r="G95" i="61"/>
  <c r="G71" i="61"/>
  <c r="G54" i="61"/>
  <c r="G31" i="55"/>
  <c r="L104" i="61"/>
  <c r="M104" i="61" s="1"/>
  <c r="M98" i="61"/>
  <c r="M72" i="61"/>
  <c r="L73" i="61"/>
  <c r="E104" i="61"/>
  <c r="F104" i="61" s="1"/>
  <c r="F98" i="61"/>
  <c r="E73" i="61"/>
  <c r="F72" i="61"/>
  <c r="E48" i="53"/>
  <c r="F47" i="53"/>
  <c r="L60" i="55"/>
  <c r="M59" i="55"/>
  <c r="F59" i="55"/>
  <c r="E60" i="55"/>
  <c r="F85" i="55"/>
  <c r="E86" i="55"/>
  <c r="L86" i="55"/>
  <c r="M85" i="55"/>
  <c r="M48" i="53"/>
  <c r="G48" i="53" s="1"/>
  <c r="L49" i="53"/>
  <c r="M45" i="50"/>
  <c r="G45" i="50" s="1"/>
  <c r="L46" i="50"/>
  <c r="F45" i="48"/>
  <c r="E46" i="48"/>
  <c r="M46" i="48"/>
  <c r="G46" i="48" s="1"/>
  <c r="L47" i="48"/>
  <c r="E40" i="47"/>
  <c r="F39" i="47"/>
  <c r="F36" i="47"/>
  <c r="E37" i="47"/>
  <c r="L40" i="47"/>
  <c r="M39" i="47"/>
  <c r="L37" i="47"/>
  <c r="M36" i="47"/>
  <c r="G12" i="45"/>
  <c r="L28" i="46"/>
  <c r="M27" i="46"/>
  <c r="G27" i="46" s="1"/>
  <c r="E28" i="46"/>
  <c r="F27" i="46"/>
  <c r="F17" i="45"/>
  <c r="E18" i="45"/>
  <c r="M16" i="45"/>
  <c r="L17" i="45"/>
  <c r="L16" i="44"/>
  <c r="M15" i="44"/>
  <c r="G13" i="44" s="1"/>
  <c r="F14" i="44"/>
  <c r="E15" i="44"/>
  <c r="AA113" i="38"/>
  <c r="AF113" i="38" s="1"/>
  <c r="AF107" i="38"/>
  <c r="AS115" i="38"/>
  <c r="AS123" i="38" s="1"/>
  <c r="AD115" i="38"/>
  <c r="AQ115" i="38"/>
  <c r="AS112" i="38"/>
  <c r="AD113" i="38"/>
  <c r="G72" i="61" l="1"/>
  <c r="G56" i="61"/>
  <c r="G98" i="61"/>
  <c r="G96" i="61"/>
  <c r="G104" i="61"/>
  <c r="G41" i="61"/>
  <c r="G59" i="55"/>
  <c r="G32" i="55"/>
  <c r="F73" i="61"/>
  <c r="E74" i="61"/>
  <c r="M73" i="61"/>
  <c r="L74" i="61"/>
  <c r="E49" i="53"/>
  <c r="F48" i="53"/>
  <c r="L87" i="55"/>
  <c r="M86" i="55"/>
  <c r="E87" i="55"/>
  <c r="F86" i="55"/>
  <c r="F60" i="55"/>
  <c r="E61" i="55"/>
  <c r="M60" i="55"/>
  <c r="L61" i="55"/>
  <c r="L76" i="53"/>
  <c r="M49" i="53"/>
  <c r="G49" i="53" s="1"/>
  <c r="L50" i="53"/>
  <c r="M46" i="50"/>
  <c r="G46" i="50" s="1"/>
  <c r="L47" i="50"/>
  <c r="M47" i="48"/>
  <c r="L48" i="48"/>
  <c r="E47" i="48"/>
  <c r="F46" i="48"/>
  <c r="M37" i="47"/>
  <c r="L38" i="47"/>
  <c r="M38" i="47" s="1"/>
  <c r="F37" i="47"/>
  <c r="E38" i="47"/>
  <c r="F38" i="47" s="1"/>
  <c r="M40" i="47"/>
  <c r="G40" i="47" s="1"/>
  <c r="L41" i="47"/>
  <c r="E41" i="47"/>
  <c r="F40" i="47"/>
  <c r="E29" i="46"/>
  <c r="F28" i="46"/>
  <c r="L29" i="46"/>
  <c r="M28" i="46"/>
  <c r="G28" i="46" s="1"/>
  <c r="L18" i="45"/>
  <c r="M17" i="45"/>
  <c r="G17" i="45" s="1"/>
  <c r="F18" i="45"/>
  <c r="E19" i="45"/>
  <c r="G12" i="44"/>
  <c r="F15" i="44"/>
  <c r="E16" i="44"/>
  <c r="L17" i="44"/>
  <c r="M16" i="44"/>
  <c r="AD124" i="38"/>
  <c r="AW115" i="38"/>
  <c r="AW123" i="38" s="1"/>
  <c r="AQ123" i="38"/>
  <c r="G73" i="61" l="1"/>
  <c r="G57" i="61"/>
  <c r="G33" i="55"/>
  <c r="G77" i="55"/>
  <c r="M74" i="61"/>
  <c r="L75" i="61"/>
  <c r="M75" i="61" s="1"/>
  <c r="F74" i="61"/>
  <c r="E75" i="61"/>
  <c r="F75" i="61" s="1"/>
  <c r="E50" i="53"/>
  <c r="F49" i="53"/>
  <c r="E76" i="53"/>
  <c r="L62" i="55"/>
  <c r="M61" i="55"/>
  <c r="F61" i="55"/>
  <c r="E62" i="55"/>
  <c r="E88" i="55"/>
  <c r="F87" i="55"/>
  <c r="M87" i="55"/>
  <c r="L88" i="55"/>
  <c r="M50" i="53"/>
  <c r="G50" i="53" s="1"/>
  <c r="L51" i="53"/>
  <c r="L77" i="53"/>
  <c r="M76" i="53"/>
  <c r="G76" i="53" s="1"/>
  <c r="M47" i="50"/>
  <c r="L48" i="50"/>
  <c r="G28" i="47"/>
  <c r="E48" i="48"/>
  <c r="F47" i="48"/>
  <c r="M48" i="48"/>
  <c r="L49" i="48"/>
  <c r="F41" i="47"/>
  <c r="E42" i="47"/>
  <c r="M41" i="47"/>
  <c r="G41" i="47" s="1"/>
  <c r="L42" i="47"/>
  <c r="M29" i="46"/>
  <c r="G29" i="46" s="1"/>
  <c r="L30" i="46"/>
  <c r="F29" i="46"/>
  <c r="E30" i="46"/>
  <c r="F19" i="45"/>
  <c r="E20" i="45"/>
  <c r="L19" i="45"/>
  <c r="M18" i="45"/>
  <c r="M17" i="44"/>
  <c r="G9" i="44" s="1"/>
  <c r="L18" i="44"/>
  <c r="F16" i="44"/>
  <c r="E17" i="44"/>
  <c r="V9" i="3"/>
  <c r="G75" i="61" l="1"/>
  <c r="G59" i="61"/>
  <c r="G74" i="61"/>
  <c r="G58" i="61"/>
  <c r="G61" i="55"/>
  <c r="G35" i="55"/>
  <c r="G83" i="55"/>
  <c r="F76" i="53"/>
  <c r="E77" i="53"/>
  <c r="E51" i="53"/>
  <c r="F50" i="53"/>
  <c r="M88" i="55"/>
  <c r="L89" i="55"/>
  <c r="F88" i="55"/>
  <c r="E89" i="55"/>
  <c r="E63" i="55"/>
  <c r="F62" i="55"/>
  <c r="L63" i="55"/>
  <c r="M62" i="55"/>
  <c r="G48" i="48"/>
  <c r="G41" i="48"/>
  <c r="M77" i="53"/>
  <c r="L78" i="53"/>
  <c r="L52" i="53"/>
  <c r="M51" i="53"/>
  <c r="G51" i="53" s="1"/>
  <c r="M48" i="50"/>
  <c r="G48" i="50" s="1"/>
  <c r="L49" i="50"/>
  <c r="L76" i="48"/>
  <c r="M49" i="48"/>
  <c r="L50" i="48"/>
  <c r="E49" i="48"/>
  <c r="F48" i="48"/>
  <c r="M42" i="47"/>
  <c r="L43" i="47"/>
  <c r="E43" i="47"/>
  <c r="F42" i="47"/>
  <c r="E31" i="46"/>
  <c r="F30" i="46"/>
  <c r="M30" i="46"/>
  <c r="L31" i="46"/>
  <c r="L20" i="45"/>
  <c r="M19" i="45"/>
  <c r="F20" i="45"/>
  <c r="E21" i="45"/>
  <c r="G14" i="44"/>
  <c r="G17" i="44"/>
  <c r="E18" i="44"/>
  <c r="F17" i="44"/>
  <c r="M18" i="44"/>
  <c r="L19" i="44"/>
  <c r="N100" i="35"/>
  <c r="N102" i="35"/>
  <c r="AS99" i="31"/>
  <c r="Z105" i="31"/>
  <c r="N15" i="3" s="1"/>
  <c r="AN99" i="31"/>
  <c r="AQ99" i="31"/>
  <c r="AW99" i="31" s="1"/>
  <c r="AR99" i="31"/>
  <c r="AT99" i="31"/>
  <c r="AU99" i="31"/>
  <c r="AQ100" i="31"/>
  <c r="AW100" i="31" s="1"/>
  <c r="AN100" i="31"/>
  <c r="AR100" i="31"/>
  <c r="AT100" i="31"/>
  <c r="AU100" i="31"/>
  <c r="AQ101" i="31"/>
  <c r="AW101" i="31" s="1"/>
  <c r="AN101" i="31"/>
  <c r="AR101" i="31"/>
  <c r="AS101" i="31"/>
  <c r="AT101" i="31"/>
  <c r="AU101" i="31"/>
  <c r="AQ102" i="31"/>
  <c r="AW102" i="31" s="1"/>
  <c r="AN102" i="31"/>
  <c r="AR102" i="31"/>
  <c r="AT102" i="31"/>
  <c r="AU102" i="31"/>
  <c r="AN103" i="31"/>
  <c r="AR103" i="31"/>
  <c r="AT103" i="31"/>
  <c r="AU103" i="31"/>
  <c r="L99" i="35"/>
  <c r="N99" i="35"/>
  <c r="U99" i="35"/>
  <c r="AQ99" i="35" s="1"/>
  <c r="AW99" i="35" s="1"/>
  <c r="X99" i="35"/>
  <c r="AL99" i="35"/>
  <c r="AR99" i="35"/>
  <c r="AT99" i="35"/>
  <c r="AU99" i="35"/>
  <c r="L100" i="35"/>
  <c r="U100" i="35"/>
  <c r="AQ100" i="35" s="1"/>
  <c r="AW100" i="35" s="1"/>
  <c r="X100" i="35"/>
  <c r="AL100" i="35"/>
  <c r="AR100" i="35"/>
  <c r="AT100" i="35"/>
  <c r="AU100" i="35"/>
  <c r="L101" i="35"/>
  <c r="L105" i="35" s="1"/>
  <c r="N101" i="35"/>
  <c r="AB101" i="38" s="1"/>
  <c r="U101" i="35"/>
  <c r="AS101" i="35" s="1"/>
  <c r="X101" i="35"/>
  <c r="AL101" i="35"/>
  <c r="AR101" i="35"/>
  <c r="AT101" i="35"/>
  <c r="AU101" i="35"/>
  <c r="L102" i="35"/>
  <c r="U102" i="35"/>
  <c r="R102" i="35" s="1"/>
  <c r="X102" i="35"/>
  <c r="AL102" i="35"/>
  <c r="AR102" i="35"/>
  <c r="AT102" i="35"/>
  <c r="AU102" i="35"/>
  <c r="L103" i="35"/>
  <c r="N103" i="35"/>
  <c r="U103" i="35"/>
  <c r="AQ103" i="35" s="1"/>
  <c r="AW103" i="35" s="1"/>
  <c r="X103" i="35"/>
  <c r="AL103" i="35"/>
  <c r="AR103" i="35"/>
  <c r="AT103" i="35"/>
  <c r="AU103" i="35"/>
  <c r="E99" i="31"/>
  <c r="L99" i="31" s="1"/>
  <c r="E100" i="31"/>
  <c r="L100" i="31" s="1"/>
  <c r="E101" i="31"/>
  <c r="L101" i="31" s="1"/>
  <c r="E102" i="31"/>
  <c r="L102" i="31" s="1"/>
  <c r="E103" i="31"/>
  <c r="L103" i="31" s="1"/>
  <c r="J105" i="35"/>
  <c r="I105" i="35"/>
  <c r="H105" i="35"/>
  <c r="G105" i="35"/>
  <c r="F105" i="35"/>
  <c r="E105" i="35"/>
  <c r="E99" i="35"/>
  <c r="E100" i="35"/>
  <c r="E101" i="35"/>
  <c r="E102" i="35"/>
  <c r="E103" i="35"/>
  <c r="AM105" i="31"/>
  <c r="U15" i="3" s="1"/>
  <c r="AK105" i="31"/>
  <c r="AJ105" i="31"/>
  <c r="AI105" i="31"/>
  <c r="X15" i="3" s="1"/>
  <c r="AH105" i="31"/>
  <c r="W15" i="3" s="1"/>
  <c r="AG105" i="31"/>
  <c r="Q15" i="3" s="1"/>
  <c r="AE105" i="31"/>
  <c r="R15" i="3" s="1"/>
  <c r="W105" i="31"/>
  <c r="K15" i="3" s="1"/>
  <c r="V105" i="31"/>
  <c r="J15" i="3" s="1"/>
  <c r="T105" i="31"/>
  <c r="I15" i="3" s="1"/>
  <c r="S105" i="31"/>
  <c r="H15" i="3" s="1"/>
  <c r="N105" i="31"/>
  <c r="G15" i="3" s="1"/>
  <c r="G62" i="55" l="1"/>
  <c r="G36" i="55"/>
  <c r="G88" i="55"/>
  <c r="G85" i="55"/>
  <c r="E52" i="53"/>
  <c r="F51" i="53"/>
  <c r="E78" i="53"/>
  <c r="F77" i="53"/>
  <c r="M63" i="55"/>
  <c r="L64" i="55"/>
  <c r="F63" i="55"/>
  <c r="E64" i="55"/>
  <c r="E90" i="55"/>
  <c r="F89" i="55"/>
  <c r="M89" i="55"/>
  <c r="L90" i="55"/>
  <c r="G49" i="48"/>
  <c r="G44" i="48"/>
  <c r="L53" i="53"/>
  <c r="M52" i="53"/>
  <c r="M78" i="53"/>
  <c r="G78" i="53" s="1"/>
  <c r="L79" i="53"/>
  <c r="L76" i="50"/>
  <c r="M49" i="50"/>
  <c r="L50" i="50"/>
  <c r="G34" i="47"/>
  <c r="F49" i="48"/>
  <c r="E50" i="48"/>
  <c r="E76" i="48"/>
  <c r="L51" i="48"/>
  <c r="M50" i="48"/>
  <c r="G50" i="48" s="1"/>
  <c r="L77" i="48"/>
  <c r="M76" i="48"/>
  <c r="E44" i="47"/>
  <c r="F43" i="47"/>
  <c r="L44" i="47"/>
  <c r="M43" i="47"/>
  <c r="G43" i="47" s="1"/>
  <c r="G19" i="45"/>
  <c r="G15" i="45"/>
  <c r="L32" i="46"/>
  <c r="M31" i="46"/>
  <c r="E32" i="46"/>
  <c r="F31" i="46"/>
  <c r="M20" i="45"/>
  <c r="L21" i="45"/>
  <c r="E22" i="45"/>
  <c r="F21" i="45"/>
  <c r="M19" i="44"/>
  <c r="L20" i="44"/>
  <c r="E19" i="44"/>
  <c r="F18" i="44"/>
  <c r="R100" i="35"/>
  <c r="AQ102" i="35"/>
  <c r="AW102" i="35" s="1"/>
  <c r="AD102" i="35"/>
  <c r="L15" i="3"/>
  <c r="AB100" i="35"/>
  <c r="AB100" i="38"/>
  <c r="Q102" i="35"/>
  <c r="AB102" i="38"/>
  <c r="Q103" i="35"/>
  <c r="AB103" i="38"/>
  <c r="Q99" i="35"/>
  <c r="AB99" i="38"/>
  <c r="R101" i="35"/>
  <c r="AD101" i="35"/>
  <c r="AS102" i="35"/>
  <c r="AS100" i="35"/>
  <c r="AD100" i="35"/>
  <c r="J105" i="37"/>
  <c r="K24" i="37" s="1"/>
  <c r="AB103" i="35"/>
  <c r="AB102" i="35"/>
  <c r="AS103" i="31"/>
  <c r="AS102" i="31"/>
  <c r="AB99" i="35"/>
  <c r="AQ103" i="31"/>
  <c r="AW103" i="31" s="1"/>
  <c r="Y105" i="31"/>
  <c r="M15" i="3" s="1"/>
  <c r="Q100" i="35"/>
  <c r="AS100" i="31"/>
  <c r="Q101" i="35"/>
  <c r="AD103" i="35"/>
  <c r="R103" i="35"/>
  <c r="AD99" i="35"/>
  <c r="R99" i="35"/>
  <c r="AB101" i="35"/>
  <c r="AS103" i="35"/>
  <c r="AS99" i="35"/>
  <c r="J105" i="36"/>
  <c r="K60" i="36" s="1"/>
  <c r="C105" i="36"/>
  <c r="D9" i="36" s="1"/>
  <c r="N98" i="35"/>
  <c r="AB98" i="38" s="1"/>
  <c r="N97" i="35"/>
  <c r="AB97" i="38" s="1"/>
  <c r="N96" i="35"/>
  <c r="AB96" i="38" s="1"/>
  <c r="N95" i="35"/>
  <c r="AB95" i="38" s="1"/>
  <c r="N94" i="35"/>
  <c r="AB94" i="38" s="1"/>
  <c r="N93" i="35"/>
  <c r="AB93" i="38" s="1"/>
  <c r="N92" i="35"/>
  <c r="AB92" i="38" s="1"/>
  <c r="N91" i="35"/>
  <c r="AB91" i="38" s="1"/>
  <c r="N90" i="35"/>
  <c r="AB90" i="38" s="1"/>
  <c r="N89" i="35"/>
  <c r="AB89" i="38" s="1"/>
  <c r="N88" i="35"/>
  <c r="AB88" i="38" s="1"/>
  <c r="N87" i="35"/>
  <c r="AB87" i="38" s="1"/>
  <c r="N86" i="35"/>
  <c r="AB86" i="38" s="1"/>
  <c r="N85" i="35"/>
  <c r="AB85" i="38" s="1"/>
  <c r="N84" i="35"/>
  <c r="AB84" i="38" s="1"/>
  <c r="N83" i="35"/>
  <c r="AB83" i="38" s="1"/>
  <c r="N82" i="35"/>
  <c r="AB82" i="38" s="1"/>
  <c r="N81" i="35"/>
  <c r="AB81" i="38" s="1"/>
  <c r="N80" i="35"/>
  <c r="AB80" i="38" s="1"/>
  <c r="N79" i="35"/>
  <c r="AB79" i="38" s="1"/>
  <c r="N78" i="35"/>
  <c r="AB78" i="38" s="1"/>
  <c r="N77" i="35"/>
  <c r="AB77" i="38" s="1"/>
  <c r="N76" i="35"/>
  <c r="AB76" i="38" s="1"/>
  <c r="N75" i="35"/>
  <c r="AB75" i="38" s="1"/>
  <c r="N74" i="35"/>
  <c r="AB74" i="38" s="1"/>
  <c r="N73" i="35"/>
  <c r="AB73" i="38" s="1"/>
  <c r="N72" i="35"/>
  <c r="AB72" i="38" s="1"/>
  <c r="N71" i="35"/>
  <c r="AB71" i="38" s="1"/>
  <c r="N70" i="35"/>
  <c r="AB70" i="38" s="1"/>
  <c r="N69" i="35"/>
  <c r="AB69" i="38" s="1"/>
  <c r="N68" i="35"/>
  <c r="AB68" i="38" s="1"/>
  <c r="N67" i="35"/>
  <c r="AB67" i="38" s="1"/>
  <c r="N66" i="35"/>
  <c r="AB66" i="38" s="1"/>
  <c r="N65" i="35"/>
  <c r="AB65" i="38" s="1"/>
  <c r="N64" i="35"/>
  <c r="AB64" i="38" s="1"/>
  <c r="N63" i="35"/>
  <c r="AB63" i="38" s="1"/>
  <c r="N62" i="35"/>
  <c r="AB62" i="38" s="1"/>
  <c r="N61" i="35"/>
  <c r="AB61" i="38" s="1"/>
  <c r="N60" i="35"/>
  <c r="AB60" i="38" s="1"/>
  <c r="N59" i="35"/>
  <c r="AB59" i="38" s="1"/>
  <c r="N58" i="35"/>
  <c r="AB58" i="38" s="1"/>
  <c r="N57" i="35"/>
  <c r="AB57" i="38" s="1"/>
  <c r="N56" i="35"/>
  <c r="AB56" i="38" s="1"/>
  <c r="N55" i="35"/>
  <c r="AB55" i="38" s="1"/>
  <c r="N54" i="35"/>
  <c r="AB54" i="38" s="1"/>
  <c r="N53" i="35"/>
  <c r="AB53" i="38" s="1"/>
  <c r="N52" i="35"/>
  <c r="AB52" i="38" s="1"/>
  <c r="N51" i="35"/>
  <c r="AB51" i="38" s="1"/>
  <c r="N50" i="35"/>
  <c r="AB50" i="38" s="1"/>
  <c r="N49" i="35"/>
  <c r="AB49" i="38" s="1"/>
  <c r="N48" i="35"/>
  <c r="AB48" i="38" s="1"/>
  <c r="N47" i="35"/>
  <c r="AB47" i="38" s="1"/>
  <c r="N46" i="35"/>
  <c r="AB46" i="38" s="1"/>
  <c r="N45" i="35"/>
  <c r="AB45" i="38" s="1"/>
  <c r="N44" i="35"/>
  <c r="AB44" i="38" s="1"/>
  <c r="N43" i="35"/>
  <c r="AB43" i="38" s="1"/>
  <c r="N42" i="35"/>
  <c r="AB42" i="38" s="1"/>
  <c r="N41" i="35"/>
  <c r="AB41" i="38" s="1"/>
  <c r="N40" i="35"/>
  <c r="AB40" i="38" s="1"/>
  <c r="N39" i="35"/>
  <c r="AB39" i="38" s="1"/>
  <c r="N38" i="35"/>
  <c r="AB38" i="38" s="1"/>
  <c r="N37" i="35"/>
  <c r="AB37" i="38" s="1"/>
  <c r="N36" i="35"/>
  <c r="AB36" i="38" s="1"/>
  <c r="N35" i="35"/>
  <c r="AB35" i="38" s="1"/>
  <c r="N34" i="35"/>
  <c r="AB34" i="38" s="1"/>
  <c r="N33" i="35"/>
  <c r="AB33" i="38" s="1"/>
  <c r="N32" i="35"/>
  <c r="AB32" i="38" s="1"/>
  <c r="N31" i="35"/>
  <c r="AB31" i="38" s="1"/>
  <c r="N30" i="35"/>
  <c r="AB30" i="38" s="1"/>
  <c r="N29" i="35"/>
  <c r="AB29" i="38" s="1"/>
  <c r="N28" i="35"/>
  <c r="AB28" i="38" s="1"/>
  <c r="N27" i="35"/>
  <c r="AB27" i="38" s="1"/>
  <c r="N26" i="35"/>
  <c r="AB26" i="38" s="1"/>
  <c r="N25" i="35"/>
  <c r="AB25" i="38" s="1"/>
  <c r="N24" i="35"/>
  <c r="AB24" i="38" s="1"/>
  <c r="N23" i="35"/>
  <c r="AB23" i="38" s="1"/>
  <c r="N22" i="35"/>
  <c r="AB22" i="38" s="1"/>
  <c r="N21" i="35"/>
  <c r="AB21" i="38" s="1"/>
  <c r="N20" i="35"/>
  <c r="AB20" i="38" s="1"/>
  <c r="N19" i="35"/>
  <c r="AB19" i="38" s="1"/>
  <c r="N18" i="35"/>
  <c r="AB18" i="38" s="1"/>
  <c r="N17" i="35"/>
  <c r="AB17" i="38" s="1"/>
  <c r="N16" i="35"/>
  <c r="AB16" i="38" s="1"/>
  <c r="N15" i="35"/>
  <c r="AB15" i="38" s="1"/>
  <c r="N14" i="35"/>
  <c r="AB14" i="38" s="1"/>
  <c r="N13" i="35"/>
  <c r="AB13" i="38" s="1"/>
  <c r="N12" i="35"/>
  <c r="AB12" i="38" s="1"/>
  <c r="N11" i="35"/>
  <c r="AB11" i="38" s="1"/>
  <c r="N10" i="35"/>
  <c r="AB10" i="38" s="1"/>
  <c r="N9" i="35"/>
  <c r="AB9" i="38" s="1"/>
  <c r="N8" i="35"/>
  <c r="AB8" i="38" s="1"/>
  <c r="N7" i="35"/>
  <c r="AB7" i="38" s="1"/>
  <c r="N6" i="35"/>
  <c r="AB6" i="38" s="1"/>
  <c r="N5" i="35"/>
  <c r="AB5" i="38" s="1"/>
  <c r="N4" i="35"/>
  <c r="AB4" i="38" s="1"/>
  <c r="N3" i="35"/>
  <c r="G86" i="55" l="1"/>
  <c r="G37" i="55"/>
  <c r="F78" i="53"/>
  <c r="E79" i="53"/>
  <c r="F52" i="53"/>
  <c r="E53" i="53"/>
  <c r="L91" i="55"/>
  <c r="M90" i="55"/>
  <c r="E91" i="55"/>
  <c r="F90" i="55"/>
  <c r="F64" i="55"/>
  <c r="E65" i="55"/>
  <c r="M64" i="55"/>
  <c r="L65" i="55"/>
  <c r="G76" i="48"/>
  <c r="G33" i="48"/>
  <c r="M53" i="53"/>
  <c r="L54" i="53"/>
  <c r="L80" i="53"/>
  <c r="M79" i="53"/>
  <c r="G49" i="50"/>
  <c r="G38" i="50"/>
  <c r="L51" i="50"/>
  <c r="M50" i="50"/>
  <c r="G50" i="50" s="1"/>
  <c r="M76" i="50"/>
  <c r="G76" i="50" s="1"/>
  <c r="L77" i="50"/>
  <c r="L52" i="48"/>
  <c r="M51" i="48"/>
  <c r="G51" i="48" s="1"/>
  <c r="F76" i="48"/>
  <c r="E77" i="48"/>
  <c r="F50" i="48"/>
  <c r="E51" i="48"/>
  <c r="M77" i="48"/>
  <c r="L78" i="48"/>
  <c r="L45" i="47"/>
  <c r="M44" i="47"/>
  <c r="G44" i="47" s="1"/>
  <c r="F44" i="47"/>
  <c r="E45" i="47"/>
  <c r="E33" i="46"/>
  <c r="F32" i="46"/>
  <c r="L33" i="46"/>
  <c r="M32" i="46"/>
  <c r="E23" i="45"/>
  <c r="F22" i="45"/>
  <c r="M21" i="45"/>
  <c r="L22" i="45"/>
  <c r="E20" i="44"/>
  <c r="F19" i="44"/>
  <c r="L21" i="44"/>
  <c r="M20" i="44"/>
  <c r="G15" i="44" s="1"/>
  <c r="K52" i="36"/>
  <c r="K92" i="36"/>
  <c r="K88" i="36"/>
  <c r="K16" i="36"/>
  <c r="O15" i="3"/>
  <c r="N105" i="38"/>
  <c r="N126" i="38" s="1"/>
  <c r="AB3" i="38"/>
  <c r="AB105" i="38" s="1"/>
  <c r="AB126" i="38" s="1"/>
  <c r="N105" i="35"/>
  <c r="K19" i="37"/>
  <c r="K91" i="37"/>
  <c r="K74" i="37"/>
  <c r="K80" i="37"/>
  <c r="K56" i="37"/>
  <c r="K28" i="37"/>
  <c r="K46" i="37"/>
  <c r="K50" i="37"/>
  <c r="K75" i="37"/>
  <c r="K72" i="37"/>
  <c r="K43" i="37"/>
  <c r="K48" i="37"/>
  <c r="K100" i="37"/>
  <c r="K104" i="37"/>
  <c r="K76" i="37"/>
  <c r="K78" i="37"/>
  <c r="K66" i="37"/>
  <c r="K38" i="37"/>
  <c r="K73" i="36"/>
  <c r="K69" i="36"/>
  <c r="K101" i="36"/>
  <c r="K13" i="36"/>
  <c r="K93" i="36"/>
  <c r="K4" i="36"/>
  <c r="L4" i="36" s="1"/>
  <c r="D51" i="36"/>
  <c r="D73" i="36"/>
  <c r="D29" i="36"/>
  <c r="D93" i="36"/>
  <c r="D10" i="36"/>
  <c r="D43" i="36"/>
  <c r="D27" i="36"/>
  <c r="D89" i="36"/>
  <c r="D98" i="36"/>
  <c r="D61" i="36"/>
  <c r="D41" i="36"/>
  <c r="D18" i="36"/>
  <c r="D85" i="36"/>
  <c r="D79" i="36"/>
  <c r="D42" i="36"/>
  <c r="D82" i="36"/>
  <c r="D63" i="36"/>
  <c r="D91" i="36"/>
  <c r="D66" i="36"/>
  <c r="D46" i="36"/>
  <c r="D26" i="36"/>
  <c r="K99" i="37"/>
  <c r="K97" i="37"/>
  <c r="K101" i="37"/>
  <c r="K95" i="37"/>
  <c r="K81" i="37"/>
  <c r="K69" i="37"/>
  <c r="K103" i="37"/>
  <c r="K93" i="37"/>
  <c r="K55" i="37"/>
  <c r="K41" i="37"/>
  <c r="K21" i="37"/>
  <c r="K79" i="37"/>
  <c r="K65" i="37"/>
  <c r="K53" i="37"/>
  <c r="K89" i="37"/>
  <c r="K77" i="37"/>
  <c r="K39" i="37"/>
  <c r="K31" i="37"/>
  <c r="K27" i="37"/>
  <c r="K15" i="37"/>
  <c r="K71" i="37"/>
  <c r="K57" i="37"/>
  <c r="K45" i="37"/>
  <c r="K63" i="37"/>
  <c r="K49" i="37"/>
  <c r="K37" i="37"/>
  <c r="K23" i="37"/>
  <c r="K85" i="37"/>
  <c r="K47" i="37"/>
  <c r="K29" i="37"/>
  <c r="K87" i="37"/>
  <c r="K73" i="37"/>
  <c r="K61" i="37"/>
  <c r="K17" i="37"/>
  <c r="K4" i="37"/>
  <c r="K33" i="37"/>
  <c r="K11" i="37"/>
  <c r="K13" i="37"/>
  <c r="K7" i="37"/>
  <c r="K34" i="37"/>
  <c r="K6" i="37"/>
  <c r="K9" i="37"/>
  <c r="K25" i="37"/>
  <c r="K14" i="37"/>
  <c r="K52" i="37"/>
  <c r="K51" i="37"/>
  <c r="K40" i="37"/>
  <c r="K86" i="37"/>
  <c r="K96" i="37"/>
  <c r="K44" i="37"/>
  <c r="K54" i="37"/>
  <c r="K16" i="37"/>
  <c r="K32" i="37"/>
  <c r="K8" i="37"/>
  <c r="K83" i="37"/>
  <c r="K88" i="37"/>
  <c r="K36" i="37"/>
  <c r="K98" i="37"/>
  <c r="K58" i="37"/>
  <c r="K35" i="37"/>
  <c r="K68" i="37"/>
  <c r="K67" i="37"/>
  <c r="K90" i="37"/>
  <c r="K82" i="37"/>
  <c r="K26" i="37"/>
  <c r="K18" i="37"/>
  <c r="K30" i="37"/>
  <c r="K60" i="37"/>
  <c r="K59" i="37"/>
  <c r="K70" i="37"/>
  <c r="K102" i="37"/>
  <c r="K5" i="37"/>
  <c r="K64" i="37"/>
  <c r="K62" i="37"/>
  <c r="K84" i="37"/>
  <c r="K22" i="37"/>
  <c r="K92" i="37"/>
  <c r="K94" i="37"/>
  <c r="K42" i="37"/>
  <c r="K20" i="37"/>
  <c r="K12" i="37"/>
  <c r="K10" i="37"/>
  <c r="K40" i="36"/>
  <c r="D102" i="36"/>
  <c r="D34" i="36"/>
  <c r="D62" i="36"/>
  <c r="D19" i="36"/>
  <c r="K98" i="36"/>
  <c r="K24" i="36"/>
  <c r="K8" i="36"/>
  <c r="K11" i="36"/>
  <c r="D24" i="36"/>
  <c r="K75" i="36"/>
  <c r="K86" i="36"/>
  <c r="K20" i="36"/>
  <c r="D101" i="36"/>
  <c r="D83" i="36"/>
  <c r="K29" i="36"/>
  <c r="D59" i="36"/>
  <c r="K91" i="36"/>
  <c r="K90" i="36"/>
  <c r="K67" i="36"/>
  <c r="K74" i="36"/>
  <c r="K9" i="36"/>
  <c r="K50" i="36"/>
  <c r="K37" i="36"/>
  <c r="K32" i="36"/>
  <c r="K5" i="36"/>
  <c r="D67" i="36"/>
  <c r="D74" i="36"/>
  <c r="D64" i="36"/>
  <c r="D57" i="36"/>
  <c r="K68" i="36"/>
  <c r="D45" i="36"/>
  <c r="K14" i="36"/>
  <c r="K58" i="36"/>
  <c r="D35" i="36"/>
  <c r="K77" i="36"/>
  <c r="K56" i="36"/>
  <c r="D33" i="36"/>
  <c r="K102" i="36"/>
  <c r="K62" i="36"/>
  <c r="K46" i="36"/>
  <c r="K95" i="36"/>
  <c r="K63" i="36"/>
  <c r="K97" i="36"/>
  <c r="K103" i="36"/>
  <c r="K89" i="36"/>
  <c r="K79" i="36"/>
  <c r="K99" i="36"/>
  <c r="K33" i="36"/>
  <c r="K81" i="36"/>
  <c r="K65" i="36"/>
  <c r="K55" i="36"/>
  <c r="K49" i="36"/>
  <c r="K39" i="36"/>
  <c r="K31" i="36"/>
  <c r="K23" i="36"/>
  <c r="K43" i="36"/>
  <c r="K87" i="36"/>
  <c r="K59" i="36"/>
  <c r="K47" i="36"/>
  <c r="K71" i="36"/>
  <c r="K7" i="36"/>
  <c r="K48" i="36"/>
  <c r="K18" i="36"/>
  <c r="K15" i="36"/>
  <c r="K41" i="36"/>
  <c r="K28" i="36"/>
  <c r="K85" i="36"/>
  <c r="K45" i="36"/>
  <c r="K96" i="36"/>
  <c r="K21" i="36"/>
  <c r="D81" i="36"/>
  <c r="D58" i="36"/>
  <c r="D78" i="36"/>
  <c r="K82" i="36"/>
  <c r="K25" i="36"/>
  <c r="K10" i="36"/>
  <c r="K27" i="36"/>
  <c r="K35" i="36"/>
  <c r="D65" i="36"/>
  <c r="K64" i="36"/>
  <c r="K94" i="36"/>
  <c r="K104" i="36"/>
  <c r="D97" i="36"/>
  <c r="D75" i="36"/>
  <c r="D77" i="36"/>
  <c r="K83" i="36"/>
  <c r="K38" i="36"/>
  <c r="K80" i="36"/>
  <c r="K53" i="36"/>
  <c r="K51" i="36"/>
  <c r="K6" i="36"/>
  <c r="D25" i="36"/>
  <c r="D8" i="36"/>
  <c r="K17" i="36"/>
  <c r="D17" i="36"/>
  <c r="K57" i="36"/>
  <c r="K12" i="36"/>
  <c r="K42" i="36"/>
  <c r="K19" i="36"/>
  <c r="K26" i="36"/>
  <c r="K72" i="36"/>
  <c r="K70" i="36"/>
  <c r="K22" i="36"/>
  <c r="K66" i="36"/>
  <c r="K36" i="36"/>
  <c r="D99" i="36"/>
  <c r="D103" i="36"/>
  <c r="D68" i="36"/>
  <c r="D104" i="36"/>
  <c r="D92" i="36"/>
  <c r="D100" i="36"/>
  <c r="D96" i="36"/>
  <c r="D95" i="36"/>
  <c r="D94" i="36"/>
  <c r="D84" i="36"/>
  <c r="D52" i="36"/>
  <c r="D71" i="36"/>
  <c r="D69" i="36"/>
  <c r="D32" i="36"/>
  <c r="D86" i="36"/>
  <c r="D44" i="36"/>
  <c r="D36" i="36"/>
  <c r="D88" i="36"/>
  <c r="D60" i="36"/>
  <c r="D54" i="36"/>
  <c r="D20" i="36"/>
  <c r="D12" i="36"/>
  <c r="D72" i="36"/>
  <c r="D4" i="36"/>
  <c r="D76" i="36"/>
  <c r="D55" i="36"/>
  <c r="D49" i="36"/>
  <c r="D70" i="36"/>
  <c r="D56" i="36"/>
  <c r="D87" i="36"/>
  <c r="D38" i="36"/>
  <c r="D40" i="36"/>
  <c r="D37" i="36"/>
  <c r="D28" i="36"/>
  <c r="D16" i="36"/>
  <c r="D30" i="36"/>
  <c r="D39" i="36"/>
  <c r="D47" i="36"/>
  <c r="D53" i="36"/>
  <c r="D21" i="36"/>
  <c r="D6" i="36"/>
  <c r="K44" i="36"/>
  <c r="D15" i="36"/>
  <c r="D13" i="36"/>
  <c r="D7" i="36"/>
  <c r="D90" i="36"/>
  <c r="D50" i="36"/>
  <c r="K78" i="36"/>
  <c r="K61" i="36"/>
  <c r="K100" i="36"/>
  <c r="K54" i="36"/>
  <c r="K30" i="36"/>
  <c r="K34" i="36"/>
  <c r="D11" i="36"/>
  <c r="D80" i="36"/>
  <c r="K84" i="36"/>
  <c r="D31" i="36"/>
  <c r="D14" i="36"/>
  <c r="D48" i="36"/>
  <c r="D22" i="36"/>
  <c r="D5" i="36"/>
  <c r="K76" i="36"/>
  <c r="D23" i="36"/>
  <c r="G64" i="55" l="1"/>
  <c r="G38" i="55"/>
  <c r="G90" i="55"/>
  <c r="G87" i="55"/>
  <c r="G53" i="53"/>
  <c r="G20" i="53"/>
  <c r="F53" i="53"/>
  <c r="E54" i="53"/>
  <c r="F79" i="53"/>
  <c r="E80" i="53"/>
  <c r="M65" i="55"/>
  <c r="L66" i="55"/>
  <c r="E66" i="55"/>
  <c r="F65" i="55"/>
  <c r="F91" i="55"/>
  <c r="E92" i="55"/>
  <c r="L92" i="55"/>
  <c r="M91" i="55"/>
  <c r="G77" i="48"/>
  <c r="G36" i="48"/>
  <c r="M80" i="53"/>
  <c r="G80" i="53" s="1"/>
  <c r="L81" i="53"/>
  <c r="M54" i="53"/>
  <c r="L55" i="53"/>
  <c r="L52" i="50"/>
  <c r="M51" i="50"/>
  <c r="G51" i="50" s="1"/>
  <c r="M77" i="50"/>
  <c r="L78" i="50"/>
  <c r="F77" i="48"/>
  <c r="E78" i="48"/>
  <c r="M78" i="48"/>
  <c r="L79" i="48"/>
  <c r="F51" i="48"/>
  <c r="E52" i="48"/>
  <c r="M52" i="48"/>
  <c r="L53" i="48"/>
  <c r="F45" i="47"/>
  <c r="E46" i="47"/>
  <c r="M45" i="47"/>
  <c r="L46" i="47"/>
  <c r="G16" i="45"/>
  <c r="T42" i="3"/>
  <c r="AD42" i="3"/>
  <c r="V42" i="3"/>
  <c r="Z42" i="3"/>
  <c r="Q42" i="3"/>
  <c r="X42" i="3"/>
  <c r="R42" i="3"/>
  <c r="U42" i="3"/>
  <c r="W42" i="3"/>
  <c r="M33" i="46"/>
  <c r="L34" i="46"/>
  <c r="F33" i="46"/>
  <c r="E34" i="46"/>
  <c r="M22" i="45"/>
  <c r="L23" i="45"/>
  <c r="E24" i="45"/>
  <c r="F23" i="45"/>
  <c r="L22" i="44"/>
  <c r="M21" i="44"/>
  <c r="G19" i="44" s="1"/>
  <c r="E21" i="44"/>
  <c r="F20" i="44"/>
  <c r="K105" i="37"/>
  <c r="L4" i="37"/>
  <c r="K105" i="36"/>
  <c r="D105" i="36"/>
  <c r="E4" i="36"/>
  <c r="L5" i="36"/>
  <c r="M4" i="36"/>
  <c r="G65" i="55" l="1"/>
  <c r="G39" i="55"/>
  <c r="G89" i="55"/>
  <c r="G54" i="53"/>
  <c r="G24" i="53"/>
  <c r="E81" i="53"/>
  <c r="F80" i="53"/>
  <c r="F54" i="53"/>
  <c r="E55" i="53"/>
  <c r="M92" i="55"/>
  <c r="L93" i="55"/>
  <c r="F92" i="55"/>
  <c r="E93" i="55"/>
  <c r="E67" i="55"/>
  <c r="F66" i="55"/>
  <c r="L67" i="55"/>
  <c r="M66" i="55"/>
  <c r="G78" i="48"/>
  <c r="G37" i="48"/>
  <c r="L56" i="53"/>
  <c r="M55" i="53"/>
  <c r="M81" i="53"/>
  <c r="G81" i="53" s="1"/>
  <c r="L82" i="53"/>
  <c r="G77" i="50"/>
  <c r="G20" i="50"/>
  <c r="M78" i="50"/>
  <c r="L79" i="50"/>
  <c r="M52" i="50"/>
  <c r="L53" i="50"/>
  <c r="G45" i="47"/>
  <c r="G21" i="47"/>
  <c r="M79" i="48"/>
  <c r="L80" i="48"/>
  <c r="M53" i="48"/>
  <c r="G53" i="48" s="1"/>
  <c r="L54" i="48"/>
  <c r="F52" i="48"/>
  <c r="E53" i="48"/>
  <c r="F78" i="48"/>
  <c r="E79" i="48"/>
  <c r="F46" i="47"/>
  <c r="E47" i="47"/>
  <c r="L47" i="47"/>
  <c r="M46" i="47"/>
  <c r="F34" i="46"/>
  <c r="E35" i="46"/>
  <c r="L35" i="46"/>
  <c r="M34" i="46"/>
  <c r="F24" i="45"/>
  <c r="E25" i="45"/>
  <c r="M23" i="45"/>
  <c r="L24" i="45"/>
  <c r="E22" i="44"/>
  <c r="F21" i="44"/>
  <c r="M22" i="44"/>
  <c r="G16" i="44" s="1"/>
  <c r="L23" i="44"/>
  <c r="L5" i="37"/>
  <c r="M4" i="37"/>
  <c r="L6" i="36"/>
  <c r="M5" i="36"/>
  <c r="G5" i="36" s="1"/>
  <c r="F4" i="36"/>
  <c r="E5" i="36"/>
  <c r="AA3" i="31"/>
  <c r="AA105" i="31" s="1"/>
  <c r="AB111" i="34"/>
  <c r="U111" i="34"/>
  <c r="AD111" i="34" s="1"/>
  <c r="AB110" i="34"/>
  <c r="AA110" i="34"/>
  <c r="AF110" i="34" s="1"/>
  <c r="U110" i="34"/>
  <c r="AD110" i="34" s="1"/>
  <c r="AB109" i="34"/>
  <c r="U109" i="34"/>
  <c r="AD109" i="34" s="1"/>
  <c r="AB108" i="34"/>
  <c r="U108" i="34"/>
  <c r="AD108" i="34" s="1"/>
  <c r="AB116" i="34"/>
  <c r="AB117" i="34"/>
  <c r="U118" i="34"/>
  <c r="AD118" i="34" s="1"/>
  <c r="AB118" i="34"/>
  <c r="U119" i="34"/>
  <c r="AD119" i="34" s="1"/>
  <c r="X119" i="34"/>
  <c r="AB119" i="34"/>
  <c r="X120" i="34"/>
  <c r="AA120" i="34"/>
  <c r="AB120" i="34"/>
  <c r="U121" i="34"/>
  <c r="AD121" i="34" s="1"/>
  <c r="AA121" i="34"/>
  <c r="AF121" i="34" s="1"/>
  <c r="AB121" i="34"/>
  <c r="AB122" i="34"/>
  <c r="AB115" i="34"/>
  <c r="X115" i="34"/>
  <c r="AB107" i="34"/>
  <c r="AA107" i="34"/>
  <c r="U107" i="34"/>
  <c r="AD107" i="34" s="1"/>
  <c r="X4" i="34"/>
  <c r="AB4" i="34"/>
  <c r="U5" i="34"/>
  <c r="AD5" i="34" s="1"/>
  <c r="X5" i="34"/>
  <c r="AA5" i="34"/>
  <c r="AF5" i="34" s="1"/>
  <c r="AB5" i="34"/>
  <c r="U6" i="34"/>
  <c r="AD6" i="34" s="1"/>
  <c r="AA6" i="34"/>
  <c r="AB6" i="34"/>
  <c r="U7" i="34"/>
  <c r="AD7" i="34" s="1"/>
  <c r="AB7" i="34"/>
  <c r="U8" i="34"/>
  <c r="AD8" i="34" s="1"/>
  <c r="X8" i="34"/>
  <c r="AB8" i="34"/>
  <c r="AA9" i="34"/>
  <c r="AB9" i="34"/>
  <c r="U10" i="34"/>
  <c r="AD10" i="34" s="1"/>
  <c r="AB10" i="34"/>
  <c r="AB11" i="34"/>
  <c r="AB12" i="34"/>
  <c r="X13" i="34"/>
  <c r="AA13" i="34"/>
  <c r="AF13" i="34" s="1"/>
  <c r="AB13" i="34"/>
  <c r="U14" i="34"/>
  <c r="AD14" i="34" s="1"/>
  <c r="AA14" i="34"/>
  <c r="AB14" i="34"/>
  <c r="U15" i="34"/>
  <c r="AD15" i="34" s="1"/>
  <c r="X15" i="34"/>
  <c r="AB15" i="34"/>
  <c r="U16" i="34"/>
  <c r="AD16" i="34" s="1"/>
  <c r="X16" i="34"/>
  <c r="AB16" i="34"/>
  <c r="U17" i="34"/>
  <c r="AD17" i="34" s="1"/>
  <c r="X17" i="34"/>
  <c r="AA17" i="34"/>
  <c r="AF17" i="34" s="1"/>
  <c r="AB17" i="34"/>
  <c r="AA18" i="34"/>
  <c r="AB18" i="34"/>
  <c r="U19" i="34"/>
  <c r="AD19" i="34" s="1"/>
  <c r="AB19" i="34"/>
  <c r="X20" i="34"/>
  <c r="AB20" i="34"/>
  <c r="U21" i="34"/>
  <c r="AD21" i="34" s="1"/>
  <c r="AA21" i="34"/>
  <c r="AF21" i="34" s="1"/>
  <c r="AB21" i="34"/>
  <c r="AB22" i="34"/>
  <c r="U23" i="34"/>
  <c r="AD23" i="34" s="1"/>
  <c r="AA23" i="34"/>
  <c r="AB23" i="34"/>
  <c r="X24" i="34"/>
  <c r="AA24" i="34"/>
  <c r="AB24" i="34"/>
  <c r="U25" i="34"/>
  <c r="AD25" i="34" s="1"/>
  <c r="X25" i="34"/>
  <c r="AB25" i="34"/>
  <c r="U26" i="34"/>
  <c r="AD26" i="34" s="1"/>
  <c r="AA26" i="34"/>
  <c r="AB26" i="34"/>
  <c r="U27" i="34"/>
  <c r="AD27" i="34" s="1"/>
  <c r="AB27" i="34"/>
  <c r="U28" i="34"/>
  <c r="AD28" i="34" s="1"/>
  <c r="X28" i="34"/>
  <c r="AA28" i="34"/>
  <c r="AB28" i="34"/>
  <c r="U29" i="34"/>
  <c r="AD29" i="34" s="1"/>
  <c r="X29" i="34"/>
  <c r="AB29" i="34"/>
  <c r="AB30" i="34"/>
  <c r="U31" i="34"/>
  <c r="AD31" i="34" s="1"/>
  <c r="AA31" i="34"/>
  <c r="AB31" i="34"/>
  <c r="U32" i="34"/>
  <c r="AD32" i="34" s="1"/>
  <c r="X32" i="34"/>
  <c r="AB32" i="34"/>
  <c r="X33" i="34"/>
  <c r="AB33" i="34"/>
  <c r="AA34" i="34"/>
  <c r="AB34" i="34"/>
  <c r="U35" i="34"/>
  <c r="AD35" i="34" s="1"/>
  <c r="AA35" i="34"/>
  <c r="AB35" i="34"/>
  <c r="U36" i="34"/>
  <c r="AD36" i="34" s="1"/>
  <c r="AB36" i="34"/>
  <c r="U37" i="34"/>
  <c r="AD37" i="34" s="1"/>
  <c r="X37" i="34"/>
  <c r="AA37" i="34"/>
  <c r="AF37" i="34" s="1"/>
  <c r="AB37" i="34"/>
  <c r="U38" i="34"/>
  <c r="AD38" i="34" s="1"/>
  <c r="AA38" i="34"/>
  <c r="AB38" i="34"/>
  <c r="AB39" i="34"/>
  <c r="AA40" i="34"/>
  <c r="AB40" i="34"/>
  <c r="U41" i="34"/>
  <c r="AD41" i="34" s="1"/>
  <c r="X41" i="34"/>
  <c r="AB41" i="34"/>
  <c r="U42" i="34"/>
  <c r="AD42" i="34" s="1"/>
  <c r="X42" i="34"/>
  <c r="AA42" i="34"/>
  <c r="AB42" i="34"/>
  <c r="U43" i="34"/>
  <c r="AD43" i="34" s="1"/>
  <c r="AB43" i="34"/>
  <c r="U44" i="34"/>
  <c r="AD44" i="34" s="1"/>
  <c r="X44" i="34"/>
  <c r="AB44" i="34"/>
  <c r="U45" i="34"/>
  <c r="AD45" i="34" s="1"/>
  <c r="AB45" i="34"/>
  <c r="U46" i="34"/>
  <c r="AD46" i="34" s="1"/>
  <c r="AA46" i="34"/>
  <c r="AB46" i="34"/>
  <c r="U47" i="34"/>
  <c r="AD47" i="34" s="1"/>
  <c r="AB47" i="34"/>
  <c r="U48" i="34"/>
  <c r="AD48" i="34" s="1"/>
  <c r="AA48" i="34"/>
  <c r="AB48" i="34"/>
  <c r="U49" i="34"/>
  <c r="AD49" i="34" s="1"/>
  <c r="X49" i="34"/>
  <c r="AA49" i="34"/>
  <c r="AB49" i="34"/>
  <c r="U50" i="34"/>
  <c r="AD50" i="34" s="1"/>
  <c r="AB50" i="34"/>
  <c r="AA51" i="34"/>
  <c r="AB51" i="34"/>
  <c r="U52" i="34"/>
  <c r="AD52" i="34" s="1"/>
  <c r="X52" i="34"/>
  <c r="AB52" i="34"/>
  <c r="U53" i="34"/>
  <c r="AD53" i="34" s="1"/>
  <c r="X53" i="34"/>
  <c r="AA53" i="34"/>
  <c r="AB53" i="34"/>
  <c r="U54" i="34"/>
  <c r="AD54" i="34" s="1"/>
  <c r="AA54" i="34"/>
  <c r="AB54" i="34"/>
  <c r="AB55" i="34"/>
  <c r="X56" i="34"/>
  <c r="AB56" i="34"/>
  <c r="U57" i="34"/>
  <c r="AD57" i="34" s="1"/>
  <c r="X57" i="34"/>
  <c r="AA57" i="34"/>
  <c r="AF57" i="34" s="1"/>
  <c r="AB57" i="34"/>
  <c r="U58" i="34"/>
  <c r="AD58" i="34" s="1"/>
  <c r="AB58" i="34"/>
  <c r="AB59" i="34"/>
  <c r="U60" i="34"/>
  <c r="AD60" i="34" s="1"/>
  <c r="X60" i="34"/>
  <c r="AB60" i="34"/>
  <c r="U61" i="34"/>
  <c r="AD61" i="34" s="1"/>
  <c r="X61" i="34"/>
  <c r="AA61" i="34"/>
  <c r="AF61" i="34" s="1"/>
  <c r="AB61" i="34"/>
  <c r="U62" i="34"/>
  <c r="AD62" i="34" s="1"/>
  <c r="AA62" i="34"/>
  <c r="AB62" i="34"/>
  <c r="AB63" i="34"/>
  <c r="X64" i="34"/>
  <c r="AA64" i="34"/>
  <c r="AB64" i="34"/>
  <c r="X65" i="34"/>
  <c r="AA65" i="34"/>
  <c r="AB65" i="34"/>
  <c r="U66" i="34"/>
  <c r="AD66" i="34" s="1"/>
  <c r="X66" i="34"/>
  <c r="AA66" i="34"/>
  <c r="AB66" i="34"/>
  <c r="U67" i="34"/>
  <c r="AD67" i="34" s="1"/>
  <c r="AB67" i="34"/>
  <c r="U68" i="34"/>
  <c r="AD68" i="34" s="1"/>
  <c r="X68" i="34"/>
  <c r="AB68" i="34"/>
  <c r="U69" i="34"/>
  <c r="AD69" i="34" s="1"/>
  <c r="X69" i="34"/>
  <c r="AB69" i="34"/>
  <c r="U70" i="34"/>
  <c r="AD70" i="34" s="1"/>
  <c r="AA70" i="34"/>
  <c r="AB70" i="34"/>
  <c r="U71" i="34"/>
  <c r="AD71" i="34" s="1"/>
  <c r="AB71" i="34"/>
  <c r="AB72" i="34"/>
  <c r="U73" i="34"/>
  <c r="AD73" i="34" s="1"/>
  <c r="AB73" i="34"/>
  <c r="U74" i="34"/>
  <c r="AD74" i="34" s="1"/>
  <c r="AA74" i="34"/>
  <c r="AB74" i="34"/>
  <c r="U75" i="34"/>
  <c r="AD75" i="34" s="1"/>
  <c r="AB75" i="34"/>
  <c r="AB76" i="34"/>
  <c r="U77" i="34"/>
  <c r="AD77" i="34" s="1"/>
  <c r="AB77" i="34"/>
  <c r="U78" i="34"/>
  <c r="AD78" i="34" s="1"/>
  <c r="X78" i="34"/>
  <c r="AA78" i="34"/>
  <c r="AB78" i="34"/>
  <c r="AB79" i="34"/>
  <c r="X80" i="34"/>
  <c r="AA80" i="34"/>
  <c r="AB80" i="34"/>
  <c r="X81" i="34"/>
  <c r="AB81" i="34"/>
  <c r="AA82" i="34"/>
  <c r="AB82" i="34"/>
  <c r="U83" i="34"/>
  <c r="AD83" i="34" s="1"/>
  <c r="AA83" i="34"/>
  <c r="AB83" i="34"/>
  <c r="U84" i="34"/>
  <c r="AD84" i="34" s="1"/>
  <c r="AB84" i="34"/>
  <c r="U85" i="34"/>
  <c r="AD85" i="34" s="1"/>
  <c r="AA85" i="34"/>
  <c r="AF85" i="34" s="1"/>
  <c r="AB85" i="34"/>
  <c r="U86" i="34"/>
  <c r="AD86" i="34" s="1"/>
  <c r="AA86" i="34"/>
  <c r="AB86" i="34"/>
  <c r="AA87" i="34"/>
  <c r="AB87" i="34"/>
  <c r="X88" i="34"/>
  <c r="AA88" i="34"/>
  <c r="AB88" i="34"/>
  <c r="U89" i="34"/>
  <c r="AD89" i="34" s="1"/>
  <c r="X89" i="34"/>
  <c r="AB89" i="34"/>
  <c r="AB90" i="34"/>
  <c r="U91" i="34"/>
  <c r="AD91" i="34" s="1"/>
  <c r="AB91" i="34"/>
  <c r="U92" i="34"/>
  <c r="AD92" i="34" s="1"/>
  <c r="X92" i="34"/>
  <c r="AA92" i="34"/>
  <c r="AB92" i="34"/>
  <c r="U93" i="34"/>
  <c r="AD93" i="34" s="1"/>
  <c r="X93" i="34"/>
  <c r="AB93" i="34"/>
  <c r="U94" i="34"/>
  <c r="AD94" i="34" s="1"/>
  <c r="AA94" i="34"/>
  <c r="AB94" i="34"/>
  <c r="AB95" i="34"/>
  <c r="U96" i="34"/>
  <c r="AD96" i="34" s="1"/>
  <c r="AA96" i="34"/>
  <c r="AB96" i="34"/>
  <c r="U97" i="34"/>
  <c r="AD97" i="34" s="1"/>
  <c r="AA97" i="34"/>
  <c r="AF97" i="34" s="1"/>
  <c r="AB97" i="34"/>
  <c r="AA98" i="34"/>
  <c r="AB98" i="34"/>
  <c r="U99" i="34"/>
  <c r="AD99" i="34" s="1"/>
  <c r="X99" i="34"/>
  <c r="AA99" i="34"/>
  <c r="AB99" i="34"/>
  <c r="U100" i="34"/>
  <c r="AD100" i="34" s="1"/>
  <c r="X100" i="34"/>
  <c r="AA100" i="34"/>
  <c r="AB100" i="34"/>
  <c r="X101" i="34"/>
  <c r="AA101" i="34"/>
  <c r="AF101" i="34" s="1"/>
  <c r="AB101" i="34"/>
  <c r="U102" i="34"/>
  <c r="AD102" i="34" s="1"/>
  <c r="AA102" i="34"/>
  <c r="AB102" i="34"/>
  <c r="U103" i="34"/>
  <c r="AD103" i="34" s="1"/>
  <c r="AA103" i="34"/>
  <c r="AB103" i="34"/>
  <c r="G92" i="55" l="1"/>
  <c r="G91" i="55"/>
  <c r="G66" i="55"/>
  <c r="G41" i="55"/>
  <c r="G55" i="53"/>
  <c r="G25" i="53"/>
  <c r="E56" i="53"/>
  <c r="F55" i="53"/>
  <c r="E82" i="53"/>
  <c r="F81" i="53"/>
  <c r="L68" i="55"/>
  <c r="M67" i="55"/>
  <c r="F67" i="55"/>
  <c r="E68" i="55"/>
  <c r="E99" i="55"/>
  <c r="F93" i="55"/>
  <c r="E94" i="55"/>
  <c r="L99" i="55"/>
  <c r="L94" i="55"/>
  <c r="M93" i="55"/>
  <c r="G79" i="48"/>
  <c r="G38" i="48"/>
  <c r="M82" i="53"/>
  <c r="L83" i="53"/>
  <c r="M56" i="53"/>
  <c r="L57" i="53"/>
  <c r="G22" i="50"/>
  <c r="M53" i="50"/>
  <c r="G53" i="50" s="1"/>
  <c r="L54" i="50"/>
  <c r="M79" i="50"/>
  <c r="L80" i="50"/>
  <c r="G46" i="47"/>
  <c r="G39" i="47"/>
  <c r="F53" i="48"/>
  <c r="E54" i="48"/>
  <c r="M54" i="48"/>
  <c r="L55" i="48"/>
  <c r="M80" i="48"/>
  <c r="L81" i="48"/>
  <c r="E80" i="48"/>
  <c r="F79" i="48"/>
  <c r="L48" i="47"/>
  <c r="M47" i="47"/>
  <c r="E48" i="47"/>
  <c r="F47" i="47"/>
  <c r="G9" i="45"/>
  <c r="L36" i="46"/>
  <c r="M35" i="46"/>
  <c r="L39" i="46"/>
  <c r="F35" i="46"/>
  <c r="E36" i="46"/>
  <c r="E39" i="46"/>
  <c r="M24" i="45"/>
  <c r="L25" i="45"/>
  <c r="F25" i="45"/>
  <c r="E26" i="45"/>
  <c r="M23" i="44"/>
  <c r="L24" i="44"/>
  <c r="F22" i="44"/>
  <c r="E23" i="44"/>
  <c r="X96" i="34"/>
  <c r="U76" i="34"/>
  <c r="AD76" i="34" s="1"/>
  <c r="U72" i="34"/>
  <c r="AD72" i="34" s="1"/>
  <c r="AA63" i="34"/>
  <c r="AA41" i="34"/>
  <c r="U39" i="34"/>
  <c r="AD39" i="34" s="1"/>
  <c r="U20" i="34"/>
  <c r="AD20" i="34" s="1"/>
  <c r="X19" i="34"/>
  <c r="U9" i="34"/>
  <c r="AD9" i="34" s="1"/>
  <c r="X118" i="34"/>
  <c r="AA52" i="34"/>
  <c r="X26" i="34"/>
  <c r="U122" i="34"/>
  <c r="AD122" i="34" s="1"/>
  <c r="U79" i="34"/>
  <c r="AD79" i="34" s="1"/>
  <c r="U64" i="34"/>
  <c r="AD64" i="34" s="1"/>
  <c r="X63" i="34"/>
  <c r="AA55" i="34"/>
  <c r="X84" i="34"/>
  <c r="X59" i="34"/>
  <c r="AA32" i="34"/>
  <c r="X14" i="34"/>
  <c r="AA90" i="34"/>
  <c r="X73" i="34"/>
  <c r="U63" i="34"/>
  <c r="AD63" i="34" s="1"/>
  <c r="U56" i="34"/>
  <c r="AD56" i="34" s="1"/>
  <c r="X55" i="34"/>
  <c r="X36" i="34"/>
  <c r="AF53" i="34"/>
  <c r="X51" i="34"/>
  <c r="AA27" i="34"/>
  <c r="X110" i="34"/>
  <c r="U87" i="34"/>
  <c r="AD87" i="34" s="1"/>
  <c r="X76" i="34"/>
  <c r="X72" i="34"/>
  <c r="U55" i="34"/>
  <c r="AD55" i="34" s="1"/>
  <c r="AF49" i="34"/>
  <c r="AA30" i="34"/>
  <c r="AA19" i="34"/>
  <c r="AA8" i="34"/>
  <c r="U116" i="34"/>
  <c r="AD116" i="34" s="1"/>
  <c r="AA67" i="34"/>
  <c r="U51" i="34"/>
  <c r="AD51" i="34" s="1"/>
  <c r="X23" i="34"/>
  <c r="U115" i="34"/>
  <c r="AD115" i="34" s="1"/>
  <c r="X86" i="34"/>
  <c r="AA72" i="34"/>
  <c r="X62" i="34"/>
  <c r="X45" i="34"/>
  <c r="U24" i="34"/>
  <c r="AD24" i="34" s="1"/>
  <c r="U18" i="34"/>
  <c r="AD18" i="34" s="1"/>
  <c r="U11" i="34"/>
  <c r="AD11" i="34" s="1"/>
  <c r="X10" i="34"/>
  <c r="AA75" i="34"/>
  <c r="AA68" i="34"/>
  <c r="U59" i="34"/>
  <c r="AD59" i="34" s="1"/>
  <c r="X58" i="34"/>
  <c r="X48" i="34"/>
  <c r="X31" i="34"/>
  <c r="AA116" i="34"/>
  <c r="AF116" i="34" s="1"/>
  <c r="X108" i="34"/>
  <c r="AA71" i="34"/>
  <c r="AA50" i="34"/>
  <c r="AA43" i="34"/>
  <c r="AA36" i="34"/>
  <c r="X34" i="34"/>
  <c r="AA22" i="34"/>
  <c r="X9" i="34"/>
  <c r="AA111" i="34"/>
  <c r="X95" i="34"/>
  <c r="AA91" i="34"/>
  <c r="X85" i="34"/>
  <c r="U80" i="34"/>
  <c r="AD80" i="34" s="1"/>
  <c r="X79" i="34"/>
  <c r="X75" i="34"/>
  <c r="X54" i="34"/>
  <c r="X40" i="34"/>
  <c r="AA39" i="34"/>
  <c r="AA29" i="34"/>
  <c r="AF29" i="34" s="1"/>
  <c r="AA15" i="34"/>
  <c r="AA119" i="34"/>
  <c r="U117" i="34"/>
  <c r="AD117" i="34" s="1"/>
  <c r="X116" i="34"/>
  <c r="AA108" i="34"/>
  <c r="X71" i="34"/>
  <c r="U65" i="34"/>
  <c r="AD65" i="34" s="1"/>
  <c r="X50" i="34"/>
  <c r="X22" i="34"/>
  <c r="X12" i="34"/>
  <c r="AA11" i="34"/>
  <c r="U95" i="34"/>
  <c r="AD95" i="34" s="1"/>
  <c r="AA93" i="34"/>
  <c r="AF93" i="34" s="1"/>
  <c r="AA77" i="34"/>
  <c r="AF77" i="34" s="1"/>
  <c r="AA59" i="34"/>
  <c r="U40" i="34"/>
  <c r="AD40" i="34" s="1"/>
  <c r="AA109" i="34"/>
  <c r="AF109" i="34" s="1"/>
  <c r="U88" i="34"/>
  <c r="AD88" i="34" s="1"/>
  <c r="AA73" i="34"/>
  <c r="AF73" i="34" s="1"/>
  <c r="AA45" i="34"/>
  <c r="AF45" i="34" s="1"/>
  <c r="U33" i="34"/>
  <c r="AD33" i="34" s="1"/>
  <c r="U22" i="34"/>
  <c r="AD22" i="34" s="1"/>
  <c r="X18" i="34"/>
  <c r="U12" i="34"/>
  <c r="AD12" i="34" s="1"/>
  <c r="AA10" i="34"/>
  <c r="X77" i="34"/>
  <c r="AA76" i="34"/>
  <c r="AA69" i="34"/>
  <c r="AF69" i="34" s="1"/>
  <c r="AA58" i="34"/>
  <c r="X38" i="34"/>
  <c r="X21" i="34"/>
  <c r="AF9" i="34"/>
  <c r="AA117" i="34"/>
  <c r="U101" i="34"/>
  <c r="AD101" i="34" s="1"/>
  <c r="X98" i="34"/>
  <c r="AA95" i="34"/>
  <c r="X91" i="34"/>
  <c r="U82" i="34"/>
  <c r="AD82" i="34" s="1"/>
  <c r="AA47" i="34"/>
  <c r="AF47" i="34" s="1"/>
  <c r="X43" i="34"/>
  <c r="U34" i="34"/>
  <c r="AD34" i="34" s="1"/>
  <c r="AA25" i="34"/>
  <c r="AA7" i="34"/>
  <c r="AA122" i="34"/>
  <c r="X117" i="34"/>
  <c r="X102" i="34"/>
  <c r="U98" i="34"/>
  <c r="AD98" i="34" s="1"/>
  <c r="X83" i="34"/>
  <c r="U81" i="34"/>
  <c r="AD81" i="34" s="1"/>
  <c r="X74" i="34"/>
  <c r="X70" i="34"/>
  <c r="X47" i="34"/>
  <c r="AA44" i="34"/>
  <c r="X35" i="34"/>
  <c r="X30" i="34"/>
  <c r="X7" i="34"/>
  <c r="AA4" i="34"/>
  <c r="AF4" i="34" s="1"/>
  <c r="X107" i="34"/>
  <c r="U120" i="34"/>
  <c r="AD120" i="34" s="1"/>
  <c r="X97" i="34"/>
  <c r="X11" i="34"/>
  <c r="X122" i="34"/>
  <c r="X94" i="34"/>
  <c r="X90" i="34"/>
  <c r="AA89" i="34"/>
  <c r="AF89" i="34" s="1"/>
  <c r="AA84" i="34"/>
  <c r="AA60" i="34"/>
  <c r="AF60" i="34" s="1"/>
  <c r="AA56" i="34"/>
  <c r="AF56" i="34" s="1"/>
  <c r="U30" i="34"/>
  <c r="AD30" i="34" s="1"/>
  <c r="AA20" i="34"/>
  <c r="AA16" i="34"/>
  <c r="AF16" i="34" s="1"/>
  <c r="AA12" i="34"/>
  <c r="AA118" i="34"/>
  <c r="AF118" i="34" s="1"/>
  <c r="X103" i="34"/>
  <c r="X87" i="34"/>
  <c r="AA79" i="34"/>
  <c r="X46" i="34"/>
  <c r="X39" i="34"/>
  <c r="X27" i="34"/>
  <c r="X6" i="34"/>
  <c r="X121" i="34"/>
  <c r="U90" i="34"/>
  <c r="AD90" i="34" s="1"/>
  <c r="X82" i="34"/>
  <c r="AA81" i="34"/>
  <c r="X67" i="34"/>
  <c r="AA33" i="34"/>
  <c r="U13" i="34"/>
  <c r="AD13" i="34" s="1"/>
  <c r="U4" i="34"/>
  <c r="AD4" i="34" s="1"/>
  <c r="AA115" i="34"/>
  <c r="AF115" i="34" s="1"/>
  <c r="X109" i="34"/>
  <c r="X111" i="34"/>
  <c r="M5" i="37"/>
  <c r="G5" i="37" s="1"/>
  <c r="L6" i="37"/>
  <c r="F5" i="36"/>
  <c r="E6" i="36"/>
  <c r="L7" i="36"/>
  <c r="M6" i="36"/>
  <c r="AF111" i="34"/>
  <c r="AF108" i="34"/>
  <c r="AF122" i="34"/>
  <c r="AF120" i="34"/>
  <c r="AF119" i="34"/>
  <c r="AF117" i="34"/>
  <c r="AF107" i="34"/>
  <c r="AF103" i="34"/>
  <c r="AF48" i="34"/>
  <c r="AF39" i="34"/>
  <c r="AF24" i="34"/>
  <c r="AF92" i="34"/>
  <c r="AF81" i="34"/>
  <c r="AF71" i="34"/>
  <c r="AF64" i="34"/>
  <c r="AF33" i="34"/>
  <c r="AF86" i="34"/>
  <c r="AF79" i="34"/>
  <c r="AF62" i="34"/>
  <c r="AF59" i="34"/>
  <c r="AF51" i="34"/>
  <c r="AF44" i="34"/>
  <c r="AF38" i="34"/>
  <c r="AF31" i="34"/>
  <c r="AF19" i="34"/>
  <c r="AF11" i="34"/>
  <c r="AF99" i="34"/>
  <c r="AF88" i="34"/>
  <c r="AF72" i="34"/>
  <c r="AF40" i="34"/>
  <c r="AF25" i="34"/>
  <c r="AF84" i="34"/>
  <c r="AF52" i="34"/>
  <c r="AF36" i="34"/>
  <c r="AF27" i="34"/>
  <c r="AF20" i="34"/>
  <c r="AF12" i="34"/>
  <c r="AF96" i="34"/>
  <c r="AF87" i="34"/>
  <c r="AF83" i="34"/>
  <c r="AF35" i="34"/>
  <c r="AF80" i="34"/>
  <c r="AF75" i="34"/>
  <c r="AF67" i="34"/>
  <c r="AF65" i="34"/>
  <c r="AF32" i="34"/>
  <c r="AF7" i="34"/>
  <c r="AF100" i="34"/>
  <c r="AF55" i="34"/>
  <c r="AF23" i="34"/>
  <c r="AF15" i="34"/>
  <c r="AF6" i="34"/>
  <c r="AF95" i="34"/>
  <c r="AF94" i="34"/>
  <c r="AF91" i="34"/>
  <c r="AF76" i="34"/>
  <c r="AF68" i="34"/>
  <c r="AF63" i="34"/>
  <c r="AF43" i="34"/>
  <c r="AF41" i="34"/>
  <c r="AF28" i="34"/>
  <c r="AF8" i="34"/>
  <c r="AF102" i="34"/>
  <c r="AF78" i="34"/>
  <c r="AF70" i="34"/>
  <c r="AF54" i="34"/>
  <c r="AF46" i="34"/>
  <c r="AF30" i="34"/>
  <c r="AF22" i="34"/>
  <c r="AF14" i="34"/>
  <c r="AF98" i="34"/>
  <c r="AF90" i="34"/>
  <c r="AF82" i="34"/>
  <c r="AF74" i="34"/>
  <c r="AF66" i="34"/>
  <c r="AF58" i="34"/>
  <c r="AF50" i="34"/>
  <c r="AF42" i="34"/>
  <c r="AF34" i="34"/>
  <c r="AF26" i="34"/>
  <c r="AF18" i="34"/>
  <c r="AF10" i="34"/>
  <c r="G67" i="55" l="1"/>
  <c r="G42" i="55"/>
  <c r="M99" i="55"/>
  <c r="G99" i="55" s="1"/>
  <c r="L105" i="55"/>
  <c r="M105" i="55" s="1"/>
  <c r="F99" i="55"/>
  <c r="E105" i="55"/>
  <c r="F105" i="55" s="1"/>
  <c r="G26" i="53"/>
  <c r="F82" i="53"/>
  <c r="E83" i="53"/>
  <c r="E57" i="53"/>
  <c r="F56" i="53"/>
  <c r="E95" i="55"/>
  <c r="E100" i="55"/>
  <c r="F100" i="55" s="1"/>
  <c r="F94" i="55"/>
  <c r="F68" i="55"/>
  <c r="E69" i="55"/>
  <c r="L100" i="55"/>
  <c r="M100" i="55" s="1"/>
  <c r="G100" i="55" s="1"/>
  <c r="L95" i="55"/>
  <c r="M94" i="55"/>
  <c r="M68" i="55"/>
  <c r="L69" i="55"/>
  <c r="G80" i="48"/>
  <c r="G42" i="48"/>
  <c r="L84" i="53"/>
  <c r="M83" i="53"/>
  <c r="G83" i="53" s="1"/>
  <c r="M57" i="53"/>
  <c r="L58" i="53"/>
  <c r="G24" i="50"/>
  <c r="M80" i="50"/>
  <c r="L81" i="50"/>
  <c r="M54" i="50"/>
  <c r="G54" i="50" s="1"/>
  <c r="L55" i="50"/>
  <c r="M81" i="48"/>
  <c r="L82" i="48"/>
  <c r="M55" i="48"/>
  <c r="L56" i="48"/>
  <c r="E55" i="48"/>
  <c r="F54" i="48"/>
  <c r="E81" i="48"/>
  <c r="F80" i="48"/>
  <c r="F48" i="47"/>
  <c r="E49" i="47"/>
  <c r="M48" i="47"/>
  <c r="G48" i="47" s="1"/>
  <c r="L49" i="47"/>
  <c r="E40" i="46"/>
  <c r="F39" i="46"/>
  <c r="E37" i="46"/>
  <c r="F36" i="46"/>
  <c r="M39" i="46"/>
  <c r="L40" i="46"/>
  <c r="L37" i="46"/>
  <c r="M36" i="46"/>
  <c r="F26" i="45"/>
  <c r="E27" i="45"/>
  <c r="L26" i="45"/>
  <c r="M25" i="45"/>
  <c r="F23" i="44"/>
  <c r="E24" i="44"/>
  <c r="L25" i="44"/>
  <c r="M24" i="44"/>
  <c r="M6" i="37"/>
  <c r="L7" i="37"/>
  <c r="L8" i="36"/>
  <c r="M7" i="36"/>
  <c r="F6" i="36"/>
  <c r="E7" i="36"/>
  <c r="X116" i="33"/>
  <c r="AB116" i="33"/>
  <c r="U117" i="33"/>
  <c r="AD117" i="33" s="1"/>
  <c r="AA117" i="33"/>
  <c r="AB117" i="33"/>
  <c r="AA118" i="33"/>
  <c r="AB118" i="33"/>
  <c r="U119" i="33"/>
  <c r="AD119" i="33" s="1"/>
  <c r="X119" i="33"/>
  <c r="AB119" i="33"/>
  <c r="U120" i="33"/>
  <c r="AD120" i="33" s="1"/>
  <c r="AA120" i="33"/>
  <c r="AB120" i="33"/>
  <c r="AB121" i="33"/>
  <c r="U122" i="33"/>
  <c r="AD122" i="33" s="1"/>
  <c r="AA122" i="33"/>
  <c r="AB122" i="33"/>
  <c r="AB115" i="33"/>
  <c r="U108" i="33"/>
  <c r="AD108" i="33" s="1"/>
  <c r="AB108" i="33"/>
  <c r="AB109" i="33"/>
  <c r="AA110" i="33"/>
  <c r="AB110" i="33"/>
  <c r="AB111" i="33"/>
  <c r="AB107" i="33"/>
  <c r="U107" i="33"/>
  <c r="AD107" i="33" s="1"/>
  <c r="X4" i="33"/>
  <c r="Z4" i="35"/>
  <c r="AB4" i="33"/>
  <c r="U5" i="33"/>
  <c r="AD5" i="33" s="1"/>
  <c r="X5" i="33"/>
  <c r="Z5" i="35"/>
  <c r="AB5" i="33"/>
  <c r="U6" i="33"/>
  <c r="AD6" i="33" s="1"/>
  <c r="Z6" i="35"/>
  <c r="AB6" i="33"/>
  <c r="U7" i="33"/>
  <c r="AD7" i="33" s="1"/>
  <c r="Z7" i="35"/>
  <c r="AB7" i="33"/>
  <c r="Z8" i="35"/>
  <c r="AB8" i="33"/>
  <c r="Y9" i="35"/>
  <c r="Z9" i="35"/>
  <c r="AB9" i="33"/>
  <c r="Y10" i="35"/>
  <c r="Z10" i="35"/>
  <c r="AB10" i="33"/>
  <c r="Z11" i="35"/>
  <c r="AB11" i="33"/>
  <c r="Z12" i="35"/>
  <c r="AB12" i="33"/>
  <c r="Y13" i="35"/>
  <c r="Z13" i="35"/>
  <c r="AB13" i="33"/>
  <c r="Y14" i="35"/>
  <c r="AB14" i="33"/>
  <c r="U15" i="33"/>
  <c r="AD15" i="33" s="1"/>
  <c r="Z15" i="35"/>
  <c r="AB15" i="33"/>
  <c r="U16" i="33"/>
  <c r="AD16" i="33" s="1"/>
  <c r="X16" i="33"/>
  <c r="Z16" i="35"/>
  <c r="AB16" i="33"/>
  <c r="U17" i="33"/>
  <c r="AD17" i="33" s="1"/>
  <c r="Y17" i="35"/>
  <c r="Z17" i="35"/>
  <c r="AB17" i="33"/>
  <c r="Y18" i="35"/>
  <c r="Z18" i="35"/>
  <c r="AB18" i="33"/>
  <c r="U19" i="33"/>
  <c r="AD19" i="33" s="1"/>
  <c r="Z19" i="35"/>
  <c r="AB19" i="33"/>
  <c r="Z20" i="35"/>
  <c r="AB20" i="33"/>
  <c r="X21" i="33"/>
  <c r="Y21" i="35"/>
  <c r="Z21" i="35"/>
  <c r="AB21" i="33"/>
  <c r="U22" i="33"/>
  <c r="AD22" i="33" s="1"/>
  <c r="Y22" i="35"/>
  <c r="AB22" i="33"/>
  <c r="U23" i="33"/>
  <c r="AD23" i="33" s="1"/>
  <c r="Z23" i="35"/>
  <c r="AB23" i="33"/>
  <c r="X24" i="33"/>
  <c r="Z24" i="35"/>
  <c r="AB24" i="33"/>
  <c r="Y25" i="35"/>
  <c r="Z25" i="35"/>
  <c r="AB25" i="33"/>
  <c r="Y26" i="35"/>
  <c r="Z26" i="35"/>
  <c r="AB26" i="33"/>
  <c r="Z27" i="35"/>
  <c r="AB27" i="33"/>
  <c r="Z28" i="35"/>
  <c r="AB28" i="33"/>
  <c r="Y29" i="35"/>
  <c r="Z29" i="35"/>
  <c r="AB29" i="33"/>
  <c r="Z30" i="35"/>
  <c r="AB30" i="33"/>
  <c r="Z31" i="35"/>
  <c r="AB31" i="33"/>
  <c r="U32" i="33"/>
  <c r="AD32" i="33" s="1"/>
  <c r="X32" i="33"/>
  <c r="Z32" i="35"/>
  <c r="AB32" i="33"/>
  <c r="U33" i="33"/>
  <c r="AD33" i="33" s="1"/>
  <c r="Y33" i="35"/>
  <c r="Z33" i="35"/>
  <c r="AB33" i="33"/>
  <c r="Y34" i="35"/>
  <c r="Z34" i="35"/>
  <c r="AB34" i="33"/>
  <c r="U35" i="33"/>
  <c r="AD35" i="33" s="1"/>
  <c r="Z35" i="35"/>
  <c r="AB35" i="33"/>
  <c r="Z36" i="35"/>
  <c r="AB36" i="33"/>
  <c r="Y37" i="35"/>
  <c r="Z37" i="35"/>
  <c r="AB37" i="33"/>
  <c r="Z38" i="35"/>
  <c r="AB38" i="33"/>
  <c r="U39" i="33"/>
  <c r="AD39" i="33" s="1"/>
  <c r="Z39" i="35"/>
  <c r="AB39" i="33"/>
  <c r="X40" i="33"/>
  <c r="Z40" i="35"/>
  <c r="AB40" i="33"/>
  <c r="Y41" i="35"/>
  <c r="Z41" i="35"/>
  <c r="AB41" i="33"/>
  <c r="Y42" i="35"/>
  <c r="Z42" i="35"/>
  <c r="AB42" i="33"/>
  <c r="Z43" i="35"/>
  <c r="AB43" i="33"/>
  <c r="U44" i="33"/>
  <c r="AD44" i="33" s="1"/>
  <c r="Z44" i="35"/>
  <c r="AB44" i="33"/>
  <c r="Y45" i="35"/>
  <c r="Z45" i="35"/>
  <c r="AB45" i="33"/>
  <c r="Z46" i="35"/>
  <c r="AB46" i="33"/>
  <c r="U47" i="33"/>
  <c r="AD47" i="33" s="1"/>
  <c r="X47" i="33"/>
  <c r="Z47" i="35"/>
  <c r="AB47" i="33"/>
  <c r="U48" i="33"/>
  <c r="AD48" i="33" s="1"/>
  <c r="Z48" i="35"/>
  <c r="AB48" i="33"/>
  <c r="Y49" i="35"/>
  <c r="Z49" i="35"/>
  <c r="AB49" i="33"/>
  <c r="Y50" i="35"/>
  <c r="Z50" i="35"/>
  <c r="AB50" i="33"/>
  <c r="Z51" i="35"/>
  <c r="AB51" i="33"/>
  <c r="X52" i="33"/>
  <c r="Z52" i="35"/>
  <c r="AB52" i="33"/>
  <c r="X53" i="33"/>
  <c r="Y53" i="35"/>
  <c r="Z53" i="35"/>
  <c r="AB53" i="33"/>
  <c r="Z54" i="35"/>
  <c r="AB54" i="33"/>
  <c r="U55" i="33"/>
  <c r="AD55" i="33" s="1"/>
  <c r="X55" i="33"/>
  <c r="Z55" i="35"/>
  <c r="AB55" i="33"/>
  <c r="U56" i="33"/>
  <c r="AD56" i="33" s="1"/>
  <c r="Y56" i="35"/>
  <c r="AB56" i="33"/>
  <c r="X57" i="33"/>
  <c r="Y57" i="35"/>
  <c r="Z57" i="35"/>
  <c r="AB57" i="33"/>
  <c r="Y58" i="35"/>
  <c r="Z58" i="35"/>
  <c r="AB58" i="33"/>
  <c r="U59" i="33"/>
  <c r="AD59" i="33" s="1"/>
  <c r="X59" i="33"/>
  <c r="Z59" i="35"/>
  <c r="AB59" i="33"/>
  <c r="U60" i="33"/>
  <c r="AD60" i="33" s="1"/>
  <c r="X60" i="33"/>
  <c r="Z60" i="35"/>
  <c r="AB60" i="33"/>
  <c r="Y61" i="35"/>
  <c r="Z61" i="35"/>
  <c r="AB61" i="33"/>
  <c r="Y62" i="35"/>
  <c r="Z62" i="35"/>
  <c r="AB62" i="33"/>
  <c r="Z63" i="35"/>
  <c r="AB63" i="33"/>
  <c r="X64" i="33"/>
  <c r="Z64" i="35"/>
  <c r="AB64" i="33"/>
  <c r="Y65" i="35"/>
  <c r="Z65" i="35"/>
  <c r="AB65" i="33"/>
  <c r="X66" i="33"/>
  <c r="Y66" i="35"/>
  <c r="Z66" i="35"/>
  <c r="AB66" i="33"/>
  <c r="U67" i="33"/>
  <c r="AD67" i="33" s="1"/>
  <c r="Z67" i="35"/>
  <c r="AB67" i="33"/>
  <c r="Z68" i="35"/>
  <c r="AB68" i="33"/>
  <c r="Y69" i="35"/>
  <c r="Z69" i="35"/>
  <c r="AB69" i="33"/>
  <c r="Y70" i="35"/>
  <c r="AB70" i="33"/>
  <c r="Z71" i="35"/>
  <c r="AB71" i="33"/>
  <c r="U72" i="33"/>
  <c r="AD72" i="33" s="1"/>
  <c r="X72" i="33"/>
  <c r="Z72" i="35"/>
  <c r="AB72" i="33"/>
  <c r="Y73" i="35"/>
  <c r="Z73" i="35"/>
  <c r="AB73" i="33"/>
  <c r="Y74" i="35"/>
  <c r="Z74" i="35"/>
  <c r="AB74" i="33"/>
  <c r="Z75" i="35"/>
  <c r="AB75" i="33"/>
  <c r="U76" i="33"/>
  <c r="AD76" i="33" s="1"/>
  <c r="X76" i="33"/>
  <c r="Z76" i="35"/>
  <c r="AB76" i="33"/>
  <c r="X77" i="33"/>
  <c r="Z77" i="35"/>
  <c r="AB77" i="33"/>
  <c r="U78" i="33"/>
  <c r="AD78" i="33" s="1"/>
  <c r="Y78" i="35"/>
  <c r="AB78" i="33"/>
  <c r="X79" i="33"/>
  <c r="Z79" i="35"/>
  <c r="AB79" i="33"/>
  <c r="U80" i="33"/>
  <c r="AD80" i="33" s="1"/>
  <c r="X80" i="33"/>
  <c r="Y80" i="35"/>
  <c r="Z80" i="35"/>
  <c r="AB80" i="33"/>
  <c r="Y81" i="35"/>
  <c r="Z81" i="35"/>
  <c r="AB81" i="33"/>
  <c r="X82" i="33"/>
  <c r="Y82" i="35"/>
  <c r="Z82" i="35"/>
  <c r="AB82" i="33"/>
  <c r="X83" i="33"/>
  <c r="Z83" i="35"/>
  <c r="AB83" i="33"/>
  <c r="U84" i="33"/>
  <c r="AD84" i="33" s="1"/>
  <c r="Z84" i="35"/>
  <c r="AB84" i="33"/>
  <c r="Z85" i="35"/>
  <c r="AB85" i="33"/>
  <c r="U86" i="33"/>
  <c r="AD86" i="33" s="1"/>
  <c r="Y86" i="35"/>
  <c r="Z86" i="35"/>
  <c r="AB86" i="33"/>
  <c r="X87" i="33"/>
  <c r="Y87" i="35"/>
  <c r="AB87" i="33"/>
  <c r="U88" i="33"/>
  <c r="AD88" i="33" s="1"/>
  <c r="X88" i="33"/>
  <c r="Y88" i="35"/>
  <c r="Z88" i="35"/>
  <c r="AB88" i="33"/>
  <c r="U89" i="33"/>
  <c r="AD89" i="33" s="1"/>
  <c r="Y89" i="35"/>
  <c r="Z89" i="35"/>
  <c r="AB89" i="33"/>
  <c r="Y90" i="35"/>
  <c r="Z90" i="35"/>
  <c r="AB90" i="33"/>
  <c r="Z91" i="35"/>
  <c r="AB91" i="33"/>
  <c r="Z92" i="35"/>
  <c r="AB92" i="33"/>
  <c r="Y93" i="35"/>
  <c r="Z93" i="35"/>
  <c r="AB93" i="33"/>
  <c r="U94" i="33"/>
  <c r="AD94" i="33" s="1"/>
  <c r="Y94" i="35"/>
  <c r="AB94" i="33"/>
  <c r="Z95" i="35"/>
  <c r="AB95" i="33"/>
  <c r="U96" i="33"/>
  <c r="AD96" i="33" s="1"/>
  <c r="Y96" i="35"/>
  <c r="Z96" i="35"/>
  <c r="AB96" i="33"/>
  <c r="Y97" i="35"/>
  <c r="Z97" i="35"/>
  <c r="AB97" i="33"/>
  <c r="Y98" i="35"/>
  <c r="Z98" i="35"/>
  <c r="AB98" i="33"/>
  <c r="U99" i="33"/>
  <c r="AD99" i="33" s="1"/>
  <c r="Z99" i="35"/>
  <c r="AB99" i="33"/>
  <c r="Z100" i="35"/>
  <c r="AB100" i="33"/>
  <c r="X101" i="33"/>
  <c r="Y101" i="35"/>
  <c r="Z101" i="35"/>
  <c r="AB101" i="33"/>
  <c r="U102" i="33"/>
  <c r="AD102" i="33" s="1"/>
  <c r="X102" i="33"/>
  <c r="Z102" i="35"/>
  <c r="AB102" i="33"/>
  <c r="Z103" i="35"/>
  <c r="AB103" i="33"/>
  <c r="G68" i="55" l="1"/>
  <c r="G47" i="55"/>
  <c r="G93" i="55"/>
  <c r="G30" i="53"/>
  <c r="E58" i="53"/>
  <c r="F57" i="53"/>
  <c r="F83" i="53"/>
  <c r="E84" i="53"/>
  <c r="L101" i="55"/>
  <c r="M101" i="55" s="1"/>
  <c r="G101" i="55" s="1"/>
  <c r="M95" i="55"/>
  <c r="L96" i="55"/>
  <c r="F69" i="55"/>
  <c r="E70" i="55"/>
  <c r="L70" i="55"/>
  <c r="M69" i="55"/>
  <c r="E96" i="55"/>
  <c r="E101" i="55"/>
  <c r="F101" i="55" s="1"/>
  <c r="F95" i="55"/>
  <c r="G55" i="48"/>
  <c r="G35" i="48"/>
  <c r="G81" i="48"/>
  <c r="G47" i="48"/>
  <c r="L85" i="53"/>
  <c r="M84" i="53"/>
  <c r="M58" i="53"/>
  <c r="L59" i="53"/>
  <c r="G26" i="50"/>
  <c r="M55" i="50"/>
  <c r="L56" i="50"/>
  <c r="M81" i="50"/>
  <c r="L82" i="50"/>
  <c r="F81" i="48"/>
  <c r="E82" i="48"/>
  <c r="E56" i="48"/>
  <c r="F55" i="48"/>
  <c r="M56" i="48"/>
  <c r="L57" i="48"/>
  <c r="M82" i="48"/>
  <c r="L83" i="48"/>
  <c r="L76" i="47"/>
  <c r="M49" i="47"/>
  <c r="G49" i="47" s="1"/>
  <c r="L50" i="47"/>
  <c r="F49" i="47"/>
  <c r="E76" i="47"/>
  <c r="E50" i="47"/>
  <c r="M37" i="46"/>
  <c r="L38" i="46"/>
  <c r="M38" i="46" s="1"/>
  <c r="L41" i="46"/>
  <c r="M40" i="46"/>
  <c r="G40" i="46" s="1"/>
  <c r="F37" i="46"/>
  <c r="E38" i="46"/>
  <c r="F38" i="46" s="1"/>
  <c r="E41" i="46"/>
  <c r="F40" i="46"/>
  <c r="G18" i="44"/>
  <c r="L27" i="45"/>
  <c r="M26" i="45"/>
  <c r="F27" i="45"/>
  <c r="E28" i="45"/>
  <c r="L26" i="44"/>
  <c r="M25" i="44"/>
  <c r="F24" i="44"/>
  <c r="E25" i="44"/>
  <c r="AA101" i="35"/>
  <c r="AQ101" i="35" s="1"/>
  <c r="U101" i="33"/>
  <c r="AD101" i="33" s="1"/>
  <c r="X100" i="33"/>
  <c r="X96" i="33"/>
  <c r="X92" i="33"/>
  <c r="U71" i="33"/>
  <c r="AD71" i="33" s="1"/>
  <c r="X46" i="33"/>
  <c r="U43" i="33"/>
  <c r="AD43" i="33" s="1"/>
  <c r="U40" i="33"/>
  <c r="AD40" i="33" s="1"/>
  <c r="X35" i="33"/>
  <c r="U25" i="33"/>
  <c r="AD25" i="33" s="1"/>
  <c r="X20" i="33"/>
  <c r="U10" i="33"/>
  <c r="AD10" i="33" s="1"/>
  <c r="U111" i="33"/>
  <c r="AD111" i="33" s="1"/>
  <c r="U103" i="33"/>
  <c r="AD103" i="33" s="1"/>
  <c r="U100" i="33"/>
  <c r="AD100" i="33" s="1"/>
  <c r="X99" i="33"/>
  <c r="U92" i="33"/>
  <c r="AD92" i="33" s="1"/>
  <c r="X69" i="33"/>
  <c r="X62" i="33"/>
  <c r="U49" i="33"/>
  <c r="AD49" i="33" s="1"/>
  <c r="X41" i="33"/>
  <c r="AA29" i="33"/>
  <c r="AF29" i="33" s="1"/>
  <c r="X27" i="33"/>
  <c r="U24" i="33"/>
  <c r="AD24" i="33" s="1"/>
  <c r="X8" i="33"/>
  <c r="X117" i="33"/>
  <c r="U95" i="33"/>
  <c r="AD95" i="33" s="1"/>
  <c r="U79" i="33"/>
  <c r="AD79" i="33" s="1"/>
  <c r="U62" i="33"/>
  <c r="AD62" i="33" s="1"/>
  <c r="X61" i="33"/>
  <c r="X58" i="33"/>
  <c r="AA53" i="33"/>
  <c r="AF53" i="33" s="1"/>
  <c r="U45" i="33"/>
  <c r="AD45" i="33" s="1"/>
  <c r="X44" i="33"/>
  <c r="U38" i="33"/>
  <c r="AD38" i="33" s="1"/>
  <c r="X37" i="33"/>
  <c r="U27" i="33"/>
  <c r="AD27" i="33" s="1"/>
  <c r="X26" i="33"/>
  <c r="U8" i="33"/>
  <c r="AD8" i="33" s="1"/>
  <c r="X7" i="33"/>
  <c r="AA115" i="33"/>
  <c r="AF115" i="33" s="1"/>
  <c r="AA73" i="33"/>
  <c r="AF73" i="33" s="1"/>
  <c r="U75" i="33"/>
  <c r="AD75" i="33" s="1"/>
  <c r="X71" i="33"/>
  <c r="AA62" i="33"/>
  <c r="AF62" i="33" s="1"/>
  <c r="U58" i="33"/>
  <c r="AD58" i="33" s="1"/>
  <c r="U54" i="33"/>
  <c r="AD54" i="33" s="1"/>
  <c r="X17" i="33"/>
  <c r="X111" i="33"/>
  <c r="AA98" i="33"/>
  <c r="AA89" i="33"/>
  <c r="AF89" i="33" s="1"/>
  <c r="U63" i="33"/>
  <c r="AD63" i="33" s="1"/>
  <c r="X36" i="33"/>
  <c r="U21" i="33"/>
  <c r="AD21" i="33" s="1"/>
  <c r="X109" i="33"/>
  <c r="X115" i="33"/>
  <c r="X121" i="33"/>
  <c r="AA82" i="33"/>
  <c r="X65" i="33"/>
  <c r="U53" i="33"/>
  <c r="AD53" i="33" s="1"/>
  <c r="X45" i="33"/>
  <c r="U36" i="33"/>
  <c r="AD36" i="33" s="1"/>
  <c r="X29" i="33"/>
  <c r="U20" i="33"/>
  <c r="AD20" i="33" s="1"/>
  <c r="X19" i="33"/>
  <c r="X13" i="33"/>
  <c r="X93" i="33"/>
  <c r="U90" i="33"/>
  <c r="AD90" i="33" s="1"/>
  <c r="U87" i="33"/>
  <c r="AD87" i="33" s="1"/>
  <c r="U77" i="33"/>
  <c r="AD77" i="33" s="1"/>
  <c r="U69" i="33"/>
  <c r="AD69" i="33" s="1"/>
  <c r="X68" i="33"/>
  <c r="X54" i="33"/>
  <c r="X51" i="33"/>
  <c r="AA17" i="33"/>
  <c r="AF17" i="33" s="1"/>
  <c r="U13" i="33"/>
  <c r="AD13" i="33" s="1"/>
  <c r="X12" i="33"/>
  <c r="U109" i="33"/>
  <c r="AD109" i="33" s="1"/>
  <c r="X108" i="33"/>
  <c r="X120" i="33"/>
  <c r="X103" i="33"/>
  <c r="X98" i="33"/>
  <c r="U68" i="33"/>
  <c r="AD68" i="33" s="1"/>
  <c r="AA58" i="33"/>
  <c r="AA33" i="33"/>
  <c r="AF33" i="33" s="1"/>
  <c r="U29" i="33"/>
  <c r="AD29" i="33" s="1"/>
  <c r="X28" i="33"/>
  <c r="X15" i="33"/>
  <c r="U12" i="33"/>
  <c r="AD12" i="33" s="1"/>
  <c r="AA10" i="33"/>
  <c r="U93" i="33"/>
  <c r="AD93" i="33" s="1"/>
  <c r="X85" i="33"/>
  <c r="X73" i="33"/>
  <c r="AA69" i="33"/>
  <c r="AF69" i="33" s="1"/>
  <c r="U57" i="33"/>
  <c r="AD57" i="33" s="1"/>
  <c r="X56" i="33"/>
  <c r="X50" i="33"/>
  <c r="X31" i="33"/>
  <c r="X107" i="33"/>
  <c r="X94" i="33"/>
  <c r="AA93" i="33"/>
  <c r="AF93" i="33" s="1"/>
  <c r="X91" i="33"/>
  <c r="X84" i="33"/>
  <c r="X75" i="33"/>
  <c r="AA74" i="33"/>
  <c r="AF74" i="33" s="1"/>
  <c r="U64" i="33"/>
  <c r="AD64" i="33" s="1"/>
  <c r="AA57" i="33"/>
  <c r="AF57" i="33" s="1"/>
  <c r="U41" i="33"/>
  <c r="AD41" i="33" s="1"/>
  <c r="U31" i="33"/>
  <c r="AD31" i="33" s="1"/>
  <c r="X30" i="33"/>
  <c r="X14" i="33"/>
  <c r="U11" i="33"/>
  <c r="AD11" i="33" s="1"/>
  <c r="AA9" i="33"/>
  <c r="AF9" i="33" s="1"/>
  <c r="X110" i="33"/>
  <c r="AA109" i="33"/>
  <c r="AF109" i="33" s="1"/>
  <c r="AA121" i="33"/>
  <c r="AF121" i="33" s="1"/>
  <c r="X118" i="33"/>
  <c r="U116" i="33"/>
  <c r="AD116" i="33" s="1"/>
  <c r="AA56" i="33"/>
  <c r="AF56" i="33" s="1"/>
  <c r="Z56" i="35"/>
  <c r="AA27" i="33"/>
  <c r="Y27" i="35"/>
  <c r="U91" i="33"/>
  <c r="AD91" i="33" s="1"/>
  <c r="AA22" i="33"/>
  <c r="Z22" i="35"/>
  <c r="U115" i="33"/>
  <c r="AD115" i="33" s="1"/>
  <c r="AA102" i="33"/>
  <c r="AF102" i="33" s="1"/>
  <c r="Y102" i="35"/>
  <c r="AA100" i="33"/>
  <c r="AF100" i="33" s="1"/>
  <c r="Y100" i="35"/>
  <c r="X90" i="33"/>
  <c r="X86" i="33"/>
  <c r="AA83" i="33"/>
  <c r="AF83" i="33" s="1"/>
  <c r="Y83" i="35"/>
  <c r="U82" i="33"/>
  <c r="AD82" i="33" s="1"/>
  <c r="X81" i="33"/>
  <c r="AA80" i="33"/>
  <c r="AF80" i="33" s="1"/>
  <c r="AA64" i="33"/>
  <c r="Y64" i="35"/>
  <c r="AA60" i="33"/>
  <c r="Y60" i="35"/>
  <c r="AA54" i="33"/>
  <c r="AF54" i="33" s="1"/>
  <c r="Y54" i="35"/>
  <c r="AA52" i="33"/>
  <c r="Y52" i="35"/>
  <c r="U51" i="33"/>
  <c r="AD51" i="33" s="1"/>
  <c r="AA49" i="33"/>
  <c r="AF49" i="33" s="1"/>
  <c r="AA47" i="33"/>
  <c r="Y47" i="35"/>
  <c r="AA40" i="33"/>
  <c r="AF40" i="33" s="1"/>
  <c r="Y40" i="35"/>
  <c r="AA38" i="33"/>
  <c r="Y38" i="35"/>
  <c r="U30" i="33"/>
  <c r="AD30" i="33" s="1"/>
  <c r="U28" i="33"/>
  <c r="AD28" i="33" s="1"/>
  <c r="X25" i="33"/>
  <c r="AA24" i="33"/>
  <c r="Y24" i="35"/>
  <c r="X18" i="33"/>
  <c r="AA15" i="33"/>
  <c r="Y15" i="35"/>
  <c r="U9" i="33"/>
  <c r="AD9" i="33" s="1"/>
  <c r="X6" i="33"/>
  <c r="AA5" i="33"/>
  <c r="AF5" i="33" s="1"/>
  <c r="Y5" i="35"/>
  <c r="U4" i="33"/>
  <c r="AD4" i="33" s="1"/>
  <c r="AA111" i="33"/>
  <c r="U110" i="33"/>
  <c r="AD110" i="33" s="1"/>
  <c r="AA108" i="33"/>
  <c r="X122" i="33"/>
  <c r="AA119" i="33"/>
  <c r="AA116" i="33"/>
  <c r="AF116" i="33" s="1"/>
  <c r="AA92" i="33"/>
  <c r="AF92" i="33" s="1"/>
  <c r="Y92" i="35"/>
  <c r="X70" i="33"/>
  <c r="X63" i="33"/>
  <c r="U14" i="33"/>
  <c r="AD14" i="33" s="1"/>
  <c r="AA97" i="33"/>
  <c r="AF97" i="33" s="1"/>
  <c r="AA85" i="33"/>
  <c r="Y85" i="35"/>
  <c r="AA78" i="33"/>
  <c r="AF78" i="33" s="1"/>
  <c r="Z78" i="35"/>
  <c r="U70" i="33"/>
  <c r="AD70" i="33" s="1"/>
  <c r="X67" i="33"/>
  <c r="AA66" i="33"/>
  <c r="X43" i="33"/>
  <c r="AA42" i="33"/>
  <c r="U37" i="33"/>
  <c r="AD37" i="33" s="1"/>
  <c r="X34" i="33"/>
  <c r="AA31" i="33"/>
  <c r="Y31" i="35"/>
  <c r="AA26" i="33"/>
  <c r="AF26" i="33" s="1"/>
  <c r="AA8" i="33"/>
  <c r="Y8" i="35"/>
  <c r="AA87" i="33"/>
  <c r="Z87" i="35"/>
  <c r="AA76" i="33"/>
  <c r="AF76" i="33" s="1"/>
  <c r="Y76" i="35"/>
  <c r="AA67" i="33"/>
  <c r="Y67" i="35"/>
  <c r="U42" i="33"/>
  <c r="AD42" i="33" s="1"/>
  <c r="X39" i="33"/>
  <c r="AA36" i="33"/>
  <c r="Y36" i="35"/>
  <c r="AA91" i="33"/>
  <c r="Y91" i="35"/>
  <c r="X89" i="33"/>
  <c r="AA88" i="33"/>
  <c r="AF88" i="33" s="1"/>
  <c r="X74" i="33"/>
  <c r="AA71" i="33"/>
  <c r="Y71" i="35"/>
  <c r="U65" i="33"/>
  <c r="AD65" i="33" s="1"/>
  <c r="U61" i="33"/>
  <c r="AD61" i="33" s="1"/>
  <c r="AA44" i="33"/>
  <c r="Y44" i="35"/>
  <c r="X38" i="33"/>
  <c r="AA37" i="33"/>
  <c r="AF37" i="33" s="1"/>
  <c r="X22" i="33"/>
  <c r="AA21" i="33"/>
  <c r="AF21" i="33" s="1"/>
  <c r="AA19" i="33"/>
  <c r="AF19" i="33" s="1"/>
  <c r="Y19" i="35"/>
  <c r="U18" i="33"/>
  <c r="AD18" i="33" s="1"/>
  <c r="AA14" i="33"/>
  <c r="Z14" i="35"/>
  <c r="AA12" i="33"/>
  <c r="Y12" i="35"/>
  <c r="U97" i="33"/>
  <c r="AD97" i="33" s="1"/>
  <c r="U26" i="33"/>
  <c r="AD26" i="33" s="1"/>
  <c r="X23" i="33"/>
  <c r="AA20" i="33"/>
  <c r="AF20" i="33" s="1"/>
  <c r="Y20" i="35"/>
  <c r="X11" i="33"/>
  <c r="AA101" i="33"/>
  <c r="AF101" i="33" s="1"/>
  <c r="AA99" i="33"/>
  <c r="AF99" i="33" s="1"/>
  <c r="Y99" i="35"/>
  <c r="AA95" i="33"/>
  <c r="AF95" i="33" s="1"/>
  <c r="Y95" i="35"/>
  <c r="U81" i="33"/>
  <c r="AD81" i="33" s="1"/>
  <c r="AA61" i="33"/>
  <c r="AF61" i="33" s="1"/>
  <c r="AA51" i="33"/>
  <c r="AF51" i="33" s="1"/>
  <c r="Y51" i="35"/>
  <c r="U50" i="33"/>
  <c r="AD50" i="33" s="1"/>
  <c r="AA46" i="33"/>
  <c r="AF46" i="33" s="1"/>
  <c r="Y46" i="35"/>
  <c r="AA35" i="33"/>
  <c r="Y35" i="35"/>
  <c r="U34" i="33"/>
  <c r="AD34" i="33" s="1"/>
  <c r="AA28" i="33"/>
  <c r="AF28" i="33" s="1"/>
  <c r="Y28" i="35"/>
  <c r="AA16" i="33"/>
  <c r="Y16" i="35"/>
  <c r="X10" i="33"/>
  <c r="AA7" i="33"/>
  <c r="Y7" i="35"/>
  <c r="AA4" i="33"/>
  <c r="Y4" i="35"/>
  <c r="AA43" i="33"/>
  <c r="Y43" i="35"/>
  <c r="AA103" i="33"/>
  <c r="AF103" i="33" s="1"/>
  <c r="Y103" i="35"/>
  <c r="U98" i="33"/>
  <c r="AD98" i="33" s="1"/>
  <c r="X97" i="33"/>
  <c r="AA96" i="33"/>
  <c r="AF96" i="33" s="1"/>
  <c r="AA90" i="33"/>
  <c r="AF90" i="33" s="1"/>
  <c r="AA86" i="33"/>
  <c r="AF86" i="33" s="1"/>
  <c r="AA84" i="33"/>
  <c r="Y84" i="35"/>
  <c r="X78" i="33"/>
  <c r="AA77" i="33"/>
  <c r="Y77" i="35"/>
  <c r="AA75" i="33"/>
  <c r="Y75" i="35"/>
  <c r="U74" i="33"/>
  <c r="AD74" i="33" s="1"/>
  <c r="AA70" i="33"/>
  <c r="AF70" i="33" s="1"/>
  <c r="Z70" i="35"/>
  <c r="AA68" i="33"/>
  <c r="AF68" i="33" s="1"/>
  <c r="Y68" i="35"/>
  <c r="AA65" i="33"/>
  <c r="AF65" i="33" s="1"/>
  <c r="AA55" i="33"/>
  <c r="Y55" i="35"/>
  <c r="X49" i="33"/>
  <c r="AA48" i="33"/>
  <c r="Y48" i="35"/>
  <c r="X42" i="33"/>
  <c r="AA41" i="33"/>
  <c r="AF41" i="33" s="1"/>
  <c r="X33" i="33"/>
  <c r="AA32" i="33"/>
  <c r="Y32" i="35"/>
  <c r="AA30" i="33"/>
  <c r="Y30" i="35"/>
  <c r="AA25" i="33"/>
  <c r="AF25" i="33" s="1"/>
  <c r="AA18" i="33"/>
  <c r="AF18" i="33" s="1"/>
  <c r="AA94" i="33"/>
  <c r="Z94" i="35"/>
  <c r="AA6" i="33"/>
  <c r="Y6" i="35"/>
  <c r="AA79" i="33"/>
  <c r="Y79" i="35"/>
  <c r="U73" i="33"/>
  <c r="AD73" i="33" s="1"/>
  <c r="U66" i="33"/>
  <c r="AD66" i="33" s="1"/>
  <c r="U46" i="33"/>
  <c r="AD46" i="33" s="1"/>
  <c r="U118" i="33"/>
  <c r="AD118" i="33" s="1"/>
  <c r="X95" i="33"/>
  <c r="U85" i="33"/>
  <c r="AD85" i="33" s="1"/>
  <c r="U83" i="33"/>
  <c r="AD83" i="33" s="1"/>
  <c r="AA81" i="33"/>
  <c r="AF81" i="33" s="1"/>
  <c r="AA72" i="33"/>
  <c r="Y72" i="35"/>
  <c r="AA63" i="33"/>
  <c r="Y63" i="35"/>
  <c r="AA59" i="33"/>
  <c r="Y59" i="35"/>
  <c r="U52" i="33"/>
  <c r="AD52" i="33" s="1"/>
  <c r="AA50" i="33"/>
  <c r="X48" i="33"/>
  <c r="AA45" i="33"/>
  <c r="AF45" i="33" s="1"/>
  <c r="AA39" i="33"/>
  <c r="Y39" i="35"/>
  <c r="AA34" i="33"/>
  <c r="AA23" i="33"/>
  <c r="AF23" i="33" s="1"/>
  <c r="Y23" i="35"/>
  <c r="AA13" i="33"/>
  <c r="AF13" i="33" s="1"/>
  <c r="AA11" i="33"/>
  <c r="Y11" i="35"/>
  <c r="X9" i="33"/>
  <c r="AA107" i="33"/>
  <c r="AF107" i="33" s="1"/>
  <c r="U121" i="33"/>
  <c r="L8" i="37"/>
  <c r="M7" i="37"/>
  <c r="E8" i="36"/>
  <c r="F7" i="36"/>
  <c r="L9" i="36"/>
  <c r="M8" i="36"/>
  <c r="AD121" i="33"/>
  <c r="R121" i="33"/>
  <c r="AF120" i="33"/>
  <c r="AF118" i="33"/>
  <c r="AF117" i="33"/>
  <c r="AF119" i="33"/>
  <c r="AF122" i="33"/>
  <c r="AF108" i="33"/>
  <c r="AF110" i="33"/>
  <c r="AF111" i="33"/>
  <c r="AF72" i="33"/>
  <c r="AF63" i="33"/>
  <c r="AF44" i="33"/>
  <c r="AF39" i="33"/>
  <c r="AF30" i="33"/>
  <c r="AF12" i="33"/>
  <c r="AF8" i="33"/>
  <c r="AF55" i="33"/>
  <c r="AF91" i="33"/>
  <c r="AF77" i="33"/>
  <c r="AF4" i="33"/>
  <c r="AF94" i="33"/>
  <c r="AF87" i="33"/>
  <c r="AF84" i="33"/>
  <c r="AF79" i="33"/>
  <c r="AF64" i="33"/>
  <c r="AF35" i="33"/>
  <c r="AF24" i="33"/>
  <c r="AF6" i="33"/>
  <c r="AF75" i="33"/>
  <c r="AF47" i="33"/>
  <c r="AF22" i="33"/>
  <c r="AF15" i="33"/>
  <c r="AF59" i="33"/>
  <c r="AF38" i="33"/>
  <c r="AF31" i="33"/>
  <c r="AF11" i="33"/>
  <c r="AF71" i="33"/>
  <c r="AF36" i="33"/>
  <c r="AF27" i="33"/>
  <c r="AF16" i="33"/>
  <c r="AF85" i="33"/>
  <c r="AF67" i="33"/>
  <c r="AF60" i="33"/>
  <c r="AF52" i="33"/>
  <c r="AF48" i="33"/>
  <c r="AF43" i="33"/>
  <c r="AF32" i="33"/>
  <c r="AF14" i="33"/>
  <c r="AF7" i="33"/>
  <c r="AF98" i="33"/>
  <c r="AF82" i="33"/>
  <c r="AF66" i="33"/>
  <c r="AF58" i="33"/>
  <c r="AF50" i="33"/>
  <c r="AF42" i="33"/>
  <c r="AF34" i="33"/>
  <c r="AF10" i="33"/>
  <c r="G69" i="55" l="1"/>
  <c r="G52" i="55"/>
  <c r="G94" i="55"/>
  <c r="G31" i="53"/>
  <c r="E85" i="53"/>
  <c r="F84" i="53"/>
  <c r="F58" i="53"/>
  <c r="E59" i="53"/>
  <c r="F96" i="55"/>
  <c r="E102" i="55"/>
  <c r="F102" i="55" s="1"/>
  <c r="E97" i="55"/>
  <c r="L71" i="55"/>
  <c r="M70" i="55"/>
  <c r="E71" i="55"/>
  <c r="F70" i="55"/>
  <c r="L102" i="55"/>
  <c r="M102" i="55" s="1"/>
  <c r="G102" i="55" s="1"/>
  <c r="M96" i="55"/>
  <c r="L97" i="55"/>
  <c r="G52" i="48"/>
  <c r="G56" i="48"/>
  <c r="G39" i="48"/>
  <c r="L60" i="53"/>
  <c r="M59" i="53"/>
  <c r="M85" i="53"/>
  <c r="G85" i="53" s="1"/>
  <c r="L86" i="53"/>
  <c r="G55" i="50"/>
  <c r="G79" i="50"/>
  <c r="G81" i="50"/>
  <c r="G30" i="50"/>
  <c r="L83" i="50"/>
  <c r="M82" i="50"/>
  <c r="M56" i="50"/>
  <c r="L57" i="50"/>
  <c r="F56" i="48"/>
  <c r="E57" i="48"/>
  <c r="M57" i="48"/>
  <c r="L58" i="48"/>
  <c r="F82" i="48"/>
  <c r="E83" i="48"/>
  <c r="L84" i="48"/>
  <c r="M83" i="48"/>
  <c r="G83" i="48" s="1"/>
  <c r="G34" i="46"/>
  <c r="E51" i="47"/>
  <c r="F50" i="47"/>
  <c r="F76" i="47"/>
  <c r="E77" i="47"/>
  <c r="M50" i="47"/>
  <c r="G50" i="47" s="1"/>
  <c r="L51" i="47"/>
  <c r="L77" i="47"/>
  <c r="M76" i="47"/>
  <c r="F41" i="46"/>
  <c r="E42" i="46"/>
  <c r="M41" i="46"/>
  <c r="L42" i="46"/>
  <c r="F28" i="45"/>
  <c r="E29" i="45"/>
  <c r="M27" i="45"/>
  <c r="L28" i="45"/>
  <c r="E26" i="44"/>
  <c r="F25" i="44"/>
  <c r="M26" i="44"/>
  <c r="L27" i="44"/>
  <c r="G6" i="37"/>
  <c r="AO101" i="35"/>
  <c r="AF101" i="35"/>
  <c r="AA103" i="35"/>
  <c r="AF103" i="35" s="1"/>
  <c r="AA100" i="35"/>
  <c r="AA102" i="35"/>
  <c r="AA99" i="35"/>
  <c r="AF99" i="35" s="1"/>
  <c r="AF100" i="35"/>
  <c r="AO100" i="35"/>
  <c r="AO102" i="35"/>
  <c r="AF102" i="35"/>
  <c r="L9" i="37"/>
  <c r="M8" i="37"/>
  <c r="G8" i="37" s="1"/>
  <c r="G6" i="36"/>
  <c r="G8" i="36"/>
  <c r="L10" i="36"/>
  <c r="M9" i="36"/>
  <c r="E9" i="36"/>
  <c r="F8" i="36"/>
  <c r="Z3" i="35"/>
  <c r="G70" i="55" l="1"/>
  <c r="G55" i="55"/>
  <c r="G95" i="55"/>
  <c r="G32" i="53"/>
  <c r="F59" i="53"/>
  <c r="E60" i="53"/>
  <c r="F85" i="53"/>
  <c r="E86" i="53"/>
  <c r="E72" i="55"/>
  <c r="F71" i="55"/>
  <c r="M71" i="55"/>
  <c r="L72" i="55"/>
  <c r="E103" i="55"/>
  <c r="F103" i="55" s="1"/>
  <c r="E98" i="55"/>
  <c r="F97" i="55"/>
  <c r="L103" i="55"/>
  <c r="M103" i="55" s="1"/>
  <c r="G103" i="55" s="1"/>
  <c r="M97" i="55"/>
  <c r="G96" i="55" s="1"/>
  <c r="L98" i="55"/>
  <c r="G57" i="48"/>
  <c r="G40" i="48"/>
  <c r="M86" i="53"/>
  <c r="L87" i="53"/>
  <c r="L61" i="53"/>
  <c r="M60" i="53"/>
  <c r="G39" i="50"/>
  <c r="G82" i="50"/>
  <c r="G33" i="50"/>
  <c r="M57" i="50"/>
  <c r="L58" i="50"/>
  <c r="L84" i="50"/>
  <c r="M83" i="50"/>
  <c r="G42" i="47"/>
  <c r="M58" i="48"/>
  <c r="L59" i="48"/>
  <c r="F83" i="48"/>
  <c r="E84" i="48"/>
  <c r="L85" i="48"/>
  <c r="M84" i="48"/>
  <c r="F57" i="48"/>
  <c r="E58" i="48"/>
  <c r="M77" i="47"/>
  <c r="L78" i="47"/>
  <c r="L52" i="47"/>
  <c r="M51" i="47"/>
  <c r="G51" i="47" s="1"/>
  <c r="F77" i="47"/>
  <c r="E78" i="47"/>
  <c r="E52" i="47"/>
  <c r="F51" i="47"/>
  <c r="G27" i="45"/>
  <c r="G18" i="45"/>
  <c r="M42" i="46"/>
  <c r="L43" i="46"/>
  <c r="F42" i="46"/>
  <c r="E43" i="46"/>
  <c r="AV102" i="35" a="1"/>
  <c r="AV102" i="35" s="1"/>
  <c r="AZ102" i="35" s="1"/>
  <c r="C71" i="37"/>
  <c r="AV101" i="35" a="1"/>
  <c r="AV101" i="35" s="1"/>
  <c r="C38" i="37"/>
  <c r="AV100" i="35" a="1"/>
  <c r="AV100" i="35" s="1"/>
  <c r="AZ100" i="35" s="1"/>
  <c r="C70" i="37"/>
  <c r="M28" i="45"/>
  <c r="L29" i="45"/>
  <c r="E30" i="45"/>
  <c r="F29" i="45"/>
  <c r="M27" i="44"/>
  <c r="L28" i="44"/>
  <c r="E27" i="44"/>
  <c r="F26" i="44"/>
  <c r="AO99" i="35"/>
  <c r="AO103" i="35"/>
  <c r="Z105" i="35"/>
  <c r="L10" i="37"/>
  <c r="M9" i="37"/>
  <c r="E10" i="36"/>
  <c r="F9" i="36"/>
  <c r="L11" i="36"/>
  <c r="M10" i="36"/>
  <c r="G7" i="36" s="1"/>
  <c r="Y3" i="35"/>
  <c r="G71" i="55" l="1"/>
  <c r="G56" i="55"/>
  <c r="G33" i="53"/>
  <c r="F86" i="53"/>
  <c r="E87" i="53"/>
  <c r="F60" i="53"/>
  <c r="E61" i="53"/>
  <c r="E104" i="55"/>
  <c r="F104" i="55" s="1"/>
  <c r="F98" i="55"/>
  <c r="M72" i="55"/>
  <c r="L73" i="55"/>
  <c r="L104" i="55"/>
  <c r="M104" i="55" s="1"/>
  <c r="M98" i="55"/>
  <c r="G98" i="55" s="1"/>
  <c r="F72" i="55"/>
  <c r="E73" i="55"/>
  <c r="G58" i="48"/>
  <c r="G54" i="48"/>
  <c r="M61" i="53"/>
  <c r="L62" i="53"/>
  <c r="L88" i="53"/>
  <c r="M87" i="53"/>
  <c r="G42" i="50"/>
  <c r="G35" i="50"/>
  <c r="M84" i="50"/>
  <c r="L85" i="50"/>
  <c r="L59" i="50"/>
  <c r="M58" i="50"/>
  <c r="G77" i="47"/>
  <c r="G47" i="47"/>
  <c r="F58" i="48"/>
  <c r="E59" i="48"/>
  <c r="F84" i="48"/>
  <c r="E85" i="48"/>
  <c r="M85" i="48"/>
  <c r="G85" i="48" s="1"/>
  <c r="L86" i="48"/>
  <c r="L60" i="48"/>
  <c r="M59" i="48"/>
  <c r="G59" i="48" s="1"/>
  <c r="G41" i="46"/>
  <c r="L53" i="47"/>
  <c r="M52" i="47"/>
  <c r="F52" i="47"/>
  <c r="E53" i="47"/>
  <c r="F78" i="47"/>
  <c r="E79" i="47"/>
  <c r="M78" i="47"/>
  <c r="L79" i="47"/>
  <c r="F43" i="46"/>
  <c r="E44" i="46"/>
  <c r="L44" i="46"/>
  <c r="M43" i="46"/>
  <c r="AV103" i="35" a="1"/>
  <c r="AV103" i="35" s="1"/>
  <c r="AX103" i="35" s="1"/>
  <c r="C86" i="37"/>
  <c r="AX102" i="35"/>
  <c r="AV99" i="35" a="1"/>
  <c r="AV99" i="35" s="1"/>
  <c r="AZ99" i="35" s="1"/>
  <c r="C87" i="37"/>
  <c r="AX100" i="35"/>
  <c r="AW101" i="35"/>
  <c r="AZ101" i="35"/>
  <c r="AX101" i="35"/>
  <c r="M29" i="45"/>
  <c r="G29" i="45" s="1"/>
  <c r="L30" i="45"/>
  <c r="E31" i="45"/>
  <c r="F30" i="45"/>
  <c r="E28" i="44"/>
  <c r="F27" i="44"/>
  <c r="L29" i="44"/>
  <c r="M28" i="44"/>
  <c r="G7" i="37"/>
  <c r="Y105" i="35"/>
  <c r="L11" i="37"/>
  <c r="M10" i="37"/>
  <c r="M11" i="36"/>
  <c r="L12" i="36"/>
  <c r="F10" i="36"/>
  <c r="E11" i="36"/>
  <c r="R126" i="35"/>
  <c r="Q126" i="35"/>
  <c r="P126" i="35"/>
  <c r="O126" i="35"/>
  <c r="M126" i="35"/>
  <c r="K126" i="35"/>
  <c r="Z124" i="35"/>
  <c r="Y124" i="35"/>
  <c r="N124" i="35"/>
  <c r="J124" i="35"/>
  <c r="I124" i="35"/>
  <c r="H124" i="35"/>
  <c r="G124" i="35"/>
  <c r="F124" i="35"/>
  <c r="AU122" i="35"/>
  <c r="AT122" i="35"/>
  <c r="AR122" i="35"/>
  <c r="AB122" i="35"/>
  <c r="AA122" i="35"/>
  <c r="X122" i="35"/>
  <c r="AN122" i="38" s="1"/>
  <c r="U122" i="35"/>
  <c r="AS122" i="35" s="1"/>
  <c r="Q122" i="35"/>
  <c r="E122" i="35"/>
  <c r="L122" i="35" s="1"/>
  <c r="AU121" i="35"/>
  <c r="AT121" i="35"/>
  <c r="AR121" i="35"/>
  <c r="AB121" i="35"/>
  <c r="AA121" i="35"/>
  <c r="X121" i="35"/>
  <c r="AN121" i="38" s="1"/>
  <c r="U121" i="35"/>
  <c r="AS121" i="35" s="1"/>
  <c r="Q121" i="35"/>
  <c r="E121" i="35"/>
  <c r="L121" i="35" s="1"/>
  <c r="AU120" i="35"/>
  <c r="AT120" i="35"/>
  <c r="AR120" i="35"/>
  <c r="AB120" i="35"/>
  <c r="AA120" i="35"/>
  <c r="X120" i="35"/>
  <c r="AN120" i="38" s="1"/>
  <c r="U120" i="35"/>
  <c r="AD120" i="35" s="1"/>
  <c r="Q120" i="35"/>
  <c r="E120" i="35"/>
  <c r="L120" i="35" s="1"/>
  <c r="AU119" i="35"/>
  <c r="AT119" i="35"/>
  <c r="AR119" i="35"/>
  <c r="AB119" i="35"/>
  <c r="AA119" i="35"/>
  <c r="X119" i="35"/>
  <c r="AN119" i="38" s="1"/>
  <c r="U119" i="35"/>
  <c r="AS119" i="35" s="1"/>
  <c r="Q119" i="35"/>
  <c r="E119" i="35"/>
  <c r="L119" i="35" s="1"/>
  <c r="AU118" i="35"/>
  <c r="AT118" i="35"/>
  <c r="AR118" i="35"/>
  <c r="AB118" i="35"/>
  <c r="AA118" i="35"/>
  <c r="X118" i="35"/>
  <c r="AN118" i="38" s="1"/>
  <c r="U118" i="35"/>
  <c r="AQ118" i="35" s="1"/>
  <c r="AW118" i="35" s="1"/>
  <c r="Q118" i="35"/>
  <c r="E118" i="35"/>
  <c r="L118" i="35" s="1"/>
  <c r="AU117" i="35"/>
  <c r="AT117" i="35"/>
  <c r="AR117" i="35"/>
  <c r="AB117" i="35"/>
  <c r="AA117" i="35"/>
  <c r="X117" i="35"/>
  <c r="AN117" i="38" s="1"/>
  <c r="U117" i="35"/>
  <c r="AS117" i="35" s="1"/>
  <c r="Q117" i="35"/>
  <c r="E117" i="35"/>
  <c r="L117" i="35" s="1"/>
  <c r="AU116" i="35"/>
  <c r="AT116" i="35"/>
  <c r="AR116" i="35"/>
  <c r="AB116" i="35"/>
  <c r="AA116" i="35"/>
  <c r="X116" i="35"/>
  <c r="AN116" i="38" s="1"/>
  <c r="U116" i="35"/>
  <c r="AQ116" i="35" s="1"/>
  <c r="AW116" i="35" s="1"/>
  <c r="Q116" i="35"/>
  <c r="E116" i="35"/>
  <c r="L116" i="35" s="1"/>
  <c r="AU115" i="35"/>
  <c r="AT115" i="35"/>
  <c r="AR115" i="35"/>
  <c r="AB115" i="35"/>
  <c r="AA115" i="35"/>
  <c r="X115" i="35"/>
  <c r="U115" i="35"/>
  <c r="Q115" i="35"/>
  <c r="E115" i="35"/>
  <c r="L115" i="35" s="1"/>
  <c r="N113" i="35"/>
  <c r="J113" i="35"/>
  <c r="I113" i="35"/>
  <c r="H113" i="35"/>
  <c r="G113" i="35"/>
  <c r="F113" i="35"/>
  <c r="AU111" i="35"/>
  <c r="AT111" i="35"/>
  <c r="AR111" i="35"/>
  <c r="AB111" i="35"/>
  <c r="AA111" i="35"/>
  <c r="AF111" i="35" s="1"/>
  <c r="X111" i="35"/>
  <c r="AN111" i="38" s="1"/>
  <c r="U111" i="35"/>
  <c r="AS111" i="35" s="1"/>
  <c r="Q111" i="35"/>
  <c r="E111" i="35"/>
  <c r="L111" i="35" s="1"/>
  <c r="AU110" i="35"/>
  <c r="AT110" i="35"/>
  <c r="AR110" i="35"/>
  <c r="AB110" i="35"/>
  <c r="AA110" i="35"/>
  <c r="AF110" i="35" s="1"/>
  <c r="X110" i="35"/>
  <c r="AN110" i="38" s="1"/>
  <c r="U110" i="35"/>
  <c r="AS110" i="35" s="1"/>
  <c r="Q110" i="35"/>
  <c r="E110" i="35"/>
  <c r="L110" i="35" s="1"/>
  <c r="AU109" i="35"/>
  <c r="AT109" i="35"/>
  <c r="AR109" i="35"/>
  <c r="AB109" i="35"/>
  <c r="AA109" i="35"/>
  <c r="AF109" i="35" s="1"/>
  <c r="X109" i="35"/>
  <c r="AN109" i="38" s="1"/>
  <c r="U109" i="35"/>
  <c r="AS109" i="35" s="1"/>
  <c r="Q109" i="35"/>
  <c r="E109" i="35"/>
  <c r="L109" i="35" s="1"/>
  <c r="AU108" i="35"/>
  <c r="AT108" i="35"/>
  <c r="AR108" i="35"/>
  <c r="AB108" i="35"/>
  <c r="AA108" i="35"/>
  <c r="AF108" i="35" s="1"/>
  <c r="X108" i="35"/>
  <c r="AN108" i="38" s="1"/>
  <c r="U108" i="35"/>
  <c r="AS108" i="35" s="1"/>
  <c r="Q108" i="35"/>
  <c r="E108" i="35"/>
  <c r="L108" i="35" s="1"/>
  <c r="AU107" i="35"/>
  <c r="AT107" i="35"/>
  <c r="AR107" i="35"/>
  <c r="AR112" i="35" s="1"/>
  <c r="AB107" i="35"/>
  <c r="AA107" i="35"/>
  <c r="AF107" i="35" s="1"/>
  <c r="X107" i="35"/>
  <c r="U107" i="35"/>
  <c r="AS107" i="35" s="1"/>
  <c r="Q107" i="35"/>
  <c r="E107" i="35"/>
  <c r="L107" i="35" s="1"/>
  <c r="J126" i="35"/>
  <c r="G126" i="35"/>
  <c r="AU98" i="35"/>
  <c r="AT98" i="35"/>
  <c r="AR98" i="35"/>
  <c r="AB98" i="35"/>
  <c r="AA98" i="35"/>
  <c r="AF98" i="35" s="1"/>
  <c r="X98" i="35"/>
  <c r="U98" i="35"/>
  <c r="Q98" i="35"/>
  <c r="E98" i="35"/>
  <c r="L98" i="35" s="1"/>
  <c r="AU97" i="35"/>
  <c r="AT97" i="35"/>
  <c r="AR97" i="35"/>
  <c r="AB97" i="35"/>
  <c r="AA97" i="35"/>
  <c r="AF97" i="35" s="1"/>
  <c r="X97" i="35"/>
  <c r="U97" i="35"/>
  <c r="Q97" i="35"/>
  <c r="E97" i="35"/>
  <c r="L97" i="35" s="1"/>
  <c r="AU96" i="35"/>
  <c r="AT96" i="35"/>
  <c r="AR96" i="35"/>
  <c r="AB96" i="35"/>
  <c r="AA96" i="35"/>
  <c r="AF96" i="35" s="1"/>
  <c r="X96" i="35"/>
  <c r="U96" i="35"/>
  <c r="Q96" i="35"/>
  <c r="E96" i="35"/>
  <c r="L96" i="35" s="1"/>
  <c r="AU95" i="35"/>
  <c r="AT95" i="35"/>
  <c r="AR95" i="35"/>
  <c r="AB95" i="35"/>
  <c r="AA95" i="35"/>
  <c r="AF95" i="35" s="1"/>
  <c r="X95" i="35"/>
  <c r="U95" i="35"/>
  <c r="Q95" i="35"/>
  <c r="E95" i="35"/>
  <c r="L95" i="35" s="1"/>
  <c r="AU94" i="35"/>
  <c r="AT94" i="35"/>
  <c r="AR94" i="35"/>
  <c r="AB94" i="35"/>
  <c r="AA94" i="35"/>
  <c r="AF94" i="35" s="1"/>
  <c r="X94" i="35"/>
  <c r="U94" i="35"/>
  <c r="Q94" i="35"/>
  <c r="E94" i="35"/>
  <c r="L94" i="35" s="1"/>
  <c r="AU93" i="35"/>
  <c r="AT93" i="35"/>
  <c r="AR93" i="35"/>
  <c r="AB93" i="35"/>
  <c r="AA93" i="35"/>
  <c r="AF93" i="35" s="1"/>
  <c r="X93" i="35"/>
  <c r="U93" i="35"/>
  <c r="Q93" i="35"/>
  <c r="E93" i="35"/>
  <c r="L93" i="35" s="1"/>
  <c r="AU92" i="35"/>
  <c r="AT92" i="35"/>
  <c r="AR92" i="35"/>
  <c r="AB92" i="35"/>
  <c r="AA92" i="35"/>
  <c r="AF92" i="35" s="1"/>
  <c r="X92" i="35"/>
  <c r="U92" i="35"/>
  <c r="Q92" i="35"/>
  <c r="E92" i="35"/>
  <c r="L92" i="35" s="1"/>
  <c r="AU91" i="35"/>
  <c r="AT91" i="35"/>
  <c r="AR91" i="35"/>
  <c r="AB91" i="35"/>
  <c r="AA91" i="35"/>
  <c r="AF91" i="35" s="1"/>
  <c r="X91" i="35"/>
  <c r="U91" i="35"/>
  <c r="Q91" i="35"/>
  <c r="E91" i="35"/>
  <c r="L91" i="35" s="1"/>
  <c r="AU90" i="35"/>
  <c r="AT90" i="35"/>
  <c r="AR90" i="35"/>
  <c r="AB90" i="35"/>
  <c r="AA90" i="35"/>
  <c r="AF90" i="35" s="1"/>
  <c r="X90" i="35"/>
  <c r="U90" i="35"/>
  <c r="Q90" i="35"/>
  <c r="E90" i="35"/>
  <c r="L90" i="35" s="1"/>
  <c r="AU89" i="35"/>
  <c r="AT89" i="35"/>
  <c r="AR89" i="35"/>
  <c r="AB89" i="35"/>
  <c r="AA89" i="35"/>
  <c r="AF89" i="35" s="1"/>
  <c r="X89" i="35"/>
  <c r="U89" i="35"/>
  <c r="Q89" i="35"/>
  <c r="E89" i="35"/>
  <c r="L89" i="35" s="1"/>
  <c r="AU88" i="35"/>
  <c r="AT88" i="35"/>
  <c r="AR88" i="35"/>
  <c r="AB88" i="35"/>
  <c r="AA88" i="35"/>
  <c r="AF88" i="35" s="1"/>
  <c r="X88" i="35"/>
  <c r="U88" i="35"/>
  <c r="Q88" i="35"/>
  <c r="E88" i="35"/>
  <c r="L88" i="35" s="1"/>
  <c r="AU87" i="35"/>
  <c r="AT87" i="35"/>
  <c r="AR87" i="35"/>
  <c r="AB87" i="35"/>
  <c r="AA87" i="35"/>
  <c r="AF87" i="35" s="1"/>
  <c r="X87" i="35"/>
  <c r="U87" i="35"/>
  <c r="Q87" i="35"/>
  <c r="E87" i="35"/>
  <c r="L87" i="35" s="1"/>
  <c r="AU86" i="35"/>
  <c r="AT86" i="35"/>
  <c r="AR86" i="35"/>
  <c r="AB86" i="35"/>
  <c r="AA86" i="35"/>
  <c r="AF86" i="35" s="1"/>
  <c r="X86" i="35"/>
  <c r="U86" i="35"/>
  <c r="Q86" i="35"/>
  <c r="E86" i="35"/>
  <c r="L86" i="35" s="1"/>
  <c r="AU85" i="35"/>
  <c r="AT85" i="35"/>
  <c r="AR85" i="35"/>
  <c r="AB85" i="35"/>
  <c r="AA85" i="35"/>
  <c r="AF85" i="35" s="1"/>
  <c r="X85" i="35"/>
  <c r="U85" i="35"/>
  <c r="Q85" i="35"/>
  <c r="E85" i="35"/>
  <c r="L85" i="35" s="1"/>
  <c r="AU84" i="35"/>
  <c r="AT84" i="35"/>
  <c r="AR84" i="35"/>
  <c r="AB84" i="35"/>
  <c r="AA84" i="35"/>
  <c r="AF84" i="35" s="1"/>
  <c r="X84" i="35"/>
  <c r="U84" i="35"/>
  <c r="Q84" i="35"/>
  <c r="E84" i="35"/>
  <c r="L84" i="35" s="1"/>
  <c r="AU83" i="35"/>
  <c r="AT83" i="35"/>
  <c r="AR83" i="35"/>
  <c r="AB83" i="35"/>
  <c r="AA83" i="35"/>
  <c r="AF83" i="35" s="1"/>
  <c r="X83" i="35"/>
  <c r="U83" i="35"/>
  <c r="Q83" i="35"/>
  <c r="E83" i="35"/>
  <c r="L83" i="35" s="1"/>
  <c r="AU82" i="35"/>
  <c r="AT82" i="35"/>
  <c r="AR82" i="35"/>
  <c r="AB82" i="35"/>
  <c r="AA82" i="35"/>
  <c r="AF82" i="35" s="1"/>
  <c r="X82" i="35"/>
  <c r="U82" i="35"/>
  <c r="Q82" i="35"/>
  <c r="E82" i="35"/>
  <c r="L82" i="35" s="1"/>
  <c r="AU81" i="35"/>
  <c r="AT81" i="35"/>
  <c r="AR81" i="35"/>
  <c r="AB81" i="35"/>
  <c r="AA81" i="35"/>
  <c r="AF81" i="35" s="1"/>
  <c r="X81" i="35"/>
  <c r="U81" i="35"/>
  <c r="Q81" i="35"/>
  <c r="E81" i="35"/>
  <c r="L81" i="35" s="1"/>
  <c r="AU80" i="35"/>
  <c r="AT80" i="35"/>
  <c r="AR80" i="35"/>
  <c r="AB80" i="35"/>
  <c r="AA80" i="35"/>
  <c r="AF80" i="35" s="1"/>
  <c r="X80" i="35"/>
  <c r="U80" i="35"/>
  <c r="Q80" i="35"/>
  <c r="E80" i="35"/>
  <c r="L80" i="35" s="1"/>
  <c r="AU79" i="35"/>
  <c r="AT79" i="35"/>
  <c r="AR79" i="35"/>
  <c r="AB79" i="35"/>
  <c r="AA79" i="35"/>
  <c r="AF79" i="35" s="1"/>
  <c r="X79" i="35"/>
  <c r="U79" i="35"/>
  <c r="Q79" i="35"/>
  <c r="E79" i="35"/>
  <c r="L79" i="35" s="1"/>
  <c r="AU78" i="35"/>
  <c r="AT78" i="35"/>
  <c r="AR78" i="35"/>
  <c r="AB78" i="35"/>
  <c r="AA78" i="35"/>
  <c r="AF78" i="35" s="1"/>
  <c r="X78" i="35"/>
  <c r="U78" i="35"/>
  <c r="Q78" i="35"/>
  <c r="E78" i="35"/>
  <c r="L78" i="35" s="1"/>
  <c r="AU77" i="35"/>
  <c r="AT77" i="35"/>
  <c r="AR77" i="35"/>
  <c r="AB77" i="35"/>
  <c r="AA77" i="35"/>
  <c r="AF77" i="35" s="1"/>
  <c r="X77" i="35"/>
  <c r="U77" i="35"/>
  <c r="Q77" i="35"/>
  <c r="E77" i="35"/>
  <c r="L77" i="35" s="1"/>
  <c r="AU76" i="35"/>
  <c r="AT76" i="35"/>
  <c r="AR76" i="35"/>
  <c r="AB76" i="35"/>
  <c r="AA76" i="35"/>
  <c r="AF76" i="35" s="1"/>
  <c r="X76" i="35"/>
  <c r="U76" i="35"/>
  <c r="R76" i="35" s="1"/>
  <c r="Q76" i="35"/>
  <c r="E76" i="35"/>
  <c r="L76" i="35" s="1"/>
  <c r="AU75" i="35"/>
  <c r="AT75" i="35"/>
  <c r="AR75" i="35"/>
  <c r="AB75" i="35"/>
  <c r="AA75" i="35"/>
  <c r="AF75" i="35" s="1"/>
  <c r="X75" i="35"/>
  <c r="U75" i="35"/>
  <c r="R75" i="35" s="1"/>
  <c r="Q75" i="35"/>
  <c r="E75" i="35"/>
  <c r="L75" i="35" s="1"/>
  <c r="AU74" i="35"/>
  <c r="AT74" i="35"/>
  <c r="AR74" i="35"/>
  <c r="AB74" i="35"/>
  <c r="AA74" i="35"/>
  <c r="AF74" i="35" s="1"/>
  <c r="X74" i="35"/>
  <c r="U74" i="35"/>
  <c r="Q74" i="35"/>
  <c r="E74" i="35"/>
  <c r="L74" i="35" s="1"/>
  <c r="AU73" i="35"/>
  <c r="AT73" i="35"/>
  <c r="AR73" i="35"/>
  <c r="AB73" i="35"/>
  <c r="AA73" i="35"/>
  <c r="AF73" i="35" s="1"/>
  <c r="X73" i="35"/>
  <c r="U73" i="35"/>
  <c r="AD73" i="35" s="1"/>
  <c r="Q73" i="35"/>
  <c r="E73" i="35"/>
  <c r="L73" i="35" s="1"/>
  <c r="AU72" i="35"/>
  <c r="AT72" i="35"/>
  <c r="AR72" i="35"/>
  <c r="AB72" i="35"/>
  <c r="AA72" i="35"/>
  <c r="AF72" i="35" s="1"/>
  <c r="X72" i="35"/>
  <c r="U72" i="35"/>
  <c r="R72" i="35" s="1"/>
  <c r="Q72" i="35"/>
  <c r="E72" i="35"/>
  <c r="L72" i="35" s="1"/>
  <c r="AU71" i="35"/>
  <c r="AT71" i="35"/>
  <c r="AR71" i="35"/>
  <c r="AB71" i="35"/>
  <c r="AA71" i="35"/>
  <c r="AF71" i="35" s="1"/>
  <c r="X71" i="35"/>
  <c r="U71" i="35"/>
  <c r="Q71" i="35"/>
  <c r="E71" i="35"/>
  <c r="L71" i="35" s="1"/>
  <c r="AU70" i="35"/>
  <c r="AT70" i="35"/>
  <c r="AR70" i="35"/>
  <c r="AB70" i="35"/>
  <c r="AA70" i="35"/>
  <c r="AF70" i="35" s="1"/>
  <c r="X70" i="35"/>
  <c r="U70" i="35"/>
  <c r="R70" i="35" s="1"/>
  <c r="Q70" i="35"/>
  <c r="E70" i="35"/>
  <c r="L70" i="35" s="1"/>
  <c r="AU69" i="35"/>
  <c r="AT69" i="35"/>
  <c r="AR69" i="35"/>
  <c r="AB69" i="35"/>
  <c r="AA69" i="35"/>
  <c r="AF69" i="35" s="1"/>
  <c r="X69" i="35"/>
  <c r="U69" i="35"/>
  <c r="R69" i="35" s="1"/>
  <c r="Q69" i="35"/>
  <c r="E69" i="35"/>
  <c r="L69" i="35" s="1"/>
  <c r="AU68" i="35"/>
  <c r="AT68" i="35"/>
  <c r="AR68" i="35"/>
  <c r="AB68" i="35"/>
  <c r="AA68" i="35"/>
  <c r="AF68" i="35" s="1"/>
  <c r="X68" i="35"/>
  <c r="U68" i="35"/>
  <c r="R68" i="35" s="1"/>
  <c r="Q68" i="35"/>
  <c r="E68" i="35"/>
  <c r="L68" i="35" s="1"/>
  <c r="AU67" i="35"/>
  <c r="AT67" i="35"/>
  <c r="AR67" i="35"/>
  <c r="AB67" i="35"/>
  <c r="AA67" i="35"/>
  <c r="AF67" i="35" s="1"/>
  <c r="X67" i="35"/>
  <c r="U67" i="35"/>
  <c r="R67" i="35" s="1"/>
  <c r="Q67" i="35"/>
  <c r="E67" i="35"/>
  <c r="L67" i="35" s="1"/>
  <c r="AU66" i="35"/>
  <c r="AT66" i="35"/>
  <c r="AR66" i="35"/>
  <c r="AB66" i="35"/>
  <c r="AA66" i="35"/>
  <c r="AF66" i="35" s="1"/>
  <c r="X66" i="35"/>
  <c r="U66" i="35"/>
  <c r="Q66" i="35"/>
  <c r="E66" i="35"/>
  <c r="L66" i="35" s="1"/>
  <c r="AU65" i="35"/>
  <c r="AT65" i="35"/>
  <c r="AR65" i="35"/>
  <c r="AB65" i="35"/>
  <c r="AA65" i="35"/>
  <c r="AF65" i="35" s="1"/>
  <c r="X65" i="35"/>
  <c r="U65" i="35"/>
  <c r="AD65" i="35" s="1"/>
  <c r="Q65" i="35"/>
  <c r="E65" i="35"/>
  <c r="L65" i="35" s="1"/>
  <c r="AU64" i="35"/>
  <c r="AT64" i="35"/>
  <c r="AR64" i="35"/>
  <c r="AB64" i="35"/>
  <c r="AA64" i="35"/>
  <c r="AF64" i="35" s="1"/>
  <c r="X64" i="35"/>
  <c r="U64" i="35"/>
  <c r="R64" i="35" s="1"/>
  <c r="Q64" i="35"/>
  <c r="E64" i="35"/>
  <c r="L64" i="35" s="1"/>
  <c r="AU63" i="35"/>
  <c r="AT63" i="35"/>
  <c r="AR63" i="35"/>
  <c r="AB63" i="35"/>
  <c r="AA63" i="35"/>
  <c r="AF63" i="35" s="1"/>
  <c r="X63" i="35"/>
  <c r="U63" i="35"/>
  <c r="R63" i="35" s="1"/>
  <c r="Q63" i="35"/>
  <c r="E63" i="35"/>
  <c r="L63" i="35" s="1"/>
  <c r="AU62" i="35"/>
  <c r="AT62" i="35"/>
  <c r="AR62" i="35"/>
  <c r="AB62" i="35"/>
  <c r="AA62" i="35"/>
  <c r="AF62" i="35" s="1"/>
  <c r="X62" i="35"/>
  <c r="U62" i="35"/>
  <c r="Q62" i="35"/>
  <c r="E62" i="35"/>
  <c r="L62" i="35" s="1"/>
  <c r="AU61" i="35"/>
  <c r="AT61" i="35"/>
  <c r="AR61" i="35"/>
  <c r="AB61" i="35"/>
  <c r="AA61" i="35"/>
  <c r="AF61" i="35" s="1"/>
  <c r="X61" i="35"/>
  <c r="U61" i="35"/>
  <c r="AD61" i="35" s="1"/>
  <c r="Q61" i="35"/>
  <c r="E61" i="35"/>
  <c r="L61" i="35" s="1"/>
  <c r="AU60" i="35"/>
  <c r="AT60" i="35"/>
  <c r="AR60" i="35"/>
  <c r="AB60" i="35"/>
  <c r="AA60" i="35"/>
  <c r="AF60" i="35" s="1"/>
  <c r="X60" i="35"/>
  <c r="U60" i="35"/>
  <c r="R60" i="35" s="1"/>
  <c r="Q60" i="35"/>
  <c r="E60" i="35"/>
  <c r="L60" i="35" s="1"/>
  <c r="AU59" i="35"/>
  <c r="AT59" i="35"/>
  <c r="AR59" i="35"/>
  <c r="AB59" i="35"/>
  <c r="AA59" i="35"/>
  <c r="AF59" i="35" s="1"/>
  <c r="X59" i="35"/>
  <c r="U59" i="35"/>
  <c r="R59" i="35" s="1"/>
  <c r="Q59" i="35"/>
  <c r="E59" i="35"/>
  <c r="L59" i="35" s="1"/>
  <c r="AU58" i="35"/>
  <c r="AT58" i="35"/>
  <c r="AR58" i="35"/>
  <c r="AB58" i="35"/>
  <c r="AA58" i="35"/>
  <c r="AF58" i="35" s="1"/>
  <c r="X58" i="35"/>
  <c r="U58" i="35"/>
  <c r="AD58" i="35" s="1"/>
  <c r="Q58" i="35"/>
  <c r="E58" i="35"/>
  <c r="L58" i="35" s="1"/>
  <c r="AU57" i="35"/>
  <c r="AT57" i="35"/>
  <c r="AR57" i="35"/>
  <c r="AB57" i="35"/>
  <c r="AA57" i="35"/>
  <c r="X57" i="35"/>
  <c r="U57" i="35"/>
  <c r="AD57" i="35" s="1"/>
  <c r="Q57" i="35"/>
  <c r="E57" i="35"/>
  <c r="L57" i="35" s="1"/>
  <c r="AU56" i="35"/>
  <c r="AT56" i="35"/>
  <c r="AR56" i="35"/>
  <c r="AB56" i="35"/>
  <c r="AA56" i="35"/>
  <c r="AF56" i="35" s="1"/>
  <c r="X56" i="35"/>
  <c r="U56" i="35"/>
  <c r="R56" i="35" s="1"/>
  <c r="Q56" i="35"/>
  <c r="E56" i="35"/>
  <c r="L56" i="35" s="1"/>
  <c r="AU55" i="35"/>
  <c r="AT55" i="35"/>
  <c r="AR55" i="35"/>
  <c r="AB55" i="35"/>
  <c r="AA55" i="35"/>
  <c r="AF55" i="35" s="1"/>
  <c r="X55" i="35"/>
  <c r="U55" i="35"/>
  <c r="R55" i="35" s="1"/>
  <c r="Q55" i="35"/>
  <c r="E55" i="35"/>
  <c r="L55" i="35" s="1"/>
  <c r="AU54" i="35"/>
  <c r="AT54" i="35"/>
  <c r="AR54" i="35"/>
  <c r="AB54" i="35"/>
  <c r="AA54" i="35"/>
  <c r="AF54" i="35" s="1"/>
  <c r="X54" i="35"/>
  <c r="U54" i="35"/>
  <c r="AD54" i="35" s="1"/>
  <c r="Q54" i="35"/>
  <c r="E54" i="35"/>
  <c r="L54" i="35" s="1"/>
  <c r="AU53" i="35"/>
  <c r="AT53" i="35"/>
  <c r="AR53" i="35"/>
  <c r="AB53" i="35"/>
  <c r="AA53" i="35"/>
  <c r="AF53" i="35" s="1"/>
  <c r="X53" i="35"/>
  <c r="U53" i="35"/>
  <c r="AD53" i="35" s="1"/>
  <c r="Q53" i="35"/>
  <c r="E53" i="35"/>
  <c r="L53" i="35" s="1"/>
  <c r="AU52" i="35"/>
  <c r="AT52" i="35"/>
  <c r="AR52" i="35"/>
  <c r="AB52" i="35"/>
  <c r="AA52" i="35"/>
  <c r="AF52" i="35" s="1"/>
  <c r="X52" i="35"/>
  <c r="U52" i="35"/>
  <c r="R52" i="35" s="1"/>
  <c r="Q52" i="35"/>
  <c r="E52" i="35"/>
  <c r="L52" i="35" s="1"/>
  <c r="AU51" i="35"/>
  <c r="AT51" i="35"/>
  <c r="AR51" i="35"/>
  <c r="AB51" i="35"/>
  <c r="AA51" i="35"/>
  <c r="AF51" i="35" s="1"/>
  <c r="X51" i="35"/>
  <c r="U51" i="35"/>
  <c r="R51" i="35" s="1"/>
  <c r="Q51" i="35"/>
  <c r="E51" i="35"/>
  <c r="L51" i="35" s="1"/>
  <c r="AU50" i="35"/>
  <c r="AT50" i="35"/>
  <c r="AR50" i="35"/>
  <c r="AB50" i="35"/>
  <c r="AA50" i="35"/>
  <c r="AF50" i="35" s="1"/>
  <c r="X50" i="35"/>
  <c r="U50" i="35"/>
  <c r="Q50" i="35"/>
  <c r="E50" i="35"/>
  <c r="L50" i="35" s="1"/>
  <c r="AU49" i="35"/>
  <c r="AT49" i="35"/>
  <c r="AR49" i="35"/>
  <c r="AB49" i="35"/>
  <c r="AA49" i="35"/>
  <c r="AF49" i="35" s="1"/>
  <c r="X49" i="35"/>
  <c r="U49" i="35"/>
  <c r="AD49" i="35" s="1"/>
  <c r="Q49" i="35"/>
  <c r="E49" i="35"/>
  <c r="L49" i="35" s="1"/>
  <c r="AU48" i="35"/>
  <c r="AT48" i="35"/>
  <c r="AR48" i="35"/>
  <c r="AB48" i="35"/>
  <c r="AA48" i="35"/>
  <c r="X48" i="35"/>
  <c r="U48" i="35"/>
  <c r="AD48" i="35" s="1"/>
  <c r="Q48" i="35"/>
  <c r="E48" i="35"/>
  <c r="L48" i="35" s="1"/>
  <c r="AU47" i="35"/>
  <c r="AT47" i="35"/>
  <c r="AR47" i="35"/>
  <c r="AB47" i="35"/>
  <c r="AA47" i="35"/>
  <c r="AF47" i="35" s="1"/>
  <c r="X47" i="35"/>
  <c r="U47" i="35"/>
  <c r="R47" i="35" s="1"/>
  <c r="Q47" i="35"/>
  <c r="E47" i="35"/>
  <c r="L47" i="35" s="1"/>
  <c r="AU46" i="35"/>
  <c r="AT46" i="35"/>
  <c r="AR46" i="35"/>
  <c r="AB46" i="35"/>
  <c r="AA46" i="35"/>
  <c r="AF46" i="35" s="1"/>
  <c r="X46" i="35"/>
  <c r="U46" i="35"/>
  <c r="AD46" i="35" s="1"/>
  <c r="Q46" i="35"/>
  <c r="E46" i="35"/>
  <c r="L46" i="35" s="1"/>
  <c r="AU45" i="35"/>
  <c r="AT45" i="35"/>
  <c r="AR45" i="35"/>
  <c r="AB45" i="35"/>
  <c r="AA45" i="35"/>
  <c r="X45" i="35"/>
  <c r="U45" i="35"/>
  <c r="AD45" i="35" s="1"/>
  <c r="Q45" i="35"/>
  <c r="E45" i="35"/>
  <c r="L45" i="35" s="1"/>
  <c r="AU44" i="35"/>
  <c r="AT44" i="35"/>
  <c r="AR44" i="35"/>
  <c r="AB44" i="35"/>
  <c r="AA44" i="35"/>
  <c r="AF44" i="35" s="1"/>
  <c r="X44" i="35"/>
  <c r="U44" i="35"/>
  <c r="R44" i="35" s="1"/>
  <c r="Q44" i="35"/>
  <c r="E44" i="35"/>
  <c r="L44" i="35" s="1"/>
  <c r="AU43" i="35"/>
  <c r="AT43" i="35"/>
  <c r="AR43" i="35"/>
  <c r="AB43" i="35"/>
  <c r="AA43" i="35"/>
  <c r="X43" i="35"/>
  <c r="U43" i="35"/>
  <c r="Q43" i="35"/>
  <c r="E43" i="35"/>
  <c r="L43" i="35" s="1"/>
  <c r="AU42" i="35"/>
  <c r="AT42" i="35"/>
  <c r="AR42" i="35"/>
  <c r="AB42" i="35"/>
  <c r="AA42" i="35"/>
  <c r="X42" i="35"/>
  <c r="U42" i="35"/>
  <c r="AS42" i="35" s="1"/>
  <c r="Q42" i="35"/>
  <c r="E42" i="35"/>
  <c r="L42" i="35" s="1"/>
  <c r="AU41" i="35"/>
  <c r="AT41" i="35"/>
  <c r="AR41" i="35"/>
  <c r="AB41" i="35"/>
  <c r="AA41" i="35"/>
  <c r="AF41" i="35" s="1"/>
  <c r="X41" i="35"/>
  <c r="U41" i="35"/>
  <c r="Q41" i="35"/>
  <c r="E41" i="35"/>
  <c r="L41" i="35" s="1"/>
  <c r="AU40" i="35"/>
  <c r="AT40" i="35"/>
  <c r="AR40" i="35"/>
  <c r="AB40" i="35"/>
  <c r="AA40" i="35"/>
  <c r="AF40" i="35" s="1"/>
  <c r="X40" i="35"/>
  <c r="U40" i="35"/>
  <c r="AD40" i="35" s="1"/>
  <c r="Q40" i="35"/>
  <c r="E40" i="35"/>
  <c r="L40" i="35" s="1"/>
  <c r="AU39" i="35"/>
  <c r="AT39" i="35"/>
  <c r="AR39" i="35"/>
  <c r="AB39" i="35"/>
  <c r="AA39" i="35"/>
  <c r="AF39" i="35" s="1"/>
  <c r="X39" i="35"/>
  <c r="U39" i="35"/>
  <c r="AD39" i="35" s="1"/>
  <c r="Q39" i="35"/>
  <c r="E39" i="35"/>
  <c r="L39" i="35" s="1"/>
  <c r="AU38" i="35"/>
  <c r="AT38" i="35"/>
  <c r="AR38" i="35"/>
  <c r="AB38" i="35"/>
  <c r="AA38" i="35"/>
  <c r="AF38" i="35" s="1"/>
  <c r="X38" i="35"/>
  <c r="U38" i="35"/>
  <c r="AS38" i="35" s="1"/>
  <c r="Q38" i="35"/>
  <c r="E38" i="35"/>
  <c r="L38" i="35" s="1"/>
  <c r="AU37" i="35"/>
  <c r="AT37" i="35"/>
  <c r="AR37" i="35"/>
  <c r="AB37" i="35"/>
  <c r="AA37" i="35"/>
  <c r="AF37" i="35" s="1"/>
  <c r="X37" i="35"/>
  <c r="U37" i="35"/>
  <c r="AD37" i="35" s="1"/>
  <c r="Q37" i="35"/>
  <c r="E37" i="35"/>
  <c r="L37" i="35" s="1"/>
  <c r="AU36" i="35"/>
  <c r="AT36" i="35"/>
  <c r="AR36" i="35"/>
  <c r="AB36" i="35"/>
  <c r="AA36" i="35"/>
  <c r="AF36" i="35" s="1"/>
  <c r="X36" i="35"/>
  <c r="U36" i="35"/>
  <c r="AD36" i="35" s="1"/>
  <c r="Q36" i="35"/>
  <c r="E36" i="35"/>
  <c r="L36" i="35" s="1"/>
  <c r="AU35" i="35"/>
  <c r="AT35" i="35"/>
  <c r="AR35" i="35"/>
  <c r="AB35" i="35"/>
  <c r="AA35" i="35"/>
  <c r="AF35" i="35" s="1"/>
  <c r="X35" i="35"/>
  <c r="U35" i="35"/>
  <c r="AD35" i="35" s="1"/>
  <c r="Q35" i="35"/>
  <c r="E35" i="35"/>
  <c r="L35" i="35" s="1"/>
  <c r="AU34" i="35"/>
  <c r="AT34" i="35"/>
  <c r="AR34" i="35"/>
  <c r="AB34" i="35"/>
  <c r="AA34" i="35"/>
  <c r="AF34" i="35" s="1"/>
  <c r="X34" i="35"/>
  <c r="U34" i="35"/>
  <c r="AS34" i="35" s="1"/>
  <c r="Q34" i="35"/>
  <c r="E34" i="35"/>
  <c r="L34" i="35" s="1"/>
  <c r="AU33" i="35"/>
  <c r="AT33" i="35"/>
  <c r="AR33" i="35"/>
  <c r="AB33" i="35"/>
  <c r="AA33" i="35"/>
  <c r="AF33" i="35" s="1"/>
  <c r="X33" i="35"/>
  <c r="U33" i="35"/>
  <c r="AD33" i="35" s="1"/>
  <c r="Q33" i="35"/>
  <c r="E33" i="35"/>
  <c r="L33" i="35" s="1"/>
  <c r="AU32" i="35"/>
  <c r="AT32" i="35"/>
  <c r="AR32" i="35"/>
  <c r="AB32" i="35"/>
  <c r="AA32" i="35"/>
  <c r="AF32" i="35" s="1"/>
  <c r="X32" i="35"/>
  <c r="U32" i="35"/>
  <c r="AD32" i="35" s="1"/>
  <c r="Q32" i="35"/>
  <c r="E32" i="35"/>
  <c r="L32" i="35" s="1"/>
  <c r="AU31" i="35"/>
  <c r="AT31" i="35"/>
  <c r="AR31" i="35"/>
  <c r="AB31" i="35"/>
  <c r="AA31" i="35"/>
  <c r="AF31" i="35" s="1"/>
  <c r="X31" i="35"/>
  <c r="U31" i="35"/>
  <c r="AD31" i="35" s="1"/>
  <c r="Q31" i="35"/>
  <c r="E31" i="35"/>
  <c r="L31" i="35" s="1"/>
  <c r="AU30" i="35"/>
  <c r="AT30" i="35"/>
  <c r="AR30" i="35"/>
  <c r="AB30" i="35"/>
  <c r="AA30" i="35"/>
  <c r="AF30" i="35" s="1"/>
  <c r="X30" i="35"/>
  <c r="U30" i="35"/>
  <c r="AS30" i="35" s="1"/>
  <c r="Q30" i="35"/>
  <c r="E30" i="35"/>
  <c r="L30" i="35" s="1"/>
  <c r="AU29" i="35"/>
  <c r="AT29" i="35"/>
  <c r="AR29" i="35"/>
  <c r="AB29" i="35"/>
  <c r="AA29" i="35"/>
  <c r="AF29" i="35" s="1"/>
  <c r="X29" i="35"/>
  <c r="U29" i="35"/>
  <c r="AD29" i="35" s="1"/>
  <c r="Q29" i="35"/>
  <c r="E29" i="35"/>
  <c r="L29" i="35" s="1"/>
  <c r="AU28" i="35"/>
  <c r="AT28" i="35"/>
  <c r="AR28" i="35"/>
  <c r="AB28" i="35"/>
  <c r="AA28" i="35"/>
  <c r="X28" i="35"/>
  <c r="U28" i="35"/>
  <c r="R28" i="35" s="1"/>
  <c r="Q28" i="35"/>
  <c r="E28" i="35"/>
  <c r="L28" i="35" s="1"/>
  <c r="AU27" i="35"/>
  <c r="AT27" i="35"/>
  <c r="AR27" i="35"/>
  <c r="AB27" i="35"/>
  <c r="AA27" i="35"/>
  <c r="X27" i="35"/>
  <c r="U27" i="35"/>
  <c r="R27" i="35" s="1"/>
  <c r="Q27" i="35"/>
  <c r="E27" i="35"/>
  <c r="L27" i="35" s="1"/>
  <c r="AU26" i="35"/>
  <c r="AT26" i="35"/>
  <c r="AR26" i="35"/>
  <c r="AB26" i="35"/>
  <c r="AA26" i="35"/>
  <c r="X26" i="35"/>
  <c r="U26" i="35"/>
  <c r="R26" i="35" s="1"/>
  <c r="Q26" i="35"/>
  <c r="E26" i="35"/>
  <c r="L26" i="35" s="1"/>
  <c r="AU25" i="35"/>
  <c r="AT25" i="35"/>
  <c r="AR25" i="35"/>
  <c r="AB25" i="35"/>
  <c r="AA25" i="35"/>
  <c r="X25" i="35"/>
  <c r="U25" i="35"/>
  <c r="Q25" i="35"/>
  <c r="E25" i="35"/>
  <c r="L25" i="35" s="1"/>
  <c r="AU24" i="35"/>
  <c r="AT24" i="35"/>
  <c r="AR24" i="35"/>
  <c r="AB24" i="35"/>
  <c r="AA24" i="35"/>
  <c r="AF24" i="35" s="1"/>
  <c r="X24" i="35"/>
  <c r="U24" i="35"/>
  <c r="R24" i="35" s="1"/>
  <c r="Q24" i="35"/>
  <c r="E24" i="35"/>
  <c r="L24" i="35" s="1"/>
  <c r="AU23" i="35"/>
  <c r="AT23" i="35"/>
  <c r="AR23" i="35"/>
  <c r="AB23" i="35"/>
  <c r="AA23" i="35"/>
  <c r="AF23" i="35" s="1"/>
  <c r="X23" i="35"/>
  <c r="U23" i="35"/>
  <c r="R23" i="35" s="1"/>
  <c r="Q23" i="35"/>
  <c r="E23" i="35"/>
  <c r="L23" i="35" s="1"/>
  <c r="AU22" i="35"/>
  <c r="AT22" i="35"/>
  <c r="AR22" i="35"/>
  <c r="AB22" i="35"/>
  <c r="AA22" i="35"/>
  <c r="AF22" i="35" s="1"/>
  <c r="X22" i="35"/>
  <c r="U22" i="35"/>
  <c r="R22" i="35" s="1"/>
  <c r="Q22" i="35"/>
  <c r="E22" i="35"/>
  <c r="L22" i="35" s="1"/>
  <c r="AU21" i="35"/>
  <c r="AT21" i="35"/>
  <c r="AR21" i="35"/>
  <c r="AB21" i="35"/>
  <c r="AA21" i="35"/>
  <c r="AF21" i="35" s="1"/>
  <c r="X21" i="35"/>
  <c r="U21" i="35"/>
  <c r="R21" i="35" s="1"/>
  <c r="Q21" i="35"/>
  <c r="E21" i="35"/>
  <c r="L21" i="35" s="1"/>
  <c r="AU20" i="35"/>
  <c r="AT20" i="35"/>
  <c r="AR20" i="35"/>
  <c r="AB20" i="35"/>
  <c r="AA20" i="35"/>
  <c r="AF20" i="35" s="1"/>
  <c r="X20" i="35"/>
  <c r="U20" i="35"/>
  <c r="R20" i="35" s="1"/>
  <c r="Q20" i="35"/>
  <c r="E20" i="35"/>
  <c r="L20" i="35" s="1"/>
  <c r="AU19" i="35"/>
  <c r="AT19" i="35"/>
  <c r="AR19" i="35"/>
  <c r="AB19" i="35"/>
  <c r="AA19" i="35"/>
  <c r="AF19" i="35" s="1"/>
  <c r="X19" i="35"/>
  <c r="U19" i="35"/>
  <c r="R19" i="35" s="1"/>
  <c r="Q19" i="35"/>
  <c r="E19" i="35"/>
  <c r="L19" i="35" s="1"/>
  <c r="AU18" i="35"/>
  <c r="AT18" i="35"/>
  <c r="AR18" i="35"/>
  <c r="AB18" i="35"/>
  <c r="AA18" i="35"/>
  <c r="AF18" i="35" s="1"/>
  <c r="X18" i="35"/>
  <c r="U18" i="35"/>
  <c r="R18" i="35" s="1"/>
  <c r="Q18" i="35"/>
  <c r="E18" i="35"/>
  <c r="L18" i="35" s="1"/>
  <c r="AU17" i="35"/>
  <c r="AT17" i="35"/>
  <c r="AR17" i="35"/>
  <c r="AB17" i="35"/>
  <c r="AA17" i="35"/>
  <c r="AF17" i="35" s="1"/>
  <c r="X17" i="35"/>
  <c r="U17" i="35"/>
  <c r="R17" i="35" s="1"/>
  <c r="Q17" i="35"/>
  <c r="E17" i="35"/>
  <c r="L17" i="35" s="1"/>
  <c r="AU16" i="35"/>
  <c r="AT16" i="35"/>
  <c r="AR16" i="35"/>
  <c r="AB16" i="35"/>
  <c r="AA16" i="35"/>
  <c r="AF16" i="35" s="1"/>
  <c r="X16" i="35"/>
  <c r="U16" i="35"/>
  <c r="R16" i="35" s="1"/>
  <c r="Q16" i="35"/>
  <c r="E16" i="35"/>
  <c r="L16" i="35" s="1"/>
  <c r="AU15" i="35"/>
  <c r="AT15" i="35"/>
  <c r="AR15" i="35"/>
  <c r="AB15" i="35"/>
  <c r="AA15" i="35"/>
  <c r="AF15" i="35" s="1"/>
  <c r="X15" i="35"/>
  <c r="U15" i="35"/>
  <c r="R15" i="35" s="1"/>
  <c r="Q15" i="35"/>
  <c r="E15" i="35"/>
  <c r="L15" i="35" s="1"/>
  <c r="AU14" i="35"/>
  <c r="AT14" i="35"/>
  <c r="AR14" i="35"/>
  <c r="AB14" i="35"/>
  <c r="AA14" i="35"/>
  <c r="AF14" i="35" s="1"/>
  <c r="X14" i="35"/>
  <c r="U14" i="35"/>
  <c r="R14" i="35" s="1"/>
  <c r="Q14" i="35"/>
  <c r="E14" i="35"/>
  <c r="L14" i="35" s="1"/>
  <c r="AU13" i="35"/>
  <c r="AT13" i="35"/>
  <c r="AR13" i="35"/>
  <c r="AB13" i="35"/>
  <c r="AA13" i="35"/>
  <c r="AF13" i="35" s="1"/>
  <c r="X13" i="35"/>
  <c r="U13" i="35"/>
  <c r="AS13" i="35" s="1"/>
  <c r="Q13" i="35"/>
  <c r="E13" i="35"/>
  <c r="L13" i="35" s="1"/>
  <c r="AU12" i="35"/>
  <c r="AT12" i="35"/>
  <c r="AR12" i="35"/>
  <c r="AB12" i="35"/>
  <c r="AA12" i="35"/>
  <c r="AF12" i="35" s="1"/>
  <c r="X12" i="35"/>
  <c r="U12" i="35"/>
  <c r="R12" i="35" s="1"/>
  <c r="Q12" i="35"/>
  <c r="E12" i="35"/>
  <c r="L12" i="35" s="1"/>
  <c r="AU11" i="35"/>
  <c r="AT11" i="35"/>
  <c r="AR11" i="35"/>
  <c r="AB11" i="35"/>
  <c r="AA11" i="35"/>
  <c r="AF11" i="35" s="1"/>
  <c r="X11" i="35"/>
  <c r="U11" i="35"/>
  <c r="R11" i="35" s="1"/>
  <c r="Q11" i="35"/>
  <c r="E11" i="35"/>
  <c r="L11" i="35" s="1"/>
  <c r="AU10" i="35"/>
  <c r="AT10" i="35"/>
  <c r="AR10" i="35"/>
  <c r="AB10" i="35"/>
  <c r="AA10" i="35"/>
  <c r="AF10" i="35" s="1"/>
  <c r="X10" i="35"/>
  <c r="U10" i="35"/>
  <c r="R10" i="35" s="1"/>
  <c r="Q10" i="35"/>
  <c r="E10" i="35"/>
  <c r="L10" i="35" s="1"/>
  <c r="AU9" i="35"/>
  <c r="AT9" i="35"/>
  <c r="AR9" i="35"/>
  <c r="AB9" i="35"/>
  <c r="AA9" i="35"/>
  <c r="AF9" i="35" s="1"/>
  <c r="X9" i="35"/>
  <c r="U9" i="35"/>
  <c r="AS9" i="35" s="1"/>
  <c r="Q9" i="35"/>
  <c r="E9" i="35"/>
  <c r="L9" i="35" s="1"/>
  <c r="AU8" i="35"/>
  <c r="AT8" i="35"/>
  <c r="AR8" i="35"/>
  <c r="AB8" i="35"/>
  <c r="AA8" i="35"/>
  <c r="AF8" i="35" s="1"/>
  <c r="X8" i="35"/>
  <c r="U8" i="35"/>
  <c r="R8" i="35" s="1"/>
  <c r="Q8" i="35"/>
  <c r="E8" i="35"/>
  <c r="L8" i="35" s="1"/>
  <c r="AU7" i="35"/>
  <c r="AT7" i="35"/>
  <c r="AR7" i="35"/>
  <c r="AB7" i="35"/>
  <c r="AA7" i="35"/>
  <c r="AF7" i="35" s="1"/>
  <c r="X7" i="35"/>
  <c r="U7" i="35"/>
  <c r="R7" i="35" s="1"/>
  <c r="Q7" i="35"/>
  <c r="E7" i="35"/>
  <c r="L7" i="35" s="1"/>
  <c r="AU6" i="35"/>
  <c r="AT6" i="35"/>
  <c r="AR6" i="35"/>
  <c r="AB6" i="35"/>
  <c r="AA6" i="35"/>
  <c r="AF6" i="35" s="1"/>
  <c r="X6" i="35"/>
  <c r="U6" i="35"/>
  <c r="Q6" i="35"/>
  <c r="E6" i="35"/>
  <c r="L6" i="35" s="1"/>
  <c r="AU5" i="35"/>
  <c r="AT5" i="35"/>
  <c r="AR5" i="35"/>
  <c r="AB5" i="35"/>
  <c r="AA5" i="35"/>
  <c r="AF5" i="35" s="1"/>
  <c r="X5" i="35"/>
  <c r="U5" i="35"/>
  <c r="Q5" i="35"/>
  <c r="E5" i="35"/>
  <c r="L5" i="35" s="1"/>
  <c r="AU4" i="35"/>
  <c r="AT4" i="35"/>
  <c r="AR4" i="35"/>
  <c r="AB4" i="35"/>
  <c r="AA4" i="35"/>
  <c r="AF4" i="35" s="1"/>
  <c r="X4" i="35"/>
  <c r="U4" i="35"/>
  <c r="R4" i="35" s="1"/>
  <c r="Q4" i="35"/>
  <c r="E4" i="35"/>
  <c r="L4" i="35" s="1"/>
  <c r="AU3" i="35"/>
  <c r="AT3" i="35"/>
  <c r="AR3" i="35"/>
  <c r="AB3" i="35"/>
  <c r="AA3" i="35"/>
  <c r="X3" i="35"/>
  <c r="U3" i="35"/>
  <c r="Q3" i="35"/>
  <c r="E3" i="35"/>
  <c r="L3" i="35" s="1"/>
  <c r="AH127" i="34"/>
  <c r="R126" i="34"/>
  <c r="Q126" i="34"/>
  <c r="P126" i="34"/>
  <c r="O126" i="34"/>
  <c r="M126" i="34"/>
  <c r="K126" i="34"/>
  <c r="AM124" i="34"/>
  <c r="AK124" i="34"/>
  <c r="AJ124" i="34"/>
  <c r="AI124" i="34"/>
  <c r="AH124" i="34"/>
  <c r="AG124" i="34"/>
  <c r="AE124" i="34"/>
  <c r="AA124" i="34"/>
  <c r="Z124" i="34"/>
  <c r="Y124" i="34"/>
  <c r="W124" i="34"/>
  <c r="V124" i="34"/>
  <c r="T124" i="34"/>
  <c r="S124" i="34"/>
  <c r="N124" i="34"/>
  <c r="J124" i="34"/>
  <c r="I124" i="34"/>
  <c r="H124" i="34"/>
  <c r="G124" i="34"/>
  <c r="F124" i="34"/>
  <c r="AU122" i="34"/>
  <c r="AT122" i="34"/>
  <c r="AS122" i="34"/>
  <c r="AR122" i="34"/>
  <c r="AN122" i="34"/>
  <c r="AQ122" i="34"/>
  <c r="AW122" i="34" s="1"/>
  <c r="R122" i="34"/>
  <c r="Q122" i="34"/>
  <c r="E122" i="34"/>
  <c r="L122" i="34" s="1"/>
  <c r="AU121" i="34"/>
  <c r="AT121" i="34"/>
  <c r="AS121" i="34"/>
  <c r="AR121" i="34"/>
  <c r="AN121" i="34"/>
  <c r="AQ121" i="34"/>
  <c r="AW121" i="34" s="1"/>
  <c r="R121" i="34"/>
  <c r="Q121" i="34"/>
  <c r="E121" i="34"/>
  <c r="L121" i="34" s="1"/>
  <c r="AU120" i="34"/>
  <c r="AT120" i="34"/>
  <c r="AS120" i="34"/>
  <c r="AR120" i="34"/>
  <c r="AN120" i="34"/>
  <c r="AQ120" i="34"/>
  <c r="AW120" i="34" s="1"/>
  <c r="R120" i="34"/>
  <c r="Q120" i="34"/>
  <c r="E120" i="34"/>
  <c r="L120" i="34" s="1"/>
  <c r="AU119" i="34"/>
  <c r="AT119" i="34"/>
  <c r="AS119" i="34"/>
  <c r="AR119" i="34"/>
  <c r="AQ119" i="34"/>
  <c r="AW119" i="34" s="1"/>
  <c r="AN119" i="34"/>
  <c r="R119" i="34"/>
  <c r="Q119" i="34"/>
  <c r="E119" i="34"/>
  <c r="L119" i="34" s="1"/>
  <c r="AU118" i="34"/>
  <c r="AT118" i="34"/>
  <c r="AS118" i="34"/>
  <c r="AR118" i="34"/>
  <c r="AQ118" i="34"/>
  <c r="AW118" i="34" s="1"/>
  <c r="AN118" i="34"/>
  <c r="R118" i="34"/>
  <c r="Q118" i="34"/>
  <c r="E118" i="34"/>
  <c r="L118" i="34" s="1"/>
  <c r="AU117" i="34"/>
  <c r="AT117" i="34"/>
  <c r="AS117" i="34"/>
  <c r="AR117" i="34"/>
  <c r="AN117" i="34"/>
  <c r="AQ117" i="34"/>
  <c r="AW117" i="34" s="1"/>
  <c r="R117" i="34"/>
  <c r="Q117" i="34"/>
  <c r="E117" i="34"/>
  <c r="L117" i="34" s="1"/>
  <c r="AU116" i="34"/>
  <c r="AT116" i="34"/>
  <c r="AS116" i="34"/>
  <c r="AR116" i="34"/>
  <c r="AN116" i="34"/>
  <c r="AQ116" i="34"/>
  <c r="AW116" i="34" s="1"/>
  <c r="R116" i="34"/>
  <c r="Q116" i="34"/>
  <c r="E116" i="34"/>
  <c r="L116" i="34" s="1"/>
  <c r="AU115" i="34"/>
  <c r="AT115" i="34"/>
  <c r="AS115" i="34"/>
  <c r="AR115" i="34"/>
  <c r="AB124" i="34"/>
  <c r="X124" i="34"/>
  <c r="AQ115" i="34"/>
  <c r="AW115" i="34" s="1"/>
  <c r="R115" i="34"/>
  <c r="Q115" i="34"/>
  <c r="E115" i="34"/>
  <c r="L115" i="34" s="1"/>
  <c r="AM113" i="34"/>
  <c r="U12" i="3" s="1"/>
  <c r="AK113" i="34"/>
  <c r="AJ113" i="34"/>
  <c r="AI113" i="34"/>
  <c r="AH113" i="34"/>
  <c r="AG113" i="34"/>
  <c r="Q12" i="3" s="1"/>
  <c r="AE113" i="34"/>
  <c r="R12" i="3" s="1"/>
  <c r="AB113" i="34"/>
  <c r="Z113" i="34"/>
  <c r="N12" i="3" s="1"/>
  <c r="Y113" i="34"/>
  <c r="M12" i="3" s="1"/>
  <c r="W113" i="34"/>
  <c r="K12" i="3" s="1"/>
  <c r="V113" i="34"/>
  <c r="J12" i="3" s="1"/>
  <c r="L12" i="3" s="1"/>
  <c r="T113" i="34"/>
  <c r="I12" i="3" s="1"/>
  <c r="S113" i="34"/>
  <c r="H12" i="3" s="1"/>
  <c r="N113" i="34"/>
  <c r="J113" i="34"/>
  <c r="I113" i="34"/>
  <c r="H113" i="34"/>
  <c r="G113" i="34"/>
  <c r="F113" i="34"/>
  <c r="AR112" i="34"/>
  <c r="AU111" i="34"/>
  <c r="AT111" i="34"/>
  <c r="AR111" i="34"/>
  <c r="AN111" i="34"/>
  <c r="AS111" i="34"/>
  <c r="Q111" i="34"/>
  <c r="E111" i="34"/>
  <c r="L111" i="34" s="1"/>
  <c r="AU110" i="34"/>
  <c r="AT110" i="34"/>
  <c r="AR110" i="34"/>
  <c r="AN110" i="34"/>
  <c r="AS110" i="34"/>
  <c r="Q110" i="34"/>
  <c r="L110" i="34"/>
  <c r="E110" i="34"/>
  <c r="AU109" i="34"/>
  <c r="AT109" i="34"/>
  <c r="AR109" i="34"/>
  <c r="AN109" i="34"/>
  <c r="AS109" i="34"/>
  <c r="Q109" i="34"/>
  <c r="L109" i="34"/>
  <c r="E109" i="34"/>
  <c r="AU108" i="34"/>
  <c r="AT108" i="34"/>
  <c r="AR108" i="34"/>
  <c r="AN108" i="34"/>
  <c r="AS108" i="34"/>
  <c r="Q108" i="34"/>
  <c r="L108" i="34"/>
  <c r="E108" i="34"/>
  <c r="AU107" i="34"/>
  <c r="AU112" i="34" s="1"/>
  <c r="AT107" i="34"/>
  <c r="AR107" i="34"/>
  <c r="AQ107" i="34"/>
  <c r="AN107" i="34"/>
  <c r="AN113" i="34" s="1"/>
  <c r="AD113" i="34"/>
  <c r="P12" i="3" s="1"/>
  <c r="AA113" i="34"/>
  <c r="X113" i="34"/>
  <c r="AS107" i="34"/>
  <c r="Q107" i="34"/>
  <c r="L107" i="34"/>
  <c r="E107" i="34"/>
  <c r="AM105" i="34"/>
  <c r="U11" i="3" s="1"/>
  <c r="AK105" i="34"/>
  <c r="AJ105" i="34"/>
  <c r="AI105" i="34"/>
  <c r="AI126" i="34" s="1"/>
  <c r="AH105" i="34"/>
  <c r="AH126" i="34" s="1"/>
  <c r="AG105" i="34"/>
  <c r="Q11" i="3" s="1"/>
  <c r="AE105" i="34"/>
  <c r="R11" i="3" s="1"/>
  <c r="Z105" i="34"/>
  <c r="Y105" i="34"/>
  <c r="W105" i="34"/>
  <c r="K11" i="3" s="1"/>
  <c r="V105" i="34"/>
  <c r="J11" i="3" s="1"/>
  <c r="T105" i="34"/>
  <c r="I11" i="3" s="1"/>
  <c r="S105" i="34"/>
  <c r="N105" i="34"/>
  <c r="N126" i="34" s="1"/>
  <c r="J105" i="34"/>
  <c r="J126" i="34" s="1"/>
  <c r="I105" i="34"/>
  <c r="I126" i="34" s="1"/>
  <c r="H105" i="34"/>
  <c r="G105" i="34"/>
  <c r="F105" i="34"/>
  <c r="AU103" i="34"/>
  <c r="AT103" i="34"/>
  <c r="AR103" i="34"/>
  <c r="AN103" i="34"/>
  <c r="AS103" i="34"/>
  <c r="Q103" i="34"/>
  <c r="E103" i="34"/>
  <c r="L103" i="34" s="1"/>
  <c r="AU102" i="34"/>
  <c r="AT102" i="34"/>
  <c r="AR102" i="34"/>
  <c r="AN102" i="34"/>
  <c r="AS102" i="34"/>
  <c r="R102" i="34"/>
  <c r="Q102" i="34"/>
  <c r="L102" i="34"/>
  <c r="E102" i="34"/>
  <c r="AU101" i="34"/>
  <c r="AT101" i="34"/>
  <c r="AR101" i="34"/>
  <c r="AN101" i="34"/>
  <c r="AS101" i="34"/>
  <c r="R101" i="34"/>
  <c r="Q101" i="34"/>
  <c r="E101" i="34"/>
  <c r="L101" i="34" s="1"/>
  <c r="AU100" i="34"/>
  <c r="AT100" i="34"/>
  <c r="AR100" i="34"/>
  <c r="AN100" i="34"/>
  <c r="AS100" i="34"/>
  <c r="R100" i="34"/>
  <c r="Q100" i="34"/>
  <c r="E100" i="34"/>
  <c r="L100" i="34" s="1"/>
  <c r="AU99" i="34"/>
  <c r="AT99" i="34"/>
  <c r="AR99" i="34"/>
  <c r="AN99" i="34"/>
  <c r="AS99" i="34"/>
  <c r="R99" i="34"/>
  <c r="Q99" i="34"/>
  <c r="L99" i="34"/>
  <c r="E99" i="34"/>
  <c r="AU98" i="34"/>
  <c r="AT98" i="34"/>
  <c r="AR98" i="34"/>
  <c r="AN98" i="34"/>
  <c r="AS98" i="34"/>
  <c r="R98" i="34"/>
  <c r="Q98" i="34"/>
  <c r="E98" i="34"/>
  <c r="L98" i="34" s="1"/>
  <c r="AU97" i="34"/>
  <c r="AT97" i="34"/>
  <c r="AR97" i="34"/>
  <c r="AN97" i="34"/>
  <c r="AS97" i="34"/>
  <c r="R97" i="34"/>
  <c r="Q97" i="34"/>
  <c r="E97" i="34"/>
  <c r="L97" i="34" s="1"/>
  <c r="AU96" i="34"/>
  <c r="AT96" i="34"/>
  <c r="AR96" i="34"/>
  <c r="AN96" i="34"/>
  <c r="AS96" i="34"/>
  <c r="R96" i="34"/>
  <c r="Q96" i="34"/>
  <c r="E96" i="34"/>
  <c r="L96" i="34" s="1"/>
  <c r="AU95" i="34"/>
  <c r="AT95" i="34"/>
  <c r="AR95" i="34"/>
  <c r="AN95" i="34"/>
  <c r="AS95" i="34"/>
  <c r="R95" i="34"/>
  <c r="Q95" i="34"/>
  <c r="E95" i="34"/>
  <c r="L95" i="34" s="1"/>
  <c r="AU94" i="34"/>
  <c r="AT94" i="34"/>
  <c r="AR94" i="34"/>
  <c r="AQ94" i="34"/>
  <c r="AN94" i="34"/>
  <c r="AS94" i="34"/>
  <c r="R94" i="34"/>
  <c r="Q94" i="34"/>
  <c r="E94" i="34"/>
  <c r="L94" i="34" s="1"/>
  <c r="AU93" i="34"/>
  <c r="AT93" i="34"/>
  <c r="AR93" i="34"/>
  <c r="AQ93" i="34"/>
  <c r="AW93" i="34" s="1"/>
  <c r="AN93" i="34"/>
  <c r="AS93" i="34"/>
  <c r="R93" i="34"/>
  <c r="Q93" i="34"/>
  <c r="E93" i="34"/>
  <c r="L93" i="34" s="1"/>
  <c r="AU92" i="34"/>
  <c r="AT92" i="34"/>
  <c r="AR92" i="34"/>
  <c r="AQ92" i="34"/>
  <c r="AW92" i="34" s="1"/>
  <c r="AN92" i="34"/>
  <c r="AS92" i="34"/>
  <c r="R92" i="34"/>
  <c r="Q92" i="34"/>
  <c r="E92" i="34"/>
  <c r="L92" i="34" s="1"/>
  <c r="AU91" i="34"/>
  <c r="AT91" i="34"/>
  <c r="AR91" i="34"/>
  <c r="AQ91" i="34"/>
  <c r="AW91" i="34" s="1"/>
  <c r="AN91" i="34"/>
  <c r="AS91" i="34"/>
  <c r="R91" i="34"/>
  <c r="Q91" i="34"/>
  <c r="E91" i="34"/>
  <c r="L91" i="34" s="1"/>
  <c r="AU90" i="34"/>
  <c r="AT90" i="34"/>
  <c r="AR90" i="34"/>
  <c r="AQ90" i="34"/>
  <c r="AW90" i="34" s="1"/>
  <c r="AN90" i="34"/>
  <c r="AS90" i="34"/>
  <c r="R90" i="34"/>
  <c r="Q90" i="34"/>
  <c r="E90" i="34"/>
  <c r="L90" i="34" s="1"/>
  <c r="AU89" i="34"/>
  <c r="AT89" i="34"/>
  <c r="AR89" i="34"/>
  <c r="AQ89" i="34"/>
  <c r="AN89" i="34"/>
  <c r="AS89" i="34"/>
  <c r="R89" i="34"/>
  <c r="Q89" i="34"/>
  <c r="E89" i="34"/>
  <c r="L89" i="34" s="1"/>
  <c r="AU88" i="34"/>
  <c r="AT88" i="34"/>
  <c r="AR88" i="34"/>
  <c r="AQ88" i="34"/>
  <c r="AN88" i="34"/>
  <c r="AS88" i="34"/>
  <c r="R88" i="34"/>
  <c r="Q88" i="34"/>
  <c r="E88" i="34"/>
  <c r="L88" i="34" s="1"/>
  <c r="AU87" i="34"/>
  <c r="AT87" i="34"/>
  <c r="AR87" i="34"/>
  <c r="AQ87" i="34"/>
  <c r="AN87" i="34"/>
  <c r="AS87" i="34"/>
  <c r="R87" i="34"/>
  <c r="Q87" i="34"/>
  <c r="E87" i="34"/>
  <c r="L87" i="34" s="1"/>
  <c r="AU86" i="34"/>
  <c r="AT86" i="34"/>
  <c r="AR86" i="34"/>
  <c r="AQ86" i="34"/>
  <c r="AN86" i="34"/>
  <c r="AS86" i="34"/>
  <c r="R86" i="34"/>
  <c r="Q86" i="34"/>
  <c r="E86" i="34"/>
  <c r="L86" i="34" s="1"/>
  <c r="AU85" i="34"/>
  <c r="AT85" i="34"/>
  <c r="AR85" i="34"/>
  <c r="AQ85" i="34"/>
  <c r="AW85" i="34" s="1"/>
  <c r="AN85" i="34"/>
  <c r="AS85" i="34"/>
  <c r="R85" i="34"/>
  <c r="Q85" i="34"/>
  <c r="L85" i="34"/>
  <c r="E85" i="34"/>
  <c r="AU84" i="34"/>
  <c r="AT84" i="34"/>
  <c r="AR84" i="34"/>
  <c r="AQ84" i="34"/>
  <c r="AW84" i="34" s="1"/>
  <c r="AN84" i="34"/>
  <c r="AS84" i="34"/>
  <c r="R84" i="34"/>
  <c r="Q84" i="34"/>
  <c r="E84" i="34"/>
  <c r="L84" i="34" s="1"/>
  <c r="AU83" i="34"/>
  <c r="AT83" i="34"/>
  <c r="AR83" i="34"/>
  <c r="AQ83" i="34"/>
  <c r="AW83" i="34" s="1"/>
  <c r="AN83" i="34"/>
  <c r="AS83" i="34"/>
  <c r="R83" i="34"/>
  <c r="Q83" i="34"/>
  <c r="E83" i="34"/>
  <c r="L83" i="34" s="1"/>
  <c r="AU82" i="34"/>
  <c r="AT82" i="34"/>
  <c r="AR82" i="34"/>
  <c r="AQ82" i="34"/>
  <c r="AN82" i="34"/>
  <c r="AS82" i="34"/>
  <c r="R82" i="34"/>
  <c r="Q82" i="34"/>
  <c r="E82" i="34"/>
  <c r="L82" i="34" s="1"/>
  <c r="AU81" i="34"/>
  <c r="AT81" i="34"/>
  <c r="AR81" i="34"/>
  <c r="AQ81" i="34"/>
  <c r="AN81" i="34"/>
  <c r="AS81" i="34"/>
  <c r="R81" i="34"/>
  <c r="Q81" i="34"/>
  <c r="E81" i="34"/>
  <c r="L81" i="34" s="1"/>
  <c r="AU80" i="34"/>
  <c r="AT80" i="34"/>
  <c r="AS80" i="34"/>
  <c r="AR80" i="34"/>
  <c r="AQ80" i="34"/>
  <c r="AN80" i="34"/>
  <c r="R80" i="34"/>
  <c r="Q80" i="34"/>
  <c r="E80" i="34"/>
  <c r="L80" i="34" s="1"/>
  <c r="AU79" i="34"/>
  <c r="AT79" i="34"/>
  <c r="AS79" i="34"/>
  <c r="AR79" i="34"/>
  <c r="AQ79" i="34"/>
  <c r="AN79" i="34"/>
  <c r="R79" i="34"/>
  <c r="Q79" i="34"/>
  <c r="E79" i="34"/>
  <c r="L79" i="34" s="1"/>
  <c r="AU78" i="34"/>
  <c r="AT78" i="34"/>
  <c r="AS78" i="34"/>
  <c r="AR78" i="34"/>
  <c r="AQ78" i="34"/>
  <c r="AW78" i="34" s="1"/>
  <c r="AN78" i="34"/>
  <c r="R78" i="34"/>
  <c r="Q78" i="34"/>
  <c r="E78" i="34"/>
  <c r="L78" i="34" s="1"/>
  <c r="AU77" i="34"/>
  <c r="AT77" i="34"/>
  <c r="AS77" i="34"/>
  <c r="AR77" i="34"/>
  <c r="AQ77" i="34"/>
  <c r="AW77" i="34" s="1"/>
  <c r="AN77" i="34"/>
  <c r="R77" i="34"/>
  <c r="Q77" i="34"/>
  <c r="E77" i="34"/>
  <c r="L77" i="34" s="1"/>
  <c r="AU76" i="34"/>
  <c r="AT76" i="34"/>
  <c r="AR76" i="34"/>
  <c r="AN76" i="34"/>
  <c r="Q76" i="34"/>
  <c r="E76" i="34"/>
  <c r="L76" i="34" s="1"/>
  <c r="AU75" i="34"/>
  <c r="AT75" i="34"/>
  <c r="AR75" i="34"/>
  <c r="AN75" i="34"/>
  <c r="Q75" i="34"/>
  <c r="E75" i="34"/>
  <c r="L75" i="34" s="1"/>
  <c r="AU74" i="34"/>
  <c r="AT74" i="34"/>
  <c r="AR74" i="34"/>
  <c r="AN74" i="34"/>
  <c r="Q74" i="34"/>
  <c r="E74" i="34"/>
  <c r="L74" i="34" s="1"/>
  <c r="AU73" i="34"/>
  <c r="AT73" i="34"/>
  <c r="AR73" i="34"/>
  <c r="AN73" i="34"/>
  <c r="Q73" i="34"/>
  <c r="E73" i="34"/>
  <c r="L73" i="34" s="1"/>
  <c r="AU72" i="34"/>
  <c r="AT72" i="34"/>
  <c r="AR72" i="34"/>
  <c r="AN72" i="34"/>
  <c r="Q72" i="34"/>
  <c r="E72" i="34"/>
  <c r="L72" i="34" s="1"/>
  <c r="AU71" i="34"/>
  <c r="AT71" i="34"/>
  <c r="AR71" i="34"/>
  <c r="AN71" i="34"/>
  <c r="Q71" i="34"/>
  <c r="E71" i="34"/>
  <c r="L71" i="34" s="1"/>
  <c r="AU70" i="34"/>
  <c r="AT70" i="34"/>
  <c r="AR70" i="34"/>
  <c r="AN70" i="34"/>
  <c r="Q70" i="34"/>
  <c r="E70" i="34"/>
  <c r="L70" i="34" s="1"/>
  <c r="AU69" i="34"/>
  <c r="AT69" i="34"/>
  <c r="AR69" i="34"/>
  <c r="AN69" i="34"/>
  <c r="Q69" i="34"/>
  <c r="E69" i="34"/>
  <c r="L69" i="34" s="1"/>
  <c r="AU68" i="34"/>
  <c r="AT68" i="34"/>
  <c r="AS68" i="34"/>
  <c r="AR68" i="34"/>
  <c r="AN68" i="34"/>
  <c r="Q68" i="34"/>
  <c r="E68" i="34"/>
  <c r="L68" i="34" s="1"/>
  <c r="AU67" i="34"/>
  <c r="AT67" i="34"/>
  <c r="AS67" i="34"/>
  <c r="AR67" i="34"/>
  <c r="AN67" i="34"/>
  <c r="Q67" i="34"/>
  <c r="E67" i="34"/>
  <c r="L67" i="34" s="1"/>
  <c r="AU66" i="34"/>
  <c r="AT66" i="34"/>
  <c r="AS66" i="34"/>
  <c r="AR66" i="34"/>
  <c r="AN66" i="34"/>
  <c r="Q66" i="34"/>
  <c r="E66" i="34"/>
  <c r="L66" i="34" s="1"/>
  <c r="AU65" i="34"/>
  <c r="AT65" i="34"/>
  <c r="AS65" i="34"/>
  <c r="AR65" i="34"/>
  <c r="AN65" i="34"/>
  <c r="Q65" i="34"/>
  <c r="E65" i="34"/>
  <c r="L65" i="34" s="1"/>
  <c r="AU64" i="34"/>
  <c r="AT64" i="34"/>
  <c r="AS64" i="34"/>
  <c r="AR64" i="34"/>
  <c r="AN64" i="34"/>
  <c r="Q64" i="34"/>
  <c r="E64" i="34"/>
  <c r="L64" i="34" s="1"/>
  <c r="AU63" i="34"/>
  <c r="AT63" i="34"/>
  <c r="AS63" i="34"/>
  <c r="AR63" i="34"/>
  <c r="AN63" i="34"/>
  <c r="Q63" i="34"/>
  <c r="E63" i="34"/>
  <c r="L63" i="34" s="1"/>
  <c r="AU62" i="34"/>
  <c r="AT62" i="34"/>
  <c r="AS62" i="34"/>
  <c r="AR62" i="34"/>
  <c r="AN62" i="34"/>
  <c r="Q62" i="34"/>
  <c r="E62" i="34"/>
  <c r="L62" i="34" s="1"/>
  <c r="AU61" i="34"/>
  <c r="AT61" i="34"/>
  <c r="AS61" i="34"/>
  <c r="AR61" i="34"/>
  <c r="AN61" i="34"/>
  <c r="Q61" i="34"/>
  <c r="E61" i="34"/>
  <c r="L61" i="34" s="1"/>
  <c r="AU60" i="34"/>
  <c r="AT60" i="34"/>
  <c r="AS60" i="34"/>
  <c r="AR60" i="34"/>
  <c r="AN60" i="34"/>
  <c r="R60" i="34"/>
  <c r="Q60" i="34"/>
  <c r="E60" i="34"/>
  <c r="L60" i="34" s="1"/>
  <c r="AU59" i="34"/>
  <c r="AT59" i="34"/>
  <c r="AS59" i="34"/>
  <c r="AR59" i="34"/>
  <c r="AN59" i="34"/>
  <c r="R59" i="34"/>
  <c r="Q59" i="34"/>
  <c r="E59" i="34"/>
  <c r="L59" i="34" s="1"/>
  <c r="AU58" i="34"/>
  <c r="AT58" i="34"/>
  <c r="AS58" i="34"/>
  <c r="AR58" i="34"/>
  <c r="AN58" i="34"/>
  <c r="AQ58" i="34"/>
  <c r="R58" i="34"/>
  <c r="Q58" i="34"/>
  <c r="E58" i="34"/>
  <c r="L58" i="34" s="1"/>
  <c r="AU57" i="34"/>
  <c r="AT57" i="34"/>
  <c r="AS57" i="34"/>
  <c r="AR57" i="34"/>
  <c r="AN57" i="34"/>
  <c r="AQ57" i="34"/>
  <c r="AW57" i="34" s="1"/>
  <c r="R57" i="34"/>
  <c r="Q57" i="34"/>
  <c r="E57" i="34"/>
  <c r="L57" i="34" s="1"/>
  <c r="AU56" i="34"/>
  <c r="AT56" i="34"/>
  <c r="AS56" i="34"/>
  <c r="AR56" i="34"/>
  <c r="AN56" i="34"/>
  <c r="AQ56" i="34"/>
  <c r="AW56" i="34" s="1"/>
  <c r="R56" i="34"/>
  <c r="Q56" i="34"/>
  <c r="E56" i="34"/>
  <c r="L56" i="34" s="1"/>
  <c r="AU55" i="34"/>
  <c r="AT55" i="34"/>
  <c r="AS55" i="34"/>
  <c r="AR55" i="34"/>
  <c r="AN55" i="34"/>
  <c r="AQ55" i="34"/>
  <c r="AW55" i="34" s="1"/>
  <c r="R55" i="34"/>
  <c r="Q55" i="34"/>
  <c r="E55" i="34"/>
  <c r="L55" i="34" s="1"/>
  <c r="AU54" i="34"/>
  <c r="AT54" i="34"/>
  <c r="AS54" i="34"/>
  <c r="AR54" i="34"/>
  <c r="AN54" i="34"/>
  <c r="AQ54" i="34"/>
  <c r="R54" i="34"/>
  <c r="Q54" i="34"/>
  <c r="E54" i="34"/>
  <c r="L54" i="34" s="1"/>
  <c r="AU53" i="34"/>
  <c r="AT53" i="34"/>
  <c r="AS53" i="34"/>
  <c r="AR53" i="34"/>
  <c r="AN53" i="34"/>
  <c r="AQ53" i="34"/>
  <c r="R53" i="34"/>
  <c r="Q53" i="34"/>
  <c r="E53" i="34"/>
  <c r="L53" i="34" s="1"/>
  <c r="AU52" i="34"/>
  <c r="AT52" i="34"/>
  <c r="AS52" i="34"/>
  <c r="AR52" i="34"/>
  <c r="AN52" i="34"/>
  <c r="AQ52" i="34"/>
  <c r="AW52" i="34" s="1"/>
  <c r="R52" i="34"/>
  <c r="Q52" i="34"/>
  <c r="E52" i="34"/>
  <c r="L52" i="34" s="1"/>
  <c r="AU51" i="34"/>
  <c r="AT51" i="34"/>
  <c r="AS51" i="34"/>
  <c r="AR51" i="34"/>
  <c r="AN51" i="34"/>
  <c r="AQ51" i="34"/>
  <c r="R51" i="34"/>
  <c r="Q51" i="34"/>
  <c r="E51" i="34"/>
  <c r="L51" i="34" s="1"/>
  <c r="AU50" i="34"/>
  <c r="AT50" i="34"/>
  <c r="AS50" i="34"/>
  <c r="AR50" i="34"/>
  <c r="AN50" i="34"/>
  <c r="AQ50" i="34"/>
  <c r="R50" i="34"/>
  <c r="Q50" i="34"/>
  <c r="E50" i="34"/>
  <c r="L50" i="34" s="1"/>
  <c r="AU49" i="34"/>
  <c r="AT49" i="34"/>
  <c r="AS49" i="34"/>
  <c r="AR49" i="34"/>
  <c r="AN49" i="34"/>
  <c r="AQ49" i="34"/>
  <c r="R49" i="34"/>
  <c r="Q49" i="34"/>
  <c r="E49" i="34"/>
  <c r="L49" i="34" s="1"/>
  <c r="AU48" i="34"/>
  <c r="AT48" i="34"/>
  <c r="AS48" i="34"/>
  <c r="AR48" i="34"/>
  <c r="AN48" i="34"/>
  <c r="AQ48" i="34"/>
  <c r="R48" i="34"/>
  <c r="Q48" i="34"/>
  <c r="E48" i="34"/>
  <c r="L48" i="34" s="1"/>
  <c r="AU47" i="34"/>
  <c r="AT47" i="34"/>
  <c r="AS47" i="34"/>
  <c r="AR47" i="34"/>
  <c r="AN47" i="34"/>
  <c r="AQ47" i="34"/>
  <c r="R47" i="34"/>
  <c r="Q47" i="34"/>
  <c r="E47" i="34"/>
  <c r="L47" i="34" s="1"/>
  <c r="AU46" i="34"/>
  <c r="AT46" i="34"/>
  <c r="AS46" i="34"/>
  <c r="AR46" i="34"/>
  <c r="AN46" i="34"/>
  <c r="AQ46" i="34"/>
  <c r="AW46" i="34" s="1"/>
  <c r="R46" i="34"/>
  <c r="Q46" i="34"/>
  <c r="E46" i="34"/>
  <c r="L46" i="34" s="1"/>
  <c r="AU45" i="34"/>
  <c r="AT45" i="34"/>
  <c r="AS45" i="34"/>
  <c r="AR45" i="34"/>
  <c r="AN45" i="34"/>
  <c r="AQ45" i="34"/>
  <c r="R45" i="34"/>
  <c r="Q45" i="34"/>
  <c r="E45" i="34"/>
  <c r="L45" i="34" s="1"/>
  <c r="AU44" i="34"/>
  <c r="AT44" i="34"/>
  <c r="AS44" i="34"/>
  <c r="AR44" i="34"/>
  <c r="AN44" i="34"/>
  <c r="AQ44" i="34"/>
  <c r="R44" i="34"/>
  <c r="Q44" i="34"/>
  <c r="E44" i="34"/>
  <c r="L44" i="34" s="1"/>
  <c r="AU43" i="34"/>
  <c r="AT43" i="34"/>
  <c r="AS43" i="34"/>
  <c r="AR43" i="34"/>
  <c r="AN43" i="34"/>
  <c r="AQ43" i="34"/>
  <c r="R43" i="34"/>
  <c r="Q43" i="34"/>
  <c r="E43" i="34"/>
  <c r="L43" i="34" s="1"/>
  <c r="AU42" i="34"/>
  <c r="AT42" i="34"/>
  <c r="AS42" i="34"/>
  <c r="AR42" i="34"/>
  <c r="AN42" i="34"/>
  <c r="AQ42" i="34"/>
  <c r="R42" i="34"/>
  <c r="Q42" i="34"/>
  <c r="E42" i="34"/>
  <c r="L42" i="34" s="1"/>
  <c r="AU41" i="34"/>
  <c r="AT41" i="34"/>
  <c r="AS41" i="34"/>
  <c r="AR41" i="34"/>
  <c r="AN41" i="34"/>
  <c r="AQ41" i="34"/>
  <c r="AW41" i="34" s="1"/>
  <c r="R41" i="34"/>
  <c r="Q41" i="34"/>
  <c r="E41" i="34"/>
  <c r="L41" i="34" s="1"/>
  <c r="AU40" i="34"/>
  <c r="AT40" i="34"/>
  <c r="AR40" i="34"/>
  <c r="AQ40" i="34"/>
  <c r="AW40" i="34" s="1"/>
  <c r="AN40" i="34"/>
  <c r="R40" i="34"/>
  <c r="Q40" i="34"/>
  <c r="E40" i="34"/>
  <c r="L40" i="34" s="1"/>
  <c r="AU39" i="34"/>
  <c r="AT39" i="34"/>
  <c r="AR39" i="34"/>
  <c r="AN39" i="34"/>
  <c r="AS39" i="34"/>
  <c r="R39" i="34"/>
  <c r="Q39" i="34"/>
  <c r="E39" i="34"/>
  <c r="L39" i="34" s="1"/>
  <c r="AU38" i="34"/>
  <c r="AT38" i="34"/>
  <c r="AR38" i="34"/>
  <c r="AN38" i="34"/>
  <c r="AS38" i="34"/>
  <c r="R38" i="34"/>
  <c r="Q38" i="34"/>
  <c r="E38" i="34"/>
  <c r="L38" i="34" s="1"/>
  <c r="AU37" i="34"/>
  <c r="AT37" i="34"/>
  <c r="AR37" i="34"/>
  <c r="AN37" i="34"/>
  <c r="AS37" i="34"/>
  <c r="R37" i="34"/>
  <c r="Q37" i="34"/>
  <c r="L37" i="34"/>
  <c r="E37" i="34"/>
  <c r="AU36" i="34"/>
  <c r="AT36" i="34"/>
  <c r="AR36" i="34"/>
  <c r="AN36" i="34"/>
  <c r="AS36" i="34"/>
  <c r="R36" i="34"/>
  <c r="Q36" i="34"/>
  <c r="E36" i="34"/>
  <c r="L36" i="34" s="1"/>
  <c r="AU35" i="34"/>
  <c r="AT35" i="34"/>
  <c r="AR35" i="34"/>
  <c r="AN35" i="34"/>
  <c r="AS35" i="34"/>
  <c r="R35" i="34"/>
  <c r="Q35" i="34"/>
  <c r="E35" i="34"/>
  <c r="L35" i="34" s="1"/>
  <c r="AU34" i="34"/>
  <c r="AT34" i="34"/>
  <c r="AR34" i="34"/>
  <c r="AN34" i="34"/>
  <c r="AS34" i="34"/>
  <c r="R34" i="34"/>
  <c r="Q34" i="34"/>
  <c r="E34" i="34"/>
  <c r="L34" i="34" s="1"/>
  <c r="AU33" i="34"/>
  <c r="AT33" i="34"/>
  <c r="AR33" i="34"/>
  <c r="AN33" i="34"/>
  <c r="AS33" i="34"/>
  <c r="R33" i="34"/>
  <c r="Q33" i="34"/>
  <c r="E33" i="34"/>
  <c r="L33" i="34" s="1"/>
  <c r="AU32" i="34"/>
  <c r="AT32" i="34"/>
  <c r="AR32" i="34"/>
  <c r="AN32" i="34"/>
  <c r="AS32" i="34"/>
  <c r="R32" i="34"/>
  <c r="Q32" i="34"/>
  <c r="E32" i="34"/>
  <c r="L32" i="34" s="1"/>
  <c r="AU31" i="34"/>
  <c r="AT31" i="34"/>
  <c r="AR31" i="34"/>
  <c r="AN31" i="34"/>
  <c r="AO31" i="34" s="1"/>
  <c r="AS31" i="34"/>
  <c r="R31" i="34"/>
  <c r="Q31" i="34"/>
  <c r="E31" i="34"/>
  <c r="L31" i="34" s="1"/>
  <c r="AU30" i="34"/>
  <c r="AT30" i="34"/>
  <c r="AR30" i="34"/>
  <c r="AN30" i="34"/>
  <c r="AS30" i="34"/>
  <c r="R30" i="34"/>
  <c r="Q30" i="34"/>
  <c r="E30" i="34"/>
  <c r="L30" i="34" s="1"/>
  <c r="AU29" i="34"/>
  <c r="AT29" i="34"/>
  <c r="AR29" i="34"/>
  <c r="AN29" i="34"/>
  <c r="AS29" i="34"/>
  <c r="R29" i="34"/>
  <c r="Q29" i="34"/>
  <c r="L29" i="34"/>
  <c r="E29" i="34"/>
  <c r="AU28" i="34"/>
  <c r="AT28" i="34"/>
  <c r="AR28" i="34"/>
  <c r="AN28" i="34"/>
  <c r="Q28" i="34"/>
  <c r="E28" i="34"/>
  <c r="L28" i="34" s="1"/>
  <c r="AU27" i="34"/>
  <c r="AT27" i="34"/>
  <c r="AR27" i="34"/>
  <c r="AN27" i="34"/>
  <c r="Q27" i="34"/>
  <c r="E27" i="34"/>
  <c r="L27" i="34" s="1"/>
  <c r="AU26" i="34"/>
  <c r="AT26" i="34"/>
  <c r="AR26" i="34"/>
  <c r="AN26" i="34"/>
  <c r="Q26" i="34"/>
  <c r="E26" i="34"/>
  <c r="L26" i="34" s="1"/>
  <c r="AU25" i="34"/>
  <c r="AT25" i="34"/>
  <c r="AR25" i="34"/>
  <c r="AN25" i="34"/>
  <c r="Q25" i="34"/>
  <c r="E25" i="34"/>
  <c r="L25" i="34" s="1"/>
  <c r="AU24" i="34"/>
  <c r="AT24" i="34"/>
  <c r="AR24" i="34"/>
  <c r="AN24" i="34"/>
  <c r="Q24" i="34"/>
  <c r="E24" i="34"/>
  <c r="L24" i="34" s="1"/>
  <c r="AU23" i="34"/>
  <c r="AT23" i="34"/>
  <c r="AR23" i="34"/>
  <c r="AN23" i="34"/>
  <c r="Q23" i="34"/>
  <c r="E23" i="34"/>
  <c r="L23" i="34" s="1"/>
  <c r="AU22" i="34"/>
  <c r="AT22" i="34"/>
  <c r="AR22" i="34"/>
  <c r="AN22" i="34"/>
  <c r="Q22" i="34"/>
  <c r="E22" i="34"/>
  <c r="L22" i="34" s="1"/>
  <c r="AU21" i="34"/>
  <c r="AT21" i="34"/>
  <c r="AR21" i="34"/>
  <c r="AN21" i="34"/>
  <c r="Q21" i="34"/>
  <c r="E21" i="34"/>
  <c r="L21" i="34" s="1"/>
  <c r="AU20" i="34"/>
  <c r="AT20" i="34"/>
  <c r="AR20" i="34"/>
  <c r="AN20" i="34"/>
  <c r="Q20" i="34"/>
  <c r="E20" i="34"/>
  <c r="L20" i="34" s="1"/>
  <c r="AU19" i="34"/>
  <c r="AT19" i="34"/>
  <c r="AR19" i="34"/>
  <c r="AN19" i="34"/>
  <c r="Q19" i="34"/>
  <c r="E19" i="34"/>
  <c r="L19" i="34" s="1"/>
  <c r="AU18" i="34"/>
  <c r="AT18" i="34"/>
  <c r="AR18" i="34"/>
  <c r="AN18" i="34"/>
  <c r="Q18" i="34"/>
  <c r="E18" i="34"/>
  <c r="L18" i="34" s="1"/>
  <c r="AU17" i="34"/>
  <c r="AT17" i="34"/>
  <c r="AR17" i="34"/>
  <c r="AN17" i="34"/>
  <c r="Q17" i="34"/>
  <c r="E17" i="34"/>
  <c r="L17" i="34" s="1"/>
  <c r="AU16" i="34"/>
  <c r="AT16" i="34"/>
  <c r="AR16" i="34"/>
  <c r="AN16" i="34"/>
  <c r="Q16" i="34"/>
  <c r="E16" i="34"/>
  <c r="L16" i="34" s="1"/>
  <c r="AU15" i="34"/>
  <c r="AT15" i="34"/>
  <c r="AR15" i="34"/>
  <c r="AN15" i="34"/>
  <c r="Q15" i="34"/>
  <c r="E15" i="34"/>
  <c r="L15" i="34" s="1"/>
  <c r="AU14" i="34"/>
  <c r="AT14" i="34"/>
  <c r="AR14" i="34"/>
  <c r="AN14" i="34"/>
  <c r="Q14" i="34"/>
  <c r="E14" i="34"/>
  <c r="L14" i="34" s="1"/>
  <c r="AU13" i="34"/>
  <c r="AT13" i="34"/>
  <c r="AR13" i="34"/>
  <c r="AN13" i="34"/>
  <c r="Q13" i="34"/>
  <c r="E13" i="34"/>
  <c r="L13" i="34" s="1"/>
  <c r="AU12" i="34"/>
  <c r="AT12" i="34"/>
  <c r="AS12" i="34"/>
  <c r="AR12" i="34"/>
  <c r="AN12" i="34"/>
  <c r="Q12" i="34"/>
  <c r="E12" i="34"/>
  <c r="L12" i="34" s="1"/>
  <c r="AU11" i="34"/>
  <c r="AT11" i="34"/>
  <c r="AS11" i="34"/>
  <c r="AR11" i="34"/>
  <c r="AN11" i="34"/>
  <c r="Q11" i="34"/>
  <c r="E11" i="34"/>
  <c r="L11" i="34" s="1"/>
  <c r="AU10" i="34"/>
  <c r="AT10" i="34"/>
  <c r="AS10" i="34"/>
  <c r="AR10" i="34"/>
  <c r="AN10" i="34"/>
  <c r="Q10" i="34"/>
  <c r="E10" i="34"/>
  <c r="L10" i="34" s="1"/>
  <c r="AU9" i="34"/>
  <c r="AT9" i="34"/>
  <c r="AS9" i="34"/>
  <c r="AR9" i="34"/>
  <c r="AN9" i="34"/>
  <c r="Q9" i="34"/>
  <c r="E9" i="34"/>
  <c r="L9" i="34" s="1"/>
  <c r="AU8" i="34"/>
  <c r="AT8" i="34"/>
  <c r="AS8" i="34"/>
  <c r="AR8" i="34"/>
  <c r="AN8" i="34"/>
  <c r="R8" i="34"/>
  <c r="Q8" i="34"/>
  <c r="E8" i="34"/>
  <c r="L8" i="34" s="1"/>
  <c r="AU7" i="34"/>
  <c r="AT7" i="34"/>
  <c r="AS7" i="34"/>
  <c r="AR7" i="34"/>
  <c r="AR104" i="34" s="1"/>
  <c r="AN7" i="34"/>
  <c r="R7" i="34"/>
  <c r="Q7" i="34"/>
  <c r="E7" i="34"/>
  <c r="L7" i="34" s="1"/>
  <c r="AU6" i="34"/>
  <c r="AT6" i="34"/>
  <c r="AS6" i="34"/>
  <c r="AR6" i="34"/>
  <c r="AN6" i="34"/>
  <c r="R6" i="34"/>
  <c r="Q6" i="34"/>
  <c r="E6" i="34"/>
  <c r="L6" i="34" s="1"/>
  <c r="AU5" i="34"/>
  <c r="AT5" i="34"/>
  <c r="AS5" i="34"/>
  <c r="AR5" i="34"/>
  <c r="AN5" i="34"/>
  <c r="R5" i="34"/>
  <c r="Q5" i="34"/>
  <c r="E5" i="34"/>
  <c r="L5" i="34" s="1"/>
  <c r="AU4" i="34"/>
  <c r="AT4" i="34"/>
  <c r="AS4" i="34"/>
  <c r="AR4" i="34"/>
  <c r="AN4" i="34"/>
  <c r="R4" i="34"/>
  <c r="Q4" i="34"/>
  <c r="E4" i="34"/>
  <c r="L4" i="34" s="1"/>
  <c r="AU3" i="34"/>
  <c r="AT3" i="34"/>
  <c r="AR3" i="34"/>
  <c r="AB3" i="34"/>
  <c r="AB105" i="34" s="1"/>
  <c r="AB126" i="34" s="1"/>
  <c r="AA3" i="34"/>
  <c r="AA105" i="34" s="1"/>
  <c r="AA126" i="34" s="1"/>
  <c r="X3" i="34"/>
  <c r="X105" i="34" s="1"/>
  <c r="U3" i="34"/>
  <c r="AS3" i="34" s="1"/>
  <c r="Q3" i="34"/>
  <c r="E3" i="34"/>
  <c r="L3" i="34" s="1"/>
  <c r="AH127" i="33"/>
  <c r="R126" i="33"/>
  <c r="Q126" i="33"/>
  <c r="P126" i="33"/>
  <c r="O126" i="33"/>
  <c r="M126" i="33"/>
  <c r="K126" i="33"/>
  <c r="AM124" i="33"/>
  <c r="AK124" i="33"/>
  <c r="AJ124" i="33"/>
  <c r="AI124" i="33"/>
  <c r="AH124" i="33"/>
  <c r="AG124" i="33"/>
  <c r="AE124" i="33"/>
  <c r="Z124" i="33"/>
  <c r="Y124" i="33"/>
  <c r="W124" i="33"/>
  <c r="V124" i="33"/>
  <c r="T124" i="33"/>
  <c r="S124" i="33"/>
  <c r="N124" i="33"/>
  <c r="J124" i="33"/>
  <c r="I124" i="33"/>
  <c r="H124" i="33"/>
  <c r="G124" i="33"/>
  <c r="F124" i="33"/>
  <c r="AU122" i="33"/>
  <c r="AT122" i="33"/>
  <c r="AR122" i="33"/>
  <c r="AN122" i="33"/>
  <c r="R122" i="33"/>
  <c r="Q122" i="33"/>
  <c r="E122" i="33"/>
  <c r="L122" i="33" s="1"/>
  <c r="AU121" i="33"/>
  <c r="AT121" i="33"/>
  <c r="AR121" i="33"/>
  <c r="AN121" i="33"/>
  <c r="Q121" i="33"/>
  <c r="E121" i="33"/>
  <c r="L121" i="33" s="1"/>
  <c r="AU120" i="33"/>
  <c r="AT120" i="33"/>
  <c r="AR120" i="33"/>
  <c r="AN120" i="33"/>
  <c r="Q120" i="33"/>
  <c r="E120" i="33"/>
  <c r="L120" i="33" s="1"/>
  <c r="AU119" i="33"/>
  <c r="AT119" i="33"/>
  <c r="AR119" i="33"/>
  <c r="AN119" i="33"/>
  <c r="R119" i="33"/>
  <c r="Q119" i="33"/>
  <c r="E119" i="33"/>
  <c r="L119" i="33" s="1"/>
  <c r="AU118" i="33"/>
  <c r="AT118" i="33"/>
  <c r="AR118" i="33"/>
  <c r="AN118" i="33"/>
  <c r="R118" i="33"/>
  <c r="Q118" i="33"/>
  <c r="E118" i="33"/>
  <c r="L118" i="33" s="1"/>
  <c r="AU117" i="33"/>
  <c r="AT117" i="33"/>
  <c r="AR117" i="33"/>
  <c r="AN117" i="33"/>
  <c r="R117" i="33"/>
  <c r="Q117" i="33"/>
  <c r="E117" i="33"/>
  <c r="L117" i="33" s="1"/>
  <c r="AU116" i="33"/>
  <c r="AT116" i="33"/>
  <c r="AR116" i="33"/>
  <c r="AN116" i="33"/>
  <c r="R116" i="33"/>
  <c r="Q116" i="33"/>
  <c r="E116" i="33"/>
  <c r="L116" i="33" s="1"/>
  <c r="AU115" i="33"/>
  <c r="AT115" i="33"/>
  <c r="AR115" i="33"/>
  <c r="AR123" i="33" s="1"/>
  <c r="AN115" i="33"/>
  <c r="AA124" i="33"/>
  <c r="R115" i="33"/>
  <c r="Q115" i="33"/>
  <c r="E115" i="33"/>
  <c r="AM113" i="33"/>
  <c r="U10" i="3" s="1"/>
  <c r="AK113" i="33"/>
  <c r="Z10" i="3" s="1"/>
  <c r="AJ113" i="33"/>
  <c r="AI113" i="33"/>
  <c r="X10" i="3" s="1"/>
  <c r="AH113" i="33"/>
  <c r="W10" i="3" s="1"/>
  <c r="AG113" i="33"/>
  <c r="Q10" i="3" s="1"/>
  <c r="AE113" i="33"/>
  <c r="R10" i="3" s="1"/>
  <c r="Z113" i="33"/>
  <c r="N10" i="3" s="1"/>
  <c r="Y113" i="33"/>
  <c r="M10" i="3" s="1"/>
  <c r="W113" i="33"/>
  <c r="K10" i="3" s="1"/>
  <c r="V113" i="33"/>
  <c r="J10" i="3" s="1"/>
  <c r="T113" i="33"/>
  <c r="I10" i="3" s="1"/>
  <c r="S113" i="33"/>
  <c r="H10" i="3" s="1"/>
  <c r="N113" i="33"/>
  <c r="G10" i="3" s="1"/>
  <c r="J113" i="33"/>
  <c r="I113" i="33"/>
  <c r="H113" i="33"/>
  <c r="G113" i="33"/>
  <c r="F113" i="33"/>
  <c r="AU111" i="33"/>
  <c r="AT111" i="33"/>
  <c r="AR111" i="33"/>
  <c r="AN111" i="33"/>
  <c r="R111" i="33"/>
  <c r="Q111" i="33"/>
  <c r="E111" i="33"/>
  <c r="L111" i="33" s="1"/>
  <c r="AU110" i="33"/>
  <c r="AT110" i="33"/>
  <c r="AR110" i="33"/>
  <c r="AN110" i="33"/>
  <c r="Q110" i="33"/>
  <c r="E110" i="33"/>
  <c r="L110" i="33" s="1"/>
  <c r="AU109" i="33"/>
  <c r="AT109" i="33"/>
  <c r="AR109" i="33"/>
  <c r="AN109" i="33"/>
  <c r="Q109" i="33"/>
  <c r="E109" i="33"/>
  <c r="L109" i="33" s="1"/>
  <c r="AU108" i="33"/>
  <c r="AT108" i="33"/>
  <c r="AR108" i="33"/>
  <c r="AN108" i="33"/>
  <c r="Q108" i="33"/>
  <c r="E108" i="33"/>
  <c r="L108" i="33" s="1"/>
  <c r="AU107" i="33"/>
  <c r="AT107" i="33"/>
  <c r="AR107" i="33"/>
  <c r="AR112" i="33" s="1"/>
  <c r="AB113" i="33"/>
  <c r="AA113" i="33"/>
  <c r="R107" i="33"/>
  <c r="Q107" i="33"/>
  <c r="E107" i="33"/>
  <c r="E113" i="33" s="1"/>
  <c r="AM105" i="33"/>
  <c r="U9" i="3" s="1"/>
  <c r="AK105" i="33"/>
  <c r="AJ105" i="33"/>
  <c r="AI105" i="33"/>
  <c r="AH105" i="33"/>
  <c r="W9" i="3" s="1"/>
  <c r="W39" i="3" s="1"/>
  <c r="AG105" i="33"/>
  <c r="Q9" i="3" s="1"/>
  <c r="AE105" i="33"/>
  <c r="R9" i="3" s="1"/>
  <c r="R39" i="3" s="1"/>
  <c r="Z105" i="33"/>
  <c r="N9" i="3" s="1"/>
  <c r="Y105" i="33"/>
  <c r="M9" i="3" s="1"/>
  <c r="W105" i="33"/>
  <c r="K9" i="3" s="1"/>
  <c r="V105" i="33"/>
  <c r="J9" i="3" s="1"/>
  <c r="J39" i="3" s="1"/>
  <c r="T105" i="33"/>
  <c r="I9" i="3" s="1"/>
  <c r="I39" i="3" s="1"/>
  <c r="S105" i="33"/>
  <c r="H9" i="3" s="1"/>
  <c r="N105" i="33"/>
  <c r="G9" i="3" s="1"/>
  <c r="G39" i="3" s="1"/>
  <c r="J105" i="33"/>
  <c r="I105" i="33"/>
  <c r="H105" i="33"/>
  <c r="G105" i="33"/>
  <c r="G126" i="33" s="1"/>
  <c r="F105" i="33"/>
  <c r="F126" i="33" s="1"/>
  <c r="AU103" i="33"/>
  <c r="AT103" i="33"/>
  <c r="AR103" i="33"/>
  <c r="AN103" i="33"/>
  <c r="R103" i="33"/>
  <c r="Q103" i="33"/>
  <c r="E103" i="33"/>
  <c r="L103" i="33" s="1"/>
  <c r="AU102" i="33"/>
  <c r="AT102" i="33"/>
  <c r="AR102" i="33"/>
  <c r="AN102" i="33"/>
  <c r="Q102" i="33"/>
  <c r="E102" i="33"/>
  <c r="L102" i="33" s="1"/>
  <c r="AU101" i="33"/>
  <c r="AT101" i="33"/>
  <c r="AR101" i="33"/>
  <c r="AN101" i="33"/>
  <c r="Q101" i="33"/>
  <c r="E101" i="33"/>
  <c r="L101" i="33" s="1"/>
  <c r="AU100" i="33"/>
  <c r="AT100" i="33"/>
  <c r="AR100" i="33"/>
  <c r="AN100" i="33"/>
  <c r="R100" i="33"/>
  <c r="Q100" i="33"/>
  <c r="E100" i="33"/>
  <c r="L100" i="33" s="1"/>
  <c r="AU99" i="33"/>
  <c r="AT99" i="33"/>
  <c r="AS99" i="33"/>
  <c r="AR99" i="33"/>
  <c r="AN99" i="33"/>
  <c r="R99" i="33"/>
  <c r="Q99" i="33"/>
  <c r="E99" i="33"/>
  <c r="L99" i="33" s="1"/>
  <c r="AU98" i="33"/>
  <c r="AT98" i="33"/>
  <c r="AR98" i="33"/>
  <c r="AN98" i="33"/>
  <c r="R98" i="33"/>
  <c r="Q98" i="33"/>
  <c r="E98" i="33"/>
  <c r="L98" i="33" s="1"/>
  <c r="AU97" i="33"/>
  <c r="AT97" i="33"/>
  <c r="AR97" i="33"/>
  <c r="AN97" i="33"/>
  <c r="Q97" i="33"/>
  <c r="E97" i="33"/>
  <c r="L97" i="33" s="1"/>
  <c r="AU96" i="33"/>
  <c r="AT96" i="33"/>
  <c r="AR96" i="33"/>
  <c r="AN96" i="33"/>
  <c r="R96" i="33"/>
  <c r="Q96" i="33"/>
  <c r="E96" i="33"/>
  <c r="L96" i="33" s="1"/>
  <c r="AU95" i="33"/>
  <c r="AT95" i="33"/>
  <c r="AR95" i="33"/>
  <c r="AQ95" i="33"/>
  <c r="AN95" i="33"/>
  <c r="AS95" i="33"/>
  <c r="R95" i="33"/>
  <c r="Q95" i="33"/>
  <c r="E95" i="33"/>
  <c r="L95" i="33" s="1"/>
  <c r="AU94" i="33"/>
  <c r="AT94" i="33"/>
  <c r="AR94" i="33"/>
  <c r="AN94" i="33"/>
  <c r="AS94" i="33"/>
  <c r="Q94" i="33"/>
  <c r="E94" i="33"/>
  <c r="L94" i="33" s="1"/>
  <c r="AU93" i="33"/>
  <c r="AT93" i="33"/>
  <c r="AR93" i="33"/>
  <c r="AN93" i="33"/>
  <c r="AS93" i="33"/>
  <c r="R93" i="33"/>
  <c r="Q93" i="33"/>
  <c r="E93" i="33"/>
  <c r="L93" i="33" s="1"/>
  <c r="AU92" i="33"/>
  <c r="AT92" i="33"/>
  <c r="AR92" i="33"/>
  <c r="AN92" i="33"/>
  <c r="AS92" i="33"/>
  <c r="Q92" i="33"/>
  <c r="E92" i="33"/>
  <c r="L92" i="33" s="1"/>
  <c r="AU91" i="33"/>
  <c r="AT91" i="33"/>
  <c r="AS91" i="33"/>
  <c r="AR91" i="33"/>
  <c r="AQ91" i="33"/>
  <c r="AN91" i="33"/>
  <c r="R91" i="33"/>
  <c r="Q91" i="33"/>
  <c r="E91" i="33"/>
  <c r="L91" i="33" s="1"/>
  <c r="AU90" i="33"/>
  <c r="AT90" i="33"/>
  <c r="AR90" i="33"/>
  <c r="AN90" i="33"/>
  <c r="AS90" i="33"/>
  <c r="Q90" i="33"/>
  <c r="E90" i="33"/>
  <c r="L90" i="33" s="1"/>
  <c r="AU89" i="33"/>
  <c r="AT89" i="33"/>
  <c r="AR89" i="33"/>
  <c r="AN89" i="33"/>
  <c r="AQ89" i="33"/>
  <c r="Q89" i="33"/>
  <c r="E89" i="33"/>
  <c r="L89" i="33" s="1"/>
  <c r="AU88" i="33"/>
  <c r="AT88" i="33"/>
  <c r="AR88" i="33"/>
  <c r="AN88" i="33"/>
  <c r="Q88" i="33"/>
  <c r="E88" i="33"/>
  <c r="L88" i="33" s="1"/>
  <c r="AU87" i="33"/>
  <c r="AT87" i="33"/>
  <c r="AR87" i="33"/>
  <c r="AN87" i="33"/>
  <c r="Q87" i="33"/>
  <c r="E87" i="33"/>
  <c r="L87" i="33" s="1"/>
  <c r="AU86" i="33"/>
  <c r="AT86" i="33"/>
  <c r="AR86" i="33"/>
  <c r="AN86" i="33"/>
  <c r="R86" i="33"/>
  <c r="Q86" i="33"/>
  <c r="E86" i="33"/>
  <c r="L86" i="33" s="1"/>
  <c r="AU85" i="33"/>
  <c r="AT85" i="33"/>
  <c r="AR85" i="33"/>
  <c r="AN85" i="33"/>
  <c r="R85" i="33"/>
  <c r="Q85" i="33"/>
  <c r="E85" i="33"/>
  <c r="L85" i="33" s="1"/>
  <c r="AU84" i="33"/>
  <c r="AT84" i="33"/>
  <c r="AR84" i="33"/>
  <c r="AN84" i="33"/>
  <c r="AS84" i="33"/>
  <c r="Q84" i="33"/>
  <c r="E84" i="33"/>
  <c r="L84" i="33" s="1"/>
  <c r="AU83" i="33"/>
  <c r="AT83" i="33"/>
  <c r="AR83" i="33"/>
  <c r="AQ83" i="33"/>
  <c r="AW83" i="33" s="1"/>
  <c r="AN83" i="33"/>
  <c r="R83" i="33"/>
  <c r="Q83" i="33"/>
  <c r="E83" i="33"/>
  <c r="L83" i="33" s="1"/>
  <c r="AU82" i="33"/>
  <c r="AT82" i="33"/>
  <c r="AR82" i="33"/>
  <c r="AN82" i="33"/>
  <c r="Q82" i="33"/>
  <c r="E82" i="33"/>
  <c r="L82" i="33" s="1"/>
  <c r="AU81" i="33"/>
  <c r="AT81" i="33"/>
  <c r="AR81" i="33"/>
  <c r="AN81" i="33"/>
  <c r="AQ81" i="33"/>
  <c r="Q81" i="33"/>
  <c r="E81" i="33"/>
  <c r="L81" i="33" s="1"/>
  <c r="AU80" i="33"/>
  <c r="AT80" i="33"/>
  <c r="AR80" i="33"/>
  <c r="AN80" i="33"/>
  <c r="R80" i="33"/>
  <c r="Q80" i="33"/>
  <c r="E80" i="33"/>
  <c r="L80" i="33" s="1"/>
  <c r="AU79" i="33"/>
  <c r="AT79" i="33"/>
  <c r="AR79" i="33"/>
  <c r="AN79" i="33"/>
  <c r="Q79" i="33"/>
  <c r="E79" i="33"/>
  <c r="L79" i="33" s="1"/>
  <c r="AU78" i="33"/>
  <c r="AT78" i="33"/>
  <c r="AR78" i="33"/>
  <c r="AQ78" i="33"/>
  <c r="AN78" i="33"/>
  <c r="AS78" i="33"/>
  <c r="R78" i="33"/>
  <c r="Q78" i="33"/>
  <c r="E78" i="33"/>
  <c r="L78" i="33" s="1"/>
  <c r="AU77" i="33"/>
  <c r="AT77" i="33"/>
  <c r="AR77" i="33"/>
  <c r="AN77" i="33"/>
  <c r="Q77" i="33"/>
  <c r="E77" i="33"/>
  <c r="L77" i="33" s="1"/>
  <c r="AU76" i="33"/>
  <c r="AT76" i="33"/>
  <c r="AR76" i="33"/>
  <c r="AN76" i="33"/>
  <c r="Q76" i="33"/>
  <c r="E76" i="33"/>
  <c r="L76" i="33" s="1"/>
  <c r="AU75" i="33"/>
  <c r="AT75" i="33"/>
  <c r="AS75" i="33"/>
  <c r="AR75" i="33"/>
  <c r="AN75" i="33"/>
  <c r="R75" i="33"/>
  <c r="Q75" i="33"/>
  <c r="E75" i="33"/>
  <c r="L75" i="33" s="1"/>
  <c r="AU74" i="33"/>
  <c r="AT74" i="33"/>
  <c r="AR74" i="33"/>
  <c r="AN74" i="33"/>
  <c r="R74" i="33"/>
  <c r="Q74" i="33"/>
  <c r="E74" i="33"/>
  <c r="L74" i="33" s="1"/>
  <c r="AU73" i="33"/>
  <c r="AT73" i="33"/>
  <c r="AR73" i="33"/>
  <c r="AN73" i="33"/>
  <c r="Q73" i="33"/>
  <c r="E73" i="33"/>
  <c r="L73" i="33" s="1"/>
  <c r="AU72" i="33"/>
  <c r="AT72" i="33"/>
  <c r="AS72" i="33"/>
  <c r="AR72" i="33"/>
  <c r="AN72" i="33"/>
  <c r="R72" i="33"/>
  <c r="Q72" i="33"/>
  <c r="E72" i="33"/>
  <c r="L72" i="33" s="1"/>
  <c r="AU71" i="33"/>
  <c r="AT71" i="33"/>
  <c r="AR71" i="33"/>
  <c r="AN71" i="33"/>
  <c r="Q71" i="33"/>
  <c r="E71" i="33"/>
  <c r="L71" i="33" s="1"/>
  <c r="AU70" i="33"/>
  <c r="AT70" i="33"/>
  <c r="AR70" i="33"/>
  <c r="AN70" i="33"/>
  <c r="Q70" i="33"/>
  <c r="E70" i="33"/>
  <c r="L70" i="33" s="1"/>
  <c r="AU69" i="33"/>
  <c r="AT69" i="33"/>
  <c r="AR69" i="33"/>
  <c r="AN69" i="33"/>
  <c r="AQ69" i="33"/>
  <c r="AW69" i="33" s="1"/>
  <c r="Q69" i="33"/>
  <c r="E69" i="33"/>
  <c r="L69" i="33" s="1"/>
  <c r="AU68" i="33"/>
  <c r="AT68" i="33"/>
  <c r="AR68" i="33"/>
  <c r="AN68" i="33"/>
  <c r="Q68" i="33"/>
  <c r="E68" i="33"/>
  <c r="L68" i="33" s="1"/>
  <c r="AU67" i="33"/>
  <c r="AT67" i="33"/>
  <c r="AS67" i="33"/>
  <c r="AR67" i="33"/>
  <c r="AN67" i="33"/>
  <c r="AQ67" i="33"/>
  <c r="R67" i="33"/>
  <c r="Q67" i="33"/>
  <c r="E67" i="33"/>
  <c r="L67" i="33" s="1"/>
  <c r="AU66" i="33"/>
  <c r="AT66" i="33"/>
  <c r="AR66" i="33"/>
  <c r="AN66" i="33"/>
  <c r="Q66" i="33"/>
  <c r="E66" i="33"/>
  <c r="L66" i="33" s="1"/>
  <c r="AU65" i="33"/>
  <c r="AT65" i="33"/>
  <c r="AS65" i="33"/>
  <c r="AR65" i="33"/>
  <c r="AN65" i="33"/>
  <c r="R65" i="33"/>
  <c r="Q65" i="33"/>
  <c r="E65" i="33"/>
  <c r="L65" i="33" s="1"/>
  <c r="AU64" i="33"/>
  <c r="AT64" i="33"/>
  <c r="AR64" i="33"/>
  <c r="AN64" i="33"/>
  <c r="AS64" i="33"/>
  <c r="Q64" i="33"/>
  <c r="E64" i="33"/>
  <c r="L64" i="33" s="1"/>
  <c r="AU63" i="33"/>
  <c r="AT63" i="33"/>
  <c r="AR63" i="33"/>
  <c r="AN63" i="33"/>
  <c r="AS63" i="33"/>
  <c r="Q63" i="33"/>
  <c r="E63" i="33"/>
  <c r="L63" i="33" s="1"/>
  <c r="AU62" i="33"/>
  <c r="AT62" i="33"/>
  <c r="AR62" i="33"/>
  <c r="AQ62" i="33"/>
  <c r="AW62" i="33" s="1"/>
  <c r="AN62" i="33"/>
  <c r="R62" i="33"/>
  <c r="Q62" i="33"/>
  <c r="E62" i="33"/>
  <c r="L62" i="33" s="1"/>
  <c r="AU61" i="33"/>
  <c r="AT61" i="33"/>
  <c r="AR61" i="33"/>
  <c r="AN61" i="33"/>
  <c r="Q61" i="33"/>
  <c r="E61" i="33"/>
  <c r="L61" i="33" s="1"/>
  <c r="AU60" i="33"/>
  <c r="AT60" i="33"/>
  <c r="AR60" i="33"/>
  <c r="AN60" i="33"/>
  <c r="Q60" i="33"/>
  <c r="E60" i="33"/>
  <c r="L60" i="33" s="1"/>
  <c r="AU59" i="33"/>
  <c r="AT59" i="33"/>
  <c r="AR59" i="33"/>
  <c r="AQ59" i="33"/>
  <c r="AW59" i="33" s="1"/>
  <c r="AN59" i="33"/>
  <c r="AS59" i="33"/>
  <c r="R59" i="33"/>
  <c r="Q59" i="33"/>
  <c r="E59" i="33"/>
  <c r="L59" i="33" s="1"/>
  <c r="AU58" i="33"/>
  <c r="AT58" i="33"/>
  <c r="AR58" i="33"/>
  <c r="AN58" i="33"/>
  <c r="AQ58" i="33"/>
  <c r="Q58" i="33"/>
  <c r="E58" i="33"/>
  <c r="L58" i="33" s="1"/>
  <c r="AU57" i="33"/>
  <c r="AT57" i="33"/>
  <c r="AR57" i="33"/>
  <c r="AN57" i="33"/>
  <c r="AQ57" i="33"/>
  <c r="AW57" i="33" s="1"/>
  <c r="Q57" i="33"/>
  <c r="E57" i="33"/>
  <c r="L57" i="33" s="1"/>
  <c r="AU56" i="33"/>
  <c r="AT56" i="33"/>
  <c r="AR56" i="33"/>
  <c r="AN56" i="33"/>
  <c r="Q56" i="33"/>
  <c r="E56" i="33"/>
  <c r="L56" i="33" s="1"/>
  <c r="AU55" i="33"/>
  <c r="AT55" i="33"/>
  <c r="AR55" i="33"/>
  <c r="AN55" i="33"/>
  <c r="AQ55" i="33"/>
  <c r="AW55" i="33" s="1"/>
  <c r="Q55" i="33"/>
  <c r="E55" i="33"/>
  <c r="L55" i="33" s="1"/>
  <c r="AU54" i="33"/>
  <c r="AT54" i="33"/>
  <c r="AS54" i="33"/>
  <c r="AR54" i="33"/>
  <c r="AN54" i="33"/>
  <c r="AQ54" i="33"/>
  <c r="R54" i="33"/>
  <c r="Q54" i="33"/>
  <c r="E54" i="33"/>
  <c r="L54" i="33" s="1"/>
  <c r="AU53" i="33"/>
  <c r="AT53" i="33"/>
  <c r="AR53" i="33"/>
  <c r="AN53" i="33"/>
  <c r="AQ53" i="33"/>
  <c r="Q53" i="33"/>
  <c r="E53" i="33"/>
  <c r="L53" i="33" s="1"/>
  <c r="AU52" i="33"/>
  <c r="AT52" i="33"/>
  <c r="AR52" i="33"/>
  <c r="AN52" i="33"/>
  <c r="AQ52" i="33"/>
  <c r="AW52" i="33" s="1"/>
  <c r="R52" i="33"/>
  <c r="Q52" i="33"/>
  <c r="E52" i="33"/>
  <c r="L52" i="33" s="1"/>
  <c r="AU51" i="33"/>
  <c r="AT51" i="33"/>
  <c r="AR51" i="33"/>
  <c r="AN51" i="33"/>
  <c r="AQ51" i="33"/>
  <c r="Q51" i="33"/>
  <c r="E51" i="33"/>
  <c r="L51" i="33" s="1"/>
  <c r="AU50" i="33"/>
  <c r="AT50" i="33"/>
  <c r="AR50" i="33"/>
  <c r="AN50" i="33"/>
  <c r="AQ50" i="33"/>
  <c r="Q50" i="33"/>
  <c r="E50" i="33"/>
  <c r="L50" i="33" s="1"/>
  <c r="AU49" i="33"/>
  <c r="AT49" i="33"/>
  <c r="AR49" i="33"/>
  <c r="AN49" i="33"/>
  <c r="AQ49" i="33"/>
  <c r="Q49" i="33"/>
  <c r="E49" i="33"/>
  <c r="L49" i="33" s="1"/>
  <c r="AU48" i="33"/>
  <c r="AT48" i="33"/>
  <c r="AS48" i="33"/>
  <c r="AR48" i="33"/>
  <c r="AN48" i="33"/>
  <c r="AQ48" i="33"/>
  <c r="R48" i="33"/>
  <c r="Q48" i="33"/>
  <c r="E48" i="33"/>
  <c r="L48" i="33" s="1"/>
  <c r="AU47" i="33"/>
  <c r="AT47" i="33"/>
  <c r="AS47" i="33"/>
  <c r="AR47" i="33"/>
  <c r="AN47" i="33"/>
  <c r="AQ47" i="33"/>
  <c r="R47" i="33"/>
  <c r="Q47" i="33"/>
  <c r="E47" i="33"/>
  <c r="L47" i="33" s="1"/>
  <c r="AU46" i="33"/>
  <c r="AT46" i="33"/>
  <c r="AR46" i="33"/>
  <c r="AN46" i="33"/>
  <c r="AQ46" i="33"/>
  <c r="AW46" i="33" s="1"/>
  <c r="Q46" i="33"/>
  <c r="E46" i="33"/>
  <c r="L46" i="33" s="1"/>
  <c r="AU45" i="33"/>
  <c r="AT45" i="33"/>
  <c r="AS45" i="33"/>
  <c r="AR45" i="33"/>
  <c r="AN45" i="33"/>
  <c r="AQ45" i="33"/>
  <c r="R45" i="33"/>
  <c r="Q45" i="33"/>
  <c r="E45" i="33"/>
  <c r="L45" i="33" s="1"/>
  <c r="AU44" i="33"/>
  <c r="AT44" i="33"/>
  <c r="AS44" i="33"/>
  <c r="AR44" i="33"/>
  <c r="AN44" i="33"/>
  <c r="AQ44" i="33"/>
  <c r="R44" i="33"/>
  <c r="Q44" i="33"/>
  <c r="E44" i="33"/>
  <c r="L44" i="33" s="1"/>
  <c r="AU43" i="33"/>
  <c r="AT43" i="33"/>
  <c r="AS43" i="33"/>
  <c r="AR43" i="33"/>
  <c r="AN43" i="33"/>
  <c r="AQ43" i="33"/>
  <c r="R43" i="33"/>
  <c r="Q43" i="33"/>
  <c r="E43" i="33"/>
  <c r="L43" i="33" s="1"/>
  <c r="AU42" i="33"/>
  <c r="AT42" i="33"/>
  <c r="AR42" i="33"/>
  <c r="AN42" i="33"/>
  <c r="AS42" i="33"/>
  <c r="Q42" i="33"/>
  <c r="E42" i="33"/>
  <c r="L42" i="33" s="1"/>
  <c r="AU41" i="33"/>
  <c r="AT41" i="33"/>
  <c r="AR41" i="33"/>
  <c r="AN41" i="33"/>
  <c r="Q41" i="33"/>
  <c r="E41" i="33"/>
  <c r="L41" i="33" s="1"/>
  <c r="AU40" i="33"/>
  <c r="AT40" i="33"/>
  <c r="AR40" i="33"/>
  <c r="AN40" i="33"/>
  <c r="AS40" i="33"/>
  <c r="Q40" i="33"/>
  <c r="E40" i="33"/>
  <c r="L40" i="33" s="1"/>
  <c r="AU39" i="33"/>
  <c r="AT39" i="33"/>
  <c r="AR39" i="33"/>
  <c r="AN39" i="33"/>
  <c r="Q39" i="33"/>
  <c r="E39" i="33"/>
  <c r="L39" i="33" s="1"/>
  <c r="AU38" i="33"/>
  <c r="AT38" i="33"/>
  <c r="AS38" i="33"/>
  <c r="AR38" i="33"/>
  <c r="AN38" i="33"/>
  <c r="Q38" i="33"/>
  <c r="E38" i="33"/>
  <c r="L38" i="33" s="1"/>
  <c r="AU37" i="33"/>
  <c r="AT37" i="33"/>
  <c r="AR37" i="33"/>
  <c r="AN37" i="33"/>
  <c r="R37" i="33"/>
  <c r="Q37" i="33"/>
  <c r="E37" i="33"/>
  <c r="L37" i="33" s="1"/>
  <c r="AU36" i="33"/>
  <c r="AT36" i="33"/>
  <c r="AR36" i="33"/>
  <c r="AN36" i="33"/>
  <c r="AS36" i="33"/>
  <c r="R36" i="33"/>
  <c r="Q36" i="33"/>
  <c r="E36" i="33"/>
  <c r="L36" i="33" s="1"/>
  <c r="AU35" i="33"/>
  <c r="AT35" i="33"/>
  <c r="AR35" i="33"/>
  <c r="AN35" i="33"/>
  <c r="Q35" i="33"/>
  <c r="E35" i="33"/>
  <c r="L35" i="33" s="1"/>
  <c r="AU34" i="33"/>
  <c r="AT34" i="33"/>
  <c r="AR34" i="33"/>
  <c r="AN34" i="33"/>
  <c r="Q34" i="33"/>
  <c r="E34" i="33"/>
  <c r="L34" i="33" s="1"/>
  <c r="AU33" i="33"/>
  <c r="AT33" i="33"/>
  <c r="AR33" i="33"/>
  <c r="AN33" i="33"/>
  <c r="AQ33" i="33"/>
  <c r="Q33" i="33"/>
  <c r="E33" i="33"/>
  <c r="L33" i="33" s="1"/>
  <c r="AU32" i="33"/>
  <c r="AT32" i="33"/>
  <c r="AR32" i="33"/>
  <c r="AN32" i="33"/>
  <c r="AQ32" i="33"/>
  <c r="AW32" i="33" s="1"/>
  <c r="Q32" i="33"/>
  <c r="E32" i="33"/>
  <c r="L32" i="33" s="1"/>
  <c r="AU31" i="33"/>
  <c r="AT31" i="33"/>
  <c r="AR31" i="33"/>
  <c r="AN31" i="33"/>
  <c r="AQ31" i="33"/>
  <c r="Q31" i="33"/>
  <c r="E31" i="33"/>
  <c r="L31" i="33" s="1"/>
  <c r="AU30" i="33"/>
  <c r="AT30" i="33"/>
  <c r="AR30" i="33"/>
  <c r="AN30" i="33"/>
  <c r="AQ30" i="33"/>
  <c r="Q30" i="33"/>
  <c r="E30" i="33"/>
  <c r="L30" i="33" s="1"/>
  <c r="AU29" i="33"/>
  <c r="AT29" i="33"/>
  <c r="AR29" i="33"/>
  <c r="AN29" i="33"/>
  <c r="AQ29" i="33"/>
  <c r="Q29" i="33"/>
  <c r="E29" i="33"/>
  <c r="L29" i="33" s="1"/>
  <c r="AU28" i="33"/>
  <c r="AT28" i="33"/>
  <c r="AR28" i="33"/>
  <c r="AN28" i="33"/>
  <c r="AS28" i="33"/>
  <c r="R28" i="33"/>
  <c r="Q28" i="33"/>
  <c r="E28" i="33"/>
  <c r="L28" i="33" s="1"/>
  <c r="AU27" i="33"/>
  <c r="AT27" i="33"/>
  <c r="AR27" i="33"/>
  <c r="AQ27" i="33"/>
  <c r="AN27" i="33"/>
  <c r="AS27" i="33"/>
  <c r="R27" i="33"/>
  <c r="Q27" i="33"/>
  <c r="E27" i="33"/>
  <c r="L27" i="33" s="1"/>
  <c r="AU26" i="33"/>
  <c r="AT26" i="33"/>
  <c r="AR26" i="33"/>
  <c r="AN26" i="33"/>
  <c r="AS26" i="33"/>
  <c r="Q26" i="33"/>
  <c r="E26" i="33"/>
  <c r="L26" i="33" s="1"/>
  <c r="AU25" i="33"/>
  <c r="AT25" i="33"/>
  <c r="AR25" i="33"/>
  <c r="AN25" i="33"/>
  <c r="AS25" i="33"/>
  <c r="R25" i="33"/>
  <c r="Q25" i="33"/>
  <c r="E25" i="33"/>
  <c r="L25" i="33" s="1"/>
  <c r="AU24" i="33"/>
  <c r="AT24" i="33"/>
  <c r="AR24" i="33"/>
  <c r="AN24" i="33"/>
  <c r="AS24" i="33"/>
  <c r="R24" i="33"/>
  <c r="Q24" i="33"/>
  <c r="E24" i="33"/>
  <c r="L24" i="33" s="1"/>
  <c r="AU23" i="33"/>
  <c r="AT23" i="33"/>
  <c r="AR23" i="33"/>
  <c r="AN23" i="33"/>
  <c r="AS23" i="33"/>
  <c r="Q23" i="33"/>
  <c r="E23" i="33"/>
  <c r="L23" i="33" s="1"/>
  <c r="AU22" i="33"/>
  <c r="AT22" i="33"/>
  <c r="AR22" i="33"/>
  <c r="AN22" i="33"/>
  <c r="AS22" i="33"/>
  <c r="Q22" i="33"/>
  <c r="E22" i="33"/>
  <c r="L22" i="33" s="1"/>
  <c r="AU21" i="33"/>
  <c r="AT21" i="33"/>
  <c r="AR21" i="33"/>
  <c r="AN21" i="33"/>
  <c r="AS21" i="33"/>
  <c r="Q21" i="33"/>
  <c r="E21" i="33"/>
  <c r="L21" i="33" s="1"/>
  <c r="AU20" i="33"/>
  <c r="AT20" i="33"/>
  <c r="AR20" i="33"/>
  <c r="AQ20" i="33"/>
  <c r="AW20" i="33" s="1"/>
  <c r="AN20" i="33"/>
  <c r="AS20" i="33"/>
  <c r="Q20" i="33"/>
  <c r="E20" i="33"/>
  <c r="L20" i="33" s="1"/>
  <c r="AU19" i="33"/>
  <c r="AT19" i="33"/>
  <c r="AR19" i="33"/>
  <c r="AQ19" i="33"/>
  <c r="AW19" i="33" s="1"/>
  <c r="AN19" i="33"/>
  <c r="AS19" i="33"/>
  <c r="R19" i="33"/>
  <c r="Q19" i="33"/>
  <c r="E19" i="33"/>
  <c r="L19" i="33" s="1"/>
  <c r="AU18" i="33"/>
  <c r="AT18" i="33"/>
  <c r="AR18" i="33"/>
  <c r="AN18" i="33"/>
  <c r="AS18" i="33"/>
  <c r="Q18" i="33"/>
  <c r="E18" i="33"/>
  <c r="L18" i="33" s="1"/>
  <c r="AU17" i="33"/>
  <c r="AT17" i="33"/>
  <c r="AR17" i="33"/>
  <c r="AN17" i="33"/>
  <c r="AS17" i="33"/>
  <c r="Q17" i="33"/>
  <c r="E17" i="33"/>
  <c r="L17" i="33" s="1"/>
  <c r="AU16" i="33"/>
  <c r="AT16" i="33"/>
  <c r="AR16" i="33"/>
  <c r="AN16" i="33"/>
  <c r="AS16" i="33"/>
  <c r="Q16" i="33"/>
  <c r="E16" i="33"/>
  <c r="L16" i="33" s="1"/>
  <c r="AU15" i="33"/>
  <c r="AT15" i="33"/>
  <c r="AR15" i="33"/>
  <c r="AN15" i="33"/>
  <c r="AS15" i="33"/>
  <c r="Q15" i="33"/>
  <c r="E15" i="33"/>
  <c r="L15" i="33" s="1"/>
  <c r="AU14" i="33"/>
  <c r="AT14" i="33"/>
  <c r="AR14" i="33"/>
  <c r="AN14" i="33"/>
  <c r="AS14" i="33"/>
  <c r="Q14" i="33"/>
  <c r="E14" i="33"/>
  <c r="L14" i="33" s="1"/>
  <c r="AU13" i="33"/>
  <c r="AT13" i="33"/>
  <c r="AR13" i="33"/>
  <c r="AN13" i="33"/>
  <c r="AS13" i="33"/>
  <c r="Q13" i="33"/>
  <c r="E13" i="33"/>
  <c r="L13" i="33" s="1"/>
  <c r="AU12" i="33"/>
  <c r="AT12" i="33"/>
  <c r="AR12" i="33"/>
  <c r="AN12" i="33"/>
  <c r="AS12" i="33"/>
  <c r="Q12" i="33"/>
  <c r="E12" i="33"/>
  <c r="L12" i="33" s="1"/>
  <c r="AU11" i="33"/>
  <c r="AT11" i="33"/>
  <c r="AR11" i="33"/>
  <c r="AN11" i="33"/>
  <c r="AS11" i="33"/>
  <c r="R11" i="33"/>
  <c r="Q11" i="33"/>
  <c r="E11" i="33"/>
  <c r="L11" i="33" s="1"/>
  <c r="AU10" i="33"/>
  <c r="AT10" i="33"/>
  <c r="AR10" i="33"/>
  <c r="AN10" i="33"/>
  <c r="AQ10" i="33"/>
  <c r="Q10" i="33"/>
  <c r="E10" i="33"/>
  <c r="L10" i="33" s="1"/>
  <c r="AU9" i="33"/>
  <c r="AT9" i="33"/>
  <c r="AR9" i="33"/>
  <c r="AN9" i="33"/>
  <c r="AQ9" i="33"/>
  <c r="R9" i="33"/>
  <c r="Q9" i="33"/>
  <c r="E9" i="33"/>
  <c r="L9" i="33" s="1"/>
  <c r="AU8" i="33"/>
  <c r="AT8" i="33"/>
  <c r="AR8" i="33"/>
  <c r="AN8" i="33"/>
  <c r="AQ8" i="33"/>
  <c r="Q8" i="33"/>
  <c r="E8" i="33"/>
  <c r="L8" i="33" s="1"/>
  <c r="AU7" i="33"/>
  <c r="AT7" i="33"/>
  <c r="AR7" i="33"/>
  <c r="AR104" i="33" s="1"/>
  <c r="AN7" i="33"/>
  <c r="AQ7" i="33"/>
  <c r="R7" i="33"/>
  <c r="Q7" i="33"/>
  <c r="E7" i="33"/>
  <c r="L7" i="33" s="1"/>
  <c r="AU6" i="33"/>
  <c r="AT6" i="33"/>
  <c r="AR6" i="33"/>
  <c r="AN6" i="33"/>
  <c r="AQ6" i="33"/>
  <c r="Q6" i="33"/>
  <c r="E6" i="33"/>
  <c r="L6" i="33" s="1"/>
  <c r="AU5" i="33"/>
  <c r="AT5" i="33"/>
  <c r="AR5" i="33"/>
  <c r="AN5" i="33"/>
  <c r="AQ5" i="33"/>
  <c r="Q5" i="33"/>
  <c r="E5" i="33"/>
  <c r="L5" i="33" s="1"/>
  <c r="AU4" i="33"/>
  <c r="AT4" i="33"/>
  <c r="AR4" i="33"/>
  <c r="AN4" i="33"/>
  <c r="AQ4" i="33"/>
  <c r="Q4" i="33"/>
  <c r="E4" i="33"/>
  <c r="L4" i="33" s="1"/>
  <c r="AU3" i="33"/>
  <c r="AT3" i="33"/>
  <c r="AR3" i="33"/>
  <c r="AB3" i="33"/>
  <c r="AA3" i="33"/>
  <c r="AF3" i="33" s="1"/>
  <c r="X3" i="33"/>
  <c r="AN3" i="33" s="1"/>
  <c r="U3" i="33"/>
  <c r="AD3" i="33" s="1"/>
  <c r="Q3" i="33"/>
  <c r="E3" i="33"/>
  <c r="L3" i="33" s="1"/>
  <c r="G104" i="55" l="1"/>
  <c r="G40" i="55"/>
  <c r="G72" i="55"/>
  <c r="G57" i="55"/>
  <c r="G97" i="55"/>
  <c r="AZ103" i="35"/>
  <c r="G35" i="53"/>
  <c r="F61" i="53"/>
  <c r="E62" i="53"/>
  <c r="E88" i="53"/>
  <c r="F87" i="53"/>
  <c r="O12" i="3"/>
  <c r="E74" i="55"/>
  <c r="F73" i="55"/>
  <c r="M73" i="55"/>
  <c r="L74" i="55"/>
  <c r="Q39" i="3"/>
  <c r="M88" i="53"/>
  <c r="L89" i="53"/>
  <c r="M62" i="53"/>
  <c r="L63" i="53"/>
  <c r="G52" i="50"/>
  <c r="G36" i="50"/>
  <c r="L60" i="50"/>
  <c r="M59" i="50"/>
  <c r="G59" i="50" s="1"/>
  <c r="M85" i="50"/>
  <c r="L86" i="50"/>
  <c r="L61" i="48"/>
  <c r="M60" i="48"/>
  <c r="M86" i="48"/>
  <c r="L87" i="48"/>
  <c r="F85" i="48"/>
  <c r="E86" i="48"/>
  <c r="F59" i="48"/>
  <c r="E60" i="48"/>
  <c r="F53" i="47"/>
  <c r="E54" i="47"/>
  <c r="L80" i="47"/>
  <c r="M79" i="47"/>
  <c r="E80" i="47"/>
  <c r="F79" i="47"/>
  <c r="M53" i="47"/>
  <c r="L54" i="47"/>
  <c r="G28" i="45"/>
  <c r="U39" i="3"/>
  <c r="AH12" i="3"/>
  <c r="K39" i="3"/>
  <c r="AK12" i="3"/>
  <c r="L45" i="46"/>
  <c r="M44" i="46"/>
  <c r="E45" i="46"/>
  <c r="F44" i="46"/>
  <c r="AX99" i="35"/>
  <c r="E32" i="45"/>
  <c r="F31" i="45"/>
  <c r="M30" i="45"/>
  <c r="L31" i="45"/>
  <c r="L30" i="44"/>
  <c r="M29" i="44"/>
  <c r="E29" i="44"/>
  <c r="F28" i="44"/>
  <c r="G10" i="37"/>
  <c r="G4" i="37"/>
  <c r="G11" i="36"/>
  <c r="G4" i="36"/>
  <c r="O9" i="3"/>
  <c r="AN115" i="38"/>
  <c r="AN124" i="35"/>
  <c r="AN107" i="38"/>
  <c r="AN113" i="35"/>
  <c r="AQ6" i="35"/>
  <c r="AQ41" i="35"/>
  <c r="AQ43" i="35"/>
  <c r="AQ5" i="35"/>
  <c r="AN105" i="35"/>
  <c r="R116" i="35"/>
  <c r="X105" i="35"/>
  <c r="AD59" i="35"/>
  <c r="AD116" i="35"/>
  <c r="AS116" i="35"/>
  <c r="AQ120" i="35"/>
  <c r="AW120" i="35" s="1"/>
  <c r="R119" i="35"/>
  <c r="AD118" i="35"/>
  <c r="AS118" i="35"/>
  <c r="AD3" i="35"/>
  <c r="U105" i="35"/>
  <c r="AD108" i="35"/>
  <c r="S126" i="34"/>
  <c r="H11" i="3"/>
  <c r="H39" i="3" s="1"/>
  <c r="L11" i="3"/>
  <c r="AE12" i="3"/>
  <c r="F12" i="3"/>
  <c r="Y126" i="34"/>
  <c r="M11" i="3"/>
  <c r="M39" i="3" s="1"/>
  <c r="Z126" i="34"/>
  <c r="N11" i="3"/>
  <c r="N39" i="3" s="1"/>
  <c r="AF3" i="34"/>
  <c r="F126" i="34"/>
  <c r="V126" i="34"/>
  <c r="W126" i="34"/>
  <c r="AU104" i="34"/>
  <c r="E113" i="34"/>
  <c r="L124" i="34"/>
  <c r="G126" i="34"/>
  <c r="H126" i="34"/>
  <c r="AL3" i="34" s="1"/>
  <c r="AL26" i="34"/>
  <c r="AO26" i="34" s="1"/>
  <c r="AV26" i="34" s="1" a="1"/>
  <c r="AV26" i="34" s="1"/>
  <c r="AZ26" i="34" s="1"/>
  <c r="AL71" i="34"/>
  <c r="AO71" i="34" s="1"/>
  <c r="AV71" i="34" s="1" a="1"/>
  <c r="AV71" i="34" s="1"/>
  <c r="AL83" i="34"/>
  <c r="AO83" i="34" s="1"/>
  <c r="AV83" i="34" s="1" a="1"/>
  <c r="AV83" i="34" s="1"/>
  <c r="AZ83" i="34" s="1"/>
  <c r="AL101" i="34"/>
  <c r="AL66" i="34"/>
  <c r="AO66" i="34" s="1"/>
  <c r="AV66" i="34" s="1" a="1"/>
  <c r="AV66" i="34" s="1"/>
  <c r="AL92" i="34"/>
  <c r="AO92" i="34" s="1"/>
  <c r="AV92" i="34" s="1" a="1"/>
  <c r="AV92" i="34" s="1"/>
  <c r="AZ92" i="34" s="1"/>
  <c r="AL8" i="34"/>
  <c r="AO8" i="34" s="1"/>
  <c r="AV8" i="34" s="1" a="1"/>
  <c r="AV8" i="34" s="1"/>
  <c r="AZ8" i="34" s="1"/>
  <c r="AL68" i="34"/>
  <c r="AO68" i="34" s="1"/>
  <c r="AV68" i="34" s="1" a="1"/>
  <c r="AV68" i="34" s="1"/>
  <c r="AZ68" i="34" s="1"/>
  <c r="AL76" i="34"/>
  <c r="AO76" i="34" s="1"/>
  <c r="AV76" i="34" s="1" a="1"/>
  <c r="AV76" i="34" s="1"/>
  <c r="AL93" i="34"/>
  <c r="AO93" i="34" s="1"/>
  <c r="AV93" i="34" s="1" a="1"/>
  <c r="AV93" i="34" s="1"/>
  <c r="AZ93" i="34" s="1"/>
  <c r="AL81" i="34"/>
  <c r="AO81" i="34" s="1"/>
  <c r="AV81" i="34" s="1" a="1"/>
  <c r="AV81" i="34" s="1"/>
  <c r="AZ81" i="34" s="1"/>
  <c r="AL111" i="34"/>
  <c r="AO111" i="34" s="1"/>
  <c r="AV111" i="34" s="1" a="1"/>
  <c r="AV111" i="34" s="1"/>
  <c r="AL13" i="34"/>
  <c r="AO13" i="34" s="1"/>
  <c r="AV13" i="34" s="1" a="1"/>
  <c r="AV13" i="34" s="1"/>
  <c r="AZ13" i="34" s="1"/>
  <c r="AL37" i="34"/>
  <c r="AO37" i="34" s="1"/>
  <c r="AV37" i="34" s="1" a="1"/>
  <c r="AV37" i="34" s="1"/>
  <c r="AZ37" i="34" s="1"/>
  <c r="AL43" i="34"/>
  <c r="AO43" i="34" s="1"/>
  <c r="AV43" i="34" s="1" a="1"/>
  <c r="AV43" i="34" s="1"/>
  <c r="AZ43" i="34" s="1"/>
  <c r="AL61" i="34"/>
  <c r="AL91" i="34"/>
  <c r="AL100" i="34"/>
  <c r="AL23" i="34"/>
  <c r="AO23" i="34" s="1"/>
  <c r="AV23" i="34" s="1" a="1"/>
  <c r="AV23" i="34" s="1"/>
  <c r="AZ23" i="34" s="1"/>
  <c r="AL34" i="34"/>
  <c r="AO34" i="34" s="1"/>
  <c r="AV34" i="34" s="1" a="1"/>
  <c r="AV34" i="34" s="1"/>
  <c r="AL47" i="34"/>
  <c r="AO47" i="34" s="1"/>
  <c r="AV47" i="34" s="1" a="1"/>
  <c r="AV47" i="34" s="1"/>
  <c r="AZ47" i="34" s="1"/>
  <c r="AL73" i="34"/>
  <c r="AO73" i="34" s="1"/>
  <c r="AV73" i="34" s="1" a="1"/>
  <c r="AV73" i="34" s="1"/>
  <c r="AL82" i="34"/>
  <c r="AO82" i="34" s="1"/>
  <c r="AV82" i="34" s="1" a="1"/>
  <c r="AV82" i="34" s="1"/>
  <c r="AZ82" i="34" s="1"/>
  <c r="AL95" i="34"/>
  <c r="AO95" i="34" s="1"/>
  <c r="AV95" i="34" s="1" a="1"/>
  <c r="AV95" i="34" s="1"/>
  <c r="AZ95" i="34" s="1"/>
  <c r="AL120" i="34"/>
  <c r="AO120" i="34" s="1"/>
  <c r="AV120" i="34" s="1" a="1"/>
  <c r="AV120" i="34" s="1"/>
  <c r="AL7" i="34"/>
  <c r="AO7" i="34" s="1"/>
  <c r="AV7" i="34" s="1" a="1"/>
  <c r="AV7" i="34" s="1"/>
  <c r="AX7" i="34" s="1"/>
  <c r="AL12" i="34"/>
  <c r="AO12" i="34" s="1"/>
  <c r="AV12" i="34" s="1" a="1"/>
  <c r="AV12" i="34" s="1"/>
  <c r="AZ12" i="34" s="1"/>
  <c r="AL45" i="34"/>
  <c r="AL67" i="34"/>
  <c r="AO67" i="34" s="1"/>
  <c r="AV67" i="34" s="1" a="1"/>
  <c r="AV67" i="34" s="1"/>
  <c r="AL75" i="34"/>
  <c r="AO75" i="34" s="1"/>
  <c r="AV75" i="34" s="1" a="1"/>
  <c r="AV75" i="34" s="1"/>
  <c r="AL110" i="34"/>
  <c r="AO110" i="34" s="1"/>
  <c r="AV110" i="34" s="1" a="1"/>
  <c r="AV110" i="34" s="1"/>
  <c r="AL38" i="34"/>
  <c r="AO38" i="34" s="1"/>
  <c r="AV38" i="34" s="1" a="1"/>
  <c r="AV38" i="34" s="1"/>
  <c r="AZ38" i="34" s="1"/>
  <c r="AL40" i="34"/>
  <c r="AO40" i="34" s="1"/>
  <c r="AV40" i="34" s="1" a="1"/>
  <c r="AV40" i="34" s="1"/>
  <c r="AX40" i="34" s="1"/>
  <c r="AL86" i="34"/>
  <c r="AO86" i="34" s="1"/>
  <c r="AV86" i="34" s="1" a="1"/>
  <c r="AV86" i="34" s="1"/>
  <c r="AW86" i="34" s="1"/>
  <c r="AL77" i="34"/>
  <c r="AO77" i="34" s="1"/>
  <c r="AV77" i="34" s="1" a="1"/>
  <c r="AV77" i="34" s="1"/>
  <c r="AZ77" i="34" s="1"/>
  <c r="AL116" i="34"/>
  <c r="AO116" i="34" s="1"/>
  <c r="AV116" i="34" s="1" a="1"/>
  <c r="AV116" i="34" s="1"/>
  <c r="AL17" i="34"/>
  <c r="AL44" i="34"/>
  <c r="AO44" i="34" s="1"/>
  <c r="AV44" i="34" s="1" a="1"/>
  <c r="AV44" i="34" s="1"/>
  <c r="AZ44" i="34" s="1"/>
  <c r="AL49" i="34"/>
  <c r="AO49" i="34" s="1"/>
  <c r="AV49" i="34" s="1" a="1"/>
  <c r="AV49" i="34" s="1"/>
  <c r="AZ49" i="34" s="1"/>
  <c r="AL99" i="34"/>
  <c r="AO99" i="34" s="1"/>
  <c r="AV99" i="34" s="1" a="1"/>
  <c r="AV99" i="34" s="1"/>
  <c r="AZ99" i="34" s="1"/>
  <c r="L9" i="3"/>
  <c r="AK126" i="33"/>
  <c r="Z9" i="3"/>
  <c r="Z39" i="3" s="1"/>
  <c r="L10" i="3"/>
  <c r="AI126" i="33"/>
  <c r="X9" i="3"/>
  <c r="X39" i="3" s="1"/>
  <c r="AA105" i="35"/>
  <c r="AF113" i="33"/>
  <c r="O10" i="3"/>
  <c r="AB105" i="35"/>
  <c r="N126" i="33"/>
  <c r="I126" i="33"/>
  <c r="H126" i="33"/>
  <c r="AL3" i="33" s="1"/>
  <c r="AO3" i="33" s="1"/>
  <c r="L107" i="33"/>
  <c r="AL7" i="33"/>
  <c r="AO7" i="33" s="1"/>
  <c r="AV7" i="33" s="1" a="1"/>
  <c r="AV7" i="33" s="1"/>
  <c r="AL88" i="33"/>
  <c r="AL95" i="33"/>
  <c r="AL22" i="33"/>
  <c r="AO22" i="33" s="1"/>
  <c r="AV22" i="33" s="1" a="1"/>
  <c r="AV22" i="33" s="1"/>
  <c r="AZ22" i="33" s="1"/>
  <c r="AL62" i="33"/>
  <c r="AL69" i="33"/>
  <c r="AO69" i="33" s="1"/>
  <c r="AV69" i="33" s="1" a="1"/>
  <c r="AV69" i="33" s="1"/>
  <c r="AL65" i="33"/>
  <c r="AL78" i="33"/>
  <c r="AO78" i="33" s="1"/>
  <c r="AV78" i="33" s="1" a="1"/>
  <c r="AV78" i="33" s="1"/>
  <c r="AW78" i="33" s="1"/>
  <c r="AL116" i="33"/>
  <c r="AO116" i="33" s="1"/>
  <c r="AV116" i="33" s="1" a="1"/>
  <c r="AV116" i="33" s="1"/>
  <c r="AL108" i="33"/>
  <c r="AL29" i="33"/>
  <c r="AO29" i="33" s="1"/>
  <c r="AV29" i="33" s="1" a="1"/>
  <c r="AV29" i="33" s="1"/>
  <c r="AL31" i="33"/>
  <c r="AO31" i="33" s="1"/>
  <c r="AV31" i="33" s="1" a="1"/>
  <c r="AV31" i="33" s="1"/>
  <c r="AL59" i="33"/>
  <c r="AO59" i="33" s="1"/>
  <c r="AV59" i="33" s="1" a="1"/>
  <c r="AV59" i="33" s="1"/>
  <c r="AL73" i="33"/>
  <c r="AO73" i="33" s="1"/>
  <c r="AV73" i="33" s="1" a="1"/>
  <c r="AV73" i="33" s="1"/>
  <c r="AL80" i="33"/>
  <c r="AO80" i="33" s="1"/>
  <c r="AV80" i="33" s="1" a="1"/>
  <c r="AV80" i="33" s="1"/>
  <c r="AZ80" i="33" s="1"/>
  <c r="AL97" i="33"/>
  <c r="AO97" i="33" s="1"/>
  <c r="AV97" i="33" s="1" a="1"/>
  <c r="AV97" i="33" s="1"/>
  <c r="AL102" i="33"/>
  <c r="AO102" i="33" s="1"/>
  <c r="AV102" i="33" s="1" a="1"/>
  <c r="AV102" i="33" s="1"/>
  <c r="AL50" i="33"/>
  <c r="AO50" i="33" s="1"/>
  <c r="AV50" i="33" s="1" a="1"/>
  <c r="AV50" i="33" s="1"/>
  <c r="AX50" i="33" s="1"/>
  <c r="AL67" i="33"/>
  <c r="AL122" i="33"/>
  <c r="AO122" i="33" s="1"/>
  <c r="AV122" i="33" s="1" a="1"/>
  <c r="AV122" i="33" s="1"/>
  <c r="AL6" i="33"/>
  <c r="AO6" i="33" s="1"/>
  <c r="AV6" i="33" s="1" a="1"/>
  <c r="AV6" i="33" s="1"/>
  <c r="AL15" i="33"/>
  <c r="AO15" i="33" s="1"/>
  <c r="AV15" i="33" s="1" a="1"/>
  <c r="AV15" i="33" s="1"/>
  <c r="AL24" i="33"/>
  <c r="AO24" i="33" s="1"/>
  <c r="AV24" i="33" s="1" a="1"/>
  <c r="AV24" i="33" s="1"/>
  <c r="AL26" i="33"/>
  <c r="AO26" i="33" s="1"/>
  <c r="AV26" i="33" s="1" a="1"/>
  <c r="AV26" i="33" s="1"/>
  <c r="AZ26" i="33" s="1"/>
  <c r="AL40" i="33"/>
  <c r="AO40" i="33" s="1"/>
  <c r="AV40" i="33" s="1" a="1"/>
  <c r="AV40" i="33" s="1"/>
  <c r="AZ40" i="33" s="1"/>
  <c r="AL42" i="33"/>
  <c r="AO42" i="33" s="1"/>
  <c r="AV42" i="33" s="1" a="1"/>
  <c r="AV42" i="33" s="1"/>
  <c r="AZ42" i="33" s="1"/>
  <c r="AL45" i="33"/>
  <c r="AO45" i="33" s="1"/>
  <c r="AV45" i="33" s="1" a="1"/>
  <c r="AV45" i="33" s="1"/>
  <c r="AX45" i="33" s="1"/>
  <c r="AL49" i="33"/>
  <c r="AO49" i="33" s="1"/>
  <c r="AV49" i="33" s="1" a="1"/>
  <c r="AV49" i="33" s="1"/>
  <c r="AL51" i="33"/>
  <c r="AO51" i="33" s="1"/>
  <c r="AV51" i="33" s="1" a="1"/>
  <c r="AV51" i="33" s="1"/>
  <c r="AZ51" i="33" s="1"/>
  <c r="AL64" i="33"/>
  <c r="AO64" i="33" s="1"/>
  <c r="AV64" i="33" s="1" a="1"/>
  <c r="AV64" i="33" s="1"/>
  <c r="AL68" i="33"/>
  <c r="AL75" i="33"/>
  <c r="AO75" i="33" s="1"/>
  <c r="AV75" i="33" s="1" a="1"/>
  <c r="AV75" i="33" s="1"/>
  <c r="AL84" i="33"/>
  <c r="AO84" i="33" s="1"/>
  <c r="AV84" i="33" s="1" a="1"/>
  <c r="AV84" i="33" s="1"/>
  <c r="AL94" i="33"/>
  <c r="AO94" i="33" s="1"/>
  <c r="AV94" i="33" s="1" a="1"/>
  <c r="AV94" i="33" s="1"/>
  <c r="AL99" i="33"/>
  <c r="AO99" i="33" s="1"/>
  <c r="AV99" i="33" s="1" a="1"/>
  <c r="AV99" i="33" s="1"/>
  <c r="AL25" i="33"/>
  <c r="AO25" i="33" s="1"/>
  <c r="AV25" i="33" s="1" a="1"/>
  <c r="AV25" i="33" s="1"/>
  <c r="AL4" i="33"/>
  <c r="AL17" i="33"/>
  <c r="AO17" i="33" s="1"/>
  <c r="AV17" i="33" s="1" a="1"/>
  <c r="AV17" i="33" s="1"/>
  <c r="AL19" i="33"/>
  <c r="AO19" i="33" s="1"/>
  <c r="AV19" i="33" s="1" a="1"/>
  <c r="AV19" i="33" s="1"/>
  <c r="AZ19" i="33" s="1"/>
  <c r="AL28" i="33"/>
  <c r="AO28" i="33" s="1"/>
  <c r="AV28" i="33" s="1"/>
  <c r="AL35" i="33"/>
  <c r="AO35" i="33" s="1"/>
  <c r="AV35" i="33" s="1" a="1"/>
  <c r="AV35" i="33" s="1"/>
  <c r="AZ35" i="33" s="1"/>
  <c r="AL56" i="33"/>
  <c r="AO56" i="33" s="1"/>
  <c r="AV56" i="33" s="1" a="1"/>
  <c r="AV56" i="33" s="1"/>
  <c r="AL58" i="33"/>
  <c r="AO58" i="33" s="1"/>
  <c r="AV58" i="33" s="1" a="1"/>
  <c r="AV58" i="33" s="1"/>
  <c r="AZ58" i="33" s="1"/>
  <c r="AL77" i="33"/>
  <c r="AO77" i="33" s="1"/>
  <c r="AV77" i="33" s="1" a="1"/>
  <c r="AV77" i="33" s="1"/>
  <c r="AL79" i="33"/>
  <c r="AL89" i="33"/>
  <c r="AL91" i="33"/>
  <c r="AO91" i="33" s="1"/>
  <c r="AV91" i="33" s="1" a="1"/>
  <c r="AV91" i="33" s="1"/>
  <c r="AX91" i="33" s="1"/>
  <c r="AL121" i="33"/>
  <c r="AO121" i="33" s="1"/>
  <c r="AV121" i="33" s="1" a="1"/>
  <c r="AV121" i="33" s="1"/>
  <c r="AL100" i="33"/>
  <c r="AO100" i="33" s="1"/>
  <c r="AV100" i="33" s="1" a="1"/>
  <c r="AV100" i="33" s="1"/>
  <c r="AL109" i="33"/>
  <c r="AL8" i="33"/>
  <c r="AL10" i="33"/>
  <c r="AO10" i="33" s="1"/>
  <c r="AV10" i="33" s="1" a="1"/>
  <c r="AV10" i="33" s="1"/>
  <c r="AL12" i="33"/>
  <c r="AO12" i="33" s="1"/>
  <c r="AV12" i="33" s="1" a="1"/>
  <c r="AV12" i="33" s="1"/>
  <c r="AL30" i="33"/>
  <c r="AO30" i="33" s="1"/>
  <c r="AV30" i="33" s="1" a="1"/>
  <c r="AV30" i="33" s="1"/>
  <c r="AL44" i="33"/>
  <c r="AL53" i="33"/>
  <c r="AO53" i="33" s="1"/>
  <c r="AV53" i="33" s="1" a="1"/>
  <c r="AV53" i="33" s="1"/>
  <c r="AZ53" i="33" s="1"/>
  <c r="AL61" i="33"/>
  <c r="AO61" i="33" s="1"/>
  <c r="AV61" i="33" s="1" a="1"/>
  <c r="AV61" i="33" s="1"/>
  <c r="AL101" i="33"/>
  <c r="AL34" i="33"/>
  <c r="AL52" i="33"/>
  <c r="AO52" i="33" s="1"/>
  <c r="AV52" i="33" s="1" a="1"/>
  <c r="AV52" i="33" s="1"/>
  <c r="AZ52" i="33" s="1"/>
  <c r="AL103" i="33"/>
  <c r="AL117" i="33"/>
  <c r="AO117" i="33" s="1"/>
  <c r="AV117" i="33" s="1" a="1"/>
  <c r="AV117" i="33" s="1"/>
  <c r="AL119" i="33"/>
  <c r="AL115" i="33"/>
  <c r="AL14" i="33"/>
  <c r="AO14" i="33" s="1"/>
  <c r="AV14" i="33" s="1" a="1"/>
  <c r="AV14" i="33" s="1"/>
  <c r="AL21" i="33"/>
  <c r="AO21" i="33" s="1"/>
  <c r="AV21" i="33" s="1" a="1"/>
  <c r="AV21" i="33" s="1"/>
  <c r="AL23" i="33"/>
  <c r="AO23" i="33" s="1"/>
  <c r="AV23" i="33" s="1" a="1"/>
  <c r="AV23" i="33" s="1"/>
  <c r="AL37" i="33"/>
  <c r="AL39" i="33"/>
  <c r="AO39" i="33" s="1"/>
  <c r="AV39" i="33" s="1" a="1"/>
  <c r="AV39" i="33" s="1"/>
  <c r="AL46" i="33"/>
  <c r="AO46" i="33" s="1"/>
  <c r="AV46" i="33" s="1" a="1"/>
  <c r="AV46" i="33" s="1"/>
  <c r="AZ46" i="33" s="1"/>
  <c r="AL63" i="33"/>
  <c r="AL72" i="33"/>
  <c r="AO72" i="33" s="1"/>
  <c r="AV72" i="33" s="1" a="1"/>
  <c r="AV72" i="33" s="1"/>
  <c r="AZ72" i="33" s="1"/>
  <c r="AL74" i="33"/>
  <c r="AO74" i="33" s="1"/>
  <c r="AV74" i="33" s="1" a="1"/>
  <c r="AV74" i="33" s="1"/>
  <c r="AL81" i="33"/>
  <c r="AL83" i="33"/>
  <c r="AO83" i="33" s="1"/>
  <c r="AV83" i="33" s="1" a="1"/>
  <c r="AV83" i="33" s="1"/>
  <c r="AL86" i="33"/>
  <c r="AO86" i="33" s="1"/>
  <c r="AV86" i="33" s="1" a="1"/>
  <c r="AV86" i="33" s="1"/>
  <c r="AL93" i="33"/>
  <c r="AO93" i="33" s="1"/>
  <c r="AV93" i="33" s="1" a="1"/>
  <c r="AV93" i="33" s="1"/>
  <c r="AL96" i="33"/>
  <c r="AL98" i="33"/>
  <c r="AL32" i="33"/>
  <c r="AO32" i="33" s="1"/>
  <c r="AV32" i="33" s="1" a="1"/>
  <c r="AV32" i="33" s="1"/>
  <c r="AL60" i="33"/>
  <c r="AO60" i="33" s="1"/>
  <c r="AV60" i="33" s="1" a="1"/>
  <c r="AV60" i="33" s="1"/>
  <c r="AL85" i="33"/>
  <c r="L12" i="37"/>
  <c r="M11" i="37"/>
  <c r="G11" i="37" s="1"/>
  <c r="R3" i="35"/>
  <c r="AD34" i="35"/>
  <c r="AU104" i="35"/>
  <c r="AD38" i="35"/>
  <c r="AD70" i="35"/>
  <c r="AD75" i="35"/>
  <c r="U124" i="35"/>
  <c r="AU113" i="35"/>
  <c r="R41" i="35"/>
  <c r="AD43" i="35"/>
  <c r="AD72" i="35"/>
  <c r="AD109" i="35"/>
  <c r="AA124" i="35"/>
  <c r="AF124" i="35" s="1"/>
  <c r="AD117" i="35"/>
  <c r="R118" i="35"/>
  <c r="AS120" i="35"/>
  <c r="AD47" i="35"/>
  <c r="AQ117" i="35"/>
  <c r="AW117" i="35" s="1"/>
  <c r="AD119" i="35"/>
  <c r="R120" i="35"/>
  <c r="AB113" i="35"/>
  <c r="AQ119" i="35"/>
  <c r="AW119" i="35" s="1"/>
  <c r="AD122" i="35"/>
  <c r="R43" i="35"/>
  <c r="AD107" i="35"/>
  <c r="AT123" i="35"/>
  <c r="R117" i="35"/>
  <c r="AQ122" i="35"/>
  <c r="AW122" i="35" s="1"/>
  <c r="AR104" i="35"/>
  <c r="AT104" i="35"/>
  <c r="R53" i="35"/>
  <c r="H126" i="35"/>
  <c r="AL120" i="35" s="1"/>
  <c r="AO120" i="35" s="1"/>
  <c r="AV120" i="35" s="1" a="1"/>
  <c r="AV120" i="35" s="1"/>
  <c r="Y126" i="35"/>
  <c r="AR123" i="35"/>
  <c r="AS41" i="35"/>
  <c r="R45" i="35"/>
  <c r="R48" i="35"/>
  <c r="R61" i="35"/>
  <c r="I126" i="35"/>
  <c r="Z126" i="35"/>
  <c r="E113" i="35"/>
  <c r="R115" i="35"/>
  <c r="AS115" i="35"/>
  <c r="N126" i="35"/>
  <c r="X124" i="35"/>
  <c r="AU123" i="35"/>
  <c r="AD30" i="35"/>
  <c r="AD42" i="35"/>
  <c r="AD56" i="35"/>
  <c r="AD64" i="35"/>
  <c r="AD111" i="35"/>
  <c r="AD121" i="35"/>
  <c r="R122" i="35"/>
  <c r="AD41" i="35"/>
  <c r="X113" i="35"/>
  <c r="AU112" i="35"/>
  <c r="AB124" i="35"/>
  <c r="AQ121" i="35"/>
  <c r="AW121" i="35" s="1"/>
  <c r="L113" i="35"/>
  <c r="F126" i="35"/>
  <c r="AA113" i="35"/>
  <c r="AF113" i="35" s="1"/>
  <c r="AD115" i="35"/>
  <c r="R42" i="35"/>
  <c r="AQ42" i="35"/>
  <c r="AS43" i="35"/>
  <c r="AD110" i="35"/>
  <c r="AQ115" i="35"/>
  <c r="R121" i="35"/>
  <c r="E12" i="36"/>
  <c r="F11" i="36"/>
  <c r="L13" i="36"/>
  <c r="M12" i="36"/>
  <c r="AF43" i="35"/>
  <c r="AF48" i="35"/>
  <c r="AF45" i="35"/>
  <c r="AF57" i="35"/>
  <c r="AC109" i="34"/>
  <c r="AC110" i="34"/>
  <c r="AC108" i="34"/>
  <c r="AC111" i="34"/>
  <c r="AG126" i="34"/>
  <c r="AS112" i="34"/>
  <c r="AK126" i="34"/>
  <c r="AT123" i="34"/>
  <c r="AC121" i="34"/>
  <c r="AC116" i="34"/>
  <c r="AC119" i="34"/>
  <c r="AC122" i="34"/>
  <c r="AC117" i="34"/>
  <c r="AC118" i="34"/>
  <c r="AC120" i="34"/>
  <c r="AU123" i="34"/>
  <c r="X126" i="34"/>
  <c r="AE126" i="34"/>
  <c r="AC107" i="34"/>
  <c r="AC115" i="34"/>
  <c r="AM126" i="34"/>
  <c r="AT104" i="34"/>
  <c r="AC92" i="34"/>
  <c r="AC90" i="34"/>
  <c r="AC38" i="34"/>
  <c r="AC97" i="34"/>
  <c r="AC27" i="34"/>
  <c r="AC96" i="34"/>
  <c r="AC32" i="34"/>
  <c r="AC85" i="34"/>
  <c r="AC21" i="34"/>
  <c r="AC94" i="34"/>
  <c r="AC68" i="34"/>
  <c r="AC41" i="34"/>
  <c r="AC31" i="34"/>
  <c r="AC88" i="34"/>
  <c r="AC45" i="34"/>
  <c r="AC83" i="34"/>
  <c r="AC63" i="34"/>
  <c r="AC37" i="34"/>
  <c r="AC8" i="34"/>
  <c r="AC103" i="34"/>
  <c r="AC5" i="34"/>
  <c r="AC76" i="34"/>
  <c r="AC69" i="34"/>
  <c r="AC59" i="34"/>
  <c r="AC98" i="34"/>
  <c r="AC56" i="34"/>
  <c r="AC64" i="34"/>
  <c r="AC86" i="34"/>
  <c r="AC57" i="34"/>
  <c r="AC9" i="34"/>
  <c r="AC93" i="34"/>
  <c r="AC25" i="34"/>
  <c r="AC52" i="34"/>
  <c r="AC16" i="34"/>
  <c r="AC18" i="34"/>
  <c r="AC61" i="34"/>
  <c r="AC28" i="34"/>
  <c r="AC48" i="34"/>
  <c r="AC80" i="34"/>
  <c r="AC55" i="34"/>
  <c r="AC100" i="34"/>
  <c r="AC89" i="34"/>
  <c r="AC99" i="34"/>
  <c r="AC70" i="34"/>
  <c r="AC35" i="34"/>
  <c r="AC74" i="34"/>
  <c r="AC11" i="34"/>
  <c r="AC60" i="34"/>
  <c r="AC95" i="34"/>
  <c r="AC54" i="34"/>
  <c r="AC51" i="34"/>
  <c r="AC4" i="34"/>
  <c r="AC84" i="34"/>
  <c r="AC20" i="34"/>
  <c r="AC87" i="34"/>
  <c r="AC65" i="34"/>
  <c r="AC10" i="34"/>
  <c r="AC15" i="34"/>
  <c r="AC91" i="34"/>
  <c r="AC81" i="34"/>
  <c r="AC58" i="34"/>
  <c r="AC13" i="34"/>
  <c r="AC26" i="34"/>
  <c r="AC22" i="34"/>
  <c r="AC47" i="34"/>
  <c r="AC14" i="34"/>
  <c r="AC77" i="34"/>
  <c r="AC33" i="34"/>
  <c r="AC79" i="34"/>
  <c r="AC49" i="34"/>
  <c r="AC19" i="34"/>
  <c r="AC101" i="34"/>
  <c r="AC82" i="34"/>
  <c r="AC36" i="34"/>
  <c r="AC12" i="34"/>
  <c r="AC75" i="34"/>
  <c r="AC50" i="34"/>
  <c r="AC7" i="34"/>
  <c r="AC53" i="34"/>
  <c r="AC6" i="34"/>
  <c r="AC46" i="34"/>
  <c r="AC39" i="34"/>
  <c r="AC29" i="34"/>
  <c r="AC62" i="34"/>
  <c r="AC44" i="34"/>
  <c r="AC102" i="34"/>
  <c r="AC72" i="34"/>
  <c r="AC78" i="34"/>
  <c r="AC66" i="34"/>
  <c r="AC43" i="34"/>
  <c r="AC71" i="34"/>
  <c r="AC17" i="34"/>
  <c r="AC34" i="34"/>
  <c r="AC73" i="34"/>
  <c r="AC24" i="34"/>
  <c r="AC42" i="34"/>
  <c r="AC40" i="34"/>
  <c r="AC30" i="34"/>
  <c r="AC67" i="34"/>
  <c r="AC23" i="34"/>
  <c r="AJ126" i="34"/>
  <c r="T126" i="34"/>
  <c r="R3" i="34"/>
  <c r="AD3" i="34"/>
  <c r="AU126" i="34"/>
  <c r="AQ3" i="34"/>
  <c r="AU112" i="33"/>
  <c r="AJ126" i="33"/>
  <c r="AQ3" i="33"/>
  <c r="R3" i="33"/>
  <c r="AS3" i="33"/>
  <c r="AQ4" i="35"/>
  <c r="R6" i="35"/>
  <c r="AS8" i="35"/>
  <c r="R9" i="35"/>
  <c r="AS12" i="35"/>
  <c r="R13" i="35"/>
  <c r="AS16" i="35"/>
  <c r="AS20" i="35"/>
  <c r="AS24" i="35"/>
  <c r="R25" i="35"/>
  <c r="AQ31" i="35"/>
  <c r="R31" i="35"/>
  <c r="AQ35" i="35"/>
  <c r="AW35" i="35" s="1"/>
  <c r="R35" i="35"/>
  <c r="AQ39" i="35"/>
  <c r="R39" i="35"/>
  <c r="AS66" i="35"/>
  <c r="AQ66" i="35"/>
  <c r="AW66" i="35" s="1"/>
  <c r="R66" i="35"/>
  <c r="AS67" i="35"/>
  <c r="AQ67" i="35"/>
  <c r="AD17" i="35"/>
  <c r="AQ17" i="35"/>
  <c r="AD21" i="35"/>
  <c r="AQ21" i="35"/>
  <c r="AW21" i="35" s="1"/>
  <c r="AQ3" i="35"/>
  <c r="AS4" i="35"/>
  <c r="AD5" i="35"/>
  <c r="AS17" i="35"/>
  <c r="AS21" i="35"/>
  <c r="AD26" i="35"/>
  <c r="AQ26" i="35"/>
  <c r="AS26" i="35"/>
  <c r="AS31" i="35"/>
  <c r="AQ32" i="35"/>
  <c r="R32" i="35"/>
  <c r="AS35" i="35"/>
  <c r="AQ36" i="35"/>
  <c r="AW36" i="35" s="1"/>
  <c r="R36" i="35"/>
  <c r="AS39" i="35"/>
  <c r="AQ40" i="35"/>
  <c r="AW40" i="35" s="1"/>
  <c r="R40" i="35"/>
  <c r="AS50" i="35"/>
  <c r="AQ50" i="35"/>
  <c r="R50" i="35"/>
  <c r="AS51" i="35"/>
  <c r="AQ51" i="35"/>
  <c r="AS62" i="35"/>
  <c r="AQ62" i="35"/>
  <c r="AW62" i="35" s="1"/>
  <c r="R62" i="35"/>
  <c r="AS63" i="35"/>
  <c r="AQ63" i="35"/>
  <c r="AW63" i="35" s="1"/>
  <c r="AS71" i="35"/>
  <c r="AQ71" i="35"/>
  <c r="R71" i="35"/>
  <c r="AD71" i="35"/>
  <c r="AD13" i="35"/>
  <c r="AQ13" i="35"/>
  <c r="AS6" i="35"/>
  <c r="AD10" i="35"/>
  <c r="AQ10" i="35"/>
  <c r="AD14" i="35"/>
  <c r="AQ14" i="35"/>
  <c r="AD18" i="35"/>
  <c r="AQ18" i="35"/>
  <c r="AD22" i="35"/>
  <c r="AQ22" i="35"/>
  <c r="AD27" i="35"/>
  <c r="AQ27" i="35"/>
  <c r="AS27" i="35"/>
  <c r="AF42" i="35"/>
  <c r="AD55" i="35"/>
  <c r="AD9" i="35"/>
  <c r="AQ9" i="35"/>
  <c r="AS3" i="35"/>
  <c r="AD4" i="35"/>
  <c r="R5" i="35"/>
  <c r="AS10" i="35"/>
  <c r="AS14" i="35"/>
  <c r="AS18" i="35"/>
  <c r="AS22" i="35"/>
  <c r="AD28" i="35"/>
  <c r="AQ28" i="35"/>
  <c r="AS28" i="35"/>
  <c r="AQ29" i="35"/>
  <c r="R29" i="35"/>
  <c r="AS32" i="35"/>
  <c r="AQ33" i="35"/>
  <c r="R33" i="35"/>
  <c r="AS36" i="35"/>
  <c r="AQ37" i="35"/>
  <c r="R37" i="35"/>
  <c r="AS40" i="35"/>
  <c r="AS46" i="35"/>
  <c r="AQ46" i="35"/>
  <c r="AW46" i="35" s="1"/>
  <c r="R46" i="35"/>
  <c r="AS47" i="35"/>
  <c r="AQ47" i="35"/>
  <c r="AD66" i="35"/>
  <c r="AD67" i="35"/>
  <c r="AD25" i="35"/>
  <c r="AQ25" i="35"/>
  <c r="AD7" i="35"/>
  <c r="AQ7" i="35"/>
  <c r="AD11" i="35"/>
  <c r="AQ11" i="35"/>
  <c r="AD15" i="35"/>
  <c r="AQ15" i="35"/>
  <c r="AD19" i="35"/>
  <c r="AQ19" i="35"/>
  <c r="AW19" i="35" s="1"/>
  <c r="AD23" i="35"/>
  <c r="AQ23" i="35"/>
  <c r="AW23" i="35" s="1"/>
  <c r="AS58" i="35"/>
  <c r="AQ58" i="35"/>
  <c r="R58" i="35"/>
  <c r="AS59" i="35"/>
  <c r="AQ59" i="35"/>
  <c r="AW59" i="35" s="1"/>
  <c r="AS74" i="35"/>
  <c r="AQ74" i="35"/>
  <c r="AD74" i="35"/>
  <c r="R74" i="35"/>
  <c r="AF3" i="35"/>
  <c r="AD6" i="35"/>
  <c r="AS7" i="35"/>
  <c r="AS11" i="35"/>
  <c r="AS15" i="35"/>
  <c r="AS19" i="35"/>
  <c r="AS23" i="35"/>
  <c r="AS29" i="35"/>
  <c r="AQ30" i="35"/>
  <c r="R30" i="35"/>
  <c r="AS33" i="35"/>
  <c r="AQ34" i="35"/>
  <c r="R34" i="35"/>
  <c r="AS37" i="35"/>
  <c r="AQ38" i="35"/>
  <c r="AW38" i="35" s="1"/>
  <c r="R38" i="35"/>
  <c r="AD50" i="35"/>
  <c r="AD51" i="35"/>
  <c r="AD62" i="35"/>
  <c r="AD63" i="35"/>
  <c r="AS25" i="35"/>
  <c r="AS5" i="35"/>
  <c r="AD8" i="35"/>
  <c r="AQ8" i="35"/>
  <c r="AD12" i="35"/>
  <c r="AQ12" i="35"/>
  <c r="AD16" i="35"/>
  <c r="AQ16" i="35"/>
  <c r="AD20" i="35"/>
  <c r="AQ20" i="35"/>
  <c r="AW20" i="35" s="1"/>
  <c r="AD24" i="35"/>
  <c r="AQ24" i="35"/>
  <c r="AW24" i="35" s="1"/>
  <c r="AS54" i="35"/>
  <c r="AQ54" i="35"/>
  <c r="R54" i="35"/>
  <c r="AS55" i="35"/>
  <c r="AQ55" i="35"/>
  <c r="AW55" i="35" s="1"/>
  <c r="AF25" i="35"/>
  <c r="AF26" i="35"/>
  <c r="AF27" i="35"/>
  <c r="AF28" i="35"/>
  <c r="AS49" i="35"/>
  <c r="AQ49" i="35"/>
  <c r="AS57" i="35"/>
  <c r="AQ57" i="35"/>
  <c r="AW57" i="35" s="1"/>
  <c r="AS65" i="35"/>
  <c r="AQ65" i="35"/>
  <c r="AW65" i="35" s="1"/>
  <c r="AD69" i="35"/>
  <c r="AS73" i="35"/>
  <c r="AQ73" i="35"/>
  <c r="AD84" i="35"/>
  <c r="AS84" i="35"/>
  <c r="AQ84" i="35"/>
  <c r="AW84" i="35" s="1"/>
  <c r="R84" i="35"/>
  <c r="AD79" i="35"/>
  <c r="AS79" i="35"/>
  <c r="AQ79" i="35"/>
  <c r="R79" i="35"/>
  <c r="AS75" i="35"/>
  <c r="AQ75" i="35"/>
  <c r="AD77" i="35"/>
  <c r="AS77" i="35"/>
  <c r="AQ77" i="35"/>
  <c r="AW77" i="35" s="1"/>
  <c r="R77" i="35"/>
  <c r="AS44" i="35"/>
  <c r="AQ44" i="35"/>
  <c r="AS52" i="35"/>
  <c r="AQ52" i="35"/>
  <c r="AW52" i="35" s="1"/>
  <c r="AS60" i="35"/>
  <c r="AQ60" i="35"/>
  <c r="AS68" i="35"/>
  <c r="AQ68" i="35"/>
  <c r="AW68" i="35" s="1"/>
  <c r="AS76" i="35"/>
  <c r="AQ76" i="35"/>
  <c r="AD92" i="35"/>
  <c r="AS92" i="35"/>
  <c r="AQ92" i="35"/>
  <c r="AW92" i="35" s="1"/>
  <c r="R92" i="35"/>
  <c r="AS45" i="35"/>
  <c r="AQ45" i="35"/>
  <c r="AS53" i="35"/>
  <c r="AQ53" i="35"/>
  <c r="AS61" i="35"/>
  <c r="AQ61" i="35"/>
  <c r="AW61" i="35" s="1"/>
  <c r="AS69" i="35"/>
  <c r="AQ69" i="35"/>
  <c r="AW69" i="35" s="1"/>
  <c r="AD85" i="35"/>
  <c r="AS85" i="35"/>
  <c r="AQ85" i="35"/>
  <c r="R85" i="35"/>
  <c r="AD87" i="35"/>
  <c r="AS87" i="35"/>
  <c r="AQ87" i="35"/>
  <c r="R87" i="35"/>
  <c r="AS70" i="35"/>
  <c r="AQ70" i="35"/>
  <c r="AD44" i="35"/>
  <c r="AS48" i="35"/>
  <c r="AQ48" i="35"/>
  <c r="R49" i="35"/>
  <c r="AD52" i="35"/>
  <c r="AS56" i="35"/>
  <c r="AQ56" i="35"/>
  <c r="R57" i="35"/>
  <c r="AD60" i="35"/>
  <c r="AS64" i="35"/>
  <c r="AQ64" i="35"/>
  <c r="AW64" i="35" s="1"/>
  <c r="R65" i="35"/>
  <c r="AD68" i="35"/>
  <c r="AS72" i="35"/>
  <c r="AQ72" i="35"/>
  <c r="R73" i="35"/>
  <c r="AD76" i="35"/>
  <c r="AD93" i="35"/>
  <c r="AS93" i="35"/>
  <c r="AQ93" i="35"/>
  <c r="AW93" i="35" s="1"/>
  <c r="R93" i="35"/>
  <c r="AD95" i="35"/>
  <c r="AS95" i="35"/>
  <c r="AQ95" i="35"/>
  <c r="R95" i="35"/>
  <c r="AD81" i="35"/>
  <c r="AS81" i="35"/>
  <c r="AQ81" i="35"/>
  <c r="R81" i="35"/>
  <c r="AD89" i="35"/>
  <c r="AS89" i="35"/>
  <c r="AQ89" i="35"/>
  <c r="R89" i="35"/>
  <c r="AD97" i="35"/>
  <c r="AS97" i="35"/>
  <c r="AQ97" i="35"/>
  <c r="AW97" i="35" s="1"/>
  <c r="R97" i="35"/>
  <c r="AD86" i="35"/>
  <c r="AS86" i="35"/>
  <c r="AQ86" i="35"/>
  <c r="R86" i="35"/>
  <c r="AD94" i="35"/>
  <c r="AS94" i="35"/>
  <c r="AQ94" i="35"/>
  <c r="R94" i="35"/>
  <c r="AS112" i="35"/>
  <c r="AT112" i="35"/>
  <c r="AD78" i="35"/>
  <c r="AS78" i="35"/>
  <c r="AQ78" i="35"/>
  <c r="R78" i="35"/>
  <c r="AD83" i="35"/>
  <c r="AS83" i="35"/>
  <c r="AQ83" i="35"/>
  <c r="R83" i="35"/>
  <c r="AD91" i="35"/>
  <c r="AS91" i="35"/>
  <c r="AQ91" i="35"/>
  <c r="R91" i="35"/>
  <c r="AU126" i="35"/>
  <c r="AD80" i="35"/>
  <c r="AS80" i="35"/>
  <c r="AQ80" i="35"/>
  <c r="R80" i="35"/>
  <c r="AD88" i="35"/>
  <c r="AS88" i="35"/>
  <c r="AQ88" i="35"/>
  <c r="R88" i="35"/>
  <c r="AD96" i="35"/>
  <c r="AS96" i="35"/>
  <c r="AQ96" i="35"/>
  <c r="AW96" i="35" s="1"/>
  <c r="R96" i="35"/>
  <c r="AL121" i="35"/>
  <c r="AL118" i="35"/>
  <c r="AL116" i="35"/>
  <c r="AO116" i="35" s="1"/>
  <c r="AV116" i="35" s="1" a="1"/>
  <c r="AV116" i="35" s="1"/>
  <c r="AL110" i="35"/>
  <c r="AO110" i="35" s="1"/>
  <c r="AV110" i="35" s="1" a="1"/>
  <c r="AV110" i="35" s="1"/>
  <c r="AZ110" i="35" s="1"/>
  <c r="AL107" i="35"/>
  <c r="AL97" i="35"/>
  <c r="AL94" i="35"/>
  <c r="AL91" i="35"/>
  <c r="AL89" i="35"/>
  <c r="AO89" i="35" s="1"/>
  <c r="AL86" i="35"/>
  <c r="AL83" i="35"/>
  <c r="AL81" i="35"/>
  <c r="AL78" i="35"/>
  <c r="L124" i="35"/>
  <c r="AD82" i="35"/>
  <c r="AS82" i="35"/>
  <c r="AQ82" i="35"/>
  <c r="R82" i="35"/>
  <c r="AD90" i="35"/>
  <c r="AS90" i="35"/>
  <c r="AQ90" i="35"/>
  <c r="AW90" i="35" s="1"/>
  <c r="R90" i="35"/>
  <c r="AD98" i="35"/>
  <c r="AS98" i="35"/>
  <c r="AQ98" i="35"/>
  <c r="R98" i="35"/>
  <c r="E124" i="35"/>
  <c r="AU124" i="35"/>
  <c r="U113" i="35"/>
  <c r="R107" i="35"/>
  <c r="R108" i="35"/>
  <c r="R109" i="35"/>
  <c r="R110" i="35"/>
  <c r="R111" i="35"/>
  <c r="AF115" i="35"/>
  <c r="AF116" i="35"/>
  <c r="AF117" i="35"/>
  <c r="AF118" i="35"/>
  <c r="AF119" i="35"/>
  <c r="AF120" i="35"/>
  <c r="AF121" i="35"/>
  <c r="AF122" i="35"/>
  <c r="AU105" i="35"/>
  <c r="AQ107" i="35"/>
  <c r="AQ108" i="35"/>
  <c r="AQ109" i="35"/>
  <c r="AW109" i="35" s="1"/>
  <c r="AQ110" i="35"/>
  <c r="AW110" i="35" s="1"/>
  <c r="AQ111" i="35"/>
  <c r="AW111" i="35" s="1"/>
  <c r="AZ40" i="34"/>
  <c r="AO17" i="34"/>
  <c r="AV17" i="34" s="1" a="1"/>
  <c r="AV17" i="34" s="1"/>
  <c r="AZ17" i="34" s="1"/>
  <c r="L105" i="34"/>
  <c r="R9" i="34"/>
  <c r="R10" i="34"/>
  <c r="R11" i="34"/>
  <c r="R12" i="34"/>
  <c r="R13" i="34"/>
  <c r="R14" i="34"/>
  <c r="R15" i="34"/>
  <c r="R16" i="34"/>
  <c r="R17" i="34"/>
  <c r="R18" i="34"/>
  <c r="R19" i="34"/>
  <c r="R20" i="34"/>
  <c r="R21" i="34"/>
  <c r="R22" i="34"/>
  <c r="R23" i="34"/>
  <c r="R24" i="34"/>
  <c r="R25" i="34"/>
  <c r="R26" i="34"/>
  <c r="R27" i="34"/>
  <c r="R28" i="34"/>
  <c r="U105" i="34"/>
  <c r="AN3" i="34"/>
  <c r="AN105" i="34" s="1"/>
  <c r="AQ29" i="34"/>
  <c r="AQ30" i="34"/>
  <c r="AW30" i="34" s="1"/>
  <c r="AQ31" i="34"/>
  <c r="AW31" i="34" s="1"/>
  <c r="AQ32" i="34"/>
  <c r="AQ33" i="34"/>
  <c r="AQ34" i="34"/>
  <c r="AQ35" i="34"/>
  <c r="AW35" i="34" s="1"/>
  <c r="AQ36" i="34"/>
  <c r="AW36" i="34" s="1"/>
  <c r="AQ37" i="34"/>
  <c r="AQ38" i="34"/>
  <c r="AW38" i="34" s="1"/>
  <c r="AQ39" i="34"/>
  <c r="AQ4" i="34"/>
  <c r="AQ5" i="34"/>
  <c r="AQ6" i="34"/>
  <c r="AQ7" i="34"/>
  <c r="AQ8" i="34"/>
  <c r="AQ9" i="34"/>
  <c r="AQ10" i="34"/>
  <c r="AQ11" i="34"/>
  <c r="AQ12" i="34"/>
  <c r="AQ13" i="34"/>
  <c r="AQ14" i="34"/>
  <c r="AQ15" i="34"/>
  <c r="AQ16" i="34"/>
  <c r="AQ17" i="34"/>
  <c r="AQ18" i="34"/>
  <c r="AQ19" i="34"/>
  <c r="AW19" i="34" s="1"/>
  <c r="AQ20" i="34"/>
  <c r="AW20" i="34" s="1"/>
  <c r="AQ21" i="34"/>
  <c r="AW21" i="34" s="1"/>
  <c r="AQ22" i="34"/>
  <c r="AQ23" i="34"/>
  <c r="AW23" i="34" s="1"/>
  <c r="AQ24" i="34"/>
  <c r="AW24" i="34" s="1"/>
  <c r="AQ25" i="34"/>
  <c r="AQ26" i="34"/>
  <c r="AQ27" i="34"/>
  <c r="AQ28" i="34"/>
  <c r="AS40" i="34"/>
  <c r="AS13" i="34"/>
  <c r="AS14" i="34"/>
  <c r="AS15" i="34"/>
  <c r="AS16" i="34"/>
  <c r="AS17" i="34"/>
  <c r="AS18" i="34"/>
  <c r="AS19" i="34"/>
  <c r="AS20" i="34"/>
  <c r="AS21" i="34"/>
  <c r="AS22" i="34"/>
  <c r="AS23" i="34"/>
  <c r="AS24" i="34"/>
  <c r="AS25" i="34"/>
  <c r="AS26" i="34"/>
  <c r="AS27" i="34"/>
  <c r="AS28" i="34"/>
  <c r="AO45" i="34"/>
  <c r="AV45" i="34" s="1" a="1"/>
  <c r="AV45" i="34" s="1"/>
  <c r="AZ45" i="34" s="1"/>
  <c r="E105" i="34"/>
  <c r="AC3" i="34"/>
  <c r="AQ59" i="34"/>
  <c r="AW59" i="34" s="1"/>
  <c r="AQ60" i="34"/>
  <c r="AW60" i="34" s="1"/>
  <c r="AQ61" i="34"/>
  <c r="AW61" i="34" s="1"/>
  <c r="AQ62" i="34"/>
  <c r="AW62" i="34" s="1"/>
  <c r="AQ63" i="34"/>
  <c r="AW63" i="34" s="1"/>
  <c r="AQ64" i="34"/>
  <c r="AW64" i="34" s="1"/>
  <c r="AQ65" i="34"/>
  <c r="AW65" i="34" s="1"/>
  <c r="AQ66" i="34"/>
  <c r="AW66" i="34" s="1"/>
  <c r="AQ67" i="34"/>
  <c r="AQ68" i="34"/>
  <c r="AW68" i="34" s="1"/>
  <c r="AQ69" i="34"/>
  <c r="AW69" i="34" s="1"/>
  <c r="AQ70" i="34"/>
  <c r="AQ71" i="34"/>
  <c r="AW71" i="34" s="1"/>
  <c r="AQ72" i="34"/>
  <c r="AQ73" i="34"/>
  <c r="AQ74" i="34"/>
  <c r="AW74" i="34" s="1"/>
  <c r="AQ75" i="34"/>
  <c r="AW75" i="34" s="1"/>
  <c r="AQ76" i="34"/>
  <c r="AW76" i="34" s="1"/>
  <c r="AF126" i="34"/>
  <c r="L113" i="34"/>
  <c r="AS69" i="34"/>
  <c r="AS70" i="34"/>
  <c r="AS71" i="34"/>
  <c r="AS72" i="34"/>
  <c r="AS73" i="34"/>
  <c r="AS74" i="34"/>
  <c r="AS75" i="34"/>
  <c r="AS76" i="34"/>
  <c r="AO61" i="34"/>
  <c r="AV61" i="34" s="1" a="1"/>
  <c r="AV61" i="34" s="1"/>
  <c r="AT112" i="34"/>
  <c r="AF113" i="34"/>
  <c r="AF124" i="34"/>
  <c r="AQ123" i="34"/>
  <c r="R61" i="34"/>
  <c r="R62" i="34"/>
  <c r="R63" i="34"/>
  <c r="R64" i="34"/>
  <c r="R65" i="34"/>
  <c r="R66" i="34"/>
  <c r="R67" i="34"/>
  <c r="R68" i="34"/>
  <c r="R69" i="34"/>
  <c r="R70" i="34"/>
  <c r="R71" i="34"/>
  <c r="R72" i="34"/>
  <c r="R73" i="34"/>
  <c r="R74" i="34"/>
  <c r="R75" i="34"/>
  <c r="R76" i="34"/>
  <c r="AU113" i="34"/>
  <c r="AW123" i="34"/>
  <c r="AS123" i="34"/>
  <c r="E124" i="34"/>
  <c r="AU124" i="34"/>
  <c r="R103" i="34"/>
  <c r="U113" i="34"/>
  <c r="AR123" i="34"/>
  <c r="R107" i="34"/>
  <c r="R108" i="34"/>
  <c r="R109" i="34"/>
  <c r="R110" i="34"/>
  <c r="R111" i="34"/>
  <c r="U124" i="34"/>
  <c r="AO91" i="34"/>
  <c r="AV91" i="34" s="1" a="1"/>
  <c r="AV91" i="34" s="1"/>
  <c r="AZ91" i="34" s="1"/>
  <c r="AO100" i="34"/>
  <c r="AV100" i="34" s="1" a="1"/>
  <c r="AV100" i="34" s="1"/>
  <c r="AZ100" i="34" s="1"/>
  <c r="AO101" i="34"/>
  <c r="AV101" i="34" s="1" a="1"/>
  <c r="AV101" i="34" s="1"/>
  <c r="AF105" i="34"/>
  <c r="AD124" i="34"/>
  <c r="AQ95" i="34"/>
  <c r="AW95" i="34" s="1"/>
  <c r="AQ96" i="34"/>
  <c r="AW96" i="34" s="1"/>
  <c r="AQ97" i="34"/>
  <c r="AW97" i="34" s="1"/>
  <c r="AQ98" i="34"/>
  <c r="AW98" i="34" s="1"/>
  <c r="AQ99" i="34"/>
  <c r="AW99" i="34" s="1"/>
  <c r="AQ100" i="34"/>
  <c r="AW100" i="34" s="1"/>
  <c r="AQ101" i="34"/>
  <c r="AW101" i="34" s="1"/>
  <c r="AQ102" i="34"/>
  <c r="AW102" i="34" s="1"/>
  <c r="AQ103" i="34"/>
  <c r="AW103" i="34" s="1"/>
  <c r="AW107" i="34"/>
  <c r="AN115" i="34"/>
  <c r="AN124" i="34" s="1"/>
  <c r="AU105" i="34"/>
  <c r="AQ108" i="34"/>
  <c r="AQ109" i="34"/>
  <c r="AW109" i="34" s="1"/>
  <c r="AQ110" i="34"/>
  <c r="AW110" i="34" s="1"/>
  <c r="AQ111" i="34"/>
  <c r="AW111" i="34" s="1"/>
  <c r="AH126" i="33"/>
  <c r="AG126" i="33"/>
  <c r="AT123" i="33"/>
  <c r="AE126" i="33"/>
  <c r="AF124" i="33"/>
  <c r="Y126" i="33"/>
  <c r="Z126" i="33"/>
  <c r="AA105" i="33"/>
  <c r="AF105" i="33" s="1"/>
  <c r="AO95" i="33"/>
  <c r="AV95" i="33" s="1" a="1"/>
  <c r="AV95" i="33" s="1"/>
  <c r="AZ95" i="33" s="1"/>
  <c r="V126" i="33"/>
  <c r="W126" i="33"/>
  <c r="X124" i="33"/>
  <c r="S126" i="33"/>
  <c r="AU124" i="33"/>
  <c r="AU123" i="33"/>
  <c r="AT112" i="33"/>
  <c r="AS55" i="33"/>
  <c r="R8" i="33"/>
  <c r="R20" i="33"/>
  <c r="AQ23" i="33"/>
  <c r="AW23" i="33" s="1"/>
  <c r="AQ25" i="33"/>
  <c r="R57" i="33"/>
  <c r="AO65" i="33"/>
  <c r="AV65" i="33" s="1" a="1"/>
  <c r="AV65" i="33" s="1"/>
  <c r="AS83" i="33"/>
  <c r="AQ87" i="33"/>
  <c r="AS34" i="33"/>
  <c r="R5" i="33"/>
  <c r="AQ12" i="33"/>
  <c r="R23" i="33"/>
  <c r="AQ26" i="33"/>
  <c r="R50" i="33"/>
  <c r="AS50" i="33"/>
  <c r="AS52" i="33"/>
  <c r="AS80" i="33"/>
  <c r="AQ96" i="33"/>
  <c r="AW96" i="33" s="1"/>
  <c r="AQ98" i="33"/>
  <c r="R10" i="33"/>
  <c r="R26" i="33"/>
  <c r="AS85" i="33"/>
  <c r="AQ22" i="33"/>
  <c r="AQ35" i="33"/>
  <c r="AW35" i="33" s="1"/>
  <c r="AQ37" i="33"/>
  <c r="AS89" i="33"/>
  <c r="AS96" i="33"/>
  <c r="AQ100" i="33"/>
  <c r="AW100" i="33" s="1"/>
  <c r="T126" i="33"/>
  <c r="R4" i="33"/>
  <c r="R22" i="33"/>
  <c r="AQ28" i="33"/>
  <c r="R35" i="33"/>
  <c r="R46" i="33"/>
  <c r="AS46" i="33"/>
  <c r="R49" i="33"/>
  <c r="AS49" i="33"/>
  <c r="AQ61" i="33"/>
  <c r="AW61" i="33" s="1"/>
  <c r="AS62" i="33"/>
  <c r="AQ64" i="33"/>
  <c r="AW64" i="33" s="1"/>
  <c r="AQ65" i="33"/>
  <c r="AW65" i="33" s="1"/>
  <c r="AQ79" i="33"/>
  <c r="AW79" i="33" s="1"/>
  <c r="AQ86" i="33"/>
  <c r="AW86" i="33" s="1"/>
  <c r="AQ88" i="33"/>
  <c r="AQ21" i="33"/>
  <c r="AW21" i="33" s="1"/>
  <c r="AQ34" i="33"/>
  <c r="AS35" i="33"/>
  <c r="AS51" i="33"/>
  <c r="AS53" i="33"/>
  <c r="R58" i="33"/>
  <c r="AS58" i="33"/>
  <c r="R61" i="33"/>
  <c r="R64" i="33"/>
  <c r="AS74" i="33"/>
  <c r="R84" i="33"/>
  <c r="AS100" i="33"/>
  <c r="R6" i="33"/>
  <c r="R21" i="33"/>
  <c r="AQ24" i="33"/>
  <c r="AW24" i="33" s="1"/>
  <c r="R34" i="33"/>
  <c r="R51" i="33"/>
  <c r="R53" i="33"/>
  <c r="AS61" i="33"/>
  <c r="R88" i="33"/>
  <c r="AS88" i="33"/>
  <c r="AB124" i="33"/>
  <c r="AB105" i="33"/>
  <c r="AO68" i="33"/>
  <c r="AV68" i="33" s="1" a="1"/>
  <c r="AV68" i="33" s="1"/>
  <c r="AN105" i="33"/>
  <c r="AW22" i="33"/>
  <c r="AO4" i="33"/>
  <c r="AV4" i="33" s="1" a="1"/>
  <c r="AV4" i="33" s="1"/>
  <c r="AZ4" i="33" s="1"/>
  <c r="AS6" i="33"/>
  <c r="AS8" i="33"/>
  <c r="E105" i="33"/>
  <c r="AT104" i="33"/>
  <c r="AO8" i="33"/>
  <c r="AV8" i="33" s="1" a="1"/>
  <c r="AV8" i="33" s="1"/>
  <c r="R12" i="33"/>
  <c r="AQ36" i="33"/>
  <c r="AW36" i="33" s="1"/>
  <c r="AQ38" i="33"/>
  <c r="AW38" i="33" s="1"/>
  <c r="R38" i="33"/>
  <c r="AQ39" i="33"/>
  <c r="R39" i="33"/>
  <c r="AS39" i="33"/>
  <c r="R69" i="33"/>
  <c r="AS69" i="33"/>
  <c r="R82" i="33"/>
  <c r="AQ82" i="33"/>
  <c r="AW82" i="33" s="1"/>
  <c r="AS82" i="33"/>
  <c r="AS4" i="33"/>
  <c r="AS5" i="33"/>
  <c r="AS7" i="33"/>
  <c r="AS9" i="33"/>
  <c r="AS10" i="33"/>
  <c r="AQ40" i="33"/>
  <c r="AW40" i="33" s="1"/>
  <c r="R40" i="33"/>
  <c r="AQ41" i="33"/>
  <c r="AW41" i="33" s="1"/>
  <c r="R41" i="33"/>
  <c r="AS41" i="33"/>
  <c r="AS60" i="33"/>
  <c r="AQ60" i="33"/>
  <c r="L105" i="33"/>
  <c r="AU104" i="33"/>
  <c r="R14" i="33"/>
  <c r="R16" i="33"/>
  <c r="R18" i="33"/>
  <c r="AQ18" i="33"/>
  <c r="AO34" i="33"/>
  <c r="AV34" i="33" s="1" a="1"/>
  <c r="AV34" i="33" s="1"/>
  <c r="AQ14" i="33"/>
  <c r="AQ16" i="33"/>
  <c r="AQ56" i="33"/>
  <c r="AS56" i="33"/>
  <c r="R56" i="33"/>
  <c r="AQ75" i="33"/>
  <c r="U105" i="33"/>
  <c r="AQ11" i="33"/>
  <c r="AO37" i="33"/>
  <c r="AV37" i="33" s="1" a="1"/>
  <c r="AV37" i="33" s="1"/>
  <c r="AZ37" i="33" s="1"/>
  <c r="X105" i="33"/>
  <c r="R13" i="33"/>
  <c r="R15" i="33"/>
  <c r="R17" i="33"/>
  <c r="AQ66" i="33"/>
  <c r="AW66" i="33" s="1"/>
  <c r="R66" i="33"/>
  <c r="AS66" i="33"/>
  <c r="AQ13" i="33"/>
  <c r="AQ15" i="33"/>
  <c r="AQ17" i="33"/>
  <c r="R29" i="33"/>
  <c r="AS29" i="33"/>
  <c r="R30" i="33"/>
  <c r="AS30" i="33"/>
  <c r="R31" i="33"/>
  <c r="AS31" i="33"/>
  <c r="R32" i="33"/>
  <c r="AS32" i="33"/>
  <c r="R33" i="33"/>
  <c r="AS33" i="33"/>
  <c r="AQ42" i="33"/>
  <c r="AW42" i="33" s="1"/>
  <c r="R42" i="33"/>
  <c r="R60" i="33"/>
  <c r="R97" i="33"/>
  <c r="AS97" i="33"/>
  <c r="AS37" i="33"/>
  <c r="AS68" i="33"/>
  <c r="AQ68" i="33"/>
  <c r="AW68" i="33" s="1"/>
  <c r="R68" i="33"/>
  <c r="AS81" i="33"/>
  <c r="R81" i="33"/>
  <c r="AO81" i="33"/>
  <c r="AV81" i="33" s="1" a="1"/>
  <c r="AV81" i="33" s="1"/>
  <c r="AO88" i="33"/>
  <c r="AV88" i="33" s="1" a="1"/>
  <c r="AV88" i="33" s="1"/>
  <c r="AO89" i="33"/>
  <c r="AV89" i="33" s="1" a="1"/>
  <c r="AV89" i="33" s="1"/>
  <c r="AW89" i="33" s="1"/>
  <c r="AQ102" i="33"/>
  <c r="AW102" i="33" s="1"/>
  <c r="AS102" i="33"/>
  <c r="R102" i="33"/>
  <c r="AS108" i="33"/>
  <c r="AQ108" i="33"/>
  <c r="AW108" i="33" s="1"/>
  <c r="AO108" i="33"/>
  <c r="AV108" i="33" s="1" a="1"/>
  <c r="AV108" i="33" s="1"/>
  <c r="R108" i="33"/>
  <c r="R63" i="33"/>
  <c r="AO63" i="33"/>
  <c r="AV63" i="33" s="1" a="1"/>
  <c r="AV63" i="33" s="1"/>
  <c r="AQ63" i="33"/>
  <c r="AW63" i="33" s="1"/>
  <c r="AQ70" i="33"/>
  <c r="AW70" i="33" s="1"/>
  <c r="R70" i="33"/>
  <c r="AS70" i="33"/>
  <c r="AQ73" i="33"/>
  <c r="R73" i="33"/>
  <c r="AS73" i="33"/>
  <c r="AS76" i="33"/>
  <c r="R76" i="33"/>
  <c r="AQ76" i="33"/>
  <c r="AQ77" i="33"/>
  <c r="AW77" i="33" s="1"/>
  <c r="R77" i="33"/>
  <c r="AS77" i="33"/>
  <c r="AQ94" i="33"/>
  <c r="AW94" i="33" s="1"/>
  <c r="R94" i="33"/>
  <c r="AW91" i="33"/>
  <c r="AO79" i="33"/>
  <c r="AV79" i="33" s="1" a="1"/>
  <c r="AV79" i="33" s="1"/>
  <c r="AQ80" i="33"/>
  <c r="AW80" i="33" s="1"/>
  <c r="AS110" i="33"/>
  <c r="AQ110" i="33"/>
  <c r="AW110" i="33" s="1"/>
  <c r="R110" i="33"/>
  <c r="AQ97" i="33"/>
  <c r="AW97" i="33" s="1"/>
  <c r="AS109" i="33"/>
  <c r="AQ109" i="33"/>
  <c r="AW109" i="33" s="1"/>
  <c r="R109" i="33"/>
  <c r="AO44" i="33"/>
  <c r="AV44" i="33" s="1" a="1"/>
  <c r="AV44" i="33" s="1"/>
  <c r="AZ44" i="33" s="1"/>
  <c r="R55" i="33"/>
  <c r="AS57" i="33"/>
  <c r="AO67" i="33"/>
  <c r="AV67" i="33" s="1" a="1"/>
  <c r="AV67" i="33" s="1"/>
  <c r="AQ72" i="33"/>
  <c r="AQ84" i="33"/>
  <c r="AW84" i="33" s="1"/>
  <c r="AQ93" i="33"/>
  <c r="AW93" i="33" s="1"/>
  <c r="AN124" i="33"/>
  <c r="AO62" i="33"/>
  <c r="AV62" i="33" s="1" a="1"/>
  <c r="AV62" i="33" s="1"/>
  <c r="R71" i="33"/>
  <c r="AQ74" i="33"/>
  <c r="AS86" i="33"/>
  <c r="R89" i="33"/>
  <c r="AS98" i="33"/>
  <c r="AU105" i="33"/>
  <c r="L113" i="33"/>
  <c r="AQ85" i="33"/>
  <c r="AO85" i="33"/>
  <c r="AV85" i="33" s="1" a="1"/>
  <c r="AV85" i="33" s="1"/>
  <c r="AQ71" i="33"/>
  <c r="AS87" i="33"/>
  <c r="R87" i="33"/>
  <c r="AO101" i="33"/>
  <c r="AV101" i="33" s="1" a="1"/>
  <c r="AV101" i="33" s="1"/>
  <c r="AS101" i="33"/>
  <c r="R101" i="33"/>
  <c r="AQ101" i="33"/>
  <c r="J126" i="33"/>
  <c r="AQ120" i="33"/>
  <c r="AW120" i="33" s="1"/>
  <c r="AS120" i="33"/>
  <c r="R120" i="33"/>
  <c r="AQ122" i="33"/>
  <c r="AW122" i="33" s="1"/>
  <c r="AS122" i="33"/>
  <c r="AS71" i="33"/>
  <c r="AS79" i="33"/>
  <c r="R79" i="33"/>
  <c r="R90" i="33"/>
  <c r="AQ90" i="33"/>
  <c r="AW90" i="33" s="1"/>
  <c r="R92" i="33"/>
  <c r="AO96" i="33"/>
  <c r="AV96" i="33" s="1" a="1"/>
  <c r="AV96" i="33" s="1"/>
  <c r="AM126" i="33"/>
  <c r="X113" i="33"/>
  <c r="AN107" i="33"/>
  <c r="AN113" i="33" s="1"/>
  <c r="AQ92" i="33"/>
  <c r="AW92" i="33" s="1"/>
  <c r="AO98" i="33"/>
  <c r="AV98" i="33" s="1" a="1"/>
  <c r="AV98" i="33" s="1"/>
  <c r="AW98" i="33" s="1"/>
  <c r="AO103" i="33"/>
  <c r="AV103" i="33" s="1" a="1"/>
  <c r="AV103" i="33" s="1"/>
  <c r="AQ103" i="33"/>
  <c r="AW103" i="33" s="1"/>
  <c r="AS103" i="33"/>
  <c r="AQ99" i="33"/>
  <c r="AW99" i="33" s="1"/>
  <c r="AS107" i="33"/>
  <c r="AQ107" i="33"/>
  <c r="U113" i="33"/>
  <c r="AQ115" i="33"/>
  <c r="U124" i="33"/>
  <c r="AD124" i="33"/>
  <c r="AS115" i="33"/>
  <c r="AQ116" i="33"/>
  <c r="AW116" i="33" s="1"/>
  <c r="AS116" i="33"/>
  <c r="AQ117" i="33"/>
  <c r="AW117" i="33" s="1"/>
  <c r="AS117" i="33"/>
  <c r="AQ118" i="33"/>
  <c r="AW118" i="33" s="1"/>
  <c r="AS118" i="33"/>
  <c r="AQ119" i="33"/>
  <c r="AW119" i="33" s="1"/>
  <c r="AO119" i="33"/>
  <c r="AV119" i="33" s="1" a="1"/>
  <c r="AV119" i="33" s="1"/>
  <c r="AS119" i="33"/>
  <c r="AD113" i="33"/>
  <c r="P10" i="3" s="1"/>
  <c r="AS111" i="33"/>
  <c r="AQ111" i="33"/>
  <c r="AW111" i="33" s="1"/>
  <c r="AQ121" i="33"/>
  <c r="AS121" i="33"/>
  <c r="L115" i="33"/>
  <c r="L124" i="33" s="1"/>
  <c r="E124" i="33"/>
  <c r="AU113" i="33"/>
  <c r="F105" i="29"/>
  <c r="G105" i="29"/>
  <c r="H105" i="29"/>
  <c r="F113" i="29"/>
  <c r="F126" i="29" s="1"/>
  <c r="G113" i="29"/>
  <c r="G126" i="29" s="1"/>
  <c r="H113" i="29"/>
  <c r="H126" i="29" s="1"/>
  <c r="F124" i="29"/>
  <c r="G124" i="29"/>
  <c r="H124" i="29"/>
  <c r="G73" i="55" l="1"/>
  <c r="G58" i="55"/>
  <c r="G62" i="53"/>
  <c r="G36" i="53"/>
  <c r="G88" i="53"/>
  <c r="G77" i="53"/>
  <c r="E89" i="53"/>
  <c r="F88" i="53"/>
  <c r="F62" i="53"/>
  <c r="E63" i="53"/>
  <c r="M74" i="55"/>
  <c r="L75" i="55"/>
  <c r="M75" i="55" s="1"/>
  <c r="E75" i="55"/>
  <c r="F75" i="55" s="1"/>
  <c r="F74" i="55"/>
  <c r="G60" i="48"/>
  <c r="M63" i="53"/>
  <c r="L64" i="53"/>
  <c r="M89" i="53"/>
  <c r="L90" i="53"/>
  <c r="G37" i="50"/>
  <c r="M86" i="50"/>
  <c r="L87" i="50"/>
  <c r="M60" i="50"/>
  <c r="L61" i="50"/>
  <c r="G53" i="47"/>
  <c r="G23" i="47"/>
  <c r="F60" i="48"/>
  <c r="E61" i="48"/>
  <c r="F86" i="48"/>
  <c r="E87" i="48"/>
  <c r="M87" i="48"/>
  <c r="L88" i="48"/>
  <c r="M61" i="48"/>
  <c r="G61" i="48" s="1"/>
  <c r="L62" i="48"/>
  <c r="G38" i="46"/>
  <c r="L55" i="47"/>
  <c r="M54" i="47"/>
  <c r="E81" i="47"/>
  <c r="F80" i="47"/>
  <c r="F54" i="47"/>
  <c r="E55" i="47"/>
  <c r="M80" i="47"/>
  <c r="G80" i="47" s="1"/>
  <c r="L81" i="47"/>
  <c r="AH10" i="3"/>
  <c r="F45" i="46"/>
  <c r="E46" i="46"/>
  <c r="M45" i="46"/>
  <c r="L46" i="46"/>
  <c r="AV89" i="35" a="1"/>
  <c r="AV89" i="35" s="1"/>
  <c r="AW89" i="35" s="1"/>
  <c r="C26" i="37"/>
  <c r="F32" i="45"/>
  <c r="E33" i="45"/>
  <c r="M31" i="45"/>
  <c r="L32" i="45"/>
  <c r="E30" i="44"/>
  <c r="F29" i="44"/>
  <c r="M30" i="44"/>
  <c r="G28" i="44" s="1"/>
  <c r="L31" i="44"/>
  <c r="N40" i="3"/>
  <c r="AN126" i="35"/>
  <c r="AN124" i="38"/>
  <c r="AN113" i="38"/>
  <c r="AO94" i="35"/>
  <c r="AS123" i="35"/>
  <c r="AB126" i="35"/>
  <c r="AO118" i="35"/>
  <c r="AV118" i="35" s="1" a="1"/>
  <c r="AV118" i="35" s="1"/>
  <c r="AZ118" i="35" s="1"/>
  <c r="AO121" i="35"/>
  <c r="AV121" i="35" s="1" a="1"/>
  <c r="AV121" i="35" s="1"/>
  <c r="AZ121" i="35" s="1"/>
  <c r="AD105" i="35"/>
  <c r="AD113" i="35"/>
  <c r="O11" i="3"/>
  <c r="AL59" i="34"/>
  <c r="AO59" i="34" s="1"/>
  <c r="AV59" i="34" s="1" a="1"/>
  <c r="AV59" i="34" s="1"/>
  <c r="AZ59" i="34" s="1"/>
  <c r="AL31" i="34"/>
  <c r="AV31" i="34" s="1" a="1"/>
  <c r="AV31" i="34" s="1"/>
  <c r="AZ31" i="34" s="1"/>
  <c r="AL33" i="34"/>
  <c r="AO33" i="34" s="1"/>
  <c r="AV33" i="34" s="1" a="1"/>
  <c r="AV33" i="34" s="1"/>
  <c r="AZ33" i="34" s="1"/>
  <c r="AL27" i="34"/>
  <c r="AO27" i="34" s="1"/>
  <c r="AV27" i="34" s="1" a="1"/>
  <c r="AV27" i="34" s="1"/>
  <c r="AZ27" i="34" s="1"/>
  <c r="AL60" i="34"/>
  <c r="AO60" i="34" s="1"/>
  <c r="AV60" i="34" s="1" a="1"/>
  <c r="AV60" i="34" s="1"/>
  <c r="AL5" i="34"/>
  <c r="AO5" i="34" s="1"/>
  <c r="AV5" i="34" s="1" a="1"/>
  <c r="AV5" i="34" s="1"/>
  <c r="AW5" i="34" s="1"/>
  <c r="AL80" i="34"/>
  <c r="AO80" i="34" s="1"/>
  <c r="AV80" i="34" s="1" a="1"/>
  <c r="AV80" i="34" s="1"/>
  <c r="AZ80" i="34" s="1"/>
  <c r="AL32" i="34"/>
  <c r="AO32" i="34" s="1"/>
  <c r="AV32" i="34" s="1" a="1"/>
  <c r="AV32" i="34" s="1"/>
  <c r="AZ32" i="34" s="1"/>
  <c r="AL85" i="34"/>
  <c r="AO85" i="34" s="1"/>
  <c r="AV85" i="34" s="1" a="1"/>
  <c r="AV85" i="34" s="1"/>
  <c r="AZ85" i="34" s="1"/>
  <c r="AL21" i="34"/>
  <c r="AO21" i="34" s="1"/>
  <c r="AV21" i="34" s="1" a="1"/>
  <c r="AV21" i="34" s="1"/>
  <c r="AZ21" i="34" s="1"/>
  <c r="AL64" i="34"/>
  <c r="AO64" i="34" s="1"/>
  <c r="AV64" i="34" s="1" a="1"/>
  <c r="AV64" i="34" s="1"/>
  <c r="AL41" i="34"/>
  <c r="AO41" i="34" s="1"/>
  <c r="AV41" i="34" s="1" a="1"/>
  <c r="AV41" i="34" s="1"/>
  <c r="AZ41" i="34" s="1"/>
  <c r="AL51" i="34"/>
  <c r="AO51" i="34" s="1"/>
  <c r="AV51" i="34" s="1" a="1"/>
  <c r="AV51" i="34" s="1"/>
  <c r="AZ51" i="34" s="1"/>
  <c r="AL56" i="34"/>
  <c r="AO56" i="34" s="1"/>
  <c r="AV56" i="34" s="1" a="1"/>
  <c r="AV56" i="34" s="1"/>
  <c r="AL115" i="34"/>
  <c r="AL22" i="34"/>
  <c r="AO22" i="34" s="1"/>
  <c r="AV22" i="34" s="1" a="1"/>
  <c r="AV22" i="34" s="1"/>
  <c r="AZ22" i="34" s="1"/>
  <c r="AL6" i="34"/>
  <c r="AO6" i="34" s="1"/>
  <c r="AV6" i="34" s="1" a="1"/>
  <c r="AV6" i="34" s="1"/>
  <c r="AZ6" i="34" s="1"/>
  <c r="AL118" i="34"/>
  <c r="AO118" i="34" s="1"/>
  <c r="AV118" i="34" s="1" a="1"/>
  <c r="AV118" i="34" s="1"/>
  <c r="AL52" i="34"/>
  <c r="AO52" i="34" s="1"/>
  <c r="AV52" i="34" s="1" a="1"/>
  <c r="AV52" i="34" s="1"/>
  <c r="AZ52" i="34" s="1"/>
  <c r="AL122" i="34"/>
  <c r="AO122" i="34" s="1"/>
  <c r="AV122" i="34" s="1" a="1"/>
  <c r="AV122" i="34" s="1"/>
  <c r="AL78" i="34"/>
  <c r="AO78" i="34" s="1"/>
  <c r="AV78" i="34" s="1" a="1"/>
  <c r="AV78" i="34" s="1"/>
  <c r="AZ78" i="34" s="1"/>
  <c r="AL30" i="34"/>
  <c r="AO30" i="34" s="1"/>
  <c r="AV30" i="34" s="1" a="1"/>
  <c r="AV30" i="34" s="1"/>
  <c r="AZ30" i="34" s="1"/>
  <c r="AL63" i="34"/>
  <c r="AO63" i="34" s="1"/>
  <c r="AV63" i="34" s="1" a="1"/>
  <c r="AV63" i="34" s="1"/>
  <c r="AZ63" i="34" s="1"/>
  <c r="AL18" i="34"/>
  <c r="AO18" i="34" s="1"/>
  <c r="AV18" i="34" s="1" a="1"/>
  <c r="AV18" i="34" s="1"/>
  <c r="AZ18" i="34" s="1"/>
  <c r="AL11" i="34"/>
  <c r="AO11" i="34" s="1"/>
  <c r="AV11" i="34" s="1" a="1"/>
  <c r="AV11" i="34" s="1"/>
  <c r="AZ11" i="34" s="1"/>
  <c r="AL28" i="34"/>
  <c r="AO28" i="34" s="1"/>
  <c r="AV28" i="34" s="1"/>
  <c r="AZ28" i="34" s="1"/>
  <c r="AL88" i="34"/>
  <c r="AO88" i="34" s="1"/>
  <c r="AV88" i="34" s="1" a="1"/>
  <c r="AV88" i="34" s="1"/>
  <c r="AZ88" i="34" s="1"/>
  <c r="AL48" i="34"/>
  <c r="AO48" i="34" s="1"/>
  <c r="AV48" i="34" s="1" a="1"/>
  <c r="AV48" i="34" s="1"/>
  <c r="AZ48" i="34" s="1"/>
  <c r="AL79" i="34"/>
  <c r="AO79" i="34" s="1"/>
  <c r="AV79" i="34" s="1" a="1"/>
  <c r="AV79" i="34" s="1"/>
  <c r="AZ79" i="34" s="1"/>
  <c r="AL14" i="34"/>
  <c r="AO14" i="34" s="1"/>
  <c r="AV14" i="34" s="1" a="1"/>
  <c r="AV14" i="34" s="1"/>
  <c r="AZ14" i="34" s="1"/>
  <c r="AL72" i="34"/>
  <c r="AO72" i="34" s="1"/>
  <c r="AV72" i="34" s="1" a="1"/>
  <c r="AV72" i="34" s="1"/>
  <c r="AX72" i="34" s="1"/>
  <c r="AL74" i="34"/>
  <c r="AO74" i="34" s="1"/>
  <c r="AV74" i="34" s="1" a="1"/>
  <c r="AV74" i="34" s="1"/>
  <c r="AX74" i="34" s="1"/>
  <c r="AL36" i="34"/>
  <c r="AO36" i="34" s="1"/>
  <c r="AV36" i="34" s="1" a="1"/>
  <c r="AV36" i="34" s="1"/>
  <c r="AZ36" i="34" s="1"/>
  <c r="AL69" i="34"/>
  <c r="AO69" i="34" s="1"/>
  <c r="AV69" i="34" s="1" a="1"/>
  <c r="AV69" i="34" s="1"/>
  <c r="AL70" i="34"/>
  <c r="AO70" i="34" s="1"/>
  <c r="AV70" i="34" s="1" a="1"/>
  <c r="AV70" i="34" s="1"/>
  <c r="AW70" i="34" s="1"/>
  <c r="AL15" i="34"/>
  <c r="AO15" i="34" s="1"/>
  <c r="AV15" i="34" s="1" a="1"/>
  <c r="AV15" i="34" s="1"/>
  <c r="AX15" i="34" s="1"/>
  <c r="AL58" i="34"/>
  <c r="AO58" i="34" s="1"/>
  <c r="AV58" i="34" s="1" a="1"/>
  <c r="AV58" i="34" s="1"/>
  <c r="AX58" i="34" s="1"/>
  <c r="AL10" i="34"/>
  <c r="AO10" i="34" s="1"/>
  <c r="AV10" i="34" s="1" a="1"/>
  <c r="AV10" i="34" s="1"/>
  <c r="AZ10" i="34" s="1"/>
  <c r="AL103" i="34"/>
  <c r="AO103" i="34" s="1"/>
  <c r="AV103" i="34" s="1" a="1"/>
  <c r="AV103" i="34" s="1"/>
  <c r="AX103" i="34" s="1"/>
  <c r="AL121" i="34"/>
  <c r="AO121" i="34" s="1"/>
  <c r="AV121" i="34" s="1" a="1"/>
  <c r="AV121" i="34" s="1"/>
  <c r="AZ121" i="34" s="1"/>
  <c r="AL96" i="34"/>
  <c r="AO96" i="34" s="1"/>
  <c r="AV96" i="34" s="1" a="1"/>
  <c r="AV96" i="34" s="1"/>
  <c r="AZ96" i="34" s="1"/>
  <c r="AL24" i="34"/>
  <c r="AO24" i="34" s="1"/>
  <c r="AV24" i="34" s="1" a="1"/>
  <c r="AV24" i="34" s="1"/>
  <c r="AZ24" i="34" s="1"/>
  <c r="AL57" i="34"/>
  <c r="AO57" i="34" s="1"/>
  <c r="AV57" i="34" s="1" a="1"/>
  <c r="AV57" i="34" s="1"/>
  <c r="AZ57" i="34" s="1"/>
  <c r="AL9" i="34"/>
  <c r="AO9" i="34" s="1"/>
  <c r="AV9" i="34" s="1" a="1"/>
  <c r="AV9" i="34" s="1"/>
  <c r="AZ9" i="34" s="1"/>
  <c r="AL62" i="34"/>
  <c r="AO62" i="34" s="1"/>
  <c r="AV62" i="34" s="1" a="1"/>
  <c r="AV62" i="34" s="1"/>
  <c r="AZ62" i="34" s="1"/>
  <c r="AL102" i="34"/>
  <c r="AO102" i="34" s="1"/>
  <c r="AV102" i="34" s="1" a="1"/>
  <c r="AV102" i="34" s="1"/>
  <c r="AX102" i="34" s="1"/>
  <c r="AL25" i="34"/>
  <c r="AO25" i="34" s="1"/>
  <c r="AV25" i="34" s="1" a="1"/>
  <c r="AV25" i="34" s="1"/>
  <c r="AZ25" i="34" s="1"/>
  <c r="AL19" i="34"/>
  <c r="AO19" i="34" s="1"/>
  <c r="AV19" i="34" s="1" a="1"/>
  <c r="AV19" i="34" s="1"/>
  <c r="AZ19" i="34" s="1"/>
  <c r="AL65" i="34"/>
  <c r="AO65" i="34" s="1"/>
  <c r="AV65" i="34" s="1" a="1"/>
  <c r="AV65" i="34" s="1"/>
  <c r="AL29" i="34"/>
  <c r="AO29" i="34" s="1"/>
  <c r="AV29" i="34" s="1" a="1"/>
  <c r="AV29" i="34" s="1"/>
  <c r="AZ29" i="34" s="1"/>
  <c r="AL53" i="34"/>
  <c r="AO53" i="34" s="1"/>
  <c r="AV53" i="34" s="1" a="1"/>
  <c r="AV53" i="34" s="1"/>
  <c r="AX53" i="34" s="1"/>
  <c r="AL107" i="34"/>
  <c r="AO107" i="34" s="1"/>
  <c r="AL98" i="34"/>
  <c r="AO98" i="34" s="1"/>
  <c r="AV98" i="34" s="1" a="1"/>
  <c r="AV98" i="34" s="1"/>
  <c r="AZ98" i="34" s="1"/>
  <c r="AL119" i="34"/>
  <c r="AO119" i="34" s="1"/>
  <c r="AV119" i="34" s="1" a="1"/>
  <c r="AV119" i="34" s="1"/>
  <c r="AX119" i="34" s="1"/>
  <c r="AL94" i="34"/>
  <c r="AO94" i="34" s="1"/>
  <c r="AV94" i="34" s="1" a="1"/>
  <c r="AV94" i="34" s="1"/>
  <c r="AW94" i="34" s="1"/>
  <c r="AL16" i="34"/>
  <c r="AO16" i="34" s="1"/>
  <c r="AV16" i="34" s="1" a="1"/>
  <c r="AV16" i="34" s="1"/>
  <c r="AZ16" i="34" s="1"/>
  <c r="AL54" i="34"/>
  <c r="AO54" i="34" s="1"/>
  <c r="AV54" i="34" s="1" a="1"/>
  <c r="AV54" i="34" s="1"/>
  <c r="AZ54" i="34" s="1"/>
  <c r="AL4" i="34"/>
  <c r="AO4" i="34" s="1"/>
  <c r="AV4" i="34" s="1" a="1"/>
  <c r="AV4" i="34" s="1"/>
  <c r="AW4" i="34" s="1"/>
  <c r="AL42" i="34"/>
  <c r="AO42" i="34" s="1"/>
  <c r="AV42" i="34" s="1" a="1"/>
  <c r="AV42" i="34" s="1"/>
  <c r="AX42" i="34" s="1"/>
  <c r="AL84" i="34"/>
  <c r="AO84" i="34" s="1"/>
  <c r="AV84" i="34" s="1" a="1"/>
  <c r="AV84" i="34" s="1"/>
  <c r="AZ84" i="34" s="1"/>
  <c r="AL20" i="34"/>
  <c r="AO20" i="34" s="1"/>
  <c r="AV20" i="34" s="1" a="1"/>
  <c r="AV20" i="34" s="1"/>
  <c r="AZ20" i="34" s="1"/>
  <c r="AL90" i="34"/>
  <c r="AO90" i="34" s="1"/>
  <c r="AV90" i="34" s="1" a="1"/>
  <c r="AV90" i="34" s="1"/>
  <c r="AZ90" i="34" s="1"/>
  <c r="AL55" i="34"/>
  <c r="AO55" i="34" s="1"/>
  <c r="AV55" i="34" s="1" a="1"/>
  <c r="AV55" i="34" s="1"/>
  <c r="AZ55" i="34" s="1"/>
  <c r="AL97" i="34"/>
  <c r="AO97" i="34" s="1"/>
  <c r="AV97" i="34" s="1" a="1"/>
  <c r="AV97" i="34" s="1"/>
  <c r="AZ97" i="34" s="1"/>
  <c r="AL50" i="34"/>
  <c r="AO50" i="34" s="1"/>
  <c r="AV50" i="34" s="1" a="1"/>
  <c r="AV50" i="34" s="1"/>
  <c r="AZ50" i="34" s="1"/>
  <c r="AL109" i="34"/>
  <c r="AO109" i="34" s="1"/>
  <c r="AV109" i="34" s="1" a="1"/>
  <c r="AV109" i="34" s="1"/>
  <c r="AL89" i="34"/>
  <c r="AO89" i="34" s="1"/>
  <c r="AV89" i="34" s="1" a="1"/>
  <c r="AV89" i="34" s="1"/>
  <c r="AZ89" i="34" s="1"/>
  <c r="AL117" i="34"/>
  <c r="AO117" i="34" s="1"/>
  <c r="AV117" i="34" s="1" a="1"/>
  <c r="AV117" i="34" s="1"/>
  <c r="AL87" i="34"/>
  <c r="AO87" i="34" s="1"/>
  <c r="AV87" i="34" s="1" a="1"/>
  <c r="AV87" i="34" s="1"/>
  <c r="AZ87" i="34" s="1"/>
  <c r="AL108" i="34"/>
  <c r="AO108" i="34" s="1"/>
  <c r="AV108" i="34" s="1" a="1"/>
  <c r="AV108" i="34" s="1"/>
  <c r="AX108" i="34" s="1"/>
  <c r="AX77" i="34"/>
  <c r="AL35" i="34"/>
  <c r="AO35" i="34" s="1"/>
  <c r="AV35" i="34" s="1" a="1"/>
  <c r="AV35" i="34" s="1"/>
  <c r="AZ35" i="34" s="1"/>
  <c r="AL46" i="34"/>
  <c r="AO46" i="34" s="1"/>
  <c r="AV46" i="34" s="1" a="1"/>
  <c r="AV46" i="34" s="1"/>
  <c r="AZ46" i="34" s="1"/>
  <c r="AL39" i="34"/>
  <c r="AO39" i="34" s="1"/>
  <c r="AV39" i="34" s="1" a="1"/>
  <c r="AV39" i="34" s="1"/>
  <c r="AZ39" i="34" s="1"/>
  <c r="AZ34" i="34"/>
  <c r="AX34" i="34"/>
  <c r="AW34" i="34"/>
  <c r="AX43" i="34"/>
  <c r="AX47" i="34"/>
  <c r="AW29" i="34"/>
  <c r="AW43" i="34"/>
  <c r="AX36" i="34"/>
  <c r="AW22" i="34"/>
  <c r="AW17" i="34"/>
  <c r="AW58" i="34"/>
  <c r="AW13" i="34"/>
  <c r="AW37" i="34"/>
  <c r="AX35" i="34"/>
  <c r="AW82" i="34"/>
  <c r="AW26" i="34"/>
  <c r="AX54" i="34"/>
  <c r="AW73" i="34"/>
  <c r="AW44" i="34"/>
  <c r="AL16" i="33"/>
  <c r="AO16" i="33" s="1"/>
  <c r="AV16" i="33" s="1" a="1"/>
  <c r="AV16" i="33" s="1"/>
  <c r="AL11" i="33"/>
  <c r="AO11" i="33" s="1"/>
  <c r="AV11" i="33" s="1" a="1"/>
  <c r="AV11" i="33" s="1"/>
  <c r="AL92" i="33"/>
  <c r="AO92" i="33" s="1"/>
  <c r="AV92" i="33" s="1" a="1"/>
  <c r="AV92" i="33" s="1"/>
  <c r="AL76" i="33"/>
  <c r="AO76" i="33" s="1"/>
  <c r="AV76" i="33" s="1" a="1"/>
  <c r="AV76" i="33" s="1"/>
  <c r="AL27" i="33"/>
  <c r="AO27" i="33" s="1"/>
  <c r="AV27" i="33" s="1" a="1"/>
  <c r="AV27" i="33" s="1"/>
  <c r="AZ27" i="33" s="1"/>
  <c r="AL20" i="33"/>
  <c r="AO20" i="33" s="1"/>
  <c r="AV20" i="33" s="1" a="1"/>
  <c r="AV20" i="33" s="1"/>
  <c r="AK10" i="3"/>
  <c r="AL87" i="33"/>
  <c r="AO87" i="33" s="1"/>
  <c r="AV87" i="33" s="1" a="1"/>
  <c r="AV87" i="33" s="1"/>
  <c r="AL47" i="33"/>
  <c r="AO47" i="33" s="1"/>
  <c r="AV47" i="33" s="1" a="1"/>
  <c r="AV47" i="33" s="1"/>
  <c r="AX47" i="33" s="1"/>
  <c r="AL13" i="33"/>
  <c r="AO13" i="33" s="1"/>
  <c r="AV13" i="33" s="1" a="1"/>
  <c r="AV13" i="33" s="1"/>
  <c r="AX13" i="33" s="1"/>
  <c r="AL82" i="33"/>
  <c r="AO82" i="33" s="1"/>
  <c r="AV82" i="33" s="1" a="1"/>
  <c r="AV82" i="33" s="1"/>
  <c r="AZ82" i="33" s="1"/>
  <c r="AL120" i="33"/>
  <c r="AO120" i="33" s="1"/>
  <c r="AV120" i="33" s="1" a="1"/>
  <c r="AV120" i="33" s="1"/>
  <c r="AL38" i="33"/>
  <c r="AO38" i="33" s="1"/>
  <c r="AV38" i="33" s="1" a="1"/>
  <c r="AV38" i="33" s="1"/>
  <c r="AZ38" i="33" s="1"/>
  <c r="AL90" i="33"/>
  <c r="AO90" i="33" s="1"/>
  <c r="AV90" i="33" s="1" a="1"/>
  <c r="AV90" i="33" s="1"/>
  <c r="AL18" i="33"/>
  <c r="AO18" i="33" s="1"/>
  <c r="AV18" i="33" s="1" a="1"/>
  <c r="AV18" i="33" s="1"/>
  <c r="AW18" i="33" s="1"/>
  <c r="AL9" i="33"/>
  <c r="AO9" i="33" s="1"/>
  <c r="AV9" i="33" s="1" a="1"/>
  <c r="AV9" i="33" s="1"/>
  <c r="AZ9" i="33" s="1"/>
  <c r="AL57" i="33"/>
  <c r="AO57" i="33" s="1"/>
  <c r="AV57" i="33" s="1" a="1"/>
  <c r="AV57" i="33" s="1"/>
  <c r="AZ57" i="33" s="1"/>
  <c r="AL5" i="33"/>
  <c r="AO5" i="33" s="1"/>
  <c r="AV5" i="33" s="1" a="1"/>
  <c r="AV5" i="33" s="1"/>
  <c r="AX5" i="33" s="1"/>
  <c r="AL111" i="33"/>
  <c r="AO111" i="33" s="1"/>
  <c r="AV111" i="33" s="1" a="1"/>
  <c r="AV111" i="33" s="1"/>
  <c r="AZ111" i="33" s="1"/>
  <c r="AL70" i="33"/>
  <c r="AO70" i="33" s="1"/>
  <c r="AV70" i="33" s="1" a="1"/>
  <c r="AV70" i="33" s="1"/>
  <c r="AL48" i="33"/>
  <c r="AO48" i="33" s="1"/>
  <c r="AV48" i="33" s="1" a="1"/>
  <c r="AV48" i="33" s="1"/>
  <c r="AZ48" i="33" s="1"/>
  <c r="AL66" i="33"/>
  <c r="AO66" i="33" s="1"/>
  <c r="AV66" i="33" s="1" a="1"/>
  <c r="AV66" i="33" s="1"/>
  <c r="AL33" i="33"/>
  <c r="AO33" i="33" s="1"/>
  <c r="AV33" i="33" s="1" a="1"/>
  <c r="AV33" i="33" s="1"/>
  <c r="AZ33" i="33" s="1"/>
  <c r="AL55" i="33"/>
  <c r="AO55" i="33" s="1"/>
  <c r="AV55" i="33" s="1" a="1"/>
  <c r="AV55" i="33" s="1"/>
  <c r="AZ55" i="33" s="1"/>
  <c r="AL54" i="33"/>
  <c r="AO54" i="33" s="1"/>
  <c r="AV54" i="33" s="1" a="1"/>
  <c r="AV54" i="33" s="1"/>
  <c r="AZ54" i="33" s="1"/>
  <c r="AL41" i="33"/>
  <c r="AO41" i="33" s="1"/>
  <c r="AV41" i="33" s="1" a="1"/>
  <c r="AV41" i="33" s="1"/>
  <c r="AZ41" i="33" s="1"/>
  <c r="AL110" i="33"/>
  <c r="AO110" i="33" s="1"/>
  <c r="AV110" i="33" s="1" a="1"/>
  <c r="AV110" i="33" s="1"/>
  <c r="AX110" i="33" s="1"/>
  <c r="AL43" i="33"/>
  <c r="AO43" i="33" s="1"/>
  <c r="AV43" i="33" s="1" a="1"/>
  <c r="AV43" i="33" s="1"/>
  <c r="AW43" i="33" s="1"/>
  <c r="AL107" i="33"/>
  <c r="AL71" i="33"/>
  <c r="AO71" i="33" s="1"/>
  <c r="AV71" i="33" s="1" a="1"/>
  <c r="AV71" i="33" s="1"/>
  <c r="AL118" i="33"/>
  <c r="AL124" i="33" s="1"/>
  <c r="AL36" i="33"/>
  <c r="AO36" i="33" s="1"/>
  <c r="AV36" i="33" s="1" a="1"/>
  <c r="AV36" i="33" s="1"/>
  <c r="AZ83" i="33"/>
  <c r="AX83" i="33"/>
  <c r="AX95" i="33"/>
  <c r="AW75" i="33"/>
  <c r="AW17" i="33"/>
  <c r="AZ91" i="33"/>
  <c r="L13" i="37"/>
  <c r="M12" i="37"/>
  <c r="G10" i="36"/>
  <c r="AO78" i="35"/>
  <c r="AO97" i="35"/>
  <c r="AL79" i="35"/>
  <c r="AL87" i="35"/>
  <c r="AO87" i="35" s="1"/>
  <c r="AL95" i="35"/>
  <c r="AL111" i="35"/>
  <c r="AO111" i="35" s="1"/>
  <c r="AV111" i="35" s="1" a="1"/>
  <c r="AV111" i="35" s="1"/>
  <c r="AZ111" i="35" s="1"/>
  <c r="AL122" i="35"/>
  <c r="AO122" i="35" s="1"/>
  <c r="AV122" i="35" s="1" a="1"/>
  <c r="AV122" i="35" s="1"/>
  <c r="AZ122" i="35" s="1"/>
  <c r="AS104" i="35"/>
  <c r="AL80" i="35"/>
  <c r="AL88" i="35"/>
  <c r="AL96" i="35"/>
  <c r="AO96" i="35" s="1"/>
  <c r="AL115" i="35"/>
  <c r="AO115" i="35" s="1"/>
  <c r="AV115" i="35" s="1" a="1"/>
  <c r="AV115" i="35" s="1"/>
  <c r="AL82" i="35"/>
  <c r="AO82" i="35" s="1"/>
  <c r="AL90" i="35"/>
  <c r="AO90" i="35" s="1"/>
  <c r="AL98" i="35"/>
  <c r="AO98" i="35" s="1"/>
  <c r="AL117" i="35"/>
  <c r="AO117" i="35" s="1"/>
  <c r="AV117" i="35" s="1" a="1"/>
  <c r="AV117" i="35" s="1"/>
  <c r="AZ117" i="35" s="1"/>
  <c r="AD124" i="35"/>
  <c r="AL84" i="35"/>
  <c r="AL92" i="35"/>
  <c r="AL108" i="35"/>
  <c r="AO108" i="35" s="1"/>
  <c r="AV108" i="35" s="1" a="1"/>
  <c r="AV108" i="35" s="1"/>
  <c r="AZ108" i="35" s="1"/>
  <c r="AL119" i="35"/>
  <c r="AO119" i="35" s="1"/>
  <c r="AV119" i="35" s="1" a="1"/>
  <c r="AV119" i="35" s="1"/>
  <c r="AZ119" i="35" s="1"/>
  <c r="AQ104" i="35"/>
  <c r="AL77" i="35"/>
  <c r="AO77" i="35" s="1"/>
  <c r="AL85" i="35"/>
  <c r="AL93" i="35"/>
  <c r="AO93" i="35" s="1"/>
  <c r="AL109" i="35"/>
  <c r="AO109" i="35" s="1"/>
  <c r="AV109" i="35" s="1" a="1"/>
  <c r="AV109" i="35" s="1"/>
  <c r="AZ109" i="35" s="1"/>
  <c r="AA126" i="35"/>
  <c r="AC75" i="35" s="1"/>
  <c r="AO91" i="35"/>
  <c r="AW115" i="35"/>
  <c r="AW123" i="35" s="1"/>
  <c r="AQ123" i="35"/>
  <c r="AO86" i="35"/>
  <c r="AO92" i="35"/>
  <c r="AL63" i="35"/>
  <c r="AO63" i="35" s="1"/>
  <c r="AL58" i="35"/>
  <c r="AO58" i="35" s="1"/>
  <c r="AL55" i="35"/>
  <c r="AO55" i="35" s="1"/>
  <c r="AL53" i="35"/>
  <c r="AO53" i="35" s="1"/>
  <c r="AL48" i="35"/>
  <c r="AO48" i="35" s="1"/>
  <c r="AL35" i="35"/>
  <c r="AO35" i="35" s="1"/>
  <c r="AL24" i="35"/>
  <c r="AO24" i="35" s="1"/>
  <c r="AL19" i="35"/>
  <c r="AO19" i="35" s="1"/>
  <c r="AL14" i="35"/>
  <c r="AO14" i="35" s="1"/>
  <c r="AL4" i="35"/>
  <c r="AO4" i="35" s="1"/>
  <c r="AL46" i="35"/>
  <c r="AO46" i="35" s="1"/>
  <c r="AL57" i="35"/>
  <c r="AO57" i="35" s="1"/>
  <c r="AL38" i="35"/>
  <c r="AO38" i="35" s="1"/>
  <c r="AL36" i="35"/>
  <c r="AO36" i="35" s="1"/>
  <c r="AL66" i="35"/>
  <c r="AO66" i="35" s="1"/>
  <c r="AL61" i="35"/>
  <c r="AO61" i="35" s="1"/>
  <c r="AL45" i="35"/>
  <c r="AO45" i="35" s="1"/>
  <c r="AL41" i="35"/>
  <c r="AO41" i="35" s="1"/>
  <c r="AL39" i="35"/>
  <c r="AO39" i="35" s="1"/>
  <c r="AL37" i="35"/>
  <c r="AO37" i="35" s="1"/>
  <c r="AL28" i="35"/>
  <c r="AO28" i="35" s="1"/>
  <c r="AL26" i="35"/>
  <c r="AO26" i="35" s="1"/>
  <c r="AL9" i="35"/>
  <c r="AO9" i="35" s="1"/>
  <c r="AL72" i="35"/>
  <c r="AO72" i="35" s="1"/>
  <c r="AL67" i="35"/>
  <c r="AO67" i="35" s="1"/>
  <c r="AL62" i="35"/>
  <c r="AO62" i="35" s="1"/>
  <c r="AL29" i="35"/>
  <c r="AO29" i="35" s="1"/>
  <c r="AL25" i="35"/>
  <c r="AO25" i="35" s="1"/>
  <c r="AL20" i="35"/>
  <c r="AO20" i="35" s="1"/>
  <c r="AL15" i="35"/>
  <c r="AO15" i="35" s="1"/>
  <c r="AL5" i="35"/>
  <c r="AO5" i="35" s="1"/>
  <c r="AL74" i="35"/>
  <c r="AO74" i="35" s="1"/>
  <c r="AL71" i="35"/>
  <c r="AO71" i="35" s="1"/>
  <c r="AL64" i="35"/>
  <c r="AO64" i="35" s="1"/>
  <c r="AL56" i="35"/>
  <c r="AO56" i="35" s="1"/>
  <c r="AL51" i="35"/>
  <c r="AO51" i="35" s="1"/>
  <c r="AL42" i="35"/>
  <c r="AO42" i="35" s="1"/>
  <c r="AL30" i="35"/>
  <c r="AO30" i="35" s="1"/>
  <c r="AL21" i="35"/>
  <c r="AO21" i="35" s="1"/>
  <c r="AL16" i="35"/>
  <c r="AO16" i="35" s="1"/>
  <c r="AL11" i="35"/>
  <c r="AO11" i="35" s="1"/>
  <c r="AL6" i="35"/>
  <c r="AO6" i="35" s="1"/>
  <c r="AL54" i="35"/>
  <c r="AO54" i="35" s="1"/>
  <c r="AL34" i="35"/>
  <c r="AO34" i="35" s="1"/>
  <c r="AL13" i="35"/>
  <c r="AO13" i="35" s="1"/>
  <c r="AL8" i="35"/>
  <c r="AL65" i="35"/>
  <c r="AO65" i="35" s="1"/>
  <c r="AL52" i="35"/>
  <c r="AO52" i="35" s="1"/>
  <c r="AL10" i="35"/>
  <c r="AO10" i="35" s="1"/>
  <c r="AL69" i="35"/>
  <c r="AO69" i="35" s="1"/>
  <c r="AL59" i="35"/>
  <c r="AO59" i="35" s="1"/>
  <c r="AL49" i="35"/>
  <c r="AO49" i="35" s="1"/>
  <c r="AL43" i="35"/>
  <c r="AO43" i="35" s="1"/>
  <c r="AL32" i="35"/>
  <c r="AO32" i="35" s="1"/>
  <c r="AL23" i="35"/>
  <c r="AO23" i="35" s="1"/>
  <c r="AL18" i="35"/>
  <c r="AO18" i="35" s="1"/>
  <c r="AL3" i="35"/>
  <c r="AL75" i="35"/>
  <c r="AO75" i="35" s="1"/>
  <c r="AL27" i="35"/>
  <c r="AO27" i="35" s="1"/>
  <c r="AL73" i="35"/>
  <c r="AO73" i="35" s="1"/>
  <c r="AL70" i="35"/>
  <c r="AO70" i="35" s="1"/>
  <c r="AL60" i="35"/>
  <c r="AO60" i="35" s="1"/>
  <c r="AL47" i="35"/>
  <c r="AO47" i="35" s="1"/>
  <c r="AL44" i="35"/>
  <c r="AO44" i="35" s="1"/>
  <c r="AL40" i="35"/>
  <c r="AO40" i="35" s="1"/>
  <c r="AL31" i="35"/>
  <c r="AO31" i="35" s="1"/>
  <c r="AL22" i="35"/>
  <c r="AO22" i="35" s="1"/>
  <c r="AL76" i="35"/>
  <c r="AO76" i="35" s="1"/>
  <c r="AL68" i="35"/>
  <c r="AO68" i="35" s="1"/>
  <c r="AL50" i="35"/>
  <c r="AO50" i="35" s="1"/>
  <c r="AL33" i="35"/>
  <c r="AO33" i="35" s="1"/>
  <c r="AL17" i="35"/>
  <c r="AO17" i="35" s="1"/>
  <c r="AL12" i="35"/>
  <c r="AO12" i="35" s="1"/>
  <c r="AL7" i="35"/>
  <c r="AO7" i="35" s="1"/>
  <c r="AO79" i="35"/>
  <c r="AO95" i="35"/>
  <c r="AO88" i="35"/>
  <c r="AO81" i="35"/>
  <c r="AO8" i="35"/>
  <c r="X126" i="35"/>
  <c r="L14" i="36"/>
  <c r="M13" i="36"/>
  <c r="E13" i="36"/>
  <c r="F12" i="36"/>
  <c r="AF105" i="35"/>
  <c r="AW28" i="34"/>
  <c r="AX37" i="34"/>
  <c r="AW47" i="34"/>
  <c r="AX49" i="34"/>
  <c r="AX29" i="34"/>
  <c r="AW49" i="34"/>
  <c r="AW45" i="34"/>
  <c r="AS104" i="34"/>
  <c r="AX38" i="34"/>
  <c r="AW67" i="34"/>
  <c r="AX44" i="34"/>
  <c r="AW8" i="34"/>
  <c r="AW12" i="34"/>
  <c r="AW81" i="34"/>
  <c r="AC113" i="34"/>
  <c r="AC124" i="34"/>
  <c r="AC105" i="34"/>
  <c r="AW28" i="33"/>
  <c r="AW121" i="33"/>
  <c r="AB126" i="33"/>
  <c r="AU126" i="33"/>
  <c r="AW72" i="33"/>
  <c r="AW27" i="33"/>
  <c r="AW95" i="33"/>
  <c r="AA126" i="33"/>
  <c r="AZ89" i="35"/>
  <c r="AX89" i="35"/>
  <c r="AZ120" i="35"/>
  <c r="AX120" i="35"/>
  <c r="AX122" i="35"/>
  <c r="AO83" i="35"/>
  <c r="AC25" i="35"/>
  <c r="AZ116" i="35"/>
  <c r="AX116" i="35"/>
  <c r="L126" i="35"/>
  <c r="AQ112" i="35"/>
  <c r="AW107" i="35"/>
  <c r="E126" i="35"/>
  <c r="AO3" i="35"/>
  <c r="C15" i="37" s="1"/>
  <c r="AO85" i="35"/>
  <c r="U126" i="35"/>
  <c r="AL124" i="35"/>
  <c r="AO107" i="35"/>
  <c r="AO80" i="35"/>
  <c r="AX110" i="35"/>
  <c r="AO84" i="35"/>
  <c r="AZ101" i="34"/>
  <c r="AX101" i="34"/>
  <c r="AZ119" i="34"/>
  <c r="AZ76" i="34"/>
  <c r="AX76" i="34"/>
  <c r="AZ60" i="34"/>
  <c r="AX60" i="34"/>
  <c r="AZ109" i="34"/>
  <c r="AX109" i="34"/>
  <c r="AZ120" i="34"/>
  <c r="AX120" i="34"/>
  <c r="AZ75" i="34"/>
  <c r="AX75" i="34"/>
  <c r="AZ67" i="34"/>
  <c r="AX67" i="34"/>
  <c r="AX121" i="34"/>
  <c r="AZ74" i="34"/>
  <c r="AZ66" i="34"/>
  <c r="AX66" i="34"/>
  <c r="AZ111" i="34"/>
  <c r="AX111" i="34"/>
  <c r="AZ122" i="34"/>
  <c r="AX122" i="34"/>
  <c r="AZ73" i="34"/>
  <c r="AX73" i="34"/>
  <c r="AZ65" i="34"/>
  <c r="AX65" i="34"/>
  <c r="AZ110" i="34"/>
  <c r="AX110" i="34"/>
  <c r="AZ64" i="34"/>
  <c r="AX64" i="34"/>
  <c r="AZ86" i="34"/>
  <c r="AX86" i="34"/>
  <c r="AZ102" i="34"/>
  <c r="AZ116" i="34"/>
  <c r="AX116" i="34"/>
  <c r="AZ71" i="34"/>
  <c r="AX71" i="34"/>
  <c r="AX63" i="34"/>
  <c r="AZ108" i="34"/>
  <c r="AZ117" i="34"/>
  <c r="AX117" i="34"/>
  <c r="AX62" i="34"/>
  <c r="AZ118" i="34"/>
  <c r="AX118" i="34"/>
  <c r="AZ69" i="34"/>
  <c r="AX69" i="34"/>
  <c r="AZ61" i="34"/>
  <c r="AX61" i="34"/>
  <c r="AX59" i="34"/>
  <c r="AX100" i="34"/>
  <c r="AO3" i="34"/>
  <c r="L126" i="34"/>
  <c r="AX28" i="34"/>
  <c r="AX92" i="34"/>
  <c r="AX96" i="34"/>
  <c r="AX78" i="34"/>
  <c r="AX23" i="34"/>
  <c r="AX26" i="34"/>
  <c r="AX9" i="34"/>
  <c r="AL124" i="34"/>
  <c r="AX91" i="34"/>
  <c r="AX21" i="34"/>
  <c r="AX24" i="34"/>
  <c r="AX84" i="34"/>
  <c r="AX93" i="34"/>
  <c r="AX99" i="34"/>
  <c r="AX68" i="34"/>
  <c r="AN126" i="34"/>
  <c r="AX8" i="34"/>
  <c r="AX82" i="34"/>
  <c r="AO115" i="34"/>
  <c r="AX85" i="34"/>
  <c r="AX95" i="34"/>
  <c r="AQ104" i="34"/>
  <c r="AW7" i="34"/>
  <c r="U126" i="34"/>
  <c r="AX17" i="34"/>
  <c r="AX12" i="34"/>
  <c r="AX45" i="34"/>
  <c r="AV107" i="34" a="1"/>
  <c r="AV107" i="34" s="1"/>
  <c r="AX81" i="34"/>
  <c r="AQ112" i="34"/>
  <c r="AZ7" i="34"/>
  <c r="AX41" i="34"/>
  <c r="AX13" i="34"/>
  <c r="AX83" i="34"/>
  <c r="AX97" i="34"/>
  <c r="E126" i="34"/>
  <c r="AD105" i="34"/>
  <c r="AX80" i="33"/>
  <c r="AX19" i="33"/>
  <c r="AX27" i="33"/>
  <c r="AZ23" i="33"/>
  <c r="AX23" i="33"/>
  <c r="AX55" i="33"/>
  <c r="AX72" i="33"/>
  <c r="AW25" i="33"/>
  <c r="AW12" i="33"/>
  <c r="AX42" i="33"/>
  <c r="AX22" i="33"/>
  <c r="AX35" i="33"/>
  <c r="AX40" i="33"/>
  <c r="AW15" i="33"/>
  <c r="AX26" i="33"/>
  <c r="AW26" i="33"/>
  <c r="AX46" i="33"/>
  <c r="AZ32" i="33"/>
  <c r="AX32" i="33"/>
  <c r="AZ77" i="33"/>
  <c r="AX77" i="33"/>
  <c r="AZ29" i="33"/>
  <c r="AX29" i="33"/>
  <c r="AW29" i="33"/>
  <c r="AZ8" i="33"/>
  <c r="AX8" i="33"/>
  <c r="AW8" i="33"/>
  <c r="AZ56" i="33"/>
  <c r="AX56" i="33"/>
  <c r="AZ81" i="33"/>
  <c r="AX81" i="33"/>
  <c r="AW81" i="33"/>
  <c r="AZ102" i="33"/>
  <c r="AX102" i="33"/>
  <c r="AZ31" i="33"/>
  <c r="AX31" i="33"/>
  <c r="AW31" i="33"/>
  <c r="AZ36" i="33"/>
  <c r="AX36" i="33"/>
  <c r="AZ7" i="33"/>
  <c r="AX7" i="33"/>
  <c r="AW7" i="33"/>
  <c r="AZ121" i="33"/>
  <c r="AX121" i="33"/>
  <c r="AZ6" i="33"/>
  <c r="AW6" i="33"/>
  <c r="AX6" i="33"/>
  <c r="AZ108" i="33"/>
  <c r="AX108" i="33"/>
  <c r="AZ39" i="33"/>
  <c r="AX39" i="33"/>
  <c r="AZ120" i="33"/>
  <c r="AX120" i="33"/>
  <c r="AZ97" i="33"/>
  <c r="AX97" i="33"/>
  <c r="AZ30" i="33"/>
  <c r="AX30" i="33"/>
  <c r="AW30" i="33"/>
  <c r="AZ66" i="33"/>
  <c r="AX66" i="33"/>
  <c r="AZ117" i="33"/>
  <c r="AX117" i="33"/>
  <c r="AZ94" i="33"/>
  <c r="AX94" i="33"/>
  <c r="AZ122" i="33"/>
  <c r="AX122" i="33"/>
  <c r="AZ10" i="33"/>
  <c r="AW10" i="33"/>
  <c r="AX10" i="33"/>
  <c r="AZ116" i="33"/>
  <c r="AX116" i="33"/>
  <c r="AZ74" i="33"/>
  <c r="AX74" i="33"/>
  <c r="AZ78" i="33"/>
  <c r="AX78" i="33"/>
  <c r="AZ34" i="33"/>
  <c r="AX34" i="33"/>
  <c r="AW34" i="33"/>
  <c r="AZ60" i="33"/>
  <c r="AX60" i="33"/>
  <c r="AX37" i="33"/>
  <c r="AS104" i="33"/>
  <c r="AW115" i="33"/>
  <c r="AQ123" i="33"/>
  <c r="AW101" i="33"/>
  <c r="AZ87" i="33"/>
  <c r="AX87" i="33"/>
  <c r="AZ92" i="33"/>
  <c r="AX92" i="33"/>
  <c r="AZ71" i="33"/>
  <c r="AX71" i="33"/>
  <c r="AW45" i="33"/>
  <c r="AZ45" i="33"/>
  <c r="AX52" i="33"/>
  <c r="AW87" i="33"/>
  <c r="AZ88" i="33"/>
  <c r="AX88" i="33"/>
  <c r="AW88" i="33"/>
  <c r="AD105" i="33"/>
  <c r="AZ69" i="33"/>
  <c r="AX69" i="33"/>
  <c r="AZ59" i="33"/>
  <c r="AX59" i="33"/>
  <c r="AN126" i="33"/>
  <c r="AO115" i="33"/>
  <c r="AZ101" i="33"/>
  <c r="AX101" i="33"/>
  <c r="AZ85" i="33"/>
  <c r="AX85" i="33"/>
  <c r="AZ62" i="33"/>
  <c r="AX62" i="33"/>
  <c r="AZ99" i="33"/>
  <c r="AX99" i="33"/>
  <c r="AW54" i="33"/>
  <c r="AZ21" i="33"/>
  <c r="AX21" i="33"/>
  <c r="AZ14" i="33"/>
  <c r="AX14" i="33"/>
  <c r="AZ24" i="33"/>
  <c r="AX24" i="33"/>
  <c r="L126" i="33"/>
  <c r="AW44" i="33"/>
  <c r="AZ15" i="33"/>
  <c r="AX15" i="33"/>
  <c r="AZ17" i="33"/>
  <c r="AX17" i="33"/>
  <c r="AZ103" i="33"/>
  <c r="AX103" i="33"/>
  <c r="AZ90" i="33"/>
  <c r="AX90" i="33"/>
  <c r="AW85" i="33"/>
  <c r="AZ61" i="33"/>
  <c r="AX61" i="33"/>
  <c r="AZ43" i="33"/>
  <c r="AZ73" i="33"/>
  <c r="AX73" i="33"/>
  <c r="AW60" i="33"/>
  <c r="AW37" i="33"/>
  <c r="AZ96" i="33"/>
  <c r="AX96" i="33"/>
  <c r="AQ112" i="33"/>
  <c r="AW107" i="33"/>
  <c r="AW112" i="33" s="1"/>
  <c r="AZ86" i="33"/>
  <c r="AX86" i="33"/>
  <c r="AS112" i="33"/>
  <c r="AX58" i="33"/>
  <c r="AW71" i="33"/>
  <c r="AZ67" i="33"/>
  <c r="AX67" i="33"/>
  <c r="AW67" i="33"/>
  <c r="AZ50" i="33"/>
  <c r="AW50" i="33"/>
  <c r="AO109" i="33"/>
  <c r="AV109" i="33" s="1" a="1"/>
  <c r="AV109" i="33" s="1"/>
  <c r="AX51" i="33"/>
  <c r="AX44" i="33"/>
  <c r="AW11" i="33"/>
  <c r="AW16" i="33"/>
  <c r="AQ104" i="33"/>
  <c r="AZ84" i="33"/>
  <c r="AX84" i="33"/>
  <c r="AZ93" i="33"/>
  <c r="AX93" i="33"/>
  <c r="AZ49" i="33"/>
  <c r="AW49" i="33"/>
  <c r="AW73" i="33"/>
  <c r="AZ63" i="33"/>
  <c r="AX63" i="33"/>
  <c r="AZ100" i="33"/>
  <c r="AX100" i="33"/>
  <c r="AW53" i="33"/>
  <c r="AZ20" i="33"/>
  <c r="AX20" i="33"/>
  <c r="U126" i="33"/>
  <c r="AZ75" i="33"/>
  <c r="AX75" i="33"/>
  <c r="AW56" i="33"/>
  <c r="AW14" i="33"/>
  <c r="AZ79" i="33"/>
  <c r="AX79" i="33"/>
  <c r="AZ98" i="33"/>
  <c r="AX98" i="33"/>
  <c r="AZ65" i="33"/>
  <c r="AX65" i="33"/>
  <c r="AS123" i="33"/>
  <c r="AW74" i="33"/>
  <c r="AX49" i="33"/>
  <c r="AV3" i="33"/>
  <c r="AX53" i="33"/>
  <c r="AW58" i="33"/>
  <c r="AZ12" i="33"/>
  <c r="AX12" i="33"/>
  <c r="AZ64" i="33"/>
  <c r="AX64" i="33"/>
  <c r="AX4" i="33"/>
  <c r="AZ119" i="33"/>
  <c r="AX119" i="33"/>
  <c r="AZ47" i="33"/>
  <c r="AW47" i="33"/>
  <c r="AZ76" i="33"/>
  <c r="AX76" i="33"/>
  <c r="AZ68" i="33"/>
  <c r="AX68" i="33"/>
  <c r="AW76" i="33"/>
  <c r="AZ70" i="33"/>
  <c r="AX70" i="33"/>
  <c r="AZ89" i="33"/>
  <c r="AX89" i="33"/>
  <c r="AZ25" i="33"/>
  <c r="AX25" i="33"/>
  <c r="AZ16" i="33"/>
  <c r="AX16" i="33"/>
  <c r="X126" i="33"/>
  <c r="AZ28" i="33"/>
  <c r="AX28" i="33"/>
  <c r="AW51" i="33"/>
  <c r="AZ11" i="33"/>
  <c r="AX11" i="33"/>
  <c r="AW39" i="33"/>
  <c r="E126" i="33"/>
  <c r="AW4" i="33"/>
  <c r="I105" i="29"/>
  <c r="J105" i="29"/>
  <c r="J126" i="29" s="1"/>
  <c r="I113" i="29"/>
  <c r="I126" i="29" s="1"/>
  <c r="J113" i="29"/>
  <c r="I124" i="29"/>
  <c r="J124" i="29"/>
  <c r="Q108" i="29"/>
  <c r="R108" i="29"/>
  <c r="Q109" i="29"/>
  <c r="R109" i="29"/>
  <c r="Q110" i="29"/>
  <c r="R110" i="29"/>
  <c r="Q111" i="29"/>
  <c r="R111" i="29"/>
  <c r="Q116" i="29"/>
  <c r="R116" i="29"/>
  <c r="Q117" i="29"/>
  <c r="R117" i="29"/>
  <c r="Q118" i="29"/>
  <c r="R118" i="29"/>
  <c r="Q119" i="29"/>
  <c r="R119" i="29"/>
  <c r="Q120" i="29"/>
  <c r="R120" i="29"/>
  <c r="Q121" i="29"/>
  <c r="R121" i="29"/>
  <c r="Q122" i="29"/>
  <c r="R122" i="29"/>
  <c r="R115" i="29"/>
  <c r="Q115" i="29"/>
  <c r="R107" i="29"/>
  <c r="Q107" i="29"/>
  <c r="Q4" i="29"/>
  <c r="R4" i="29"/>
  <c r="Q5" i="29"/>
  <c r="R5" i="29"/>
  <c r="Q6" i="29"/>
  <c r="R6" i="29"/>
  <c r="Q7" i="29"/>
  <c r="R7" i="29"/>
  <c r="Q8" i="29"/>
  <c r="R8" i="29"/>
  <c r="Q9" i="29"/>
  <c r="R9" i="29"/>
  <c r="Q10" i="29"/>
  <c r="R10" i="29"/>
  <c r="Q11" i="29"/>
  <c r="R11" i="29"/>
  <c r="Q12" i="29"/>
  <c r="R12" i="29"/>
  <c r="Q13" i="29"/>
  <c r="R13" i="29"/>
  <c r="Q14" i="29"/>
  <c r="R14" i="29"/>
  <c r="Q15" i="29"/>
  <c r="R15" i="29"/>
  <c r="Q16" i="29"/>
  <c r="R16" i="29"/>
  <c r="Q17" i="29"/>
  <c r="R17" i="29"/>
  <c r="Q18" i="29"/>
  <c r="R18" i="29"/>
  <c r="Q19" i="29"/>
  <c r="R19" i="29"/>
  <c r="Q20" i="29"/>
  <c r="R20" i="29"/>
  <c r="Q21" i="29"/>
  <c r="R21" i="29"/>
  <c r="Q22" i="29"/>
  <c r="R22" i="29"/>
  <c r="Q23" i="29"/>
  <c r="R23" i="29"/>
  <c r="Q24" i="29"/>
  <c r="R24" i="29"/>
  <c r="Q25" i="29"/>
  <c r="R25" i="29"/>
  <c r="Q26" i="29"/>
  <c r="R26" i="29"/>
  <c r="Q27" i="29"/>
  <c r="R27" i="29"/>
  <c r="Q28" i="29"/>
  <c r="R28" i="29"/>
  <c r="Q29" i="29"/>
  <c r="R29" i="29"/>
  <c r="Q30" i="29"/>
  <c r="R30" i="29"/>
  <c r="Q31" i="29"/>
  <c r="R31" i="29"/>
  <c r="Q32" i="29"/>
  <c r="R32" i="29"/>
  <c r="Q33" i="29"/>
  <c r="R33" i="29"/>
  <c r="Q34" i="29"/>
  <c r="R34" i="29"/>
  <c r="Q35" i="29"/>
  <c r="R35" i="29"/>
  <c r="Q36" i="29"/>
  <c r="R36" i="29"/>
  <c r="Q37" i="29"/>
  <c r="R37" i="29"/>
  <c r="Q38" i="29"/>
  <c r="R38" i="29"/>
  <c r="Q39" i="29"/>
  <c r="R39" i="29"/>
  <c r="Q40" i="29"/>
  <c r="R40" i="29"/>
  <c r="Q41" i="29"/>
  <c r="R41" i="29"/>
  <c r="Q42" i="29"/>
  <c r="R42" i="29"/>
  <c r="Q43" i="29"/>
  <c r="R43" i="29"/>
  <c r="Q44" i="29"/>
  <c r="R44" i="29"/>
  <c r="Q45" i="29"/>
  <c r="R45" i="29"/>
  <c r="Q46" i="29"/>
  <c r="R46" i="29"/>
  <c r="Q47" i="29"/>
  <c r="R47" i="29"/>
  <c r="Q48" i="29"/>
  <c r="R48" i="29"/>
  <c r="Q49" i="29"/>
  <c r="R49" i="29"/>
  <c r="Q50" i="29"/>
  <c r="R50" i="29"/>
  <c r="Q51" i="29"/>
  <c r="R51" i="29"/>
  <c r="Q52" i="29"/>
  <c r="R52" i="29"/>
  <c r="Q53" i="29"/>
  <c r="R53" i="29"/>
  <c r="Q54" i="29"/>
  <c r="R54" i="29"/>
  <c r="Q55" i="29"/>
  <c r="R55" i="29"/>
  <c r="Q56" i="29"/>
  <c r="R56" i="29"/>
  <c r="Q57" i="29"/>
  <c r="R57" i="29"/>
  <c r="Q58" i="29"/>
  <c r="R58" i="29"/>
  <c r="Q59" i="29"/>
  <c r="R59" i="29"/>
  <c r="Q60" i="29"/>
  <c r="R60" i="29"/>
  <c r="Q61" i="29"/>
  <c r="R61" i="29"/>
  <c r="Q62" i="29"/>
  <c r="R62" i="29"/>
  <c r="Q63" i="29"/>
  <c r="R63" i="29"/>
  <c r="Q64" i="29"/>
  <c r="R64" i="29"/>
  <c r="Q65" i="29"/>
  <c r="R65" i="29"/>
  <c r="Q66" i="29"/>
  <c r="R66" i="29"/>
  <c r="Q67" i="29"/>
  <c r="R67" i="29"/>
  <c r="Q68" i="29"/>
  <c r="R68" i="29"/>
  <c r="Q69" i="29"/>
  <c r="R69" i="29"/>
  <c r="Q70" i="29"/>
  <c r="R70" i="29"/>
  <c r="Q71" i="29"/>
  <c r="R71" i="29"/>
  <c r="Q72" i="29"/>
  <c r="R72" i="29"/>
  <c r="Q73" i="29"/>
  <c r="R73" i="29"/>
  <c r="Q74" i="29"/>
  <c r="R74" i="29"/>
  <c r="Q75" i="29"/>
  <c r="R75" i="29"/>
  <c r="Q76" i="29"/>
  <c r="R76" i="29"/>
  <c r="Q77" i="29"/>
  <c r="R77" i="29"/>
  <c r="Q78" i="29"/>
  <c r="R78" i="29"/>
  <c r="Q79" i="29"/>
  <c r="R79" i="29"/>
  <c r="Q80" i="29"/>
  <c r="R80" i="29"/>
  <c r="Q81" i="29"/>
  <c r="R81" i="29"/>
  <c r="Q82" i="29"/>
  <c r="R82" i="29"/>
  <c r="Q83" i="29"/>
  <c r="R83" i="29"/>
  <c r="Q84" i="29"/>
  <c r="R84" i="29"/>
  <c r="Q85" i="29"/>
  <c r="R85" i="29"/>
  <c r="Q86" i="29"/>
  <c r="R86" i="29"/>
  <c r="Q87" i="29"/>
  <c r="R87" i="29"/>
  <c r="Q88" i="29"/>
  <c r="R88" i="29"/>
  <c r="Q89" i="29"/>
  <c r="R89" i="29"/>
  <c r="Q90" i="29"/>
  <c r="R90" i="29"/>
  <c r="Q91" i="29"/>
  <c r="R91" i="29"/>
  <c r="Q92" i="29"/>
  <c r="R92" i="29"/>
  <c r="Q93" i="29"/>
  <c r="R93" i="29"/>
  <c r="Q94" i="29"/>
  <c r="R94" i="29"/>
  <c r="Q95" i="29"/>
  <c r="R95" i="29"/>
  <c r="Q96" i="29"/>
  <c r="R96" i="29"/>
  <c r="Q97" i="29"/>
  <c r="R97" i="29"/>
  <c r="Q98" i="29"/>
  <c r="R98" i="29"/>
  <c r="Q99" i="29"/>
  <c r="R99" i="29"/>
  <c r="Q100" i="29"/>
  <c r="R100" i="29"/>
  <c r="Q101" i="29"/>
  <c r="R101" i="29"/>
  <c r="Q102" i="29"/>
  <c r="R102" i="29"/>
  <c r="Q103" i="29"/>
  <c r="R103" i="29"/>
  <c r="R3" i="29"/>
  <c r="Q3" i="29"/>
  <c r="J4" i="32"/>
  <c r="J7" i="32"/>
  <c r="J9" i="32"/>
  <c r="J5" i="32"/>
  <c r="J14" i="32"/>
  <c r="J8" i="32"/>
  <c r="J6" i="32"/>
  <c r="J17" i="32"/>
  <c r="J15" i="32"/>
  <c r="J11" i="32"/>
  <c r="J19" i="32"/>
  <c r="J20" i="32"/>
  <c r="J12" i="32"/>
  <c r="J22" i="32"/>
  <c r="J18" i="32"/>
  <c r="J59" i="32"/>
  <c r="J60" i="32"/>
  <c r="J61" i="32"/>
  <c r="J48" i="32"/>
  <c r="J62" i="32"/>
  <c r="J63" i="32"/>
  <c r="J37" i="32"/>
  <c r="J24" i="32"/>
  <c r="J29" i="32"/>
  <c r="J10" i="32"/>
  <c r="J49" i="32"/>
  <c r="J50" i="32"/>
  <c r="J38" i="32"/>
  <c r="J64" i="32"/>
  <c r="J27" i="32"/>
  <c r="J31" i="32"/>
  <c r="J65" i="32"/>
  <c r="J66" i="32"/>
  <c r="J51" i="32"/>
  <c r="J67" i="32"/>
  <c r="J39" i="32"/>
  <c r="J68" i="32"/>
  <c r="J69" i="32"/>
  <c r="J70" i="32"/>
  <c r="J40" i="32"/>
  <c r="J26" i="32"/>
  <c r="J16" i="32"/>
  <c r="J71" i="32"/>
  <c r="J25" i="32"/>
  <c r="J21" i="32"/>
  <c r="J23" i="32"/>
  <c r="J28" i="32"/>
  <c r="J41" i="32"/>
  <c r="J72" i="32"/>
  <c r="J52" i="32"/>
  <c r="J53" i="32"/>
  <c r="J73" i="32"/>
  <c r="J54" i="32"/>
  <c r="J74" i="32"/>
  <c r="J42" i="32"/>
  <c r="J75" i="32"/>
  <c r="J43" i="32"/>
  <c r="J76" i="32"/>
  <c r="J77" i="32"/>
  <c r="J78" i="32"/>
  <c r="J79" i="32"/>
  <c r="J80" i="32"/>
  <c r="J81" i="32"/>
  <c r="J44" i="32"/>
  <c r="J82" i="32"/>
  <c r="J83" i="32"/>
  <c r="J84" i="32"/>
  <c r="J55" i="32"/>
  <c r="J33" i="32"/>
  <c r="J34" i="32"/>
  <c r="J56" i="32"/>
  <c r="J103" i="32"/>
  <c r="J35" i="32"/>
  <c r="J85" i="32"/>
  <c r="J86" i="32"/>
  <c r="J87" i="32"/>
  <c r="J57" i="32"/>
  <c r="J30" i="32"/>
  <c r="J88" i="32"/>
  <c r="J89" i="32"/>
  <c r="J90" i="32"/>
  <c r="J104" i="32"/>
  <c r="J91" i="32"/>
  <c r="J58" i="32"/>
  <c r="J36" i="32"/>
  <c r="J32" i="32"/>
  <c r="J92" i="32"/>
  <c r="J45" i="32"/>
  <c r="J93" i="32"/>
  <c r="J94" i="32"/>
  <c r="J95" i="32"/>
  <c r="J96" i="32"/>
  <c r="J97" i="32"/>
  <c r="J98" i="32"/>
  <c r="J46" i="32"/>
  <c r="J99" i="32"/>
  <c r="J100" i="32"/>
  <c r="J47" i="32"/>
  <c r="J101" i="32"/>
  <c r="J102" i="32"/>
  <c r="J13" i="32"/>
  <c r="J105" i="16"/>
  <c r="J106" i="16"/>
  <c r="J107" i="16"/>
  <c r="J108" i="16"/>
  <c r="J104" i="16"/>
  <c r="J4" i="16"/>
  <c r="J5" i="16"/>
  <c r="J6" i="16"/>
  <c r="J7" i="16"/>
  <c r="J10" i="16"/>
  <c r="J9" i="16"/>
  <c r="J11" i="16"/>
  <c r="J12" i="16"/>
  <c r="J16" i="16"/>
  <c r="J13" i="16"/>
  <c r="J22" i="16"/>
  <c r="J19" i="16"/>
  <c r="J15" i="16"/>
  <c r="J20" i="16"/>
  <c r="J17" i="16"/>
  <c r="J57" i="16"/>
  <c r="J58" i="16"/>
  <c r="J59" i="16"/>
  <c r="J60" i="16"/>
  <c r="J61" i="16"/>
  <c r="J35" i="16"/>
  <c r="J34" i="16"/>
  <c r="J24" i="16"/>
  <c r="J44" i="16"/>
  <c r="J14" i="16"/>
  <c r="J45" i="16"/>
  <c r="J25" i="16"/>
  <c r="J26" i="16"/>
  <c r="J36" i="16"/>
  <c r="J38" i="16"/>
  <c r="J46" i="16"/>
  <c r="J62" i="16"/>
  <c r="J63" i="16"/>
  <c r="J47" i="16"/>
  <c r="J64" i="16"/>
  <c r="J65" i="16"/>
  <c r="J48" i="16"/>
  <c r="J39" i="16"/>
  <c r="J66" i="16"/>
  <c r="J67" i="16"/>
  <c r="J49" i="16"/>
  <c r="J29" i="16"/>
  <c r="J68" i="16"/>
  <c r="J31" i="16"/>
  <c r="J28" i="16"/>
  <c r="J18" i="16"/>
  <c r="J21" i="16"/>
  <c r="J30" i="16"/>
  <c r="J69" i="16"/>
  <c r="J50" i="16"/>
  <c r="J51" i="16"/>
  <c r="J70" i="16"/>
  <c r="J71" i="16"/>
  <c r="J72" i="16"/>
  <c r="J52" i="16"/>
  <c r="J73" i="16"/>
  <c r="J74" i="16"/>
  <c r="J75" i="16"/>
  <c r="J76" i="16"/>
  <c r="J77" i="16"/>
  <c r="J78" i="16"/>
  <c r="J79" i="16"/>
  <c r="J80" i="16"/>
  <c r="J37" i="16"/>
  <c r="J81" i="16"/>
  <c r="J82" i="16"/>
  <c r="J40" i="16"/>
  <c r="J53" i="16"/>
  <c r="J41" i="16"/>
  <c r="J54" i="16"/>
  <c r="J32" i="16"/>
  <c r="J23" i="16"/>
  <c r="J83" i="16"/>
  <c r="J84" i="16"/>
  <c r="J55" i="16"/>
  <c r="J85" i="16"/>
  <c r="J86" i="16"/>
  <c r="J87" i="16"/>
  <c r="J88" i="16"/>
  <c r="J89" i="16"/>
  <c r="J90" i="16"/>
  <c r="J33" i="16"/>
  <c r="J42" i="16"/>
  <c r="J43" i="16"/>
  <c r="J27" i="16"/>
  <c r="J91" i="16"/>
  <c r="J92" i="16"/>
  <c r="J93" i="16"/>
  <c r="J94" i="16"/>
  <c r="J95" i="16"/>
  <c r="J96" i="16"/>
  <c r="J97" i="16"/>
  <c r="J56" i="16"/>
  <c r="J98" i="16"/>
  <c r="J99" i="16"/>
  <c r="J8" i="16"/>
  <c r="Z14" i="3"/>
  <c r="X14" i="3"/>
  <c r="W14" i="3"/>
  <c r="G14" i="3"/>
  <c r="AK105" i="29"/>
  <c r="AJ105" i="29"/>
  <c r="AI105" i="29"/>
  <c r="AH105" i="29"/>
  <c r="AB105" i="29"/>
  <c r="N105" i="29"/>
  <c r="AB108" i="29"/>
  <c r="AB109" i="29"/>
  <c r="AB110" i="29"/>
  <c r="AB111" i="29"/>
  <c r="AB116" i="29"/>
  <c r="AB117" i="29"/>
  <c r="AB118" i="29"/>
  <c r="AB119" i="29"/>
  <c r="AB120" i="29"/>
  <c r="AB121" i="29"/>
  <c r="AB122" i="29"/>
  <c r="AB115" i="29"/>
  <c r="AB107" i="29"/>
  <c r="AB99" i="29"/>
  <c r="AB100" i="29"/>
  <c r="AB101" i="29"/>
  <c r="AB102" i="29"/>
  <c r="AB103" i="29"/>
  <c r="AR99" i="29"/>
  <c r="AR100" i="29"/>
  <c r="AR101" i="29"/>
  <c r="AR102" i="29"/>
  <c r="AR103" i="29"/>
  <c r="AB4" i="29"/>
  <c r="AB5" i="29"/>
  <c r="AB6" i="29"/>
  <c r="AB7" i="29"/>
  <c r="AB8" i="29"/>
  <c r="AB9" i="29"/>
  <c r="AB10" i="29"/>
  <c r="AB11" i="29"/>
  <c r="AB12" i="29"/>
  <c r="AB13" i="29"/>
  <c r="AB14" i="29"/>
  <c r="AB15" i="29"/>
  <c r="AB16" i="29"/>
  <c r="AB17" i="29"/>
  <c r="AB18" i="29"/>
  <c r="AB19" i="29"/>
  <c r="AB20" i="29"/>
  <c r="AB21" i="29"/>
  <c r="AB22" i="29"/>
  <c r="AB23" i="29"/>
  <c r="AB24" i="29"/>
  <c r="AB25" i="29"/>
  <c r="AB26" i="29"/>
  <c r="AB27" i="29"/>
  <c r="AB28" i="29"/>
  <c r="AB29" i="29"/>
  <c r="AB30" i="29"/>
  <c r="AB31" i="29"/>
  <c r="AB32" i="29"/>
  <c r="AB33" i="29"/>
  <c r="AB34" i="29"/>
  <c r="AB35" i="29"/>
  <c r="AB36" i="29"/>
  <c r="AB37" i="29"/>
  <c r="AB38" i="29"/>
  <c r="AB39" i="29"/>
  <c r="AB40" i="29"/>
  <c r="AB41" i="29"/>
  <c r="AB42" i="29"/>
  <c r="AB43" i="29"/>
  <c r="AB44" i="29"/>
  <c r="AB45" i="29"/>
  <c r="AB46" i="29"/>
  <c r="AB47" i="29"/>
  <c r="AB48" i="29"/>
  <c r="AB49" i="29"/>
  <c r="AB50" i="29"/>
  <c r="AB51" i="29"/>
  <c r="AB52" i="29"/>
  <c r="AB53" i="29"/>
  <c r="AB54" i="29"/>
  <c r="AB55" i="29"/>
  <c r="AB56" i="29"/>
  <c r="AB57" i="29"/>
  <c r="AB58" i="29"/>
  <c r="AB59" i="29"/>
  <c r="AB60" i="29"/>
  <c r="AB61" i="29"/>
  <c r="AB62" i="29"/>
  <c r="AB63" i="29"/>
  <c r="AB64" i="29"/>
  <c r="AB65" i="29"/>
  <c r="AB66" i="29"/>
  <c r="AB67" i="29"/>
  <c r="AB68" i="29"/>
  <c r="AB69" i="29"/>
  <c r="AB70" i="29"/>
  <c r="AB71" i="29"/>
  <c r="AB72" i="29"/>
  <c r="AB73" i="29"/>
  <c r="AB74" i="29"/>
  <c r="AB75" i="29"/>
  <c r="AB76" i="29"/>
  <c r="AB77" i="29"/>
  <c r="AB78" i="29"/>
  <c r="AB79" i="29"/>
  <c r="AB80" i="29"/>
  <c r="AB81" i="29"/>
  <c r="AB82" i="29"/>
  <c r="AB83" i="29"/>
  <c r="AB84" i="29"/>
  <c r="AB85" i="29"/>
  <c r="AB86" i="29"/>
  <c r="AB87" i="29"/>
  <c r="AB88" i="29"/>
  <c r="AB89" i="29"/>
  <c r="AB90" i="29"/>
  <c r="AB91" i="29"/>
  <c r="AB92" i="29"/>
  <c r="AB93" i="29"/>
  <c r="AB94" i="29"/>
  <c r="AB95" i="29"/>
  <c r="AB96" i="29"/>
  <c r="AB97" i="29"/>
  <c r="AB98" i="29"/>
  <c r="G75" i="55" l="1"/>
  <c r="G63" i="55"/>
  <c r="G74" i="55"/>
  <c r="G60" i="55"/>
  <c r="G89" i="53"/>
  <c r="G79" i="53"/>
  <c r="G63" i="53"/>
  <c r="G37" i="53"/>
  <c r="E64" i="53"/>
  <c r="F63" i="53"/>
  <c r="F89" i="53"/>
  <c r="E90" i="53"/>
  <c r="M90" i="53"/>
  <c r="L91" i="53"/>
  <c r="M64" i="53"/>
  <c r="L65" i="53"/>
  <c r="G86" i="50"/>
  <c r="G47" i="50"/>
  <c r="M61" i="50"/>
  <c r="L62" i="50"/>
  <c r="M87" i="50"/>
  <c r="L88" i="50"/>
  <c r="G54" i="47"/>
  <c r="G25" i="47"/>
  <c r="M62" i="48"/>
  <c r="L63" i="48"/>
  <c r="M88" i="48"/>
  <c r="L89" i="48"/>
  <c r="E88" i="48"/>
  <c r="F87" i="48"/>
  <c r="F61" i="48"/>
  <c r="E62" i="48"/>
  <c r="G45" i="46"/>
  <c r="G42" i="46"/>
  <c r="E56" i="47"/>
  <c r="F55" i="47"/>
  <c r="F81" i="47"/>
  <c r="E82" i="47"/>
  <c r="M81" i="47"/>
  <c r="G81" i="47" s="1"/>
  <c r="L82" i="47"/>
  <c r="L56" i="47"/>
  <c r="M55" i="47"/>
  <c r="M46" i="46"/>
  <c r="G46" i="46" s="1"/>
  <c r="L47" i="46"/>
  <c r="F46" i="46"/>
  <c r="E47" i="46"/>
  <c r="AV83" i="35" a="1"/>
  <c r="AV83" i="35" s="1"/>
  <c r="AW83" i="35" s="1"/>
  <c r="C35" i="37"/>
  <c r="AV17" i="35" a="1"/>
  <c r="AV17" i="35" s="1"/>
  <c r="AZ17" i="35" s="1"/>
  <c r="C20" i="37"/>
  <c r="AV44" i="35" a="1"/>
  <c r="AV44" i="35" s="1"/>
  <c r="AW44" i="35" s="1"/>
  <c r="C25" i="37"/>
  <c r="AV18" i="35" a="1"/>
  <c r="AV18" i="35" s="1"/>
  <c r="AW18" i="35" s="1"/>
  <c r="C17" i="37"/>
  <c r="AV52" i="35" a="1"/>
  <c r="AV52" i="35" s="1"/>
  <c r="C90" i="37"/>
  <c r="AV16" i="35" a="1"/>
  <c r="AV16" i="35" s="1"/>
  <c r="AX16" i="35" s="1"/>
  <c r="C10" i="37"/>
  <c r="AV74" i="35" a="1"/>
  <c r="AV74" i="35" s="1"/>
  <c r="AZ74" i="35" s="1"/>
  <c r="C48" i="37"/>
  <c r="AV72" i="35" a="1"/>
  <c r="AV72" i="35" s="1"/>
  <c r="AZ72" i="35" s="1"/>
  <c r="C83" i="37"/>
  <c r="AV61" i="35" a="1"/>
  <c r="AV61" i="35" s="1"/>
  <c r="AZ61" i="35" s="1"/>
  <c r="C84" i="37"/>
  <c r="AV19" i="35" a="1"/>
  <c r="AV19" i="35" s="1"/>
  <c r="AZ19" i="35" s="1"/>
  <c r="C53" i="37"/>
  <c r="AV92" i="35" a="1"/>
  <c r="AV92" i="35" s="1"/>
  <c r="AZ92" i="35" s="1"/>
  <c r="C85" i="37"/>
  <c r="AV94" i="35" a="1"/>
  <c r="AV94" i="35" s="1"/>
  <c r="C49" i="37"/>
  <c r="AV84" i="35" a="1"/>
  <c r="AV84" i="35" s="1"/>
  <c r="C79" i="37"/>
  <c r="AV8" i="35" a="1"/>
  <c r="AV8" i="35" s="1"/>
  <c r="AZ8" i="35" s="1"/>
  <c r="C14" i="37"/>
  <c r="AV33" i="35" a="1"/>
  <c r="AV33" i="35" s="1"/>
  <c r="AZ33" i="35" s="1"/>
  <c r="C96" i="37"/>
  <c r="AV47" i="35" a="1"/>
  <c r="AV47" i="35" s="1"/>
  <c r="AZ47" i="35" s="1"/>
  <c r="C23" i="37"/>
  <c r="AV23" i="35" a="1"/>
  <c r="AV23" i="35" s="1"/>
  <c r="AZ23" i="35" s="1"/>
  <c r="C55" i="37"/>
  <c r="AV65" i="35" a="1"/>
  <c r="AV65" i="35" s="1"/>
  <c r="AZ65" i="35" s="1"/>
  <c r="C76" i="37"/>
  <c r="AV21" i="35" a="1"/>
  <c r="AV21" i="35" s="1"/>
  <c r="C74" i="37"/>
  <c r="AV9" i="35" a="1"/>
  <c r="AV9" i="35" s="1"/>
  <c r="AW9" i="35" s="1"/>
  <c r="C7" i="37"/>
  <c r="AV66" i="35" a="1"/>
  <c r="AV66" i="35" s="1"/>
  <c r="AZ66" i="35" s="1"/>
  <c r="C65" i="37"/>
  <c r="AV24" i="35" a="1"/>
  <c r="AV24" i="35" s="1"/>
  <c r="AZ24" i="35" s="1"/>
  <c r="C56" i="37"/>
  <c r="AV86" i="35" a="1"/>
  <c r="AV86" i="35" s="1"/>
  <c r="AZ86" i="35" s="1"/>
  <c r="C32" i="37"/>
  <c r="AV77" i="35" a="1"/>
  <c r="AV77" i="35" s="1"/>
  <c r="C80" i="37"/>
  <c r="AV98" i="35" a="1"/>
  <c r="AV98" i="35" s="1"/>
  <c r="AZ98" i="35" s="1"/>
  <c r="C47" i="37"/>
  <c r="AV81" i="35" a="1"/>
  <c r="AV81" i="35" s="1"/>
  <c r="AX81" i="35" s="1"/>
  <c r="C103" i="37"/>
  <c r="AV50" i="35" a="1"/>
  <c r="AV50" i="35" s="1"/>
  <c r="AZ50" i="35" s="1"/>
  <c r="C36" i="37"/>
  <c r="AV60" i="35" a="1"/>
  <c r="AV60" i="35" s="1"/>
  <c r="AW60" i="35" s="1"/>
  <c r="C78" i="37"/>
  <c r="AV32" i="35" a="1"/>
  <c r="AV32" i="35" s="1"/>
  <c r="AZ32" i="35" s="1"/>
  <c r="C52" i="37"/>
  <c r="AV30" i="35" a="1"/>
  <c r="AV30" i="35" s="1"/>
  <c r="AZ30" i="35" s="1"/>
  <c r="C72" i="37"/>
  <c r="AV15" i="35" a="1"/>
  <c r="AV15" i="35" s="1"/>
  <c r="AZ15" i="35" s="1"/>
  <c r="C19" i="37"/>
  <c r="AV26" i="35" a="1"/>
  <c r="AV26" i="35" s="1"/>
  <c r="AZ26" i="35" s="1"/>
  <c r="C104" i="37"/>
  <c r="AV36" i="35" a="1"/>
  <c r="AV36" i="35" s="1"/>
  <c r="AZ36" i="35" s="1"/>
  <c r="C58" i="37"/>
  <c r="AV35" i="35" a="1"/>
  <c r="AV35" i="35" s="1"/>
  <c r="AX35" i="35" s="1"/>
  <c r="C57" i="37"/>
  <c r="AV90" i="35" a="1"/>
  <c r="AV90" i="35" s="1"/>
  <c r="AZ90" i="35" s="1"/>
  <c r="C67" i="37"/>
  <c r="AV80" i="35" a="1"/>
  <c r="AV80" i="35" s="1"/>
  <c r="AW80" i="35" s="1"/>
  <c r="C100" i="37"/>
  <c r="AV88" i="35" a="1"/>
  <c r="AV88" i="35" s="1"/>
  <c r="AZ88" i="35" s="1"/>
  <c r="C29" i="37"/>
  <c r="AV68" i="35" a="1"/>
  <c r="AV68" i="35" s="1"/>
  <c r="AZ68" i="35" s="1"/>
  <c r="C66" i="37"/>
  <c r="AV70" i="35" a="1"/>
  <c r="AV70" i="35" s="1"/>
  <c r="AX70" i="35" s="1"/>
  <c r="C41" i="37"/>
  <c r="AV43" i="35" a="1"/>
  <c r="AV43" i="35" s="1"/>
  <c r="AW43" i="35" s="1"/>
  <c r="C102" i="37"/>
  <c r="AV13" i="35" a="1"/>
  <c r="AV13" i="35" s="1"/>
  <c r="AW13" i="35" s="1"/>
  <c r="C11" i="37"/>
  <c r="AV42" i="35" a="1"/>
  <c r="AV42" i="35" s="1"/>
  <c r="AZ42" i="35" s="1"/>
  <c r="C37" i="37"/>
  <c r="AV20" i="35" a="1"/>
  <c r="AV20" i="35" s="1"/>
  <c r="AZ20" i="35" s="1"/>
  <c r="C54" i="37"/>
  <c r="AV28" i="35"/>
  <c r="AW28" i="35" s="1"/>
  <c r="C16" i="37"/>
  <c r="AV38" i="35" a="1"/>
  <c r="AV38" i="35" s="1"/>
  <c r="AZ38" i="35" s="1"/>
  <c r="C88" i="37"/>
  <c r="AV48" i="35" a="1"/>
  <c r="AV48" i="35" s="1"/>
  <c r="AW48" i="35" s="1"/>
  <c r="C22" i="37"/>
  <c r="AV82" i="35" a="1"/>
  <c r="AV82" i="35" s="1"/>
  <c r="AW82" i="35" s="1"/>
  <c r="C42" i="37"/>
  <c r="AV95" i="35" a="1"/>
  <c r="AV95" i="35" s="1"/>
  <c r="AZ95" i="35" s="1"/>
  <c r="C39" i="37"/>
  <c r="AV76" i="35" a="1"/>
  <c r="AV76" i="35" s="1"/>
  <c r="AW76" i="35" s="1"/>
  <c r="C89" i="37"/>
  <c r="AV73" i="35" a="1"/>
  <c r="AV73" i="35" s="1"/>
  <c r="AX73" i="35" s="1"/>
  <c r="C46" i="37"/>
  <c r="AV49" i="35" a="1"/>
  <c r="AV49" i="35" s="1"/>
  <c r="AW49" i="35" s="1"/>
  <c r="C21" i="37"/>
  <c r="AV34" i="35" a="1"/>
  <c r="AV34" i="35" s="1"/>
  <c r="AZ34" i="35" s="1"/>
  <c r="C33" i="37"/>
  <c r="AV51" i="35" a="1"/>
  <c r="AV51" i="35" s="1"/>
  <c r="AW51" i="35" s="1"/>
  <c r="C94" i="37"/>
  <c r="AV25" i="35" a="1"/>
  <c r="AV25" i="35" s="1"/>
  <c r="AW25" i="35" s="1"/>
  <c r="C27" i="37"/>
  <c r="AV37" i="35" a="1"/>
  <c r="AV37" i="35" s="1"/>
  <c r="AZ37" i="35" s="1"/>
  <c r="C30" i="37"/>
  <c r="AV57" i="35" a="1"/>
  <c r="AV57" i="35" s="1"/>
  <c r="AX57" i="35" s="1"/>
  <c r="C60" i="37"/>
  <c r="AV53" i="35" a="1"/>
  <c r="AV53" i="35" s="1"/>
  <c r="AW53" i="35" s="1"/>
  <c r="C40" i="37"/>
  <c r="AV91" i="35" a="1"/>
  <c r="AV91" i="35" s="1"/>
  <c r="AZ91" i="35" s="1"/>
  <c r="C92" i="37"/>
  <c r="AV87" i="35" a="1"/>
  <c r="AV87" i="35" s="1"/>
  <c r="AW87" i="35" s="1"/>
  <c r="C98" i="37"/>
  <c r="AV79" i="35" a="1"/>
  <c r="AV79" i="35" s="1"/>
  <c r="AX79" i="35" s="1"/>
  <c r="C50" i="37"/>
  <c r="AV22" i="35" a="1"/>
  <c r="AV22" i="35" s="1"/>
  <c r="AZ22" i="35" s="1"/>
  <c r="C43" i="37"/>
  <c r="AV27" i="35" a="1"/>
  <c r="AV27" i="35" s="1"/>
  <c r="AZ27" i="35" s="1"/>
  <c r="C99" i="37"/>
  <c r="AV59" i="35" a="1"/>
  <c r="AV59" i="35" s="1"/>
  <c r="AZ59" i="35" s="1"/>
  <c r="C61" i="37"/>
  <c r="AV54" i="35" a="1"/>
  <c r="AV54" i="35" s="1"/>
  <c r="AZ54" i="35" s="1"/>
  <c r="C28" i="37"/>
  <c r="AV56" i="35" a="1"/>
  <c r="AV56" i="35" s="1"/>
  <c r="AZ56" i="35" s="1"/>
  <c r="C51" i="37"/>
  <c r="AV29" i="35" a="1"/>
  <c r="AV29" i="35" s="1"/>
  <c r="AZ29" i="35" s="1"/>
  <c r="C44" i="37"/>
  <c r="AV39" i="35" a="1"/>
  <c r="AV39" i="35" s="1"/>
  <c r="AX39" i="35" s="1"/>
  <c r="C97" i="37"/>
  <c r="AV46" i="35" a="1"/>
  <c r="AV46" i="35" s="1"/>
  <c r="AX46" i="35" s="1"/>
  <c r="C59" i="37"/>
  <c r="AV55" i="35" a="1"/>
  <c r="AV55" i="35" s="1"/>
  <c r="AZ55" i="35" s="1"/>
  <c r="C77" i="37"/>
  <c r="AV96" i="35" a="1"/>
  <c r="AV96" i="35" s="1"/>
  <c r="AZ96" i="35" s="1"/>
  <c r="C68" i="37"/>
  <c r="AV7" i="35" a="1"/>
  <c r="AV7" i="35" s="1"/>
  <c r="AW7" i="35" s="1"/>
  <c r="C5" i="37"/>
  <c r="AV31" i="35" a="1"/>
  <c r="AV31" i="35" s="1"/>
  <c r="AZ31" i="35" s="1"/>
  <c r="C81" i="37"/>
  <c r="AV75" i="35" a="1"/>
  <c r="AV75" i="35" s="1"/>
  <c r="AZ75" i="35" s="1"/>
  <c r="C73" i="37"/>
  <c r="AV69" i="35" a="1"/>
  <c r="AV69" i="35" s="1"/>
  <c r="AZ69" i="35" s="1"/>
  <c r="C82" i="37"/>
  <c r="AV64" i="35" a="1"/>
  <c r="AV64" i="35" s="1"/>
  <c r="AX64" i="35" s="1"/>
  <c r="C64" i="37"/>
  <c r="AV62" i="35" a="1"/>
  <c r="AV62" i="35" s="1"/>
  <c r="AZ62" i="35" s="1"/>
  <c r="C62" i="37"/>
  <c r="AV41" i="35" a="1"/>
  <c r="AV41" i="35" s="1"/>
  <c r="AW41" i="35" s="1"/>
  <c r="C45" i="37"/>
  <c r="AV58" i="35" a="1"/>
  <c r="AV58" i="35" s="1"/>
  <c r="AZ58" i="35" s="1"/>
  <c r="C101" i="37"/>
  <c r="AV97" i="35" a="1"/>
  <c r="AV97" i="35" s="1"/>
  <c r="C69" i="37"/>
  <c r="AV85" i="35" a="1"/>
  <c r="AV85" i="35" s="1"/>
  <c r="AW85" i="35" s="1"/>
  <c r="C95" i="37"/>
  <c r="AV12" i="35" a="1"/>
  <c r="AV12" i="35" s="1"/>
  <c r="AW12" i="35" s="1"/>
  <c r="C12" i="37"/>
  <c r="AV40" i="35" a="1"/>
  <c r="AV40" i="35" s="1"/>
  <c r="AZ40" i="35" s="1"/>
  <c r="C91" i="37"/>
  <c r="AV10" i="35" a="1"/>
  <c r="AV10" i="35" s="1"/>
  <c r="AZ10" i="35" s="1"/>
  <c r="C9" i="37"/>
  <c r="AV11" i="35" a="1"/>
  <c r="AV11" i="35" s="1"/>
  <c r="AZ11" i="35" s="1"/>
  <c r="C13" i="37"/>
  <c r="AV71" i="35" a="1"/>
  <c r="AV71" i="35" s="1"/>
  <c r="AZ71" i="35" s="1"/>
  <c r="C93" i="37"/>
  <c r="AV67" i="35" a="1"/>
  <c r="AV67" i="35" s="1"/>
  <c r="AW67" i="35" s="1"/>
  <c r="C31" i="37"/>
  <c r="AV45" i="35" a="1"/>
  <c r="AV45" i="35" s="1"/>
  <c r="AX45" i="35" s="1"/>
  <c r="C24" i="37"/>
  <c r="AV14" i="35" a="1"/>
  <c r="AV14" i="35" s="1"/>
  <c r="AW14" i="35" s="1"/>
  <c r="C18" i="37"/>
  <c r="AV63" i="35" a="1"/>
  <c r="AV63" i="35" s="1"/>
  <c r="AX63" i="35" s="1"/>
  <c r="C63" i="37"/>
  <c r="AV93" i="35" a="1"/>
  <c r="AV93" i="35" s="1"/>
  <c r="AX93" i="35" s="1"/>
  <c r="C75" i="37"/>
  <c r="AV78" i="35" a="1"/>
  <c r="AV78" i="35" s="1"/>
  <c r="AW78" i="35" s="1"/>
  <c r="C34" i="37"/>
  <c r="AV6" i="35" a="1"/>
  <c r="AV6" i="35" s="1"/>
  <c r="AW6" i="35" s="1"/>
  <c r="C8" i="37"/>
  <c r="AV5" i="35" a="1"/>
  <c r="AV5" i="35" s="1"/>
  <c r="AZ5" i="35" s="1"/>
  <c r="C6" i="37"/>
  <c r="AV4" i="35" a="1"/>
  <c r="AV4" i="35" s="1"/>
  <c r="AZ4" i="35" s="1"/>
  <c r="C4" i="37"/>
  <c r="M32" i="45"/>
  <c r="L33" i="45"/>
  <c r="F33" i="45"/>
  <c r="E34" i="45"/>
  <c r="M31" i="44"/>
  <c r="L32" i="44"/>
  <c r="F30" i="44"/>
  <c r="E31" i="44"/>
  <c r="AX118" i="35"/>
  <c r="AX94" i="35"/>
  <c r="AX121" i="35"/>
  <c r="AC7" i="35"/>
  <c r="AC26" i="35"/>
  <c r="AC44" i="35"/>
  <c r="AC90" i="35"/>
  <c r="AC45" i="35"/>
  <c r="AC98" i="35"/>
  <c r="AC60" i="35"/>
  <c r="AC77" i="35"/>
  <c r="AC61" i="35"/>
  <c r="AC65" i="35"/>
  <c r="AC38" i="35"/>
  <c r="AL113" i="35"/>
  <c r="AZ25" i="35"/>
  <c r="AX117" i="35"/>
  <c r="AC16" i="35"/>
  <c r="AC40" i="35"/>
  <c r="AC48" i="35"/>
  <c r="AC119" i="35"/>
  <c r="AC66" i="35"/>
  <c r="AC92" i="35"/>
  <c r="AC69" i="35"/>
  <c r="AC20" i="35"/>
  <c r="AC15" i="35"/>
  <c r="AC49" i="35"/>
  <c r="AC118" i="35"/>
  <c r="AF126" i="35"/>
  <c r="AC89" i="35"/>
  <c r="AC29" i="35"/>
  <c r="AC31" i="35"/>
  <c r="AC18" i="35"/>
  <c r="AC52" i="35"/>
  <c r="AC85" i="35"/>
  <c r="AC111" i="35"/>
  <c r="AC33" i="35"/>
  <c r="AC35" i="35"/>
  <c r="AC22" i="35"/>
  <c r="AC53" i="35"/>
  <c r="AC86" i="35"/>
  <c r="AC70" i="35"/>
  <c r="AC88" i="35"/>
  <c r="AC11" i="35"/>
  <c r="AC9" i="35"/>
  <c r="AC43" i="35"/>
  <c r="AC56" i="35"/>
  <c r="AC108" i="35"/>
  <c r="AC97" i="35"/>
  <c r="AC79" i="35"/>
  <c r="AC23" i="35"/>
  <c r="AC13" i="35"/>
  <c r="AC121" i="35"/>
  <c r="AC57" i="35"/>
  <c r="AC109" i="35"/>
  <c r="AC73" i="35"/>
  <c r="AW108" i="35"/>
  <c r="AW112" i="35" s="1"/>
  <c r="AX109" i="35"/>
  <c r="AX53" i="35"/>
  <c r="AX108" i="35"/>
  <c r="AZ76" i="35"/>
  <c r="AO124" i="35"/>
  <c r="AX54" i="35"/>
  <c r="AX119" i="35"/>
  <c r="AW81" i="35"/>
  <c r="AW17" i="35"/>
  <c r="AW54" i="35"/>
  <c r="AW4" i="35"/>
  <c r="AW70" i="35"/>
  <c r="AW98" i="35"/>
  <c r="AW16" i="35"/>
  <c r="AW95" i="35"/>
  <c r="AW74" i="35"/>
  <c r="AW8" i="35"/>
  <c r="AW47" i="35"/>
  <c r="AW32" i="35"/>
  <c r="AX111" i="35"/>
  <c r="AW86" i="35"/>
  <c r="AW88" i="35"/>
  <c r="AW72" i="35"/>
  <c r="AW50" i="35"/>
  <c r="AW26" i="35"/>
  <c r="AX5" i="35"/>
  <c r="AW30" i="35"/>
  <c r="AW15" i="35"/>
  <c r="AW33" i="35"/>
  <c r="F11" i="3"/>
  <c r="V36" i="3"/>
  <c r="T36" i="3"/>
  <c r="AD36" i="3"/>
  <c r="W36" i="3"/>
  <c r="Z36" i="3"/>
  <c r="S36" i="3"/>
  <c r="X36" i="3"/>
  <c r="Q36" i="3"/>
  <c r="U36" i="3"/>
  <c r="R36" i="3"/>
  <c r="AD126" i="34"/>
  <c r="P11" i="3"/>
  <c r="P36" i="3" s="1"/>
  <c r="AW87" i="34"/>
  <c r="AW51" i="34"/>
  <c r="AZ15" i="34"/>
  <c r="AW9" i="34"/>
  <c r="AX33" i="34"/>
  <c r="AZ58" i="34"/>
  <c r="AX51" i="34"/>
  <c r="AW48" i="34"/>
  <c r="AX48" i="34"/>
  <c r="AW50" i="34"/>
  <c r="AX50" i="34"/>
  <c r="AW15" i="34"/>
  <c r="AW10" i="34"/>
  <c r="AX4" i="34"/>
  <c r="AZ4" i="34"/>
  <c r="AX89" i="34"/>
  <c r="AX52" i="34"/>
  <c r="AZ42" i="34"/>
  <c r="AZ53" i="34"/>
  <c r="AX70" i="34"/>
  <c r="AZ70" i="34"/>
  <c r="AW53" i="34"/>
  <c r="AX57" i="34"/>
  <c r="AX46" i="34"/>
  <c r="AX88" i="34"/>
  <c r="AW88" i="34"/>
  <c r="AW42" i="34"/>
  <c r="AW89" i="34"/>
  <c r="AW33" i="34"/>
  <c r="AX31" i="34"/>
  <c r="AX27" i="34"/>
  <c r="AW27" i="34"/>
  <c r="AX6" i="34"/>
  <c r="AW6" i="34"/>
  <c r="AZ5" i="34"/>
  <c r="AX16" i="34"/>
  <c r="AX87" i="34"/>
  <c r="AX98" i="34"/>
  <c r="AZ72" i="34"/>
  <c r="AX5" i="34"/>
  <c r="AX30" i="34"/>
  <c r="AX20" i="34"/>
  <c r="AW54" i="34"/>
  <c r="AW16" i="34"/>
  <c r="AW79" i="34"/>
  <c r="AW11" i="34"/>
  <c r="AX11" i="34"/>
  <c r="AX19" i="34"/>
  <c r="AX79" i="34"/>
  <c r="AX22" i="34"/>
  <c r="AO113" i="34"/>
  <c r="AZ94" i="34"/>
  <c r="AZ103" i="34"/>
  <c r="AX32" i="34"/>
  <c r="AZ56" i="34"/>
  <c r="AX56" i="34"/>
  <c r="AX18" i="34"/>
  <c r="AX47" i="35"/>
  <c r="AW108" i="34"/>
  <c r="AW112" i="34" s="1"/>
  <c r="AL113" i="34"/>
  <c r="AX55" i="34"/>
  <c r="AX14" i="34"/>
  <c r="AX25" i="34"/>
  <c r="AW32" i="34"/>
  <c r="AW72" i="34"/>
  <c r="AW80" i="34"/>
  <c r="AW25" i="34"/>
  <c r="AX94" i="34"/>
  <c r="AX90" i="34"/>
  <c r="AX10" i="34"/>
  <c r="AX80" i="34"/>
  <c r="AX98" i="35"/>
  <c r="AW18" i="34"/>
  <c r="AW14" i="34"/>
  <c r="AV104" i="34"/>
  <c r="AL105" i="34"/>
  <c r="AW39" i="34"/>
  <c r="AX39" i="34"/>
  <c r="AX57" i="33"/>
  <c r="AX54" i="33"/>
  <c r="AX40" i="35"/>
  <c r="AC5" i="35"/>
  <c r="AC12" i="35"/>
  <c r="AC6" i="35"/>
  <c r="AC36" i="35"/>
  <c r="AC117" i="35"/>
  <c r="AC47" i="35"/>
  <c r="AC55" i="35"/>
  <c r="AC115" i="35"/>
  <c r="AC107" i="35"/>
  <c r="AZ35" i="35"/>
  <c r="AC91" i="35"/>
  <c r="AC64" i="35"/>
  <c r="AC82" i="35"/>
  <c r="AO118" i="33"/>
  <c r="AV118" i="33" s="1" a="1"/>
  <c r="AV118" i="33" s="1"/>
  <c r="AX118" i="33" s="1"/>
  <c r="AC72" i="35"/>
  <c r="AX65" i="35"/>
  <c r="AC30" i="35"/>
  <c r="AC24" i="35"/>
  <c r="AC17" i="35"/>
  <c r="AC10" i="35"/>
  <c r="AC116" i="35"/>
  <c r="AC50" i="35"/>
  <c r="AC58" i="35"/>
  <c r="AC122" i="35"/>
  <c r="AC110" i="35"/>
  <c r="AX66" i="35"/>
  <c r="AC95" i="35"/>
  <c r="AC80" i="35"/>
  <c r="AC74" i="35"/>
  <c r="AX36" i="35"/>
  <c r="AX23" i="35"/>
  <c r="AC28" i="35"/>
  <c r="AC34" i="35"/>
  <c r="AC19" i="35"/>
  <c r="AC21" i="35"/>
  <c r="AC14" i="35"/>
  <c r="AC120" i="35"/>
  <c r="AC51" i="35"/>
  <c r="AC59" i="35"/>
  <c r="AC84" i="35"/>
  <c r="AC93" i="35"/>
  <c r="AC78" i="35"/>
  <c r="AC83" i="35"/>
  <c r="AC42" i="35"/>
  <c r="AC37" i="35"/>
  <c r="AC8" i="35"/>
  <c r="AC39" i="35"/>
  <c r="AC32" i="35"/>
  <c r="AC27" i="35"/>
  <c r="AC46" i="35"/>
  <c r="AC54" i="35"/>
  <c r="AC62" i="35"/>
  <c r="AC87" i="35"/>
  <c r="AC68" i="35"/>
  <c r="AC76" i="35"/>
  <c r="AC94" i="35"/>
  <c r="AL113" i="33"/>
  <c r="S10" i="3" s="1"/>
  <c r="AX82" i="33"/>
  <c r="AZ110" i="33"/>
  <c r="AX50" i="35"/>
  <c r="AX15" i="35"/>
  <c r="AX111" i="33"/>
  <c r="AD126" i="33"/>
  <c r="P9" i="3"/>
  <c r="AW5" i="33"/>
  <c r="AX32" i="35"/>
  <c r="AX20" i="35"/>
  <c r="AX41" i="33"/>
  <c r="AZ5" i="33"/>
  <c r="AX26" i="35"/>
  <c r="AX90" i="35"/>
  <c r="AX30" i="35"/>
  <c r="AX9" i="33"/>
  <c r="AW9" i="33"/>
  <c r="AX43" i="33"/>
  <c r="AZ13" i="33"/>
  <c r="AW13" i="33"/>
  <c r="AO105" i="33"/>
  <c r="AW48" i="33"/>
  <c r="AV104" i="33"/>
  <c r="AO107" i="33"/>
  <c r="AV107" i="33" s="1" a="1"/>
  <c r="AV107" i="33" s="1"/>
  <c r="AL105" i="33"/>
  <c r="S9" i="3" s="1"/>
  <c r="AX48" i="33"/>
  <c r="AW33" i="33"/>
  <c r="AX18" i="33"/>
  <c r="AX33" i="33"/>
  <c r="AZ18" i="33"/>
  <c r="AX38" i="33"/>
  <c r="AZ118" i="33"/>
  <c r="AW123" i="33"/>
  <c r="L14" i="37"/>
  <c r="M13" i="37"/>
  <c r="AC81" i="35"/>
  <c r="AC3" i="35"/>
  <c r="AC96" i="35"/>
  <c r="AC4" i="35"/>
  <c r="AC71" i="35"/>
  <c r="AC63" i="35"/>
  <c r="AC67" i="35"/>
  <c r="AC41" i="35"/>
  <c r="AC103" i="35"/>
  <c r="AC100" i="35"/>
  <c r="AC101" i="35"/>
  <c r="AC99" i="35"/>
  <c r="AC102" i="35"/>
  <c r="AZ70" i="35"/>
  <c r="AO105" i="35"/>
  <c r="AX8" i="35"/>
  <c r="AL105" i="35"/>
  <c r="AX88" i="35"/>
  <c r="AX61" i="35"/>
  <c r="AZ16" i="35"/>
  <c r="AX92" i="35"/>
  <c r="AZ81" i="35"/>
  <c r="AX33" i="35"/>
  <c r="AZ77" i="35"/>
  <c r="AX77" i="35"/>
  <c r="AX13" i="35"/>
  <c r="AZ13" i="35"/>
  <c r="AX28" i="35"/>
  <c r="AZ28" i="35"/>
  <c r="AZ82" i="35"/>
  <c r="AX82" i="35"/>
  <c r="AX42" i="35"/>
  <c r="AZ7" i="35"/>
  <c r="AD126" i="35"/>
  <c r="AX68" i="35"/>
  <c r="AX38" i="35"/>
  <c r="AX55" i="35"/>
  <c r="AX86" i="35"/>
  <c r="AZ79" i="35"/>
  <c r="AX60" i="35"/>
  <c r="AZ60" i="35"/>
  <c r="AZ9" i="35"/>
  <c r="AX9" i="35"/>
  <c r="AZ44" i="35"/>
  <c r="AX44" i="35"/>
  <c r="AZ51" i="35"/>
  <c r="AX51" i="35"/>
  <c r="AZ18" i="35"/>
  <c r="AX18" i="35"/>
  <c r="AX6" i="35"/>
  <c r="AZ41" i="35"/>
  <c r="AZ52" i="35"/>
  <c r="AX52" i="35"/>
  <c r="AZ67" i="35"/>
  <c r="AZ63" i="35"/>
  <c r="AX4" i="35"/>
  <c r="AX24" i="35"/>
  <c r="AX91" i="35"/>
  <c r="AX17" i="35"/>
  <c r="AX19" i="35"/>
  <c r="AX74" i="35"/>
  <c r="AZ43" i="35"/>
  <c r="AX43" i="35"/>
  <c r="AZ48" i="35"/>
  <c r="AX48" i="35"/>
  <c r="AX72" i="35"/>
  <c r="AZ57" i="35"/>
  <c r="AX31" i="35"/>
  <c r="E14" i="36"/>
  <c r="F13" i="36"/>
  <c r="L15" i="36"/>
  <c r="M14" i="36"/>
  <c r="G14" i="36" s="1"/>
  <c r="AC126" i="34"/>
  <c r="AC115" i="33"/>
  <c r="AC121" i="33"/>
  <c r="AC122" i="33"/>
  <c r="AC117" i="33"/>
  <c r="AC119" i="33"/>
  <c r="AC120" i="33"/>
  <c r="AC116" i="33"/>
  <c r="AC118" i="33"/>
  <c r="AC107" i="33"/>
  <c r="AC108" i="33"/>
  <c r="AC109" i="33"/>
  <c r="AC110" i="33"/>
  <c r="AC111" i="33"/>
  <c r="AC88" i="33"/>
  <c r="AC86" i="33"/>
  <c r="AC80" i="33"/>
  <c r="AC96" i="33"/>
  <c r="AC44" i="33"/>
  <c r="AC12" i="33"/>
  <c r="AC55" i="33"/>
  <c r="AC28" i="33"/>
  <c r="AC45" i="33"/>
  <c r="AC6" i="33"/>
  <c r="AC47" i="33"/>
  <c r="AC90" i="33"/>
  <c r="AC34" i="33"/>
  <c r="AC74" i="33"/>
  <c r="AC48" i="33"/>
  <c r="AC7" i="33"/>
  <c r="AC49" i="33"/>
  <c r="AC14" i="33"/>
  <c r="AC101" i="33"/>
  <c r="AC72" i="33"/>
  <c r="AC21" i="33"/>
  <c r="AC94" i="33"/>
  <c r="AC79" i="33"/>
  <c r="AC29" i="33"/>
  <c r="AC69" i="33"/>
  <c r="AC31" i="33"/>
  <c r="AC76" i="33"/>
  <c r="AC27" i="33"/>
  <c r="AC67" i="33"/>
  <c r="AC43" i="33"/>
  <c r="AC97" i="33"/>
  <c r="AC41" i="33"/>
  <c r="AC95" i="33"/>
  <c r="AC46" i="33"/>
  <c r="AC63" i="33"/>
  <c r="AC91" i="33"/>
  <c r="AC26" i="33"/>
  <c r="AC68" i="33"/>
  <c r="AC40" i="33"/>
  <c r="AC22" i="33"/>
  <c r="AC59" i="33"/>
  <c r="AC18" i="33"/>
  <c r="AC100" i="33"/>
  <c r="AC89" i="33"/>
  <c r="AC33" i="33"/>
  <c r="AC52" i="33"/>
  <c r="AC66" i="33"/>
  <c r="AC16" i="33"/>
  <c r="AC61" i="33"/>
  <c r="AC39" i="33"/>
  <c r="AC8" i="33"/>
  <c r="AC19" i="33"/>
  <c r="AC35" i="33"/>
  <c r="AC103" i="33"/>
  <c r="AC11" i="33"/>
  <c r="AC20" i="33"/>
  <c r="AC98" i="33"/>
  <c r="AC60" i="33"/>
  <c r="AC32" i="33"/>
  <c r="AC81" i="33"/>
  <c r="AC25" i="33"/>
  <c r="AC9" i="33"/>
  <c r="AC56" i="33"/>
  <c r="AC38" i="33"/>
  <c r="AC37" i="33"/>
  <c r="AC58" i="33"/>
  <c r="AC30" i="33"/>
  <c r="AC93" i="33"/>
  <c r="AC77" i="33"/>
  <c r="AC87" i="33"/>
  <c r="AC75" i="33"/>
  <c r="AC54" i="33"/>
  <c r="AC71" i="33"/>
  <c r="AC73" i="33"/>
  <c r="AC17" i="33"/>
  <c r="AC24" i="33"/>
  <c r="AC36" i="33"/>
  <c r="AC10" i="33"/>
  <c r="AC83" i="33"/>
  <c r="AC4" i="33"/>
  <c r="AC64" i="33"/>
  <c r="AC15" i="33"/>
  <c r="AC92" i="33"/>
  <c r="AC50" i="33"/>
  <c r="AC65" i="33"/>
  <c r="AC84" i="33"/>
  <c r="AC51" i="33"/>
  <c r="AC102" i="33"/>
  <c r="AC70" i="33"/>
  <c r="AC53" i="33"/>
  <c r="AC23" i="33"/>
  <c r="AC42" i="33"/>
  <c r="AC99" i="33"/>
  <c r="AC82" i="33"/>
  <c r="AC13" i="33"/>
  <c r="AC78" i="33"/>
  <c r="AC5" i="33"/>
  <c r="AC85" i="33"/>
  <c r="AC57" i="33"/>
  <c r="AC62" i="33"/>
  <c r="AC3" i="33"/>
  <c r="AF126" i="33"/>
  <c r="AZ87" i="35"/>
  <c r="AX87" i="35"/>
  <c r="AV3" i="35"/>
  <c r="AW3" i="35" s="1"/>
  <c r="AZ80" i="35"/>
  <c r="AX80" i="35"/>
  <c r="AZ83" i="35"/>
  <c r="AX83" i="35"/>
  <c r="AZ85" i="35"/>
  <c r="AZ115" i="35"/>
  <c r="AZ124" i="35" s="1"/>
  <c r="AX115" i="35"/>
  <c r="AV123" i="35"/>
  <c r="AO113" i="35"/>
  <c r="AV107" i="35" a="1"/>
  <c r="AV107" i="35" s="1"/>
  <c r="AZ84" i="35"/>
  <c r="AX84" i="35"/>
  <c r="AO124" i="34"/>
  <c r="AV115" i="34" a="1"/>
  <c r="AV115" i="34" s="1"/>
  <c r="AO105" i="34"/>
  <c r="AV3" i="34"/>
  <c r="AW3" i="34" s="1"/>
  <c r="AZ107" i="34"/>
  <c r="AZ113" i="34" s="1"/>
  <c r="AX107" i="34"/>
  <c r="AX112" i="34" s="1"/>
  <c r="AV112" i="34"/>
  <c r="AZ109" i="33"/>
  <c r="AX109" i="33"/>
  <c r="AZ107" i="33"/>
  <c r="AV112" i="33"/>
  <c r="AX107" i="33"/>
  <c r="AZ3" i="33"/>
  <c r="AX3" i="33"/>
  <c r="AW3" i="33"/>
  <c r="AO124" i="33"/>
  <c r="AV115" i="33" a="1"/>
  <c r="AV115" i="33" s="1"/>
  <c r="AO113" i="33"/>
  <c r="J105" i="32"/>
  <c r="K95" i="32" s="1"/>
  <c r="K36" i="32"/>
  <c r="K4" i="32"/>
  <c r="L4" i="32" s="1"/>
  <c r="K68" i="32"/>
  <c r="K12" i="32"/>
  <c r="K22" i="32"/>
  <c r="K43" i="32"/>
  <c r="K92" i="32"/>
  <c r="K55" i="32"/>
  <c r="K101" i="32"/>
  <c r="K65" i="32"/>
  <c r="K21" i="32"/>
  <c r="K94" i="32"/>
  <c r="K46" i="32"/>
  <c r="K100" i="32"/>
  <c r="K6" i="32"/>
  <c r="K38" i="32"/>
  <c r="K49" i="32"/>
  <c r="K60" i="32"/>
  <c r="K7" i="32"/>
  <c r="K19" i="32"/>
  <c r="K51" i="32"/>
  <c r="K61" i="32"/>
  <c r="K75" i="32"/>
  <c r="K5" i="32"/>
  <c r="K15" i="32"/>
  <c r="K47" i="32"/>
  <c r="K59" i="32"/>
  <c r="K70" i="32"/>
  <c r="K20" i="32"/>
  <c r="K30" i="32"/>
  <c r="K62" i="32"/>
  <c r="K76" i="32"/>
  <c r="K103" i="32"/>
  <c r="K78" i="32"/>
  <c r="K84" i="32"/>
  <c r="K99" i="32"/>
  <c r="K77" i="32"/>
  <c r="K83" i="32"/>
  <c r="K10" i="32"/>
  <c r="K18" i="32"/>
  <c r="K42" i="32"/>
  <c r="K50" i="32"/>
  <c r="K58" i="32"/>
  <c r="K74" i="32"/>
  <c r="K82" i="32"/>
  <c r="K81" i="32"/>
  <c r="K89" i="32"/>
  <c r="K97" i="32"/>
  <c r="K16" i="32"/>
  <c r="K24" i="32"/>
  <c r="K48" i="32"/>
  <c r="K56" i="32"/>
  <c r="K64" i="32"/>
  <c r="K80" i="32"/>
  <c r="K88" i="32"/>
  <c r="K71" i="32"/>
  <c r="K79" i="32"/>
  <c r="K87" i="32"/>
  <c r="X101" i="29"/>
  <c r="AN101" i="29" s="1"/>
  <c r="U103" i="29"/>
  <c r="AD103" i="29" s="1"/>
  <c r="U101" i="29"/>
  <c r="AD101" i="29" s="1"/>
  <c r="X100" i="29"/>
  <c r="AN100" i="29" s="1"/>
  <c r="AA100" i="29"/>
  <c r="AF100" i="29" s="1"/>
  <c r="X102" i="29"/>
  <c r="AN102" i="29" s="1"/>
  <c r="AA101" i="29"/>
  <c r="AF101" i="29" s="1"/>
  <c r="U100" i="29"/>
  <c r="AD100" i="29" s="1"/>
  <c r="X99" i="29"/>
  <c r="AA103" i="29"/>
  <c r="AF103" i="29" s="1"/>
  <c r="U102" i="29"/>
  <c r="AD102" i="29" s="1"/>
  <c r="U99" i="29"/>
  <c r="X103" i="29"/>
  <c r="AN103" i="29" s="1"/>
  <c r="AA102" i="29"/>
  <c r="AF102" i="29" s="1"/>
  <c r="AT99" i="29"/>
  <c r="AU99" i="29"/>
  <c r="AT101" i="29"/>
  <c r="AU101" i="29"/>
  <c r="AX22" i="35" l="1"/>
  <c r="AW5" i="35"/>
  <c r="AW11" i="35"/>
  <c r="AW79" i="35"/>
  <c r="AX75" i="35"/>
  <c r="AX7" i="35"/>
  <c r="AZ64" i="35"/>
  <c r="AX34" i="35"/>
  <c r="AX62" i="35"/>
  <c r="AZ14" i="35"/>
  <c r="AZ6" i="35"/>
  <c r="AX71" i="35"/>
  <c r="AW39" i="35"/>
  <c r="AW34" i="35"/>
  <c r="AZ46" i="35"/>
  <c r="AZ12" i="35"/>
  <c r="AX56" i="35"/>
  <c r="AW91" i="35"/>
  <c r="AW22" i="35"/>
  <c r="AW75" i="35"/>
  <c r="AW45" i="35"/>
  <c r="AX37" i="35"/>
  <c r="AX11" i="35"/>
  <c r="G64" i="53"/>
  <c r="G38" i="53"/>
  <c r="G90" i="53"/>
  <c r="G82" i="53"/>
  <c r="F90" i="53"/>
  <c r="E91" i="53"/>
  <c r="F64" i="53"/>
  <c r="E65" i="53"/>
  <c r="G62" i="48"/>
  <c r="G82" i="48"/>
  <c r="M65" i="53"/>
  <c r="L66" i="53"/>
  <c r="L92" i="53"/>
  <c r="M91" i="53"/>
  <c r="G61" i="50"/>
  <c r="G78" i="50"/>
  <c r="G56" i="50"/>
  <c r="M88" i="50"/>
  <c r="L89" i="50"/>
  <c r="M62" i="50"/>
  <c r="L63" i="50"/>
  <c r="G55" i="47"/>
  <c r="G35" i="47"/>
  <c r="E89" i="48"/>
  <c r="F88" i="48"/>
  <c r="M89" i="48"/>
  <c r="L90" i="48"/>
  <c r="F62" i="48"/>
  <c r="E63" i="48"/>
  <c r="M63" i="48"/>
  <c r="L64" i="48"/>
  <c r="M56" i="47"/>
  <c r="L57" i="47"/>
  <c r="F82" i="47"/>
  <c r="E83" i="47"/>
  <c r="M82" i="47"/>
  <c r="G82" i="47" s="1"/>
  <c r="L83" i="47"/>
  <c r="E57" i="47"/>
  <c r="F56" i="47"/>
  <c r="E48" i="46"/>
  <c r="F47" i="46"/>
  <c r="M47" i="46"/>
  <c r="L48" i="46"/>
  <c r="AO126" i="35"/>
  <c r="AX14" i="35"/>
  <c r="AX41" i="35"/>
  <c r="AX29" i="35"/>
  <c r="AV104" i="35"/>
  <c r="AW27" i="35"/>
  <c r="AW10" i="35"/>
  <c r="AW56" i="35"/>
  <c r="AW31" i="35"/>
  <c r="AZ39" i="35"/>
  <c r="AX76" i="35"/>
  <c r="AW94" i="35"/>
  <c r="AZ94" i="35"/>
  <c r="AX85" i="35"/>
  <c r="AX67" i="35"/>
  <c r="AX59" i="35"/>
  <c r="AZ93" i="35"/>
  <c r="AX96" i="35"/>
  <c r="AW37" i="35"/>
  <c r="AW58" i="35"/>
  <c r="AW42" i="35"/>
  <c r="AW71" i="35"/>
  <c r="AW29" i="35"/>
  <c r="AX25" i="35"/>
  <c r="AZ53" i="35"/>
  <c r="AX78" i="35"/>
  <c r="AZ78" i="35"/>
  <c r="AX21" i="35"/>
  <c r="AZ21" i="35"/>
  <c r="AZ97" i="35"/>
  <c r="AX97" i="35"/>
  <c r="AX69" i="35"/>
  <c r="AX12" i="35"/>
  <c r="AX95" i="35"/>
  <c r="AX10" i="35"/>
  <c r="AW73" i="35"/>
  <c r="AZ49" i="35"/>
  <c r="AX58" i="35"/>
  <c r="AX27" i="35"/>
  <c r="AZ45" i="35"/>
  <c r="AZ73" i="35"/>
  <c r="AX49" i="35"/>
  <c r="C105" i="37"/>
  <c r="D15" i="37" s="1"/>
  <c r="D50" i="37"/>
  <c r="D16" i="37"/>
  <c r="D49" i="37"/>
  <c r="D79" i="37"/>
  <c r="D54" i="37"/>
  <c r="D97" i="37"/>
  <c r="D48" i="37"/>
  <c r="D91" i="37"/>
  <c r="D74" i="37"/>
  <c r="D65" i="37"/>
  <c r="F34" i="45"/>
  <c r="E35" i="45"/>
  <c r="M33" i="45"/>
  <c r="L34" i="45"/>
  <c r="F31" i="44"/>
  <c r="E32" i="44"/>
  <c r="L33" i="44"/>
  <c r="M32" i="44"/>
  <c r="AC113" i="35"/>
  <c r="AX123" i="35"/>
  <c r="AW104" i="35"/>
  <c r="F9" i="3"/>
  <c r="AE11" i="3"/>
  <c r="AX104" i="34"/>
  <c r="AW104" i="34"/>
  <c r="AC124" i="35"/>
  <c r="AW104" i="33"/>
  <c r="AE10" i="3"/>
  <c r="F10" i="3"/>
  <c r="AE9" i="3"/>
  <c r="AZ105" i="33"/>
  <c r="AC105" i="35"/>
  <c r="AC126" i="35" s="1"/>
  <c r="AX104" i="33"/>
  <c r="L15" i="37"/>
  <c r="M14" i="37"/>
  <c r="G14" i="37" s="1"/>
  <c r="K63" i="32"/>
  <c r="K40" i="32"/>
  <c r="K98" i="32"/>
  <c r="K34" i="32"/>
  <c r="K85" i="32"/>
  <c r="K52" i="32"/>
  <c r="K37" i="32"/>
  <c r="K39" i="32"/>
  <c r="K28" i="32"/>
  <c r="K25" i="32"/>
  <c r="K54" i="32"/>
  <c r="K13" i="32"/>
  <c r="K96" i="32"/>
  <c r="K32" i="32"/>
  <c r="K90" i="32"/>
  <c r="K26" i="32"/>
  <c r="K91" i="32"/>
  <c r="K41" i="32"/>
  <c r="K27" i="32"/>
  <c r="K29" i="32"/>
  <c r="K17" i="32"/>
  <c r="K57" i="32"/>
  <c r="K35" i="32"/>
  <c r="K45" i="32"/>
  <c r="K72" i="32"/>
  <c r="K8" i="32"/>
  <c r="K66" i="32"/>
  <c r="K102" i="32"/>
  <c r="K9" i="32"/>
  <c r="K104" i="32"/>
  <c r="K73" i="32"/>
  <c r="K14" i="32"/>
  <c r="K33" i="32"/>
  <c r="K23" i="32"/>
  <c r="AX104" i="35"/>
  <c r="M15" i="36"/>
  <c r="L16" i="36"/>
  <c r="E15" i="36"/>
  <c r="F14" i="36"/>
  <c r="AO126" i="34"/>
  <c r="AC113" i="33"/>
  <c r="AC124" i="33"/>
  <c r="AO126" i="33"/>
  <c r="AC105" i="33"/>
  <c r="AZ107" i="35"/>
  <c r="AZ113" i="35" s="1"/>
  <c r="AV112" i="35"/>
  <c r="AX107" i="35"/>
  <c r="AX112" i="35" s="1"/>
  <c r="AZ3" i="35"/>
  <c r="AX3" i="35"/>
  <c r="AZ3" i="34"/>
  <c r="AZ105" i="34" s="1"/>
  <c r="AX3" i="34"/>
  <c r="AZ115" i="34"/>
  <c r="AZ124" i="34" s="1"/>
  <c r="AV123" i="34"/>
  <c r="AX115" i="34"/>
  <c r="AX123" i="34" s="1"/>
  <c r="AZ113" i="33"/>
  <c r="AX112" i="33"/>
  <c r="AZ115" i="33"/>
  <c r="AZ124" i="33" s="1"/>
  <c r="AX115" i="33"/>
  <c r="AX123" i="33" s="1"/>
  <c r="AV123" i="33"/>
  <c r="K53" i="32"/>
  <c r="K11" i="32"/>
  <c r="K105" i="32" s="1"/>
  <c r="K69" i="32"/>
  <c r="K31" i="32"/>
  <c r="K93" i="32"/>
  <c r="K44" i="32"/>
  <c r="K86" i="32"/>
  <c r="K67" i="32"/>
  <c r="M4" i="32"/>
  <c r="G4" i="32" s="1"/>
  <c r="L5" i="32"/>
  <c r="AA99" i="29"/>
  <c r="AN99" i="29"/>
  <c r="AD99" i="29"/>
  <c r="AQ101" i="29"/>
  <c r="AS101" i="29"/>
  <c r="AQ99" i="29"/>
  <c r="AW99" i="29" s="1"/>
  <c r="AS99" i="29"/>
  <c r="D59" i="37" l="1"/>
  <c r="D11" i="37"/>
  <c r="D66" i="37"/>
  <c r="D100" i="37"/>
  <c r="D101" i="37"/>
  <c r="D103" i="37"/>
  <c r="D53" i="37"/>
  <c r="D17" i="37"/>
  <c r="D19" i="37"/>
  <c r="D25" i="37"/>
  <c r="D83" i="37"/>
  <c r="D43" i="37"/>
  <c r="D60" i="37"/>
  <c r="D42" i="37"/>
  <c r="D39" i="37"/>
  <c r="D52" i="37"/>
  <c r="D12" i="37"/>
  <c r="D90" i="37"/>
  <c r="D28" i="37"/>
  <c r="D32" i="37"/>
  <c r="D10" i="37"/>
  <c r="G84" i="53"/>
  <c r="G65" i="53"/>
  <c r="G39" i="53"/>
  <c r="F65" i="53"/>
  <c r="E66" i="53"/>
  <c r="E92" i="53"/>
  <c r="F91" i="53"/>
  <c r="G63" i="48"/>
  <c r="G84" i="48"/>
  <c r="L93" i="53"/>
  <c r="M92" i="53"/>
  <c r="M66" i="53"/>
  <c r="L67" i="53"/>
  <c r="G80" i="50"/>
  <c r="G88" i="50"/>
  <c r="G57" i="50"/>
  <c r="M63" i="50"/>
  <c r="L64" i="50"/>
  <c r="M89" i="50"/>
  <c r="L90" i="50"/>
  <c r="G56" i="47"/>
  <c r="G52" i="47"/>
  <c r="M64" i="48"/>
  <c r="L65" i="48"/>
  <c r="E64" i="48"/>
  <c r="F63" i="48"/>
  <c r="L91" i="48"/>
  <c r="M90" i="48"/>
  <c r="G90" i="48" s="1"/>
  <c r="F89" i="48"/>
  <c r="E90" i="48"/>
  <c r="F57" i="47"/>
  <c r="E58" i="47"/>
  <c r="L84" i="47"/>
  <c r="M83" i="47"/>
  <c r="G83" i="47" s="1"/>
  <c r="E84" i="47"/>
  <c r="F83" i="47"/>
  <c r="M57" i="47"/>
  <c r="G57" i="47" s="1"/>
  <c r="L58" i="47"/>
  <c r="L49" i="46"/>
  <c r="M48" i="46"/>
  <c r="G48" i="46" s="1"/>
  <c r="E49" i="46"/>
  <c r="F48" i="46"/>
  <c r="D87" i="37"/>
  <c r="D56" i="37"/>
  <c r="D57" i="37"/>
  <c r="D68" i="37"/>
  <c r="D55" i="37"/>
  <c r="D63" i="37"/>
  <c r="D62" i="37"/>
  <c r="D4" i="37"/>
  <c r="D72" i="37"/>
  <c r="D98" i="37"/>
  <c r="D40" i="37"/>
  <c r="D78" i="37"/>
  <c r="D92" i="37"/>
  <c r="D34" i="37"/>
  <c r="D84" i="37"/>
  <c r="D75" i="37"/>
  <c r="D86" i="37"/>
  <c r="D36" i="37"/>
  <c r="D93" i="37"/>
  <c r="D29" i="37"/>
  <c r="D6" i="37"/>
  <c r="D94" i="37"/>
  <c r="D35" i="37"/>
  <c r="D20" i="37"/>
  <c r="D45" i="37"/>
  <c r="D18" i="37"/>
  <c r="D33" i="37"/>
  <c r="D76" i="37"/>
  <c r="D69" i="37"/>
  <c r="D96" i="37"/>
  <c r="D22" i="37"/>
  <c r="D61" i="37"/>
  <c r="D102" i="37"/>
  <c r="D70" i="37"/>
  <c r="D89" i="37"/>
  <c r="D13" i="37"/>
  <c r="D14" i="37"/>
  <c r="D95" i="37"/>
  <c r="D51" i="37"/>
  <c r="D41" i="37"/>
  <c r="D64" i="37"/>
  <c r="D99" i="37"/>
  <c r="D8" i="37"/>
  <c r="D9" i="37"/>
  <c r="D31" i="37"/>
  <c r="D44" i="37"/>
  <c r="D46" i="37"/>
  <c r="D37" i="37"/>
  <c r="D23" i="37"/>
  <c r="D38" i="37"/>
  <c r="D27" i="37"/>
  <c r="D21" i="37"/>
  <c r="D71" i="37"/>
  <c r="D88" i="37"/>
  <c r="D81" i="37"/>
  <c r="D5" i="37"/>
  <c r="D7" i="37"/>
  <c r="D24" i="37"/>
  <c r="D67" i="37"/>
  <c r="D85" i="37"/>
  <c r="D58" i="37"/>
  <c r="D77" i="37"/>
  <c r="D82" i="37"/>
  <c r="D80" i="37"/>
  <c r="D26" i="37"/>
  <c r="D104" i="37"/>
  <c r="D47" i="37"/>
  <c r="D30" i="37"/>
  <c r="D73" i="37"/>
  <c r="E4" i="37"/>
  <c r="L35" i="45"/>
  <c r="M34" i="45"/>
  <c r="E39" i="45"/>
  <c r="F35" i="45"/>
  <c r="E36" i="45"/>
  <c r="M33" i="44"/>
  <c r="L34" i="44"/>
  <c r="F32" i="44"/>
  <c r="E33" i="44"/>
  <c r="G13" i="37"/>
  <c r="G13" i="36"/>
  <c r="G12" i="36"/>
  <c r="AZ126" i="33"/>
  <c r="AC126" i="33"/>
  <c r="L16" i="37"/>
  <c r="M15" i="37"/>
  <c r="AZ105" i="35"/>
  <c r="AZ126" i="35" s="1"/>
  <c r="F15" i="36"/>
  <c r="E16" i="36"/>
  <c r="M16" i="36"/>
  <c r="G9" i="36" s="1"/>
  <c r="L17" i="36"/>
  <c r="AZ126" i="34"/>
  <c r="L6" i="32"/>
  <c r="M5" i="32"/>
  <c r="G5" i="32" s="1"/>
  <c r="AF99" i="29"/>
  <c r="G66" i="53" l="1"/>
  <c r="G43" i="53"/>
  <c r="G86" i="53"/>
  <c r="F92" i="53"/>
  <c r="E93" i="53"/>
  <c r="F66" i="53"/>
  <c r="E67" i="53"/>
  <c r="G64" i="48"/>
  <c r="G87" i="48"/>
  <c r="L68" i="53"/>
  <c r="M67" i="53"/>
  <c r="L99" i="53"/>
  <c r="M99" i="53" s="1"/>
  <c r="G99" i="53" s="1"/>
  <c r="M93" i="53"/>
  <c r="L94" i="53"/>
  <c r="G89" i="50"/>
  <c r="G58" i="50"/>
  <c r="G83" i="50"/>
  <c r="L91" i="50"/>
  <c r="M90" i="50"/>
  <c r="M64" i="50"/>
  <c r="L65" i="50"/>
  <c r="F90" i="48"/>
  <c r="E91" i="48"/>
  <c r="L92" i="48"/>
  <c r="M91" i="48"/>
  <c r="G91" i="48" s="1"/>
  <c r="E65" i="48"/>
  <c r="F64" i="48"/>
  <c r="M65" i="48"/>
  <c r="L66" i="48"/>
  <c r="M58" i="47"/>
  <c r="G58" i="47" s="1"/>
  <c r="L59" i="47"/>
  <c r="L85" i="47"/>
  <c r="M84" i="47"/>
  <c r="G84" i="47" s="1"/>
  <c r="E59" i="47"/>
  <c r="F58" i="47"/>
  <c r="F84" i="47"/>
  <c r="E85" i="47"/>
  <c r="F49" i="46"/>
  <c r="E50" i="46"/>
  <c r="E76" i="46"/>
  <c r="L76" i="46"/>
  <c r="M49" i="46"/>
  <c r="G49" i="46" s="1"/>
  <c r="L50" i="46"/>
  <c r="D105" i="37"/>
  <c r="E5" i="37"/>
  <c r="F4" i="37"/>
  <c r="F36" i="45"/>
  <c r="E37" i="45"/>
  <c r="E40" i="45"/>
  <c r="F39" i="45"/>
  <c r="L36" i="45"/>
  <c r="M35" i="45"/>
  <c r="L39" i="45"/>
  <c r="E34" i="44"/>
  <c r="F33" i="44"/>
  <c r="L35" i="44"/>
  <c r="M34" i="44"/>
  <c r="G9" i="37"/>
  <c r="M16" i="37"/>
  <c r="L17" i="37"/>
  <c r="M17" i="36"/>
  <c r="L18" i="36"/>
  <c r="E17" i="36"/>
  <c r="F16" i="36"/>
  <c r="M6" i="32"/>
  <c r="L7" i="32"/>
  <c r="G87" i="53" l="1"/>
  <c r="G67" i="53"/>
  <c r="G44" i="53"/>
  <c r="E68" i="53"/>
  <c r="F67" i="53"/>
  <c r="F93" i="53"/>
  <c r="E99" i="53"/>
  <c r="F99" i="53" s="1"/>
  <c r="E94" i="53"/>
  <c r="G65" i="48"/>
  <c r="G88" i="48"/>
  <c r="L100" i="53"/>
  <c r="M100" i="53" s="1"/>
  <c r="M94" i="53"/>
  <c r="L95" i="53"/>
  <c r="L69" i="53"/>
  <c r="M68" i="53"/>
  <c r="G90" i="50"/>
  <c r="G60" i="50"/>
  <c r="G84" i="50"/>
  <c r="M65" i="50"/>
  <c r="L66" i="50"/>
  <c r="L92" i="50"/>
  <c r="M91" i="50"/>
  <c r="F65" i="48"/>
  <c r="E66" i="48"/>
  <c r="M92" i="48"/>
  <c r="G92" i="48" s="1"/>
  <c r="L93" i="48"/>
  <c r="L67" i="48"/>
  <c r="M66" i="48"/>
  <c r="G66" i="48" s="1"/>
  <c r="F91" i="48"/>
  <c r="E92" i="48"/>
  <c r="F85" i="47"/>
  <c r="E86" i="47"/>
  <c r="M85" i="47"/>
  <c r="L86" i="47"/>
  <c r="E60" i="47"/>
  <c r="F59" i="47"/>
  <c r="L60" i="47"/>
  <c r="M59" i="47"/>
  <c r="G59" i="47" s="1"/>
  <c r="M76" i="46"/>
  <c r="L77" i="46"/>
  <c r="F76" i="46"/>
  <c r="E77" i="46"/>
  <c r="M50" i="46"/>
  <c r="G50" i="46" s="1"/>
  <c r="L51" i="46"/>
  <c r="F50" i="46"/>
  <c r="E51" i="46"/>
  <c r="E6" i="37"/>
  <c r="F5" i="37"/>
  <c r="M39" i="45"/>
  <c r="L40" i="45"/>
  <c r="F40" i="45"/>
  <c r="E41" i="45"/>
  <c r="F37" i="45"/>
  <c r="E38" i="45"/>
  <c r="F38" i="45" s="1"/>
  <c r="M36" i="45"/>
  <c r="L37" i="45"/>
  <c r="M35" i="44"/>
  <c r="L39" i="44"/>
  <c r="L36" i="44"/>
  <c r="E35" i="44"/>
  <c r="F34" i="44"/>
  <c r="G12" i="37"/>
  <c r="M17" i="37"/>
  <c r="G17" i="37" s="1"/>
  <c r="L18" i="37"/>
  <c r="E18" i="36"/>
  <c r="F17" i="36"/>
  <c r="M18" i="36"/>
  <c r="L19" i="36"/>
  <c r="L8" i="32"/>
  <c r="M7" i="32"/>
  <c r="G7" i="32" s="1"/>
  <c r="G68" i="53" l="1"/>
  <c r="G47" i="53"/>
  <c r="G91" i="53"/>
  <c r="G100" i="53"/>
  <c r="E100" i="53"/>
  <c r="F100" i="53" s="1"/>
  <c r="F94" i="53"/>
  <c r="E95" i="53"/>
  <c r="F68" i="53"/>
  <c r="E69" i="53"/>
  <c r="L101" i="53"/>
  <c r="M101" i="53" s="1"/>
  <c r="G101" i="53" s="1"/>
  <c r="M95" i="53"/>
  <c r="L96" i="53"/>
  <c r="M69" i="53"/>
  <c r="L70" i="53"/>
  <c r="G87" i="50"/>
  <c r="G63" i="50"/>
  <c r="M92" i="50"/>
  <c r="L93" i="50"/>
  <c r="L67" i="50"/>
  <c r="M66" i="50"/>
  <c r="L68" i="48"/>
  <c r="M67" i="48"/>
  <c r="G67" i="48" s="1"/>
  <c r="L99" i="48"/>
  <c r="M99" i="48" s="1"/>
  <c r="M93" i="48"/>
  <c r="G93" i="48" s="1"/>
  <c r="L94" i="48"/>
  <c r="F66" i="48"/>
  <c r="E67" i="48"/>
  <c r="F92" i="48"/>
  <c r="E93" i="48"/>
  <c r="G76" i="46"/>
  <c r="G43" i="46"/>
  <c r="M60" i="47"/>
  <c r="L61" i="47"/>
  <c r="F60" i="47"/>
  <c r="E61" i="47"/>
  <c r="F86" i="47"/>
  <c r="E87" i="47"/>
  <c r="M86" i="47"/>
  <c r="G86" i="47" s="1"/>
  <c r="L87" i="47"/>
  <c r="F51" i="46"/>
  <c r="E52" i="46"/>
  <c r="F77" i="46"/>
  <c r="E78" i="46"/>
  <c r="L52" i="46"/>
  <c r="M51" i="46"/>
  <c r="G51" i="46" s="1"/>
  <c r="M77" i="46"/>
  <c r="L78" i="46"/>
  <c r="E7" i="37"/>
  <c r="F6" i="37"/>
  <c r="M37" i="45"/>
  <c r="L38" i="45"/>
  <c r="M38" i="45" s="1"/>
  <c r="F41" i="45"/>
  <c r="E42" i="45"/>
  <c r="M40" i="45"/>
  <c r="G40" i="45" s="1"/>
  <c r="L41" i="45"/>
  <c r="L37" i="44"/>
  <c r="M36" i="44"/>
  <c r="G27" i="44" s="1"/>
  <c r="F35" i="44"/>
  <c r="E36" i="44"/>
  <c r="E39" i="44"/>
  <c r="L40" i="44"/>
  <c r="M39" i="44"/>
  <c r="L19" i="37"/>
  <c r="M18" i="37"/>
  <c r="L20" i="36"/>
  <c r="M19" i="36"/>
  <c r="G15" i="36" s="1"/>
  <c r="E19" i="36"/>
  <c r="F18" i="36"/>
  <c r="L9" i="32"/>
  <c r="M8" i="32"/>
  <c r="G69" i="53" l="1"/>
  <c r="G52" i="53"/>
  <c r="G93" i="53"/>
  <c r="F69" i="53"/>
  <c r="E70" i="53"/>
  <c r="E101" i="53"/>
  <c r="F101" i="53" s="1"/>
  <c r="F95" i="53"/>
  <c r="E96" i="53"/>
  <c r="G99" i="48"/>
  <c r="M70" i="53"/>
  <c r="L71" i="53"/>
  <c r="L102" i="53"/>
  <c r="M102" i="53" s="1"/>
  <c r="G102" i="53" s="1"/>
  <c r="M96" i="53"/>
  <c r="L97" i="53"/>
  <c r="G92" i="50"/>
  <c r="G64" i="50"/>
  <c r="G21" i="50"/>
  <c r="L99" i="50"/>
  <c r="M99" i="50" s="1"/>
  <c r="G99" i="50" s="1"/>
  <c r="M93" i="50"/>
  <c r="L94" i="50"/>
  <c r="L68" i="50"/>
  <c r="M67" i="50"/>
  <c r="G60" i="47"/>
  <c r="G76" i="47"/>
  <c r="F67" i="48"/>
  <c r="E68" i="48"/>
  <c r="L100" i="48"/>
  <c r="M100" i="48" s="1"/>
  <c r="M94" i="48"/>
  <c r="G94" i="48" s="1"/>
  <c r="L95" i="48"/>
  <c r="E99" i="48"/>
  <c r="F99" i="48" s="1"/>
  <c r="F93" i="48"/>
  <c r="E94" i="48"/>
  <c r="M68" i="48"/>
  <c r="G68" i="48" s="1"/>
  <c r="L69" i="48"/>
  <c r="G44" i="46"/>
  <c r="L88" i="47"/>
  <c r="M87" i="47"/>
  <c r="E88" i="47"/>
  <c r="F87" i="47"/>
  <c r="F61" i="47"/>
  <c r="E62" i="47"/>
  <c r="M61" i="47"/>
  <c r="L62" i="47"/>
  <c r="L53" i="46"/>
  <c r="M52" i="46"/>
  <c r="E53" i="46"/>
  <c r="F52" i="46"/>
  <c r="M78" i="46"/>
  <c r="L79" i="46"/>
  <c r="E79" i="46"/>
  <c r="F78" i="46"/>
  <c r="E8" i="37"/>
  <c r="F7" i="37"/>
  <c r="F42" i="45"/>
  <c r="E43" i="45"/>
  <c r="L42" i="45"/>
  <c r="M41" i="45"/>
  <c r="G41" i="45" s="1"/>
  <c r="E40" i="44"/>
  <c r="F39" i="44"/>
  <c r="E37" i="44"/>
  <c r="F36" i="44"/>
  <c r="L41" i="44"/>
  <c r="M40" i="44"/>
  <c r="L38" i="44"/>
  <c r="M38" i="44" s="1"/>
  <c r="M37" i="44"/>
  <c r="M19" i="37"/>
  <c r="L20" i="37"/>
  <c r="G17" i="36"/>
  <c r="G19" i="36"/>
  <c r="E20" i="36"/>
  <c r="F19" i="36"/>
  <c r="L21" i="36"/>
  <c r="M20" i="36"/>
  <c r="G8" i="32"/>
  <c r="G6" i="32"/>
  <c r="M9" i="32"/>
  <c r="G9" i="32" s="1"/>
  <c r="L10" i="32"/>
  <c r="G94" i="53" l="1"/>
  <c r="G70" i="53"/>
  <c r="G56" i="53"/>
  <c r="F96" i="53"/>
  <c r="E97" i="53"/>
  <c r="E102" i="53"/>
  <c r="F102" i="53" s="1"/>
  <c r="F70" i="53"/>
  <c r="E71" i="53"/>
  <c r="M71" i="53"/>
  <c r="L72" i="53"/>
  <c r="M97" i="53"/>
  <c r="L103" i="53"/>
  <c r="M103" i="53" s="1"/>
  <c r="G103" i="53" s="1"/>
  <c r="L98" i="53"/>
  <c r="G93" i="50"/>
  <c r="G65" i="50"/>
  <c r="G23" i="50"/>
  <c r="M68" i="50"/>
  <c r="L69" i="50"/>
  <c r="L100" i="50"/>
  <c r="M100" i="50" s="1"/>
  <c r="M94" i="50"/>
  <c r="L95" i="50"/>
  <c r="G61" i="47"/>
  <c r="G78" i="47"/>
  <c r="E95" i="48"/>
  <c r="E100" i="48"/>
  <c r="F100" i="48" s="1"/>
  <c r="F94" i="48"/>
  <c r="L101" i="48"/>
  <c r="M101" i="48" s="1"/>
  <c r="G101" i="48" s="1"/>
  <c r="M95" i="48"/>
  <c r="L96" i="48"/>
  <c r="M69" i="48"/>
  <c r="L70" i="48"/>
  <c r="F68" i="48"/>
  <c r="E69" i="48"/>
  <c r="G47" i="46"/>
  <c r="E89" i="47"/>
  <c r="F88" i="47"/>
  <c r="L63" i="47"/>
  <c r="M62" i="47"/>
  <c r="F62" i="47"/>
  <c r="E63" i="47"/>
  <c r="M88" i="47"/>
  <c r="G88" i="47" s="1"/>
  <c r="L89" i="47"/>
  <c r="F53" i="46"/>
  <c r="E54" i="46"/>
  <c r="E80" i="46"/>
  <c r="F79" i="46"/>
  <c r="M79" i="46"/>
  <c r="G79" i="46" s="1"/>
  <c r="L80" i="46"/>
  <c r="M53" i="46"/>
  <c r="L54" i="46"/>
  <c r="F8" i="37"/>
  <c r="E9" i="37"/>
  <c r="L43" i="45"/>
  <c r="M42" i="45"/>
  <c r="F43" i="45"/>
  <c r="E44" i="45"/>
  <c r="G40" i="44"/>
  <c r="M41" i="44"/>
  <c r="L42" i="44"/>
  <c r="E38" i="44"/>
  <c r="F38" i="44" s="1"/>
  <c r="F37" i="44"/>
  <c r="E41" i="44"/>
  <c r="F40" i="44"/>
  <c r="G19" i="37"/>
  <c r="G15" i="37"/>
  <c r="L21" i="37"/>
  <c r="M20" i="37"/>
  <c r="L22" i="36"/>
  <c r="M21" i="36"/>
  <c r="F20" i="36"/>
  <c r="E21" i="36"/>
  <c r="M10" i="32"/>
  <c r="L11" i="32"/>
  <c r="G97" i="53" l="1"/>
  <c r="G95" i="53"/>
  <c r="G71" i="53"/>
  <c r="G57" i="53"/>
  <c r="E72" i="53"/>
  <c r="F71" i="53"/>
  <c r="E98" i="53"/>
  <c r="E103" i="53"/>
  <c r="F103" i="53" s="1"/>
  <c r="F97" i="53"/>
  <c r="G69" i="48"/>
  <c r="G20" i="48"/>
  <c r="M72" i="53"/>
  <c r="L73" i="53"/>
  <c r="L104" i="53"/>
  <c r="M104" i="53" s="1"/>
  <c r="M98" i="53"/>
  <c r="G62" i="50"/>
  <c r="G94" i="50"/>
  <c r="G66" i="50"/>
  <c r="M69" i="50"/>
  <c r="L70" i="50"/>
  <c r="L101" i="50"/>
  <c r="M101" i="50" s="1"/>
  <c r="G101" i="50" s="1"/>
  <c r="M95" i="50"/>
  <c r="L96" i="50"/>
  <c r="G62" i="47"/>
  <c r="G85" i="47"/>
  <c r="M70" i="48"/>
  <c r="L71" i="48"/>
  <c r="L102" i="48"/>
  <c r="M102" i="48" s="1"/>
  <c r="M96" i="48"/>
  <c r="L97" i="48"/>
  <c r="F69" i="48"/>
  <c r="E70" i="48"/>
  <c r="E96" i="48"/>
  <c r="E101" i="48"/>
  <c r="F101" i="48" s="1"/>
  <c r="F95" i="48"/>
  <c r="G53" i="46"/>
  <c r="G39" i="46"/>
  <c r="L64" i="47"/>
  <c r="M63" i="47"/>
  <c r="G63" i="47" s="1"/>
  <c r="E64" i="47"/>
  <c r="F63" i="47"/>
  <c r="M89" i="47"/>
  <c r="G89" i="47" s="1"/>
  <c r="L90" i="47"/>
  <c r="F89" i="47"/>
  <c r="E90" i="47"/>
  <c r="M54" i="46"/>
  <c r="G54" i="46" s="1"/>
  <c r="L55" i="46"/>
  <c r="F80" i="46"/>
  <c r="E81" i="46"/>
  <c r="E55" i="46"/>
  <c r="F54" i="46"/>
  <c r="M80" i="46"/>
  <c r="L81" i="46"/>
  <c r="F9" i="37"/>
  <c r="E10" i="37"/>
  <c r="F44" i="45"/>
  <c r="E45" i="45"/>
  <c r="L44" i="45"/>
  <c r="M43" i="45"/>
  <c r="G43" i="45" s="1"/>
  <c r="G29" i="44"/>
  <c r="E42" i="44"/>
  <c r="F41" i="44"/>
  <c r="M42" i="44"/>
  <c r="G23" i="44" s="1"/>
  <c r="L43" i="44"/>
  <c r="M21" i="37"/>
  <c r="L22" i="37"/>
  <c r="F21" i="36"/>
  <c r="E22" i="36"/>
  <c r="M22" i="36"/>
  <c r="G16" i="36" s="1"/>
  <c r="L23" i="36"/>
  <c r="L12" i="32"/>
  <c r="M11" i="32"/>
  <c r="G11" i="32" s="1"/>
  <c r="G98" i="53" l="1"/>
  <c r="G96" i="53"/>
  <c r="G104" i="53"/>
  <c r="G92" i="53"/>
  <c r="G72" i="53"/>
  <c r="G58" i="53"/>
  <c r="E104" i="53"/>
  <c r="F104" i="53" s="1"/>
  <c r="F98" i="53"/>
  <c r="F72" i="53"/>
  <c r="E73" i="53"/>
  <c r="G70" i="48"/>
  <c r="G24" i="48"/>
  <c r="G96" i="48"/>
  <c r="G86" i="48"/>
  <c r="G102" i="48"/>
  <c r="G100" i="48"/>
  <c r="M73" i="53"/>
  <c r="L74" i="53"/>
  <c r="G67" i="50"/>
  <c r="G69" i="50"/>
  <c r="G68" i="50"/>
  <c r="M70" i="50"/>
  <c r="G70" i="50" s="1"/>
  <c r="L71" i="50"/>
  <c r="L102" i="50"/>
  <c r="M102" i="50" s="1"/>
  <c r="M96" i="50"/>
  <c r="G96" i="50" s="1"/>
  <c r="L97" i="50"/>
  <c r="F96" i="48"/>
  <c r="E97" i="48"/>
  <c r="E102" i="48"/>
  <c r="F102" i="48" s="1"/>
  <c r="E71" i="48"/>
  <c r="F70" i="48"/>
  <c r="L103" i="48"/>
  <c r="M103" i="48" s="1"/>
  <c r="G103" i="48" s="1"/>
  <c r="M97" i="48"/>
  <c r="L98" i="48"/>
  <c r="M71" i="48"/>
  <c r="L72" i="48"/>
  <c r="F64" i="47"/>
  <c r="E65" i="47"/>
  <c r="F90" i="47"/>
  <c r="E91" i="47"/>
  <c r="M90" i="47"/>
  <c r="G90" i="47" s="1"/>
  <c r="L91" i="47"/>
  <c r="M64" i="47"/>
  <c r="G64" i="47" s="1"/>
  <c r="L65" i="47"/>
  <c r="F81" i="46"/>
  <c r="E82" i="46"/>
  <c r="M81" i="46"/>
  <c r="G81" i="46" s="1"/>
  <c r="L82" i="46"/>
  <c r="E56" i="46"/>
  <c r="F55" i="46"/>
  <c r="M55" i="46"/>
  <c r="L56" i="46"/>
  <c r="F10" i="37"/>
  <c r="E11" i="37"/>
  <c r="M44" i="45"/>
  <c r="G44" i="45" s="1"/>
  <c r="L45" i="45"/>
  <c r="E46" i="45"/>
  <c r="F45" i="45"/>
  <c r="M43" i="44"/>
  <c r="L44" i="44"/>
  <c r="E43" i="44"/>
  <c r="F42" i="44"/>
  <c r="L23" i="37"/>
  <c r="M22" i="37"/>
  <c r="M23" i="36"/>
  <c r="L24" i="36"/>
  <c r="E23" i="36"/>
  <c r="F22" i="36"/>
  <c r="M12" i="32"/>
  <c r="L13" i="32"/>
  <c r="AA49" i="29"/>
  <c r="X50" i="29"/>
  <c r="U51" i="29"/>
  <c r="AD51" i="29" s="1"/>
  <c r="G73" i="53" l="1"/>
  <c r="G59" i="53"/>
  <c r="F73" i="53"/>
  <c r="E74" i="53"/>
  <c r="G71" i="48"/>
  <c r="G25" i="48"/>
  <c r="G97" i="48"/>
  <c r="G89" i="48"/>
  <c r="M74" i="53"/>
  <c r="L75" i="53"/>
  <c r="M75" i="53" s="1"/>
  <c r="G102" i="50"/>
  <c r="G100" i="50"/>
  <c r="L103" i="50"/>
  <c r="M103" i="50" s="1"/>
  <c r="G103" i="50" s="1"/>
  <c r="M97" i="50"/>
  <c r="G97" i="50" s="1"/>
  <c r="L98" i="50"/>
  <c r="M71" i="50"/>
  <c r="L72" i="50"/>
  <c r="M98" i="48"/>
  <c r="L104" i="48"/>
  <c r="M104" i="48" s="1"/>
  <c r="G104" i="48" s="1"/>
  <c r="E72" i="48"/>
  <c r="F71" i="48"/>
  <c r="M72" i="48"/>
  <c r="L73" i="48"/>
  <c r="E103" i="48"/>
  <c r="F103" i="48" s="1"/>
  <c r="F97" i="48"/>
  <c r="E98" i="48"/>
  <c r="G55" i="46"/>
  <c r="G78" i="46"/>
  <c r="M65" i="47"/>
  <c r="L66" i="47"/>
  <c r="L92" i="47"/>
  <c r="M91" i="47"/>
  <c r="E92" i="47"/>
  <c r="F91" i="47"/>
  <c r="F65" i="47"/>
  <c r="E66" i="47"/>
  <c r="L57" i="46"/>
  <c r="M56" i="46"/>
  <c r="L83" i="46"/>
  <c r="M82" i="46"/>
  <c r="G82" i="46" s="1"/>
  <c r="F82" i="46"/>
  <c r="E83" i="46"/>
  <c r="E57" i="46"/>
  <c r="F56" i="46"/>
  <c r="F11" i="37"/>
  <c r="E12" i="37"/>
  <c r="G34" i="44"/>
  <c r="E47" i="45"/>
  <c r="F46" i="45"/>
  <c r="M45" i="45"/>
  <c r="G45" i="45" s="1"/>
  <c r="L46" i="45"/>
  <c r="F43" i="44"/>
  <c r="E44" i="44"/>
  <c r="L45" i="44"/>
  <c r="M44" i="44"/>
  <c r="G16" i="37"/>
  <c r="M23" i="37"/>
  <c r="L24" i="37"/>
  <c r="F23" i="36"/>
  <c r="E24" i="36"/>
  <c r="L25" i="36"/>
  <c r="M24" i="36"/>
  <c r="G18" i="36" s="1"/>
  <c r="G12" i="32"/>
  <c r="G10" i="32"/>
  <c r="M13" i="32"/>
  <c r="L14" i="32"/>
  <c r="U59" i="29"/>
  <c r="AD59" i="29" s="1"/>
  <c r="U55" i="29"/>
  <c r="AD55" i="29" s="1"/>
  <c r="X54" i="29"/>
  <c r="AA53" i="29"/>
  <c r="U49" i="29"/>
  <c r="AD49" i="29" s="1"/>
  <c r="X51" i="29"/>
  <c r="U72" i="29"/>
  <c r="AD72" i="29" s="1"/>
  <c r="U71" i="29"/>
  <c r="AD71" i="29" s="1"/>
  <c r="U50" i="29"/>
  <c r="AD50" i="29" s="1"/>
  <c r="X49" i="29"/>
  <c r="AA74" i="29"/>
  <c r="AF74" i="29" s="1"/>
  <c r="X71" i="29"/>
  <c r="X74" i="29"/>
  <c r="AA73" i="29"/>
  <c r="AF73" i="29" s="1"/>
  <c r="X58" i="29"/>
  <c r="AA57" i="29"/>
  <c r="AF57" i="29" s="1"/>
  <c r="X65" i="29"/>
  <c r="X57" i="29"/>
  <c r="U54" i="29"/>
  <c r="AD54" i="29" s="1"/>
  <c r="AA59" i="29"/>
  <c r="AF59" i="29" s="1"/>
  <c r="U57" i="29"/>
  <c r="AD57" i="29" s="1"/>
  <c r="AA51" i="29"/>
  <c r="AF51" i="29" s="1"/>
  <c r="U68" i="29"/>
  <c r="AD68" i="29" s="1"/>
  <c r="X67" i="29"/>
  <c r="AA66" i="29"/>
  <c r="AF66" i="29" s="1"/>
  <c r="U64" i="29"/>
  <c r="AD64" i="29" s="1"/>
  <c r="X63" i="29"/>
  <c r="U60" i="29"/>
  <c r="AD60" i="29" s="1"/>
  <c r="X59" i="29"/>
  <c r="AA58" i="29"/>
  <c r="AF58" i="29" s="1"/>
  <c r="U56" i="29"/>
  <c r="AD56" i="29" s="1"/>
  <c r="X55" i="29"/>
  <c r="AA54" i="29"/>
  <c r="AF54" i="29" s="1"/>
  <c r="U52" i="29"/>
  <c r="AD52" i="29" s="1"/>
  <c r="AA70" i="29"/>
  <c r="AF70" i="29" s="1"/>
  <c r="U73" i="29"/>
  <c r="AD73" i="29" s="1"/>
  <c r="X72" i="29"/>
  <c r="AA71" i="29"/>
  <c r="AF71" i="29" s="1"/>
  <c r="U69" i="29"/>
  <c r="AD69" i="29" s="1"/>
  <c r="X68" i="29"/>
  <c r="AA67" i="29"/>
  <c r="AF67" i="29" s="1"/>
  <c r="X64" i="29"/>
  <c r="AA50" i="29"/>
  <c r="AF50" i="29" s="1"/>
  <c r="X70" i="29"/>
  <c r="AA69" i="29"/>
  <c r="AF69" i="29" s="1"/>
  <c r="U67" i="29"/>
  <c r="AD67" i="29" s="1"/>
  <c r="X66" i="29"/>
  <c r="AA65" i="29"/>
  <c r="AF65" i="29" s="1"/>
  <c r="U63" i="29"/>
  <c r="AD63" i="29" s="1"/>
  <c r="X62" i="29"/>
  <c r="AA61" i="29"/>
  <c r="AF61" i="29" s="1"/>
  <c r="AF53" i="29"/>
  <c r="AF49" i="29"/>
  <c r="U74" i="29"/>
  <c r="AD74" i="29" s="1"/>
  <c r="X73" i="29"/>
  <c r="AA72" i="29"/>
  <c r="AF72" i="29" s="1"/>
  <c r="U70" i="29"/>
  <c r="AD70" i="29" s="1"/>
  <c r="X69" i="29"/>
  <c r="AA68" i="29"/>
  <c r="AF68" i="29" s="1"/>
  <c r="U66" i="29"/>
  <c r="AD66" i="29" s="1"/>
  <c r="AA64" i="29"/>
  <c r="AF64" i="29" s="1"/>
  <c r="U62" i="29"/>
  <c r="AD62" i="29" s="1"/>
  <c r="X61" i="29"/>
  <c r="AA60" i="29"/>
  <c r="AF60" i="29" s="1"/>
  <c r="U58" i="29"/>
  <c r="AD58" i="29" s="1"/>
  <c r="AA56" i="29"/>
  <c r="AF56" i="29" s="1"/>
  <c r="X53" i="29"/>
  <c r="AA52" i="29"/>
  <c r="AF52" i="29" s="1"/>
  <c r="U65" i="29"/>
  <c r="AD65" i="29" s="1"/>
  <c r="AA63" i="29"/>
  <c r="AF63" i="29" s="1"/>
  <c r="U61" i="29"/>
  <c r="AD61" i="29" s="1"/>
  <c r="X60" i="29"/>
  <c r="X56" i="29"/>
  <c r="AA55" i="29"/>
  <c r="AF55" i="29" s="1"/>
  <c r="U53" i="29"/>
  <c r="AD53" i="29" s="1"/>
  <c r="X52" i="29"/>
  <c r="AA62" i="29"/>
  <c r="AF62" i="29" s="1"/>
  <c r="X89" i="29"/>
  <c r="AA89" i="29"/>
  <c r="U90" i="29"/>
  <c r="AD90" i="29" s="1"/>
  <c r="X90" i="29"/>
  <c r="U91" i="29"/>
  <c r="AD91" i="29" s="1"/>
  <c r="G75" i="53" l="1"/>
  <c r="G61" i="53"/>
  <c r="G74" i="53"/>
  <c r="G60" i="53"/>
  <c r="F74" i="53"/>
  <c r="E75" i="53"/>
  <c r="F75" i="53" s="1"/>
  <c r="G72" i="48"/>
  <c r="G26" i="48"/>
  <c r="G98" i="48"/>
  <c r="G95" i="48"/>
  <c r="G71" i="50"/>
  <c r="G25" i="50"/>
  <c r="L104" i="50"/>
  <c r="M104" i="50" s="1"/>
  <c r="G104" i="50" s="1"/>
  <c r="M98" i="50"/>
  <c r="M72" i="50"/>
  <c r="L73" i="50"/>
  <c r="G65" i="47"/>
  <c r="G20" i="47"/>
  <c r="E104" i="48"/>
  <c r="F104" i="48" s="1"/>
  <c r="F98" i="48"/>
  <c r="M73" i="48"/>
  <c r="L74" i="48"/>
  <c r="F72" i="48"/>
  <c r="E73" i="48"/>
  <c r="G56" i="46"/>
  <c r="G80" i="46"/>
  <c r="E67" i="47"/>
  <c r="F66" i="47"/>
  <c r="L93" i="47"/>
  <c r="M92" i="47"/>
  <c r="F92" i="47"/>
  <c r="E93" i="47"/>
  <c r="M66" i="47"/>
  <c r="L67" i="47"/>
  <c r="F57" i="46"/>
  <c r="E58" i="46"/>
  <c r="F83" i="46"/>
  <c r="E84" i="46"/>
  <c r="L84" i="46"/>
  <c r="M83" i="46"/>
  <c r="M57" i="46"/>
  <c r="G57" i="46" s="1"/>
  <c r="L58" i="46"/>
  <c r="F12" i="37"/>
  <c r="E13" i="37"/>
  <c r="G38" i="44"/>
  <c r="G42" i="44"/>
  <c r="M46" i="45"/>
  <c r="G46" i="45" s="1"/>
  <c r="L47" i="45"/>
  <c r="E48" i="45"/>
  <c r="F47" i="45"/>
  <c r="L46" i="44"/>
  <c r="M45" i="44"/>
  <c r="E45" i="44"/>
  <c r="F44" i="44"/>
  <c r="M24" i="37"/>
  <c r="L25" i="37"/>
  <c r="M25" i="36"/>
  <c r="L26" i="36"/>
  <c r="E25" i="36"/>
  <c r="F24" i="36"/>
  <c r="L15" i="32"/>
  <c r="M14" i="32"/>
  <c r="G14" i="32" s="1"/>
  <c r="U36" i="29"/>
  <c r="AD36" i="29" s="1"/>
  <c r="X35" i="29"/>
  <c r="X93" i="29"/>
  <c r="X40" i="29"/>
  <c r="AA93" i="29"/>
  <c r="AF93" i="29" s="1"/>
  <c r="U39" i="29"/>
  <c r="AD39" i="29" s="1"/>
  <c r="U92" i="29"/>
  <c r="AD92" i="29" s="1"/>
  <c r="AA40" i="29"/>
  <c r="AF40" i="29" s="1"/>
  <c r="U40" i="29"/>
  <c r="AD40" i="29" s="1"/>
  <c r="U35" i="29"/>
  <c r="AD35" i="29" s="1"/>
  <c r="U37" i="29"/>
  <c r="AD37" i="29" s="1"/>
  <c r="X36" i="29"/>
  <c r="AA90" i="29"/>
  <c r="AF90" i="29" s="1"/>
  <c r="AA39" i="29"/>
  <c r="AF39" i="29" s="1"/>
  <c r="X39" i="29"/>
  <c r="X38" i="29"/>
  <c r="AA37" i="29"/>
  <c r="AF37" i="29" s="1"/>
  <c r="AA92" i="29"/>
  <c r="AF92" i="29" s="1"/>
  <c r="U89" i="29"/>
  <c r="AD89" i="29" s="1"/>
  <c r="U38" i="29"/>
  <c r="AD38" i="29" s="1"/>
  <c r="X37" i="29"/>
  <c r="AA36" i="29"/>
  <c r="AF36" i="29" s="1"/>
  <c r="U93" i="29"/>
  <c r="AD93" i="29" s="1"/>
  <c r="X92" i="29"/>
  <c r="AA91" i="29"/>
  <c r="AF91" i="29" s="1"/>
  <c r="AA35" i="29"/>
  <c r="AF35" i="29" s="1"/>
  <c r="X91" i="29"/>
  <c r="AA38" i="29"/>
  <c r="AF38" i="29" s="1"/>
  <c r="AF89" i="29"/>
  <c r="G73" i="48" l="1"/>
  <c r="G30" i="48"/>
  <c r="G72" i="50"/>
  <c r="G31" i="50"/>
  <c r="G98" i="50"/>
  <c r="G91" i="50"/>
  <c r="M73" i="50"/>
  <c r="L74" i="50"/>
  <c r="G92" i="47"/>
  <c r="G79" i="47"/>
  <c r="G66" i="47"/>
  <c r="G22" i="47"/>
  <c r="F73" i="48"/>
  <c r="E74" i="48"/>
  <c r="M74" i="48"/>
  <c r="L75" i="48"/>
  <c r="M75" i="48" s="1"/>
  <c r="L68" i="47"/>
  <c r="M67" i="47"/>
  <c r="E99" i="47"/>
  <c r="F99" i="47" s="1"/>
  <c r="F93" i="47"/>
  <c r="E94" i="47"/>
  <c r="L99" i="47"/>
  <c r="M99" i="47" s="1"/>
  <c r="M93" i="47"/>
  <c r="L94" i="47"/>
  <c r="E68" i="47"/>
  <c r="F67" i="47"/>
  <c r="F84" i="46"/>
  <c r="E85" i="46"/>
  <c r="L59" i="46"/>
  <c r="M58" i="46"/>
  <c r="G58" i="46" s="1"/>
  <c r="M84" i="46"/>
  <c r="G84" i="46" s="1"/>
  <c r="L85" i="46"/>
  <c r="F58" i="46"/>
  <c r="E59" i="46"/>
  <c r="E14" i="37"/>
  <c r="F13" i="37"/>
  <c r="F48" i="45"/>
  <c r="E49" i="45"/>
  <c r="M47" i="45"/>
  <c r="L48" i="45"/>
  <c r="E46" i="44"/>
  <c r="F45" i="44"/>
  <c r="L47" i="44"/>
  <c r="M46" i="44"/>
  <c r="G18" i="37"/>
  <c r="M25" i="37"/>
  <c r="L26" i="37"/>
  <c r="E26" i="36"/>
  <c r="F25" i="36"/>
  <c r="M26" i="36"/>
  <c r="L27" i="36"/>
  <c r="M15" i="32"/>
  <c r="L16" i="32"/>
  <c r="T105" i="29"/>
  <c r="Z105" i="29"/>
  <c r="W105" i="29"/>
  <c r="U115" i="29"/>
  <c r="AD115" i="29" s="1"/>
  <c r="X115" i="29"/>
  <c r="AA115" i="29"/>
  <c r="AF115" i="29" s="1"/>
  <c r="U116" i="29"/>
  <c r="AD116" i="29" s="1"/>
  <c r="X116" i="29"/>
  <c r="AA116" i="29"/>
  <c r="AF116" i="29" s="1"/>
  <c r="U117" i="29"/>
  <c r="AD117" i="29" s="1"/>
  <c r="X117" i="29"/>
  <c r="AA117" i="29"/>
  <c r="AF117" i="29" s="1"/>
  <c r="U118" i="29"/>
  <c r="AD118" i="29" s="1"/>
  <c r="X118" i="29"/>
  <c r="AA118" i="29"/>
  <c r="AF118" i="29" s="1"/>
  <c r="U119" i="29"/>
  <c r="AD119" i="29" s="1"/>
  <c r="X119" i="29"/>
  <c r="AA119" i="29"/>
  <c r="AF119" i="29" s="1"/>
  <c r="U120" i="29"/>
  <c r="AD120" i="29" s="1"/>
  <c r="X120" i="29"/>
  <c r="AA120" i="29"/>
  <c r="AF120" i="29" s="1"/>
  <c r="U121" i="29"/>
  <c r="AD121" i="29" s="1"/>
  <c r="X121" i="29"/>
  <c r="AA121" i="29"/>
  <c r="AF121" i="29" s="1"/>
  <c r="U122" i="29"/>
  <c r="AD122" i="29" s="1"/>
  <c r="X122" i="29"/>
  <c r="AA122" i="29"/>
  <c r="AF122" i="29" s="1"/>
  <c r="U108" i="29"/>
  <c r="AD108" i="29" s="1"/>
  <c r="X108" i="29"/>
  <c r="AA108" i="29"/>
  <c r="AF108" i="29" s="1"/>
  <c r="U109" i="29"/>
  <c r="AD109" i="29" s="1"/>
  <c r="X109" i="29"/>
  <c r="AA109" i="29"/>
  <c r="AF109" i="29" s="1"/>
  <c r="U110" i="29"/>
  <c r="AD110" i="29" s="1"/>
  <c r="X110" i="29"/>
  <c r="AA110" i="29"/>
  <c r="AF110" i="29" s="1"/>
  <c r="U111" i="29"/>
  <c r="AD111" i="29" s="1"/>
  <c r="X111" i="29"/>
  <c r="AA111" i="29"/>
  <c r="AF111" i="29" s="1"/>
  <c r="AA107" i="29"/>
  <c r="AF107" i="29" s="1"/>
  <c r="X107" i="29"/>
  <c r="U107" i="29"/>
  <c r="AD107" i="29" s="1"/>
  <c r="U4" i="29"/>
  <c r="AD4" i="29" s="1"/>
  <c r="X4" i="29"/>
  <c r="AA4" i="29"/>
  <c r="U5" i="29"/>
  <c r="AD5" i="29" s="1"/>
  <c r="X5" i="29"/>
  <c r="AA5" i="29"/>
  <c r="AF5" i="29" s="1"/>
  <c r="U6" i="29"/>
  <c r="AD6" i="29" s="1"/>
  <c r="X6" i="29"/>
  <c r="AA6" i="29"/>
  <c r="U7" i="29"/>
  <c r="AD7" i="29" s="1"/>
  <c r="X7" i="29"/>
  <c r="AA7" i="29"/>
  <c r="U8" i="29"/>
  <c r="AD8" i="29" s="1"/>
  <c r="X8" i="29"/>
  <c r="AA8" i="29"/>
  <c r="U9" i="29"/>
  <c r="AD9" i="29" s="1"/>
  <c r="X9" i="29"/>
  <c r="AA9" i="29"/>
  <c r="U10" i="29"/>
  <c r="AD10" i="29" s="1"/>
  <c r="X10" i="29"/>
  <c r="AA10" i="29"/>
  <c r="U11" i="29"/>
  <c r="AD11" i="29" s="1"/>
  <c r="X11" i="29"/>
  <c r="AA11" i="29"/>
  <c r="U12" i="29"/>
  <c r="AD12" i="29" s="1"/>
  <c r="X12" i="29"/>
  <c r="AA12" i="29"/>
  <c r="U13" i="29"/>
  <c r="AD13" i="29" s="1"/>
  <c r="X13" i="29"/>
  <c r="AA13" i="29"/>
  <c r="U14" i="29"/>
  <c r="AD14" i="29" s="1"/>
  <c r="X14" i="29"/>
  <c r="AA14" i="29"/>
  <c r="U15" i="29"/>
  <c r="AD15" i="29" s="1"/>
  <c r="X15" i="29"/>
  <c r="AA15" i="29"/>
  <c r="U16" i="29"/>
  <c r="AD16" i="29" s="1"/>
  <c r="X16" i="29"/>
  <c r="AA16" i="29"/>
  <c r="U17" i="29"/>
  <c r="AD17" i="29" s="1"/>
  <c r="X17" i="29"/>
  <c r="AA17" i="29"/>
  <c r="U18" i="29"/>
  <c r="AD18" i="29" s="1"/>
  <c r="X18" i="29"/>
  <c r="AA18" i="29"/>
  <c r="U19" i="29"/>
  <c r="AD19" i="29" s="1"/>
  <c r="X19" i="29"/>
  <c r="AA19" i="29"/>
  <c r="AF19" i="29" s="1"/>
  <c r="U20" i="29"/>
  <c r="AD20" i="29" s="1"/>
  <c r="X20" i="29"/>
  <c r="AA20" i="29"/>
  <c r="AF20" i="29" s="1"/>
  <c r="U21" i="29"/>
  <c r="AD21" i="29" s="1"/>
  <c r="X21" i="29"/>
  <c r="AA21" i="29"/>
  <c r="AF21" i="29" s="1"/>
  <c r="U22" i="29"/>
  <c r="AD22" i="29" s="1"/>
  <c r="X22" i="29"/>
  <c r="AA22" i="29"/>
  <c r="U23" i="29"/>
  <c r="AD23" i="29" s="1"/>
  <c r="X23" i="29"/>
  <c r="AA23" i="29"/>
  <c r="AF23" i="29" s="1"/>
  <c r="U24" i="29"/>
  <c r="AD24" i="29" s="1"/>
  <c r="X24" i="29"/>
  <c r="AA24" i="29"/>
  <c r="AF24" i="29" s="1"/>
  <c r="U25" i="29"/>
  <c r="AD25" i="29" s="1"/>
  <c r="X25" i="29"/>
  <c r="AA25" i="29"/>
  <c r="U26" i="29"/>
  <c r="AD26" i="29" s="1"/>
  <c r="X26" i="29"/>
  <c r="AA26" i="29"/>
  <c r="U27" i="29"/>
  <c r="AD27" i="29" s="1"/>
  <c r="X27" i="29"/>
  <c r="AA27" i="29"/>
  <c r="AF27" i="29" s="1"/>
  <c r="U28" i="29"/>
  <c r="AD28" i="29" s="1"/>
  <c r="X28" i="29"/>
  <c r="AA28" i="29"/>
  <c r="U29" i="29"/>
  <c r="AD29" i="29" s="1"/>
  <c r="X29" i="29"/>
  <c r="AA29" i="29"/>
  <c r="U30" i="29"/>
  <c r="AD30" i="29" s="1"/>
  <c r="X30" i="29"/>
  <c r="AA30" i="29"/>
  <c r="U31" i="29"/>
  <c r="AD31" i="29" s="1"/>
  <c r="X31" i="29"/>
  <c r="AA31" i="29"/>
  <c r="U32" i="29"/>
  <c r="AD32" i="29" s="1"/>
  <c r="X32" i="29"/>
  <c r="AA32" i="29"/>
  <c r="AF32" i="29" s="1"/>
  <c r="U33" i="29"/>
  <c r="AD33" i="29" s="1"/>
  <c r="X33" i="29"/>
  <c r="AA33" i="29"/>
  <c r="U34" i="29"/>
  <c r="AD34" i="29" s="1"/>
  <c r="X34" i="29"/>
  <c r="AA34" i="29"/>
  <c r="U41" i="29"/>
  <c r="AD41" i="29" s="1"/>
  <c r="X41" i="29"/>
  <c r="AA41" i="29"/>
  <c r="AF41" i="29" s="1"/>
  <c r="U42" i="29"/>
  <c r="AD42" i="29" s="1"/>
  <c r="X42" i="29"/>
  <c r="AA42" i="29"/>
  <c r="AF42" i="29" s="1"/>
  <c r="U43" i="29"/>
  <c r="AD43" i="29" s="1"/>
  <c r="X43" i="29"/>
  <c r="AA43" i="29"/>
  <c r="U44" i="29"/>
  <c r="AD44" i="29" s="1"/>
  <c r="X44" i="29"/>
  <c r="AA44" i="29"/>
  <c r="AF44" i="29" s="1"/>
  <c r="U45" i="29"/>
  <c r="AD45" i="29" s="1"/>
  <c r="X45" i="29"/>
  <c r="AA45" i="29"/>
  <c r="U46" i="29"/>
  <c r="AD46" i="29" s="1"/>
  <c r="X46" i="29"/>
  <c r="AA46" i="29"/>
  <c r="AF46" i="29" s="1"/>
  <c r="U47" i="29"/>
  <c r="AD47" i="29" s="1"/>
  <c r="X47" i="29"/>
  <c r="AA47" i="29"/>
  <c r="U48" i="29"/>
  <c r="AD48" i="29" s="1"/>
  <c r="X48" i="29"/>
  <c r="AA48" i="29"/>
  <c r="U75" i="29"/>
  <c r="AD75" i="29" s="1"/>
  <c r="X75" i="29"/>
  <c r="AA75" i="29"/>
  <c r="U76" i="29"/>
  <c r="AD76" i="29" s="1"/>
  <c r="X76" i="29"/>
  <c r="AA76" i="29"/>
  <c r="U77" i="29"/>
  <c r="AD77" i="29" s="1"/>
  <c r="X77" i="29"/>
  <c r="AA77" i="29"/>
  <c r="AF77" i="29" s="1"/>
  <c r="U78" i="29"/>
  <c r="AD78" i="29" s="1"/>
  <c r="X78" i="29"/>
  <c r="AA78" i="29"/>
  <c r="AF78" i="29" s="1"/>
  <c r="U79" i="29"/>
  <c r="AD79" i="29" s="1"/>
  <c r="X79" i="29"/>
  <c r="AA79" i="29"/>
  <c r="AF79" i="29" s="1"/>
  <c r="U80" i="29"/>
  <c r="AD80" i="29" s="1"/>
  <c r="X80" i="29"/>
  <c r="AA80" i="29"/>
  <c r="AF80" i="29" s="1"/>
  <c r="U81" i="29"/>
  <c r="AD81" i="29" s="1"/>
  <c r="X81" i="29"/>
  <c r="AA81" i="29"/>
  <c r="U82" i="29"/>
  <c r="AD82" i="29" s="1"/>
  <c r="X82" i="29"/>
  <c r="AA82" i="29"/>
  <c r="AF82" i="29" s="1"/>
  <c r="U83" i="29"/>
  <c r="AD83" i="29" s="1"/>
  <c r="X83" i="29"/>
  <c r="AA83" i="29"/>
  <c r="AF83" i="29" s="1"/>
  <c r="U84" i="29"/>
  <c r="AD84" i="29" s="1"/>
  <c r="X84" i="29"/>
  <c r="AA84" i="29"/>
  <c r="AF84" i="29" s="1"/>
  <c r="U85" i="29"/>
  <c r="AD85" i="29" s="1"/>
  <c r="X85" i="29"/>
  <c r="AA85" i="29"/>
  <c r="U86" i="29"/>
  <c r="AD86" i="29" s="1"/>
  <c r="X86" i="29"/>
  <c r="AA86" i="29"/>
  <c r="AF86" i="29" s="1"/>
  <c r="U87" i="29"/>
  <c r="AD87" i="29" s="1"/>
  <c r="X87" i="29"/>
  <c r="AA87" i="29"/>
  <c r="U88" i="29"/>
  <c r="AD88" i="29" s="1"/>
  <c r="X88" i="29"/>
  <c r="AA88" i="29"/>
  <c r="U94" i="29"/>
  <c r="AD94" i="29" s="1"/>
  <c r="X94" i="29"/>
  <c r="AA94" i="29"/>
  <c r="AF94" i="29" s="1"/>
  <c r="U95" i="29"/>
  <c r="AD95" i="29" s="1"/>
  <c r="X95" i="29"/>
  <c r="AA95" i="29"/>
  <c r="AF95" i="29" s="1"/>
  <c r="U96" i="29"/>
  <c r="AD96" i="29" s="1"/>
  <c r="X96" i="29"/>
  <c r="AA96" i="29"/>
  <c r="AF96" i="29" s="1"/>
  <c r="U97" i="29"/>
  <c r="AD97" i="29" s="1"/>
  <c r="X97" i="29"/>
  <c r="AA97" i="29"/>
  <c r="AF97" i="29" s="1"/>
  <c r="U98" i="29"/>
  <c r="AD98" i="29" s="1"/>
  <c r="X98" i="29"/>
  <c r="AA98" i="29"/>
  <c r="G75" i="48" l="1"/>
  <c r="G32" i="48"/>
  <c r="G74" i="48"/>
  <c r="G31" i="48"/>
  <c r="G73" i="50"/>
  <c r="G32" i="50"/>
  <c r="L75" i="50"/>
  <c r="M75" i="50" s="1"/>
  <c r="M74" i="50"/>
  <c r="G87" i="47"/>
  <c r="G67" i="47"/>
  <c r="G24" i="47"/>
  <c r="F74" i="48"/>
  <c r="E75" i="48"/>
  <c r="F75" i="48" s="1"/>
  <c r="F94" i="47"/>
  <c r="E100" i="47"/>
  <c r="F100" i="47" s="1"/>
  <c r="E95" i="47"/>
  <c r="L100" i="47"/>
  <c r="M100" i="47" s="1"/>
  <c r="M94" i="47"/>
  <c r="L95" i="47"/>
  <c r="F68" i="47"/>
  <c r="E69" i="47"/>
  <c r="L69" i="47"/>
  <c r="M68" i="47"/>
  <c r="G31" i="45"/>
  <c r="F59" i="46"/>
  <c r="E60" i="46"/>
  <c r="M85" i="46"/>
  <c r="L86" i="46"/>
  <c r="L60" i="46"/>
  <c r="M59" i="46"/>
  <c r="G59" i="46" s="1"/>
  <c r="F85" i="46"/>
  <c r="E86" i="46"/>
  <c r="E15" i="37"/>
  <c r="F14" i="37"/>
  <c r="M48" i="45"/>
  <c r="L49" i="45"/>
  <c r="F49" i="45"/>
  <c r="E50" i="45"/>
  <c r="E76" i="45"/>
  <c r="L48" i="44"/>
  <c r="M47" i="44"/>
  <c r="F46" i="44"/>
  <c r="E47" i="44"/>
  <c r="L27" i="37"/>
  <c r="M26" i="37"/>
  <c r="L28" i="36"/>
  <c r="M27" i="36"/>
  <c r="F26" i="36"/>
  <c r="E27" i="36"/>
  <c r="G13" i="32"/>
  <c r="L17" i="32"/>
  <c r="M16" i="32"/>
  <c r="AE105" i="29"/>
  <c r="AM105" i="29"/>
  <c r="AG105" i="29"/>
  <c r="V105" i="29"/>
  <c r="S105" i="29"/>
  <c r="AU105" i="29" s="1"/>
  <c r="Y105" i="29"/>
  <c r="AF75" i="29"/>
  <c r="AF11" i="29"/>
  <c r="AF87" i="29"/>
  <c r="AF45" i="29"/>
  <c r="AF28" i="29"/>
  <c r="AF12" i="29"/>
  <c r="AF4" i="29"/>
  <c r="AF31" i="29"/>
  <c r="AF98" i="29"/>
  <c r="AF85" i="29"/>
  <c r="AF43" i="29"/>
  <c r="AF34" i="29"/>
  <c r="AF26" i="29"/>
  <c r="AF18" i="29"/>
  <c r="AF10" i="29"/>
  <c r="AF29" i="29"/>
  <c r="AF13" i="29"/>
  <c r="AF81" i="29"/>
  <c r="AF47" i="29"/>
  <c r="AF30" i="29"/>
  <c r="AF22" i="29"/>
  <c r="AF14" i="29"/>
  <c r="AF6" i="29"/>
  <c r="AF48" i="29"/>
  <c r="AF15" i="29"/>
  <c r="AF7" i="29"/>
  <c r="AT102" i="29"/>
  <c r="AU102" i="29"/>
  <c r="AF88" i="29"/>
  <c r="AF16" i="29"/>
  <c r="AF8" i="29"/>
  <c r="AF76" i="29"/>
  <c r="AF33" i="29"/>
  <c r="AF25" i="29"/>
  <c r="AF17" i="29"/>
  <c r="AF9" i="29"/>
  <c r="AT103" i="29"/>
  <c r="AU103" i="29"/>
  <c r="G74" i="50" l="1"/>
  <c r="G85" i="50"/>
  <c r="G75" i="50"/>
  <c r="G95" i="50"/>
  <c r="G68" i="47"/>
  <c r="G26" i="47"/>
  <c r="G100" i="47"/>
  <c r="G99" i="47"/>
  <c r="G91" i="47"/>
  <c r="L101" i="47"/>
  <c r="M101" i="47" s="1"/>
  <c r="G101" i="47" s="1"/>
  <c r="L96" i="47"/>
  <c r="M95" i="47"/>
  <c r="E96" i="47"/>
  <c r="E101" i="47"/>
  <c r="F101" i="47" s="1"/>
  <c r="F95" i="47"/>
  <c r="F69" i="47"/>
  <c r="E70" i="47"/>
  <c r="M69" i="47"/>
  <c r="L70" i="47"/>
  <c r="G48" i="45"/>
  <c r="G32" i="45"/>
  <c r="M60" i="46"/>
  <c r="G60" i="46" s="1"/>
  <c r="L61" i="46"/>
  <c r="E87" i="46"/>
  <c r="F86" i="46"/>
  <c r="M86" i="46"/>
  <c r="G86" i="46" s="1"/>
  <c r="L87" i="46"/>
  <c r="E61" i="46"/>
  <c r="F60" i="46"/>
  <c r="E16" i="37"/>
  <c r="F15" i="37"/>
  <c r="F76" i="45"/>
  <c r="E77" i="45"/>
  <c r="F50" i="45"/>
  <c r="E51" i="45"/>
  <c r="L76" i="45"/>
  <c r="M49" i="45"/>
  <c r="L50" i="45"/>
  <c r="F47" i="44"/>
  <c r="E48" i="44"/>
  <c r="L49" i="44"/>
  <c r="M48" i="44"/>
  <c r="L28" i="37"/>
  <c r="M27" i="37"/>
  <c r="G27" i="37" s="1"/>
  <c r="F27" i="36"/>
  <c r="E28" i="36"/>
  <c r="L29" i="36"/>
  <c r="M28" i="36"/>
  <c r="L18" i="32"/>
  <c r="M17" i="32"/>
  <c r="AT100" i="29"/>
  <c r="AU100" i="29"/>
  <c r="AS102" i="29"/>
  <c r="AQ102" i="29"/>
  <c r="AW102" i="29" s="1"/>
  <c r="AS103" i="29"/>
  <c r="AQ103" i="29"/>
  <c r="AW103" i="29" s="1"/>
  <c r="G69" i="47" l="1"/>
  <c r="G30" i="47"/>
  <c r="G93" i="47"/>
  <c r="F70" i="47"/>
  <c r="E71" i="47"/>
  <c r="L102" i="47"/>
  <c r="M102" i="47" s="1"/>
  <c r="G102" i="47" s="1"/>
  <c r="M96" i="47"/>
  <c r="L97" i="47"/>
  <c r="E97" i="47"/>
  <c r="E102" i="47"/>
  <c r="F102" i="47" s="1"/>
  <c r="F96" i="47"/>
  <c r="M70" i="47"/>
  <c r="L71" i="47"/>
  <c r="G49" i="45"/>
  <c r="G34" i="45"/>
  <c r="M61" i="46"/>
  <c r="G61" i="46" s="1"/>
  <c r="L62" i="46"/>
  <c r="F61" i="46"/>
  <c r="E62" i="46"/>
  <c r="M87" i="46"/>
  <c r="L88" i="46"/>
  <c r="E88" i="46"/>
  <c r="F87" i="46"/>
  <c r="F16" i="37"/>
  <c r="E17" i="37"/>
  <c r="M76" i="45"/>
  <c r="G76" i="45" s="1"/>
  <c r="L77" i="45"/>
  <c r="F51" i="45"/>
  <c r="E52" i="45"/>
  <c r="E78" i="45"/>
  <c r="F77" i="45"/>
  <c r="L51" i="45"/>
  <c r="M50" i="45"/>
  <c r="G50" i="45" s="1"/>
  <c r="L76" i="44"/>
  <c r="L50" i="44"/>
  <c r="M49" i="44"/>
  <c r="G43" i="44" s="1"/>
  <c r="E49" i="44"/>
  <c r="F48" i="44"/>
  <c r="L29" i="37"/>
  <c r="M28" i="37"/>
  <c r="G28" i="37" s="1"/>
  <c r="L30" i="36"/>
  <c r="M29" i="36"/>
  <c r="E29" i="36"/>
  <c r="F28" i="36"/>
  <c r="G15" i="32"/>
  <c r="M18" i="32"/>
  <c r="L19" i="32"/>
  <c r="AQ100" i="29"/>
  <c r="AS100" i="29"/>
  <c r="G70" i="47" l="1"/>
  <c r="G31" i="47"/>
  <c r="G95" i="47"/>
  <c r="E103" i="47"/>
  <c r="F103" i="47" s="1"/>
  <c r="F97" i="47"/>
  <c r="E98" i="47"/>
  <c r="L103" i="47"/>
  <c r="M103" i="47" s="1"/>
  <c r="G103" i="47" s="1"/>
  <c r="M97" i="47"/>
  <c r="L98" i="47"/>
  <c r="L72" i="47"/>
  <c r="M71" i="47"/>
  <c r="E72" i="47"/>
  <c r="F71" i="47"/>
  <c r="F88" i="46"/>
  <c r="E89" i="46"/>
  <c r="M88" i="46"/>
  <c r="G88" i="46" s="1"/>
  <c r="L89" i="46"/>
  <c r="E63" i="46"/>
  <c r="F62" i="46"/>
  <c r="M62" i="46"/>
  <c r="L63" i="46"/>
  <c r="E18" i="37"/>
  <c r="F17" i="37"/>
  <c r="F52" i="45"/>
  <c r="E53" i="45"/>
  <c r="L52" i="45"/>
  <c r="M51" i="45"/>
  <c r="G51" i="45" s="1"/>
  <c r="E79" i="45"/>
  <c r="F78" i="45"/>
  <c r="M77" i="45"/>
  <c r="L78" i="45"/>
  <c r="E50" i="44"/>
  <c r="F49" i="44"/>
  <c r="E76" i="44"/>
  <c r="M50" i="44"/>
  <c r="G44" i="44" s="1"/>
  <c r="L51" i="44"/>
  <c r="L77" i="44"/>
  <c r="M76" i="44"/>
  <c r="M29" i="37"/>
  <c r="G29" i="37" s="1"/>
  <c r="L30" i="37"/>
  <c r="E30" i="36"/>
  <c r="F29" i="36"/>
  <c r="L31" i="36"/>
  <c r="M30" i="36"/>
  <c r="M19" i="32"/>
  <c r="L20" i="32"/>
  <c r="AW100" i="29"/>
  <c r="G71" i="47" l="1"/>
  <c r="G32" i="47"/>
  <c r="G96" i="47"/>
  <c r="G62" i="46"/>
  <c r="G20" i="46"/>
  <c r="E104" i="47"/>
  <c r="F104" i="47" s="1"/>
  <c r="F98" i="47"/>
  <c r="M72" i="47"/>
  <c r="L73" i="47"/>
  <c r="L104" i="47"/>
  <c r="M104" i="47" s="1"/>
  <c r="M98" i="47"/>
  <c r="G98" i="47" s="1"/>
  <c r="E73" i="47"/>
  <c r="F72" i="47"/>
  <c r="M89" i="46"/>
  <c r="G89" i="46" s="1"/>
  <c r="L90" i="46"/>
  <c r="M63" i="46"/>
  <c r="L64" i="46"/>
  <c r="E64" i="46"/>
  <c r="F63" i="46"/>
  <c r="F89" i="46"/>
  <c r="E90" i="46"/>
  <c r="F18" i="37"/>
  <c r="E19" i="37"/>
  <c r="M52" i="45"/>
  <c r="G52" i="45" s="1"/>
  <c r="L53" i="45"/>
  <c r="M78" i="45"/>
  <c r="L79" i="45"/>
  <c r="E54" i="45"/>
  <c r="F53" i="45"/>
  <c r="F79" i="45"/>
  <c r="E80" i="45"/>
  <c r="L52" i="44"/>
  <c r="M51" i="44"/>
  <c r="L78" i="44"/>
  <c r="M77" i="44"/>
  <c r="E77" i="44"/>
  <c r="F76" i="44"/>
  <c r="E51" i="44"/>
  <c r="F50" i="44"/>
  <c r="L31" i="37"/>
  <c r="M30" i="37"/>
  <c r="M31" i="36"/>
  <c r="L32" i="36"/>
  <c r="E31" i="36"/>
  <c r="F30" i="36"/>
  <c r="G19" i="32"/>
  <c r="G17" i="32"/>
  <c r="M20" i="32"/>
  <c r="G20" i="32" s="1"/>
  <c r="L21" i="32"/>
  <c r="G72" i="47" l="1"/>
  <c r="G33" i="47"/>
  <c r="G104" i="47"/>
  <c r="G94" i="47"/>
  <c r="G97" i="47"/>
  <c r="G63" i="46"/>
  <c r="G21" i="46"/>
  <c r="F73" i="47"/>
  <c r="E74" i="47"/>
  <c r="M73" i="47"/>
  <c r="L74" i="47"/>
  <c r="G77" i="45"/>
  <c r="F90" i="46"/>
  <c r="E91" i="46"/>
  <c r="F64" i="46"/>
  <c r="E65" i="46"/>
  <c r="L65" i="46"/>
  <c r="M64" i="46"/>
  <c r="L91" i="46"/>
  <c r="M90" i="46"/>
  <c r="G90" i="46" s="1"/>
  <c r="E20" i="37"/>
  <c r="F19" i="37"/>
  <c r="E55" i="45"/>
  <c r="F54" i="45"/>
  <c r="M79" i="45"/>
  <c r="G79" i="45" s="1"/>
  <c r="L80" i="45"/>
  <c r="F80" i="45"/>
  <c r="E81" i="45"/>
  <c r="M53" i="45"/>
  <c r="L54" i="45"/>
  <c r="E52" i="44"/>
  <c r="F51" i="44"/>
  <c r="E78" i="44"/>
  <c r="F77" i="44"/>
  <c r="L79" i="44"/>
  <c r="M78" i="44"/>
  <c r="L53" i="44"/>
  <c r="M52" i="44"/>
  <c r="G45" i="44" s="1"/>
  <c r="L32" i="37"/>
  <c r="M31" i="37"/>
  <c r="E32" i="36"/>
  <c r="F31" i="36"/>
  <c r="M32" i="36"/>
  <c r="L33" i="36"/>
  <c r="M21" i="32"/>
  <c r="L22" i="32"/>
  <c r="G73" i="47" l="1"/>
  <c r="G36" i="47"/>
  <c r="G64" i="46"/>
  <c r="G22" i="46"/>
  <c r="F74" i="47"/>
  <c r="E75" i="47"/>
  <c r="F75" i="47" s="1"/>
  <c r="M74" i="47"/>
  <c r="L75" i="47"/>
  <c r="M75" i="47" s="1"/>
  <c r="L92" i="46"/>
  <c r="M91" i="46"/>
  <c r="F65" i="46"/>
  <c r="E66" i="46"/>
  <c r="F91" i="46"/>
  <c r="E92" i="46"/>
  <c r="M65" i="46"/>
  <c r="L66" i="46"/>
  <c r="E21" i="37"/>
  <c r="F20" i="37"/>
  <c r="M54" i="45"/>
  <c r="L55" i="45"/>
  <c r="F81" i="45"/>
  <c r="E82" i="45"/>
  <c r="M80" i="45"/>
  <c r="L81" i="45"/>
  <c r="E56" i="45"/>
  <c r="F55" i="45"/>
  <c r="L54" i="44"/>
  <c r="M53" i="44"/>
  <c r="G46" i="44" s="1"/>
  <c r="L80" i="44"/>
  <c r="M79" i="44"/>
  <c r="E79" i="44"/>
  <c r="F78" i="44"/>
  <c r="E53" i="44"/>
  <c r="F52" i="44"/>
  <c r="M32" i="37"/>
  <c r="L33" i="37"/>
  <c r="L34" i="36"/>
  <c r="M33" i="36"/>
  <c r="E33" i="36"/>
  <c r="F32" i="36"/>
  <c r="G21" i="32"/>
  <c r="G18" i="32"/>
  <c r="M22" i="32"/>
  <c r="L23" i="32"/>
  <c r="G74" i="47" l="1"/>
  <c r="G37" i="47"/>
  <c r="G75" i="47"/>
  <c r="G38" i="47"/>
  <c r="G65" i="46"/>
  <c r="G23" i="46"/>
  <c r="L67" i="46"/>
  <c r="M66" i="46"/>
  <c r="F66" i="46"/>
  <c r="E67" i="46"/>
  <c r="F92" i="46"/>
  <c r="E93" i="46"/>
  <c r="M92" i="46"/>
  <c r="L93" i="46"/>
  <c r="E22" i="37"/>
  <c r="F21" i="37"/>
  <c r="F82" i="45"/>
  <c r="E83" i="45"/>
  <c r="F56" i="45"/>
  <c r="E57" i="45"/>
  <c r="L82" i="45"/>
  <c r="M81" i="45"/>
  <c r="G81" i="45" s="1"/>
  <c r="M55" i="45"/>
  <c r="G55" i="45" s="1"/>
  <c r="L56" i="45"/>
  <c r="E54" i="44"/>
  <c r="F53" i="44"/>
  <c r="F79" i="44"/>
  <c r="E80" i="44"/>
  <c r="L81" i="44"/>
  <c r="M80" i="44"/>
  <c r="L55" i="44"/>
  <c r="M54" i="44"/>
  <c r="L34" i="37"/>
  <c r="M33" i="37"/>
  <c r="E34" i="36"/>
  <c r="F33" i="36"/>
  <c r="M34" i="36"/>
  <c r="L35" i="36"/>
  <c r="G16" i="32"/>
  <c r="L24" i="32"/>
  <c r="M23" i="32"/>
  <c r="G92" i="46" l="1"/>
  <c r="G77" i="46"/>
  <c r="G66" i="46"/>
  <c r="G24" i="46"/>
  <c r="L99" i="46"/>
  <c r="M99" i="46" s="1"/>
  <c r="G99" i="46" s="1"/>
  <c r="M93" i="46"/>
  <c r="L94" i="46"/>
  <c r="F67" i="46"/>
  <c r="E68" i="46"/>
  <c r="E99" i="46"/>
  <c r="F99" i="46" s="1"/>
  <c r="F93" i="46"/>
  <c r="E94" i="46"/>
  <c r="L68" i="46"/>
  <c r="M67" i="46"/>
  <c r="F22" i="37"/>
  <c r="E23" i="37"/>
  <c r="G20" i="44"/>
  <c r="F57" i="45"/>
  <c r="E58" i="45"/>
  <c r="M56" i="45"/>
  <c r="G56" i="45" s="1"/>
  <c r="L57" i="45"/>
  <c r="F83" i="45"/>
  <c r="E84" i="45"/>
  <c r="L83" i="45"/>
  <c r="M82" i="45"/>
  <c r="G82" i="45" s="1"/>
  <c r="L82" i="44"/>
  <c r="M81" i="44"/>
  <c r="E81" i="44"/>
  <c r="F80" i="44"/>
  <c r="L56" i="44"/>
  <c r="M55" i="44"/>
  <c r="E55" i="44"/>
  <c r="F54" i="44"/>
  <c r="L35" i="37"/>
  <c r="M34" i="37"/>
  <c r="G34" i="37" s="1"/>
  <c r="L36" i="36"/>
  <c r="M35" i="36"/>
  <c r="L39" i="36"/>
  <c r="E35" i="36"/>
  <c r="F34" i="36"/>
  <c r="G22" i="32"/>
  <c r="L25" i="32"/>
  <c r="M24" i="32"/>
  <c r="E100" i="29"/>
  <c r="L100" i="29" s="1"/>
  <c r="E101" i="29"/>
  <c r="L101" i="29" s="1"/>
  <c r="E103" i="29"/>
  <c r="L103" i="29" s="1"/>
  <c r="AH127" i="31"/>
  <c r="R126" i="31"/>
  <c r="Q126" i="31"/>
  <c r="P126" i="31"/>
  <c r="O126" i="31"/>
  <c r="M126" i="31"/>
  <c r="K126" i="31"/>
  <c r="AM124" i="31"/>
  <c r="AK124" i="31"/>
  <c r="AJ124" i="31"/>
  <c r="AI124" i="31"/>
  <c r="AH124" i="31"/>
  <c r="AG124" i="31"/>
  <c r="AE124" i="31"/>
  <c r="AA124" i="31"/>
  <c r="Z124" i="31"/>
  <c r="Y124" i="31"/>
  <c r="W124" i="31"/>
  <c r="V124" i="31"/>
  <c r="T124" i="31"/>
  <c r="S124" i="31"/>
  <c r="N124" i="31"/>
  <c r="AU122" i="31"/>
  <c r="AT122" i="31"/>
  <c r="AR122" i="31"/>
  <c r="AN122" i="31"/>
  <c r="E122" i="31"/>
  <c r="L122" i="31" s="1"/>
  <c r="AU121" i="31"/>
  <c r="AT121" i="31"/>
  <c r="AR121" i="31"/>
  <c r="AN121" i="31"/>
  <c r="E121" i="31"/>
  <c r="L121" i="31" s="1"/>
  <c r="AU120" i="31"/>
  <c r="AT120" i="31"/>
  <c r="AR120" i="31"/>
  <c r="AN120" i="31"/>
  <c r="E120" i="31"/>
  <c r="L120" i="31" s="1"/>
  <c r="AU119" i="31"/>
  <c r="AT119" i="31"/>
  <c r="AR119" i="31"/>
  <c r="AN119" i="31"/>
  <c r="E119" i="31"/>
  <c r="L119" i="31" s="1"/>
  <c r="AU118" i="31"/>
  <c r="AT118" i="31"/>
  <c r="AR118" i="31"/>
  <c r="AN118" i="31"/>
  <c r="E118" i="31"/>
  <c r="L118" i="31" s="1"/>
  <c r="AU117" i="31"/>
  <c r="AT117" i="31"/>
  <c r="AR117" i="31"/>
  <c r="AN117" i="31"/>
  <c r="E117" i="31"/>
  <c r="L117" i="31" s="1"/>
  <c r="AU116" i="31"/>
  <c r="AT116" i="31"/>
  <c r="AR116" i="31"/>
  <c r="AN116" i="31"/>
  <c r="E116" i="31"/>
  <c r="L116" i="31" s="1"/>
  <c r="AU115" i="31"/>
  <c r="AT115" i="31"/>
  <c r="AR115" i="31"/>
  <c r="AN115" i="31"/>
  <c r="X124" i="31"/>
  <c r="E115" i="31"/>
  <c r="L115" i="31" s="1"/>
  <c r="AM113" i="31"/>
  <c r="AK113" i="31"/>
  <c r="AJ113" i="31"/>
  <c r="AI113" i="31"/>
  <c r="AI126" i="31" s="1"/>
  <c r="AH113" i="31"/>
  <c r="AG113" i="31"/>
  <c r="AE113" i="31"/>
  <c r="AA113" i="31"/>
  <c r="Z113" i="31"/>
  <c r="Y113" i="31"/>
  <c r="W113" i="31"/>
  <c r="V113" i="31"/>
  <c r="T113" i="31"/>
  <c r="S113" i="31"/>
  <c r="S126" i="31" s="1"/>
  <c r="N113" i="31"/>
  <c r="N126" i="31" s="1"/>
  <c r="AR112" i="31"/>
  <c r="AU111" i="31"/>
  <c r="AT111" i="31"/>
  <c r="AS111" i="31"/>
  <c r="AR111" i="31"/>
  <c r="AN111" i="31"/>
  <c r="AQ111" i="31"/>
  <c r="AW111" i="31" s="1"/>
  <c r="E111" i="31"/>
  <c r="L111" i="31" s="1"/>
  <c r="AU110" i="31"/>
  <c r="AT110" i="31"/>
  <c r="AS110" i="31"/>
  <c r="AR110" i="31"/>
  <c r="AN110" i="31"/>
  <c r="AQ110" i="31"/>
  <c r="AW110" i="31" s="1"/>
  <c r="E110" i="31"/>
  <c r="L110" i="31" s="1"/>
  <c r="AU109" i="31"/>
  <c r="AT109" i="31"/>
  <c r="AS109" i="31"/>
  <c r="AR109" i="31"/>
  <c r="AN109" i="31"/>
  <c r="AQ109" i="31"/>
  <c r="AW109" i="31" s="1"/>
  <c r="E109" i="31"/>
  <c r="L109" i="31" s="1"/>
  <c r="AU108" i="31"/>
  <c r="AT108" i="31"/>
  <c r="AS108" i="31"/>
  <c r="AR108" i="31"/>
  <c r="AN108" i="31"/>
  <c r="AQ108" i="31"/>
  <c r="AW108" i="31" s="1"/>
  <c r="E108" i="31"/>
  <c r="L108" i="31" s="1"/>
  <c r="AU107" i="31"/>
  <c r="AT107" i="31"/>
  <c r="AS107" i="31"/>
  <c r="AR107" i="31"/>
  <c r="AB113" i="31"/>
  <c r="AQ107" i="31"/>
  <c r="AW107" i="31" s="1"/>
  <c r="E107" i="31"/>
  <c r="AK126" i="31"/>
  <c r="AJ126" i="31"/>
  <c r="AE126" i="31"/>
  <c r="Y126" i="31"/>
  <c r="W126" i="31"/>
  <c r="V126" i="31"/>
  <c r="T126" i="31"/>
  <c r="AU98" i="31"/>
  <c r="AT98" i="31"/>
  <c r="AR98" i="31"/>
  <c r="AN98" i="31"/>
  <c r="AS98" i="31"/>
  <c r="E98" i="31"/>
  <c r="L98" i="31" s="1"/>
  <c r="AU97" i="31"/>
  <c r="AT97" i="31"/>
  <c r="AR97" i="31"/>
  <c r="AN97" i="31"/>
  <c r="AS97" i="31"/>
  <c r="E97" i="31"/>
  <c r="L97" i="31" s="1"/>
  <c r="AU96" i="31"/>
  <c r="AT96" i="31"/>
  <c r="AR96" i="31"/>
  <c r="AN96" i="31"/>
  <c r="AS96" i="31"/>
  <c r="E96" i="31"/>
  <c r="L96" i="31" s="1"/>
  <c r="AU95" i="31"/>
  <c r="AT95" i="31"/>
  <c r="AR95" i="31"/>
  <c r="AN95" i="31"/>
  <c r="AS95" i="31"/>
  <c r="E95" i="31"/>
  <c r="L95" i="31" s="1"/>
  <c r="AU94" i="31"/>
  <c r="AT94" i="31"/>
  <c r="AR94" i="31"/>
  <c r="AN94" i="31"/>
  <c r="AS94" i="31"/>
  <c r="E94" i="31"/>
  <c r="L94" i="31" s="1"/>
  <c r="AU93" i="31"/>
  <c r="AT93" i="31"/>
  <c r="AR93" i="31"/>
  <c r="AQ93" i="31"/>
  <c r="AW93" i="31" s="1"/>
  <c r="AN93" i="31"/>
  <c r="AS93" i="31"/>
  <c r="E93" i="31"/>
  <c r="L93" i="31" s="1"/>
  <c r="AU92" i="31"/>
  <c r="AT92" i="31"/>
  <c r="AR92" i="31"/>
  <c r="AN92" i="31"/>
  <c r="AS92" i="31"/>
  <c r="E92" i="31"/>
  <c r="L92" i="31" s="1"/>
  <c r="AU91" i="31"/>
  <c r="AT91" i="31"/>
  <c r="AR91" i="31"/>
  <c r="AQ91" i="31"/>
  <c r="AW91" i="31" s="1"/>
  <c r="AN91" i="31"/>
  <c r="AS91" i="31"/>
  <c r="E91" i="31"/>
  <c r="L91" i="31" s="1"/>
  <c r="AU90" i="31"/>
  <c r="AT90" i="31"/>
  <c r="AR90" i="31"/>
  <c r="AN90" i="31"/>
  <c r="AS90" i="31"/>
  <c r="E90" i="31"/>
  <c r="L90" i="31" s="1"/>
  <c r="AU89" i="31"/>
  <c r="AT89" i="31"/>
  <c r="AR89" i="31"/>
  <c r="AN89" i="31"/>
  <c r="AS89" i="31"/>
  <c r="E89" i="31"/>
  <c r="L89" i="31" s="1"/>
  <c r="AU88" i="31"/>
  <c r="AT88" i="31"/>
  <c r="AR88" i="31"/>
  <c r="AN88" i="31"/>
  <c r="AS88" i="31"/>
  <c r="E88" i="31"/>
  <c r="L88" i="31" s="1"/>
  <c r="AU87" i="31"/>
  <c r="AT87" i="31"/>
  <c r="AR87" i="31"/>
  <c r="AN87" i="31"/>
  <c r="AS87" i="31"/>
  <c r="E87" i="31"/>
  <c r="L87" i="31" s="1"/>
  <c r="AU86" i="31"/>
  <c r="AT86" i="31"/>
  <c r="AR86" i="31"/>
  <c r="AN86" i="31"/>
  <c r="AS86" i="31"/>
  <c r="E86" i="31"/>
  <c r="L86" i="31" s="1"/>
  <c r="AU85" i="31"/>
  <c r="AT85" i="31"/>
  <c r="AR85" i="31"/>
  <c r="AN85" i="31"/>
  <c r="AS85" i="31"/>
  <c r="E85" i="31"/>
  <c r="L85" i="31" s="1"/>
  <c r="AU84" i="31"/>
  <c r="AT84" i="31"/>
  <c r="AR84" i="31"/>
  <c r="AN84" i="31"/>
  <c r="AS84" i="31"/>
  <c r="E84" i="31"/>
  <c r="L84" i="31" s="1"/>
  <c r="AU83" i="31"/>
  <c r="AT83" i="31"/>
  <c r="AR83" i="31"/>
  <c r="AQ83" i="31"/>
  <c r="AN83" i="31"/>
  <c r="AS83" i="31"/>
  <c r="E83" i="31"/>
  <c r="L83" i="31" s="1"/>
  <c r="AU82" i="31"/>
  <c r="AT82" i="31"/>
  <c r="AR82" i="31"/>
  <c r="AN82" i="31"/>
  <c r="AS82" i="31"/>
  <c r="E82" i="31"/>
  <c r="L82" i="31" s="1"/>
  <c r="AU81" i="31"/>
  <c r="AT81" i="31"/>
  <c r="AR81" i="31"/>
  <c r="AN81" i="31"/>
  <c r="E81" i="31"/>
  <c r="L81" i="31" s="1"/>
  <c r="AU80" i="31"/>
  <c r="AT80" i="31"/>
  <c r="AR80" i="31"/>
  <c r="AN80" i="31"/>
  <c r="AS80" i="31"/>
  <c r="E80" i="31"/>
  <c r="L80" i="31" s="1"/>
  <c r="AU79" i="31"/>
  <c r="AT79" i="31"/>
  <c r="AR79" i="31"/>
  <c r="AN79" i="31"/>
  <c r="E79" i="31"/>
  <c r="L79" i="31" s="1"/>
  <c r="AU78" i="31"/>
  <c r="AT78" i="31"/>
  <c r="AR78" i="31"/>
  <c r="AN78" i="31"/>
  <c r="AQ78" i="31"/>
  <c r="E78" i="31"/>
  <c r="L78" i="31" s="1"/>
  <c r="AU77" i="31"/>
  <c r="AT77" i="31"/>
  <c r="AR77" i="31"/>
  <c r="AN77" i="31"/>
  <c r="AQ77" i="31"/>
  <c r="AW77" i="31" s="1"/>
  <c r="E77" i="31"/>
  <c r="L77" i="31" s="1"/>
  <c r="AU76" i="31"/>
  <c r="AT76" i="31"/>
  <c r="AR76" i="31"/>
  <c r="AN76" i="31"/>
  <c r="AQ76" i="31"/>
  <c r="E76" i="31"/>
  <c r="L76" i="31" s="1"/>
  <c r="AU75" i="31"/>
  <c r="AT75" i="31"/>
  <c r="AR75" i="31"/>
  <c r="AN75" i="31"/>
  <c r="AQ75" i="31"/>
  <c r="AW75" i="31" s="1"/>
  <c r="E75" i="31"/>
  <c r="L75" i="31" s="1"/>
  <c r="AU74" i="31"/>
  <c r="AT74" i="31"/>
  <c r="AR74" i="31"/>
  <c r="AN74" i="31"/>
  <c r="AQ74" i="31"/>
  <c r="AW74" i="31" s="1"/>
  <c r="E74" i="31"/>
  <c r="L74" i="31" s="1"/>
  <c r="AU73" i="31"/>
  <c r="AT73" i="31"/>
  <c r="AR73" i="31"/>
  <c r="AN73" i="31"/>
  <c r="AQ73" i="31"/>
  <c r="AW73" i="31" s="1"/>
  <c r="E73" i="31"/>
  <c r="L73" i="31" s="1"/>
  <c r="AU72" i="31"/>
  <c r="AT72" i="31"/>
  <c r="AR72" i="31"/>
  <c r="AN72" i="31"/>
  <c r="AQ72" i="31"/>
  <c r="AW72" i="31" s="1"/>
  <c r="E72" i="31"/>
  <c r="L72" i="31" s="1"/>
  <c r="AU71" i="31"/>
  <c r="AT71" i="31"/>
  <c r="AR71" i="31"/>
  <c r="AN71" i="31"/>
  <c r="AQ71" i="31"/>
  <c r="E71" i="31"/>
  <c r="L71" i="31" s="1"/>
  <c r="AU70" i="31"/>
  <c r="AT70" i="31"/>
  <c r="AR70" i="31"/>
  <c r="AN70" i="31"/>
  <c r="AQ70" i="31"/>
  <c r="E70" i="31"/>
  <c r="L70" i="31" s="1"/>
  <c r="AU69" i="31"/>
  <c r="AT69" i="31"/>
  <c r="AR69" i="31"/>
  <c r="AN69" i="31"/>
  <c r="AQ69" i="31"/>
  <c r="AW69" i="31" s="1"/>
  <c r="E69" i="31"/>
  <c r="L69" i="31" s="1"/>
  <c r="AU68" i="31"/>
  <c r="AT68" i="31"/>
  <c r="AR68" i="31"/>
  <c r="AN68" i="31"/>
  <c r="AQ68" i="31"/>
  <c r="AW68" i="31" s="1"/>
  <c r="E68" i="31"/>
  <c r="L68" i="31" s="1"/>
  <c r="AU67" i="31"/>
  <c r="AT67" i="31"/>
  <c r="AR67" i="31"/>
  <c r="AN67" i="31"/>
  <c r="AQ67" i="31"/>
  <c r="AW67" i="31" s="1"/>
  <c r="E67" i="31"/>
  <c r="L67" i="31" s="1"/>
  <c r="AU66" i="31"/>
  <c r="AT66" i="31"/>
  <c r="AR66" i="31"/>
  <c r="AN66" i="31"/>
  <c r="AQ66" i="31"/>
  <c r="AW66" i="31" s="1"/>
  <c r="E66" i="31"/>
  <c r="L66" i="31" s="1"/>
  <c r="AU65" i="31"/>
  <c r="AT65" i="31"/>
  <c r="AR65" i="31"/>
  <c r="AN65" i="31"/>
  <c r="AQ65" i="31"/>
  <c r="AW65" i="31" s="1"/>
  <c r="E65" i="31"/>
  <c r="L65" i="31" s="1"/>
  <c r="AU64" i="31"/>
  <c r="AT64" i="31"/>
  <c r="AR64" i="31"/>
  <c r="AN64" i="31"/>
  <c r="AQ64" i="31"/>
  <c r="AW64" i="31" s="1"/>
  <c r="E64" i="31"/>
  <c r="L64" i="31" s="1"/>
  <c r="AU63" i="31"/>
  <c r="AT63" i="31"/>
  <c r="AR63" i="31"/>
  <c r="AN63" i="31"/>
  <c r="AQ63" i="31"/>
  <c r="AW63" i="31" s="1"/>
  <c r="E63" i="31"/>
  <c r="L63" i="31" s="1"/>
  <c r="AU62" i="31"/>
  <c r="AT62" i="31"/>
  <c r="AR62" i="31"/>
  <c r="AN62" i="31"/>
  <c r="AQ62" i="31"/>
  <c r="AW62" i="31" s="1"/>
  <c r="E62" i="31"/>
  <c r="L62" i="31" s="1"/>
  <c r="AU61" i="31"/>
  <c r="AT61" i="31"/>
  <c r="AR61" i="31"/>
  <c r="AN61" i="31"/>
  <c r="AQ61" i="31"/>
  <c r="AW61" i="31" s="1"/>
  <c r="E61" i="31"/>
  <c r="L61" i="31" s="1"/>
  <c r="AU60" i="31"/>
  <c r="AT60" i="31"/>
  <c r="AR60" i="31"/>
  <c r="AN60" i="31"/>
  <c r="AQ60" i="31"/>
  <c r="AW60" i="31" s="1"/>
  <c r="E60" i="31"/>
  <c r="L60" i="31" s="1"/>
  <c r="AU59" i="31"/>
  <c r="AT59" i="31"/>
  <c r="AR59" i="31"/>
  <c r="AN59" i="31"/>
  <c r="AQ59" i="31"/>
  <c r="AW59" i="31" s="1"/>
  <c r="E59" i="31"/>
  <c r="L59" i="31" s="1"/>
  <c r="AU58" i="31"/>
  <c r="AT58" i="31"/>
  <c r="AR58" i="31"/>
  <c r="AN58" i="31"/>
  <c r="AQ58" i="31"/>
  <c r="E58" i="31"/>
  <c r="L58" i="31" s="1"/>
  <c r="AU57" i="31"/>
  <c r="AT57" i="31"/>
  <c r="AR57" i="31"/>
  <c r="AN57" i="31"/>
  <c r="AQ57" i="31"/>
  <c r="AW57" i="31" s="1"/>
  <c r="E57" i="31"/>
  <c r="L57" i="31" s="1"/>
  <c r="AU56" i="31"/>
  <c r="AT56" i="31"/>
  <c r="AR56" i="31"/>
  <c r="AN56" i="31"/>
  <c r="AQ56" i="31"/>
  <c r="E56" i="31"/>
  <c r="L56" i="31" s="1"/>
  <c r="AU55" i="31"/>
  <c r="AT55" i="31"/>
  <c r="AR55" i="31"/>
  <c r="AN55" i="31"/>
  <c r="AQ55" i="31"/>
  <c r="AW55" i="31" s="1"/>
  <c r="E55" i="31"/>
  <c r="L55" i="31" s="1"/>
  <c r="AU54" i="31"/>
  <c r="AT54" i="31"/>
  <c r="AR54" i="31"/>
  <c r="AN54" i="31"/>
  <c r="AQ54" i="31"/>
  <c r="E54" i="31"/>
  <c r="L54" i="31" s="1"/>
  <c r="AU53" i="31"/>
  <c r="AT53" i="31"/>
  <c r="AR53" i="31"/>
  <c r="AN53" i="31"/>
  <c r="AQ53" i="31"/>
  <c r="AW53" i="31" s="1"/>
  <c r="E53" i="31"/>
  <c r="L53" i="31" s="1"/>
  <c r="AU52" i="31"/>
  <c r="AT52" i="31"/>
  <c r="AR52" i="31"/>
  <c r="AN52" i="31"/>
  <c r="AQ52" i="31"/>
  <c r="AW52" i="31" s="1"/>
  <c r="E52" i="31"/>
  <c r="L52" i="31" s="1"/>
  <c r="AU51" i="31"/>
  <c r="AT51" i="31"/>
  <c r="AR51" i="31"/>
  <c r="AN51" i="31"/>
  <c r="AQ51" i="31"/>
  <c r="E51" i="31"/>
  <c r="L51" i="31" s="1"/>
  <c r="AU50" i="31"/>
  <c r="AT50" i="31"/>
  <c r="AR50" i="31"/>
  <c r="AN50" i="31"/>
  <c r="AQ50" i="31"/>
  <c r="E50" i="31"/>
  <c r="L50" i="31" s="1"/>
  <c r="AU49" i="31"/>
  <c r="AT49" i="31"/>
  <c r="AR49" i="31"/>
  <c r="AN49" i="31"/>
  <c r="AQ49" i="31"/>
  <c r="E49" i="31"/>
  <c r="L49" i="31" s="1"/>
  <c r="AU48" i="31"/>
  <c r="AT48" i="31"/>
  <c r="AR48" i="31"/>
  <c r="AN48" i="31"/>
  <c r="AQ48" i="31"/>
  <c r="E48" i="31"/>
  <c r="L48" i="31" s="1"/>
  <c r="AU47" i="31"/>
  <c r="AT47" i="31"/>
  <c r="AR47" i="31"/>
  <c r="AN47" i="31"/>
  <c r="AQ47" i="31"/>
  <c r="E47" i="31"/>
  <c r="L47" i="31" s="1"/>
  <c r="AU46" i="31"/>
  <c r="AT46" i="31"/>
  <c r="AR46" i="31"/>
  <c r="AN46" i="31"/>
  <c r="AQ46" i="31"/>
  <c r="AW46" i="31" s="1"/>
  <c r="E46" i="31"/>
  <c r="L46" i="31" s="1"/>
  <c r="AU45" i="31"/>
  <c r="AT45" i="31"/>
  <c r="AR45" i="31"/>
  <c r="AN45" i="31"/>
  <c r="AQ45" i="31"/>
  <c r="E45" i="31"/>
  <c r="L45" i="31" s="1"/>
  <c r="AU44" i="31"/>
  <c r="AT44" i="31"/>
  <c r="AR44" i="31"/>
  <c r="AN44" i="31"/>
  <c r="AQ44" i="31"/>
  <c r="E44" i="31"/>
  <c r="L44" i="31" s="1"/>
  <c r="AU43" i="31"/>
  <c r="AT43" i="31"/>
  <c r="AR43" i="31"/>
  <c r="AN43" i="31"/>
  <c r="AQ43" i="31"/>
  <c r="E43" i="31"/>
  <c r="L43" i="31" s="1"/>
  <c r="AU42" i="31"/>
  <c r="AT42" i="31"/>
  <c r="AR42" i="31"/>
  <c r="AN42" i="31"/>
  <c r="AQ42" i="31"/>
  <c r="AW42" i="31" s="1"/>
  <c r="E42" i="31"/>
  <c r="L42" i="31" s="1"/>
  <c r="AU41" i="31"/>
  <c r="AT41" i="31"/>
  <c r="AR41" i="31"/>
  <c r="AN41" i="31"/>
  <c r="AQ41" i="31"/>
  <c r="E41" i="31"/>
  <c r="L41" i="31" s="1"/>
  <c r="AU40" i="31"/>
  <c r="AT40" i="31"/>
  <c r="AR40" i="31"/>
  <c r="AN40" i="31"/>
  <c r="AQ40" i="31"/>
  <c r="AW40" i="31" s="1"/>
  <c r="E40" i="31"/>
  <c r="L40" i="31" s="1"/>
  <c r="AU39" i="31"/>
  <c r="AT39" i="31"/>
  <c r="AR39" i="31"/>
  <c r="AN39" i="31"/>
  <c r="AQ39" i="31"/>
  <c r="E39" i="31"/>
  <c r="L39" i="31" s="1"/>
  <c r="AU38" i="31"/>
  <c r="AT38" i="31"/>
  <c r="AR38" i="31"/>
  <c r="AN38" i="31"/>
  <c r="AQ38" i="31"/>
  <c r="AW38" i="31" s="1"/>
  <c r="E38" i="31"/>
  <c r="L38" i="31" s="1"/>
  <c r="AU37" i="31"/>
  <c r="AT37" i="31"/>
  <c r="AR37" i="31"/>
  <c r="AN37" i="31"/>
  <c r="AQ37" i="31"/>
  <c r="E37" i="31"/>
  <c r="L37" i="31" s="1"/>
  <c r="AU36" i="31"/>
  <c r="AT36" i="31"/>
  <c r="AR36" i="31"/>
  <c r="AN36" i="31"/>
  <c r="AQ36" i="31"/>
  <c r="AW36" i="31" s="1"/>
  <c r="E36" i="31"/>
  <c r="L36" i="31" s="1"/>
  <c r="AU35" i="31"/>
  <c r="AT35" i="31"/>
  <c r="AR35" i="31"/>
  <c r="AN35" i="31"/>
  <c r="AQ35" i="31"/>
  <c r="AW35" i="31" s="1"/>
  <c r="E35" i="31"/>
  <c r="L35" i="31" s="1"/>
  <c r="AU34" i="31"/>
  <c r="AT34" i="31"/>
  <c r="AR34" i="31"/>
  <c r="AN34" i="31"/>
  <c r="AQ34" i="31"/>
  <c r="E34" i="31"/>
  <c r="L34" i="31" s="1"/>
  <c r="AU33" i="31"/>
  <c r="AT33" i="31"/>
  <c r="AR33" i="31"/>
  <c r="AN33" i="31"/>
  <c r="AQ33" i="31"/>
  <c r="E33" i="31"/>
  <c r="L33" i="31" s="1"/>
  <c r="AU32" i="31"/>
  <c r="AT32" i="31"/>
  <c r="AR32" i="31"/>
  <c r="AN32" i="31"/>
  <c r="AQ32" i="31"/>
  <c r="AW32" i="31" s="1"/>
  <c r="E32" i="31"/>
  <c r="L32" i="31" s="1"/>
  <c r="AU31" i="31"/>
  <c r="AT31" i="31"/>
  <c r="AR31" i="31"/>
  <c r="AN31" i="31"/>
  <c r="AQ31" i="31"/>
  <c r="AW31" i="31" s="1"/>
  <c r="E31" i="31"/>
  <c r="L31" i="31" s="1"/>
  <c r="AU30" i="31"/>
  <c r="AT30" i="31"/>
  <c r="AR30" i="31"/>
  <c r="AN30" i="31"/>
  <c r="AQ30" i="31"/>
  <c r="AW30" i="31" s="1"/>
  <c r="E30" i="31"/>
  <c r="L30" i="31" s="1"/>
  <c r="AU29" i="31"/>
  <c r="AT29" i="31"/>
  <c r="AR29" i="31"/>
  <c r="AN29" i="31"/>
  <c r="AQ29" i="31"/>
  <c r="AW29" i="31" s="1"/>
  <c r="E29" i="31"/>
  <c r="L29" i="31" s="1"/>
  <c r="AU28" i="31"/>
  <c r="AT28" i="31"/>
  <c r="AR28" i="31"/>
  <c r="AN28" i="31"/>
  <c r="AS28" i="31"/>
  <c r="E28" i="31"/>
  <c r="L28" i="31" s="1"/>
  <c r="AU27" i="31"/>
  <c r="AT27" i="31"/>
  <c r="AR27" i="31"/>
  <c r="AN27" i="31"/>
  <c r="AQ27" i="31"/>
  <c r="E27" i="31"/>
  <c r="L27" i="31" s="1"/>
  <c r="AU26" i="31"/>
  <c r="AT26" i="31"/>
  <c r="AR26" i="31"/>
  <c r="AN26" i="31"/>
  <c r="AS26" i="31"/>
  <c r="E26" i="31"/>
  <c r="L26" i="31" s="1"/>
  <c r="AU25" i="31"/>
  <c r="AT25" i="31"/>
  <c r="AR25" i="31"/>
  <c r="AN25" i="31"/>
  <c r="AS25" i="31"/>
  <c r="E25" i="31"/>
  <c r="L25" i="31" s="1"/>
  <c r="AU24" i="31"/>
  <c r="AT24" i="31"/>
  <c r="AR24" i="31"/>
  <c r="AN24" i="31"/>
  <c r="AQ24" i="31"/>
  <c r="AW24" i="31" s="1"/>
  <c r="E24" i="31"/>
  <c r="L24" i="31" s="1"/>
  <c r="AU23" i="31"/>
  <c r="AT23" i="31"/>
  <c r="AR23" i="31"/>
  <c r="AN23" i="31"/>
  <c r="E23" i="31"/>
  <c r="L23" i="31" s="1"/>
  <c r="AU22" i="31"/>
  <c r="AT22" i="31"/>
  <c r="AR22" i="31"/>
  <c r="AN22" i="31"/>
  <c r="E22" i="31"/>
  <c r="L22" i="31" s="1"/>
  <c r="AU21" i="31"/>
  <c r="AT21" i="31"/>
  <c r="AR21" i="31"/>
  <c r="AN21" i="31"/>
  <c r="E21" i="31"/>
  <c r="L21" i="31" s="1"/>
  <c r="AU20" i="31"/>
  <c r="AT20" i="31"/>
  <c r="AR20" i="31"/>
  <c r="AN20" i="31"/>
  <c r="E20" i="31"/>
  <c r="L20" i="31" s="1"/>
  <c r="AU19" i="31"/>
  <c r="AT19" i="31"/>
  <c r="AR19" i="31"/>
  <c r="AN19" i="31"/>
  <c r="E19" i="31"/>
  <c r="L19" i="31" s="1"/>
  <c r="AU18" i="31"/>
  <c r="AT18" i="31"/>
  <c r="AR18" i="31"/>
  <c r="AN18" i="31"/>
  <c r="E18" i="31"/>
  <c r="L18" i="31" s="1"/>
  <c r="AU17" i="31"/>
  <c r="AT17" i="31"/>
  <c r="AR17" i="31"/>
  <c r="AN17" i="31"/>
  <c r="E17" i="31"/>
  <c r="L17" i="31" s="1"/>
  <c r="AU16" i="31"/>
  <c r="AT16" i="31"/>
  <c r="AS16" i="31"/>
  <c r="AR16" i="31"/>
  <c r="AQ16" i="31"/>
  <c r="AN16" i="31"/>
  <c r="E16" i="31"/>
  <c r="L16" i="31" s="1"/>
  <c r="AU15" i="31"/>
  <c r="AT15" i="31"/>
  <c r="AR15" i="31"/>
  <c r="AN15" i="31"/>
  <c r="E15" i="31"/>
  <c r="L15" i="31" s="1"/>
  <c r="AU14" i="31"/>
  <c r="AT14" i="31"/>
  <c r="AR14" i="31"/>
  <c r="AN14" i="31"/>
  <c r="E14" i="31"/>
  <c r="L14" i="31" s="1"/>
  <c r="AU13" i="31"/>
  <c r="AT13" i="31"/>
  <c r="AR13" i="31"/>
  <c r="AN13" i="31"/>
  <c r="E13" i="31"/>
  <c r="L13" i="31" s="1"/>
  <c r="AU12" i="31"/>
  <c r="AT12" i="31"/>
  <c r="AR12" i="31"/>
  <c r="AN12" i="31"/>
  <c r="E12" i="31"/>
  <c r="L12" i="31" s="1"/>
  <c r="AU11" i="31"/>
  <c r="AT11" i="31"/>
  <c r="AR11" i="31"/>
  <c r="AN11" i="31"/>
  <c r="E11" i="31"/>
  <c r="L11" i="31" s="1"/>
  <c r="AU10" i="31"/>
  <c r="AT10" i="31"/>
  <c r="AR10" i="31"/>
  <c r="AN10" i="31"/>
  <c r="E10" i="31"/>
  <c r="L10" i="31" s="1"/>
  <c r="AU9" i="31"/>
  <c r="AT9" i="31"/>
  <c r="AR9" i="31"/>
  <c r="AN9" i="31"/>
  <c r="E9" i="31"/>
  <c r="L9" i="31" s="1"/>
  <c r="AU8" i="31"/>
  <c r="AT8" i="31"/>
  <c r="AR8" i="31"/>
  <c r="AN8" i="31"/>
  <c r="E8" i="31"/>
  <c r="L8" i="31" s="1"/>
  <c r="AU7" i="31"/>
  <c r="AT7" i="31"/>
  <c r="AR7" i="31"/>
  <c r="AN7" i="31"/>
  <c r="E7" i="31"/>
  <c r="L7" i="31" s="1"/>
  <c r="AU6" i="31"/>
  <c r="AT6" i="31"/>
  <c r="AR6" i="31"/>
  <c r="AQ6" i="31"/>
  <c r="AN6" i="31"/>
  <c r="E6" i="31"/>
  <c r="L6" i="31" s="1"/>
  <c r="AU5" i="31"/>
  <c r="AT5" i="31"/>
  <c r="AR5" i="31"/>
  <c r="AN5" i="31"/>
  <c r="E5" i="31"/>
  <c r="L5" i="31" s="1"/>
  <c r="AU4" i="31"/>
  <c r="AT4" i="31"/>
  <c r="AR4" i="31"/>
  <c r="AN4" i="31"/>
  <c r="E4" i="31"/>
  <c r="L4" i="31" s="1"/>
  <c r="AU3" i="31"/>
  <c r="AT3" i="31"/>
  <c r="AR3" i="31"/>
  <c r="AB3" i="31"/>
  <c r="AF3" i="31"/>
  <c r="X3" i="31"/>
  <c r="X105" i="31" s="1"/>
  <c r="U3" i="31"/>
  <c r="E3" i="31"/>
  <c r="AD33" i="3"/>
  <c r="V33" i="3"/>
  <c r="T33" i="3"/>
  <c r="G67" i="46" l="1"/>
  <c r="G25" i="46"/>
  <c r="G83" i="46"/>
  <c r="E95" i="46"/>
  <c r="E100" i="46"/>
  <c r="F100" i="46" s="1"/>
  <c r="F94" i="46"/>
  <c r="E69" i="46"/>
  <c r="F68" i="46"/>
  <c r="L100" i="46"/>
  <c r="M100" i="46" s="1"/>
  <c r="M94" i="46"/>
  <c r="L95" i="46"/>
  <c r="M68" i="46"/>
  <c r="L69" i="46"/>
  <c r="F23" i="37"/>
  <c r="E24" i="37"/>
  <c r="G48" i="44"/>
  <c r="G21" i="44"/>
  <c r="L84" i="45"/>
  <c r="M83" i="45"/>
  <c r="F84" i="45"/>
  <c r="E85" i="45"/>
  <c r="M57" i="45"/>
  <c r="G57" i="45" s="1"/>
  <c r="L58" i="45"/>
  <c r="F58" i="45"/>
  <c r="E59" i="45"/>
  <c r="G81" i="44"/>
  <c r="F55" i="44"/>
  <c r="E56" i="44"/>
  <c r="L57" i="44"/>
  <c r="M56" i="44"/>
  <c r="E82" i="44"/>
  <c r="F81" i="44"/>
  <c r="M82" i="44"/>
  <c r="L83" i="44"/>
  <c r="AU123" i="31"/>
  <c r="AS112" i="31"/>
  <c r="AF113" i="31"/>
  <c r="AT112" i="31"/>
  <c r="AU112" i="31"/>
  <c r="AT123" i="31"/>
  <c r="AU124" i="31"/>
  <c r="AQ112" i="31"/>
  <c r="AS3" i="31"/>
  <c r="R3" i="31"/>
  <c r="U105" i="31"/>
  <c r="AB105" i="31"/>
  <c r="AL78" i="31"/>
  <c r="AL59" i="31"/>
  <c r="AL48" i="31"/>
  <c r="AL43" i="31"/>
  <c r="AL19" i="31"/>
  <c r="AL77" i="31"/>
  <c r="AL57" i="31"/>
  <c r="AL71" i="31"/>
  <c r="AL47" i="31"/>
  <c r="AL25" i="31"/>
  <c r="AL15" i="31"/>
  <c r="AL70" i="31"/>
  <c r="AL51" i="31"/>
  <c r="AL40" i="31"/>
  <c r="AL24" i="31"/>
  <c r="AL44" i="31"/>
  <c r="AL29" i="31"/>
  <c r="AL100" i="31"/>
  <c r="AO100" i="31" s="1"/>
  <c r="AV100" i="31" s="1" a="1"/>
  <c r="AV100" i="31" s="1"/>
  <c r="AL99" i="31"/>
  <c r="AO99" i="31" s="1"/>
  <c r="AV99" i="31" s="1" a="1"/>
  <c r="AV99" i="31" s="1"/>
  <c r="AL102" i="31"/>
  <c r="AO102" i="31" s="1"/>
  <c r="AV102" i="31" s="1" a="1"/>
  <c r="AV102" i="31" s="1"/>
  <c r="AL103" i="31"/>
  <c r="AO103" i="31" s="1"/>
  <c r="AV103" i="31" s="1" a="1"/>
  <c r="AV103" i="31" s="1"/>
  <c r="AL101" i="31"/>
  <c r="AO101" i="31" s="1"/>
  <c r="AV101" i="31" s="1" a="1"/>
  <c r="AV101" i="31" s="1"/>
  <c r="AL6" i="31"/>
  <c r="AO6" i="31" s="1"/>
  <c r="AV6" i="31" s="1" a="1"/>
  <c r="AV6" i="31" s="1"/>
  <c r="AW6" i="31" s="1"/>
  <c r="AL10" i="31"/>
  <c r="AO10" i="31" s="1"/>
  <c r="AV10" i="31" s="1" a="1"/>
  <c r="AV10" i="31" s="1"/>
  <c r="AL14" i="31"/>
  <c r="AL20" i="31"/>
  <c r="AO20" i="31" s="1"/>
  <c r="AV20" i="31" s="1" a="1"/>
  <c r="AV20" i="31" s="1"/>
  <c r="AL31" i="31"/>
  <c r="AL33" i="31"/>
  <c r="AL36" i="31"/>
  <c r="AL52" i="31"/>
  <c r="AL58" i="31"/>
  <c r="AL64" i="31"/>
  <c r="AL67" i="31"/>
  <c r="AL74" i="31"/>
  <c r="AL81" i="31"/>
  <c r="AL37" i="31"/>
  <c r="AL53" i="31"/>
  <c r="AL60" i="31"/>
  <c r="AL68" i="31"/>
  <c r="AL82" i="31"/>
  <c r="AO82" i="31" s="1"/>
  <c r="AV82" i="31" s="1" a="1"/>
  <c r="AV82" i="31" s="1"/>
  <c r="AL16" i="31"/>
  <c r="AO16" i="31" s="1"/>
  <c r="AV16" i="31" s="1" a="1"/>
  <c r="AV16" i="31" s="1"/>
  <c r="AW16" i="31" s="1"/>
  <c r="AL22" i="31"/>
  <c r="AO22" i="31" s="1"/>
  <c r="AV22" i="31" s="1" a="1"/>
  <c r="AV22" i="31" s="1"/>
  <c r="AL27" i="31"/>
  <c r="AL34" i="31"/>
  <c r="AL41" i="31"/>
  <c r="AL45" i="31"/>
  <c r="AL49" i="31"/>
  <c r="AL54" i="31"/>
  <c r="AL61" i="31"/>
  <c r="AL65" i="31"/>
  <c r="AL72" i="31"/>
  <c r="AL75" i="31"/>
  <c r="AL4" i="31"/>
  <c r="AO4" i="31" s="1"/>
  <c r="AV4" i="31" s="1" a="1"/>
  <c r="AV4" i="31" s="1"/>
  <c r="AL8" i="31"/>
  <c r="AO8" i="31" s="1"/>
  <c r="AV8" i="31" s="1" a="1"/>
  <c r="AV8" i="31" s="1"/>
  <c r="AL12" i="31"/>
  <c r="AO12" i="31" s="1"/>
  <c r="AV12" i="31" s="1" a="1"/>
  <c r="AV12" i="31" s="1"/>
  <c r="AL28" i="31"/>
  <c r="AL30" i="31"/>
  <c r="AL32" i="31"/>
  <c r="AL38" i="31"/>
  <c r="AL55" i="31"/>
  <c r="AL62" i="31"/>
  <c r="AL69" i="31"/>
  <c r="AL79" i="31"/>
  <c r="AO79" i="31" s="1"/>
  <c r="AV79" i="31" s="1" a="1"/>
  <c r="AV79" i="31" s="1"/>
  <c r="AL83" i="31"/>
  <c r="AL3" i="31"/>
  <c r="AL7" i="31"/>
  <c r="AO7" i="31" s="1"/>
  <c r="AV7" i="31" s="1" a="1"/>
  <c r="AV7" i="31" s="1"/>
  <c r="AL21" i="31"/>
  <c r="AO21" i="31" s="1"/>
  <c r="AV21" i="31" s="1" a="1"/>
  <c r="AV21" i="31" s="1"/>
  <c r="AL17" i="31"/>
  <c r="AO17" i="31" s="1"/>
  <c r="AV17" i="31" s="1" a="1"/>
  <c r="AV17" i="31" s="1"/>
  <c r="AL23" i="31"/>
  <c r="AL35" i="31"/>
  <c r="AL42" i="31"/>
  <c r="AL46" i="31"/>
  <c r="AL50" i="31"/>
  <c r="AL63" i="31"/>
  <c r="AL76" i="31"/>
  <c r="AL11" i="31"/>
  <c r="AO11" i="31" s="1"/>
  <c r="AV11" i="31" s="1" a="1"/>
  <c r="AV11" i="31" s="1"/>
  <c r="AL26" i="31"/>
  <c r="AL5" i="31"/>
  <c r="AO5" i="31" s="1"/>
  <c r="AV5" i="31" s="1" a="1"/>
  <c r="AV5" i="31" s="1"/>
  <c r="AZ5" i="31" s="1"/>
  <c r="AL9" i="31"/>
  <c r="AO9" i="31" s="1"/>
  <c r="AV9" i="31" s="1" a="1"/>
  <c r="AV9" i="31" s="1"/>
  <c r="AL13" i="31"/>
  <c r="AO13" i="31" s="1"/>
  <c r="AV13" i="31" s="1" a="1"/>
  <c r="AV13" i="31" s="1"/>
  <c r="AL18" i="31"/>
  <c r="AO18" i="31" s="1"/>
  <c r="AV18" i="31" s="1" a="1"/>
  <c r="AV18" i="31" s="1"/>
  <c r="AL39" i="31"/>
  <c r="AL56" i="31"/>
  <c r="AL66" i="31"/>
  <c r="AL73" i="31"/>
  <c r="AL80" i="31"/>
  <c r="AO80" i="31" s="1"/>
  <c r="AV80" i="31" s="1" a="1"/>
  <c r="AV80" i="31" s="1"/>
  <c r="AZ80" i="31" s="1"/>
  <c r="L3" i="31"/>
  <c r="L105" i="31" s="1"/>
  <c r="E105" i="31"/>
  <c r="L39" i="37"/>
  <c r="M35" i="37"/>
  <c r="G35" i="37" s="1"/>
  <c r="L36" i="37"/>
  <c r="AQ4" i="31"/>
  <c r="AW4" i="31" s="1"/>
  <c r="AQ22" i="31"/>
  <c r="AW22" i="31" s="1"/>
  <c r="AQ19" i="31"/>
  <c r="AW19" i="31" s="1"/>
  <c r="AQ96" i="31"/>
  <c r="AW96" i="31" s="1"/>
  <c r="AQ11" i="31"/>
  <c r="AS8" i="31"/>
  <c r="AS19" i="31"/>
  <c r="AS67" i="31"/>
  <c r="AQ79" i="31"/>
  <c r="AW79" i="31" s="1"/>
  <c r="AS65" i="31"/>
  <c r="AS69" i="31"/>
  <c r="AS71" i="31"/>
  <c r="AQ9" i="31"/>
  <c r="AS24" i="31"/>
  <c r="AS4" i="31"/>
  <c r="AQ82" i="31"/>
  <c r="AW82" i="31" s="1"/>
  <c r="AQ3" i="31"/>
  <c r="AQ25" i="31"/>
  <c r="AW25" i="31" s="1"/>
  <c r="AS70" i="31"/>
  <c r="AQ88" i="31"/>
  <c r="AT104" i="31"/>
  <c r="AS15" i="31"/>
  <c r="AQ86" i="31"/>
  <c r="AQ13" i="31"/>
  <c r="AS21" i="31"/>
  <c r="AS23" i="31"/>
  <c r="AS66" i="31"/>
  <c r="AS10" i="31"/>
  <c r="AQ5" i="31"/>
  <c r="AS6" i="31"/>
  <c r="AQ8" i="31"/>
  <c r="AS9" i="31"/>
  <c r="AQ12" i="31"/>
  <c r="AW12" i="31" s="1"/>
  <c r="AS13" i="31"/>
  <c r="AO29" i="31"/>
  <c r="AV29" i="31" s="1" a="1"/>
  <c r="AV29" i="31" s="1"/>
  <c r="AZ29" i="31" s="1"/>
  <c r="AS53" i="31"/>
  <c r="AS55" i="31"/>
  <c r="AQ81" i="31"/>
  <c r="AQ85" i="31"/>
  <c r="AW85" i="31" s="1"/>
  <c r="AD3" i="31"/>
  <c r="AD105" i="31" s="1"/>
  <c r="P15" i="3" s="1"/>
  <c r="P42" i="3" s="1"/>
  <c r="AQ15" i="31"/>
  <c r="AQ18" i="31"/>
  <c r="AW18" i="31" s="1"/>
  <c r="AQ21" i="31"/>
  <c r="AW21" i="31" s="1"/>
  <c r="AS22" i="31"/>
  <c r="AS27" i="31"/>
  <c r="AS57" i="31"/>
  <c r="AS59" i="31"/>
  <c r="AS61" i="31"/>
  <c r="AS63" i="31"/>
  <c r="AS68" i="31"/>
  <c r="AQ80" i="31"/>
  <c r="AQ87" i="31"/>
  <c r="AQ92" i="31"/>
  <c r="AW92" i="31" s="1"/>
  <c r="AQ97" i="31"/>
  <c r="AW97" i="31" s="1"/>
  <c r="AS12" i="31"/>
  <c r="AS81" i="31"/>
  <c r="AQ94" i="31"/>
  <c r="AW94" i="31" s="1"/>
  <c r="AQ7" i="31"/>
  <c r="AQ17" i="31"/>
  <c r="AS18" i="31"/>
  <c r="AQ26" i="31"/>
  <c r="AQ28" i="31"/>
  <c r="AO31" i="31"/>
  <c r="AV31" i="31" s="1" a="1"/>
  <c r="AV31" i="31" s="1"/>
  <c r="AZ31" i="31" s="1"/>
  <c r="AQ84" i="31"/>
  <c r="AW84" i="31" s="1"/>
  <c r="AQ89" i="31"/>
  <c r="AS5" i="31"/>
  <c r="AR104" i="31"/>
  <c r="AQ10" i="31"/>
  <c r="AW10" i="31" s="1"/>
  <c r="AS11" i="31"/>
  <c r="AQ14" i="31"/>
  <c r="AQ20" i="31"/>
  <c r="AW20" i="31" s="1"/>
  <c r="AQ23" i="31"/>
  <c r="AW23" i="31" s="1"/>
  <c r="AS52" i="31"/>
  <c r="AS54" i="31"/>
  <c r="AS79" i="31"/>
  <c r="AS7" i="31"/>
  <c r="AS17" i="31"/>
  <c r="AS56" i="31"/>
  <c r="AS58" i="31"/>
  <c r="AS60" i="31"/>
  <c r="AS62" i="31"/>
  <c r="AS64" i="31"/>
  <c r="AS72" i="31"/>
  <c r="AQ98" i="31"/>
  <c r="AW98" i="31" s="1"/>
  <c r="AS20" i="31"/>
  <c r="AS14" i="31"/>
  <c r="AU104" i="31"/>
  <c r="AO33" i="31"/>
  <c r="AV33" i="31" s="1" a="1"/>
  <c r="AV33" i="31" s="1"/>
  <c r="AZ33" i="31" s="1"/>
  <c r="AQ90" i="31"/>
  <c r="AW90" i="31" s="1"/>
  <c r="AQ95" i="31"/>
  <c r="AW95" i="31" s="1"/>
  <c r="E36" i="36"/>
  <c r="E39" i="36"/>
  <c r="F35" i="36"/>
  <c r="M39" i="36"/>
  <c r="L40" i="36"/>
  <c r="L37" i="36"/>
  <c r="M36" i="36"/>
  <c r="M25" i="32"/>
  <c r="L26" i="32"/>
  <c r="E99" i="29"/>
  <c r="L99" i="29" s="1"/>
  <c r="E102" i="29"/>
  <c r="L102" i="29" s="1"/>
  <c r="AN3" i="31"/>
  <c r="AN105" i="31" s="1"/>
  <c r="AO14" i="31"/>
  <c r="AV14" i="31" s="1" a="1"/>
  <c r="AV14" i="31" s="1"/>
  <c r="AO15" i="31"/>
  <c r="AV15" i="31" s="1" a="1"/>
  <c r="AV15" i="31" s="1"/>
  <c r="AA126" i="31"/>
  <c r="AO19" i="31"/>
  <c r="AV19" i="31" s="1" a="1"/>
  <c r="AV19" i="31" s="1"/>
  <c r="AO23" i="31"/>
  <c r="AV23" i="31" s="1" a="1"/>
  <c r="AV23" i="31" s="1"/>
  <c r="AS29" i="31"/>
  <c r="AS30" i="31"/>
  <c r="AS31" i="31"/>
  <c r="AS32" i="31"/>
  <c r="AS33" i="31"/>
  <c r="AS34" i="31"/>
  <c r="AS35" i="31"/>
  <c r="AS36" i="31"/>
  <c r="AS37" i="31"/>
  <c r="AS38" i="31"/>
  <c r="AS39" i="31"/>
  <c r="AS40" i="31"/>
  <c r="AS41" i="31"/>
  <c r="AS42" i="31"/>
  <c r="AS43" i="31"/>
  <c r="AS44" i="31"/>
  <c r="AS45" i="31"/>
  <c r="AS46" i="31"/>
  <c r="AS47" i="31"/>
  <c r="AS48" i="31"/>
  <c r="AS49" i="31"/>
  <c r="AS50" i="31"/>
  <c r="AO34" i="31"/>
  <c r="AV34" i="31" s="1" a="1"/>
  <c r="AV34" i="31" s="1"/>
  <c r="AZ34" i="31" s="1"/>
  <c r="AO36" i="31"/>
  <c r="AV36" i="31" s="1" a="1"/>
  <c r="AV36" i="31" s="1"/>
  <c r="AZ36" i="31" s="1"/>
  <c r="AO37" i="31"/>
  <c r="AV37" i="31" s="1" a="1"/>
  <c r="AV37" i="31" s="1"/>
  <c r="AZ37" i="31" s="1"/>
  <c r="AO38" i="31"/>
  <c r="AV38" i="31" s="1" a="1"/>
  <c r="AV38" i="31" s="1"/>
  <c r="AZ38" i="31" s="1"/>
  <c r="AO43" i="31"/>
  <c r="AV43" i="31" s="1" a="1"/>
  <c r="AV43" i="31" s="1"/>
  <c r="AZ43" i="31" s="1"/>
  <c r="AO46" i="31"/>
  <c r="AV46" i="31" s="1" a="1"/>
  <c r="AV46" i="31" s="1"/>
  <c r="AZ46" i="31" s="1"/>
  <c r="AO47" i="31"/>
  <c r="AV47" i="31" s="1" a="1"/>
  <c r="AV47" i="31" s="1"/>
  <c r="AW47" i="31" s="1"/>
  <c r="AO48" i="31"/>
  <c r="AV48" i="31" s="1" a="1"/>
  <c r="AV48" i="31" s="1"/>
  <c r="AW48" i="31" s="1"/>
  <c r="AO49" i="31"/>
  <c r="AV49" i="31" s="1" a="1"/>
  <c r="AV49" i="31" s="1"/>
  <c r="AW49" i="31" s="1"/>
  <c r="AO50" i="31"/>
  <c r="AV50" i="31" s="1" a="1"/>
  <c r="AV50" i="31" s="1"/>
  <c r="AZ50" i="31" s="1"/>
  <c r="AO51" i="31"/>
  <c r="AV51" i="31" s="1" a="1"/>
  <c r="AV51" i="31" s="1"/>
  <c r="AW51" i="31" s="1"/>
  <c r="AD113" i="31"/>
  <c r="E124" i="31"/>
  <c r="AO25" i="31"/>
  <c r="AV25" i="31" s="1" a="1"/>
  <c r="AV25" i="31" s="1"/>
  <c r="AO26" i="31"/>
  <c r="AV26" i="31" s="1" a="1"/>
  <c r="AV26" i="31" s="1"/>
  <c r="AO27" i="31"/>
  <c r="AV27" i="31" s="1" a="1"/>
  <c r="AV27" i="31" s="1"/>
  <c r="AW27" i="31" s="1"/>
  <c r="E113" i="31"/>
  <c r="L107" i="31"/>
  <c r="L113" i="31" s="1"/>
  <c r="AQ118" i="31"/>
  <c r="AW118" i="31" s="1"/>
  <c r="AS118" i="31"/>
  <c r="AQ122" i="31"/>
  <c r="AW122" i="31" s="1"/>
  <c r="AS122" i="31"/>
  <c r="AW112" i="31"/>
  <c r="AS51" i="31"/>
  <c r="AN107" i="31"/>
  <c r="AN113" i="31" s="1"/>
  <c r="X113" i="31"/>
  <c r="AS73" i="31"/>
  <c r="AS74" i="31"/>
  <c r="AS75" i="31"/>
  <c r="AS76" i="31"/>
  <c r="AS77" i="31"/>
  <c r="AS78" i="31"/>
  <c r="AQ121" i="31"/>
  <c r="AW121" i="31" s="1"/>
  <c r="AS121" i="31"/>
  <c r="AO53" i="31"/>
  <c r="AV53" i="31" s="1" a="1"/>
  <c r="AV53" i="31" s="1"/>
  <c r="AO55" i="31"/>
  <c r="AV55" i="31" s="1" a="1"/>
  <c r="AV55" i="31" s="1"/>
  <c r="AO59" i="31"/>
  <c r="AV59" i="31" s="1" a="1"/>
  <c r="AV59" i="31" s="1"/>
  <c r="AO61" i="31"/>
  <c r="AV61" i="31" s="1" a="1"/>
  <c r="AV61" i="31" s="1"/>
  <c r="AO62" i="31"/>
  <c r="AV62" i="31" s="1" a="1"/>
  <c r="AV62" i="31" s="1"/>
  <c r="AO63" i="31"/>
  <c r="AV63" i="31" s="1" a="1"/>
  <c r="AV63" i="31" s="1"/>
  <c r="AO65" i="31"/>
  <c r="AV65" i="31" s="1" a="1"/>
  <c r="AV65" i="31" s="1"/>
  <c r="AZ65" i="31" s="1"/>
  <c r="AO66" i="31"/>
  <c r="AV66" i="31" s="1" a="1"/>
  <c r="AV66" i="31" s="1"/>
  <c r="AZ66" i="31" s="1"/>
  <c r="AO70" i="31"/>
  <c r="AV70" i="31" s="1" a="1"/>
  <c r="AV70" i="31" s="1"/>
  <c r="AZ70" i="31" s="1"/>
  <c r="AO71" i="31"/>
  <c r="AV71" i="31" s="1" a="1"/>
  <c r="AV71" i="31" s="1"/>
  <c r="AZ71" i="31" s="1"/>
  <c r="AO72" i="31"/>
  <c r="AV72" i="31" s="1" a="1"/>
  <c r="AV72" i="31" s="1"/>
  <c r="AZ72" i="31" s="1"/>
  <c r="AO73" i="31"/>
  <c r="AV73" i="31" s="1" a="1"/>
  <c r="AV73" i="31" s="1"/>
  <c r="AZ73" i="31" s="1"/>
  <c r="AO74" i="31"/>
  <c r="AV74" i="31" s="1" a="1"/>
  <c r="AV74" i="31" s="1"/>
  <c r="AZ74" i="31" s="1"/>
  <c r="AO75" i="31"/>
  <c r="AV75" i="31" s="1" a="1"/>
  <c r="AV75" i="31" s="1"/>
  <c r="AZ75" i="31" s="1"/>
  <c r="AO76" i="31"/>
  <c r="AV76" i="31" s="1" a="1"/>
  <c r="AV76" i="31" s="1"/>
  <c r="AZ76" i="31" s="1"/>
  <c r="AO78" i="31"/>
  <c r="AV78" i="31" s="1" a="1"/>
  <c r="AV78" i="31" s="1"/>
  <c r="AZ78" i="31" s="1"/>
  <c r="AH126" i="31"/>
  <c r="AU126" i="31" s="1"/>
  <c r="AB124" i="31"/>
  <c r="AQ120" i="31"/>
  <c r="AW120" i="31" s="1"/>
  <c r="AS120" i="31"/>
  <c r="AQ119" i="31"/>
  <c r="AW119" i="31" s="1"/>
  <c r="AS119" i="31"/>
  <c r="AO81" i="31"/>
  <c r="AV81" i="31" s="1" a="1"/>
  <c r="AV81" i="31" s="1"/>
  <c r="Z126" i="31"/>
  <c r="L124" i="31"/>
  <c r="AN124" i="31"/>
  <c r="AQ117" i="31"/>
  <c r="AW117" i="31" s="1"/>
  <c r="AS117" i="31"/>
  <c r="AM126" i="31"/>
  <c r="AU113" i="31"/>
  <c r="AR123" i="31"/>
  <c r="AQ116" i="31"/>
  <c r="AW116" i="31" s="1"/>
  <c r="AS116" i="31"/>
  <c r="AF124" i="31"/>
  <c r="AQ115" i="31"/>
  <c r="U124" i="31"/>
  <c r="AD124" i="31"/>
  <c r="AS115" i="31"/>
  <c r="AL122" i="31"/>
  <c r="AO122" i="31" s="1"/>
  <c r="AV122" i="31" s="1" a="1"/>
  <c r="AV122" i="31" s="1"/>
  <c r="AL121" i="31"/>
  <c r="AO121" i="31" s="1"/>
  <c r="AV121" i="31" s="1" a="1"/>
  <c r="AV121" i="31" s="1"/>
  <c r="AL120" i="31"/>
  <c r="AL119" i="31"/>
  <c r="AO119" i="31" s="1"/>
  <c r="AV119" i="31" s="1" a="1"/>
  <c r="AV119" i="31" s="1"/>
  <c r="AL118" i="31"/>
  <c r="AO118" i="31" s="1"/>
  <c r="AV118" i="31" s="1" a="1"/>
  <c r="AV118" i="31" s="1"/>
  <c r="AL117" i="31"/>
  <c r="AO117" i="31" s="1"/>
  <c r="AV117" i="31" s="1" a="1"/>
  <c r="AV117" i="31" s="1"/>
  <c r="AL116" i="31"/>
  <c r="AL115" i="31"/>
  <c r="AL111" i="31"/>
  <c r="AO111" i="31" s="1"/>
  <c r="AV111" i="31" s="1" a="1"/>
  <c r="AV111" i="31" s="1"/>
  <c r="AL110" i="31"/>
  <c r="AO110" i="31" s="1"/>
  <c r="AV110" i="31" s="1" a="1"/>
  <c r="AV110" i="31" s="1"/>
  <c r="AL109" i="31"/>
  <c r="AO109" i="31" s="1"/>
  <c r="AV109" i="31" s="1" a="1"/>
  <c r="AV109" i="31" s="1"/>
  <c r="AL108" i="31"/>
  <c r="AO108" i="31" s="1"/>
  <c r="AV108" i="31" s="1" a="1"/>
  <c r="AV108" i="31" s="1"/>
  <c r="AL107" i="31"/>
  <c r="AL98" i="31"/>
  <c r="AO98" i="31" s="1"/>
  <c r="AV98" i="31" s="1" a="1"/>
  <c r="AV98" i="31" s="1"/>
  <c r="AL97" i="31"/>
  <c r="AL96" i="31"/>
  <c r="AO96" i="31" s="1"/>
  <c r="AV96" i="31" s="1" a="1"/>
  <c r="AV96" i="31" s="1"/>
  <c r="AL95" i="31"/>
  <c r="AO95" i="31" s="1"/>
  <c r="AV95" i="31" s="1" a="1"/>
  <c r="AV95" i="31" s="1"/>
  <c r="AL94" i="31"/>
  <c r="AO94" i="31" s="1"/>
  <c r="AV94" i="31" s="1" a="1"/>
  <c r="AV94" i="31" s="1"/>
  <c r="AL93" i="31"/>
  <c r="AO93" i="31" s="1"/>
  <c r="AV93" i="31" s="1" a="1"/>
  <c r="AV93" i="31" s="1"/>
  <c r="AL92" i="31"/>
  <c r="AO92" i="31" s="1"/>
  <c r="AV92" i="31" s="1" a="1"/>
  <c r="AV92" i="31" s="1"/>
  <c r="AL91" i="31"/>
  <c r="AO91" i="31" s="1"/>
  <c r="AV91" i="31" s="1" a="1"/>
  <c r="AV91" i="31" s="1"/>
  <c r="AL90" i="31"/>
  <c r="AO90" i="31" s="1"/>
  <c r="AV90" i="31" s="1" a="1"/>
  <c r="AV90" i="31" s="1"/>
  <c r="AL89" i="31"/>
  <c r="AL88" i="31"/>
  <c r="AL87" i="31"/>
  <c r="AO87" i="31" s="1"/>
  <c r="AV87" i="31" s="1" a="1"/>
  <c r="AV87" i="31" s="1"/>
  <c r="AL86" i="31"/>
  <c r="AO86" i="31" s="1"/>
  <c r="AV86" i="31" s="1" a="1"/>
  <c r="AV86" i="31" s="1"/>
  <c r="AL85" i="31"/>
  <c r="AO85" i="31" s="1"/>
  <c r="AV85" i="31" s="1" a="1"/>
  <c r="AV85" i="31" s="1"/>
  <c r="AL84" i="31"/>
  <c r="U113" i="31"/>
  <c r="AU105" i="31"/>
  <c r="AO104" i="30"/>
  <c r="C106" i="16" s="1"/>
  <c r="AO3" i="28"/>
  <c r="Z8" i="3"/>
  <c r="X8" i="3"/>
  <c r="W8" i="3"/>
  <c r="U8" i="3"/>
  <c r="S8" i="3"/>
  <c r="R8" i="3"/>
  <c r="Q8" i="3"/>
  <c r="P8" i="3"/>
  <c r="N8" i="3"/>
  <c r="M8" i="3"/>
  <c r="K8" i="3"/>
  <c r="J8" i="3"/>
  <c r="I8" i="3"/>
  <c r="H8" i="3"/>
  <c r="G8" i="3"/>
  <c r="Z7" i="3"/>
  <c r="X7" i="3"/>
  <c r="W7" i="3"/>
  <c r="U7" i="3"/>
  <c r="S7" i="3"/>
  <c r="R7" i="3"/>
  <c r="Q7" i="3"/>
  <c r="P7" i="3"/>
  <c r="N7" i="3"/>
  <c r="M7" i="3"/>
  <c r="K7" i="3"/>
  <c r="J7" i="3"/>
  <c r="I7" i="3"/>
  <c r="H7" i="3"/>
  <c r="G7" i="3"/>
  <c r="AI50" i="30"/>
  <c r="AI12" i="30"/>
  <c r="AI15" i="30"/>
  <c r="AI10" i="30"/>
  <c r="AI9" i="30"/>
  <c r="AI28" i="30"/>
  <c r="AI26" i="30"/>
  <c r="AI3" i="30"/>
  <c r="AI8" i="30"/>
  <c r="AH15" i="30"/>
  <c r="AH9" i="30"/>
  <c r="G68" i="46" l="1"/>
  <c r="G26" i="46"/>
  <c r="G94" i="46"/>
  <c r="G85" i="46"/>
  <c r="G100" i="46"/>
  <c r="O7" i="3"/>
  <c r="F7" i="3" s="1"/>
  <c r="L101" i="46"/>
  <c r="M101" i="46" s="1"/>
  <c r="G101" i="46" s="1"/>
  <c r="M95" i="46"/>
  <c r="L96" i="46"/>
  <c r="F69" i="46"/>
  <c r="E70" i="46"/>
  <c r="M69" i="46"/>
  <c r="L70" i="46"/>
  <c r="E96" i="46"/>
  <c r="E101" i="46"/>
  <c r="F101" i="46" s="1"/>
  <c r="F95" i="46"/>
  <c r="E25" i="37"/>
  <c r="F24" i="37"/>
  <c r="G49" i="44"/>
  <c r="G22" i="44"/>
  <c r="F59" i="45"/>
  <c r="E60" i="45"/>
  <c r="L59" i="45"/>
  <c r="M58" i="45"/>
  <c r="E86" i="45"/>
  <c r="F85" i="45"/>
  <c r="M84" i="45"/>
  <c r="L85" i="45"/>
  <c r="L84" i="44"/>
  <c r="M83" i="44"/>
  <c r="E83" i="44"/>
  <c r="F82" i="44"/>
  <c r="M57" i="44"/>
  <c r="G24" i="44" s="1"/>
  <c r="L58" i="44"/>
  <c r="E57" i="44"/>
  <c r="F56" i="44"/>
  <c r="G28" i="36"/>
  <c r="G34" i="36"/>
  <c r="AW17" i="31"/>
  <c r="AW13" i="31"/>
  <c r="AW8" i="31"/>
  <c r="AW5" i="31"/>
  <c r="AW80" i="31"/>
  <c r="AW7" i="31"/>
  <c r="AW33" i="31"/>
  <c r="AW26" i="31"/>
  <c r="AW9" i="31"/>
  <c r="AW11" i="31"/>
  <c r="AC108" i="31"/>
  <c r="AC109" i="31"/>
  <c r="AC111" i="31"/>
  <c r="AC110" i="31"/>
  <c r="AC122" i="31"/>
  <c r="AC119" i="31"/>
  <c r="AC116" i="31"/>
  <c r="AC118" i="31"/>
  <c r="AC121" i="31"/>
  <c r="AC120" i="31"/>
  <c r="AC117" i="31"/>
  <c r="AC107" i="31"/>
  <c r="AC115" i="31"/>
  <c r="AW14" i="31"/>
  <c r="AW81" i="31"/>
  <c r="AW76" i="31"/>
  <c r="AW37" i="31"/>
  <c r="AW87" i="31"/>
  <c r="AW78" i="31"/>
  <c r="AW71" i="31"/>
  <c r="AW70" i="31"/>
  <c r="AC8" i="31"/>
  <c r="AC72" i="31"/>
  <c r="AC35" i="31"/>
  <c r="AC43" i="31"/>
  <c r="AC59" i="31"/>
  <c r="AC83" i="31"/>
  <c r="AC91" i="31"/>
  <c r="AC99" i="31"/>
  <c r="AC96" i="31"/>
  <c r="AC66" i="31"/>
  <c r="AC82" i="31"/>
  <c r="AC41" i="31"/>
  <c r="AC49" i="31"/>
  <c r="AC57" i="31"/>
  <c r="AC65" i="31"/>
  <c r="AC81" i="31"/>
  <c r="AC92" i="31"/>
  <c r="AC20" i="31"/>
  <c r="AC95" i="31"/>
  <c r="AC52" i="31"/>
  <c r="AC32" i="31"/>
  <c r="AC76" i="31"/>
  <c r="AC21" i="31"/>
  <c r="AC25" i="31"/>
  <c r="AC87" i="31"/>
  <c r="AC61" i="31"/>
  <c r="AC16" i="31"/>
  <c r="AC63" i="31"/>
  <c r="AC30" i="31"/>
  <c r="AC58" i="31"/>
  <c r="AC89" i="31"/>
  <c r="AC9" i="31"/>
  <c r="AC22" i="31"/>
  <c r="AC54" i="31"/>
  <c r="AC88" i="31"/>
  <c r="AC71" i="31"/>
  <c r="AC56" i="31"/>
  <c r="AC38" i="31"/>
  <c r="AC28" i="31"/>
  <c r="AC86" i="31"/>
  <c r="AC12" i="31"/>
  <c r="AC23" i="31"/>
  <c r="AC46" i="31"/>
  <c r="AC60" i="31"/>
  <c r="AC14" i="31"/>
  <c r="AC42" i="31"/>
  <c r="AC70" i="31"/>
  <c r="AC13" i="31"/>
  <c r="AC17" i="31"/>
  <c r="AC64" i="31"/>
  <c r="AC27" i="31"/>
  <c r="AC50" i="31"/>
  <c r="AC79" i="31"/>
  <c r="AC78" i="31"/>
  <c r="AC80" i="31"/>
  <c r="AC44" i="31"/>
  <c r="AC85" i="31"/>
  <c r="AC97" i="31"/>
  <c r="AC67" i="31"/>
  <c r="AC73" i="31"/>
  <c r="AC48" i="31"/>
  <c r="AC45" i="31"/>
  <c r="AC6" i="31"/>
  <c r="AC69" i="31"/>
  <c r="AC47" i="31"/>
  <c r="AC19" i="31"/>
  <c r="AC77" i="31"/>
  <c r="AC93" i="31"/>
  <c r="AC51" i="31"/>
  <c r="AC10" i="31"/>
  <c r="AC7" i="31"/>
  <c r="AC100" i="31"/>
  <c r="AC33" i="31"/>
  <c r="AC53" i="31"/>
  <c r="AC4" i="31"/>
  <c r="AC98" i="31"/>
  <c r="AC103" i="31"/>
  <c r="AC36" i="31"/>
  <c r="AC5" i="31"/>
  <c r="AC26" i="31"/>
  <c r="AC39" i="31"/>
  <c r="AC74" i="31"/>
  <c r="AC15" i="31"/>
  <c r="AC62" i="31"/>
  <c r="AC90" i="31"/>
  <c r="AC31" i="31"/>
  <c r="AC101" i="31"/>
  <c r="AC37" i="31"/>
  <c r="AC40" i="31"/>
  <c r="AC102" i="31"/>
  <c r="AC11" i="31"/>
  <c r="AC29" i="31"/>
  <c r="AC94" i="31"/>
  <c r="AC55" i="31"/>
  <c r="AC18" i="31"/>
  <c r="AC68" i="31"/>
  <c r="AC75" i="31"/>
  <c r="AC34" i="31"/>
  <c r="AC24" i="31"/>
  <c r="AC84" i="31"/>
  <c r="AW15" i="31"/>
  <c r="AW43" i="31"/>
  <c r="AW50" i="31"/>
  <c r="AW86" i="31"/>
  <c r="AW34" i="31"/>
  <c r="P39" i="3"/>
  <c r="AO77" i="31"/>
  <c r="AV77" i="31" s="1" a="1"/>
  <c r="AV77" i="31" s="1"/>
  <c r="AZ77" i="31" s="1"/>
  <c r="AO52" i="31"/>
  <c r="AV52" i="31" s="1" a="1"/>
  <c r="AV52" i="31" s="1"/>
  <c r="AO56" i="31"/>
  <c r="AV56" i="31" s="1" a="1"/>
  <c r="AV56" i="31" s="1"/>
  <c r="AO40" i="31"/>
  <c r="AV40" i="31" s="1" a="1"/>
  <c r="AV40" i="31" s="1"/>
  <c r="AZ40" i="31" s="1"/>
  <c r="AX79" i="31"/>
  <c r="AZ79" i="31"/>
  <c r="AO69" i="31"/>
  <c r="AV69" i="31" s="1" a="1"/>
  <c r="AV69" i="31" s="1"/>
  <c r="AZ69" i="31" s="1"/>
  <c r="AO68" i="31"/>
  <c r="AV68" i="31" s="1" a="1"/>
  <c r="AV68" i="31" s="1"/>
  <c r="AZ68" i="31" s="1"/>
  <c r="AO60" i="31"/>
  <c r="AV60" i="31" s="1" a="1"/>
  <c r="AV60" i="31" s="1"/>
  <c r="AO45" i="31"/>
  <c r="AV45" i="31" s="1" a="1"/>
  <c r="AV45" i="31" s="1"/>
  <c r="AO58" i="31"/>
  <c r="AV58" i="31" s="1" a="1"/>
  <c r="AV58" i="31" s="1"/>
  <c r="AO44" i="31"/>
  <c r="AV44" i="31" s="1" a="1"/>
  <c r="AV44" i="31" s="1"/>
  <c r="AO57" i="31"/>
  <c r="AV57" i="31" s="1" a="1"/>
  <c r="AV57" i="31" s="1"/>
  <c r="AO35" i="31"/>
  <c r="AV35" i="31" s="1" a="1"/>
  <c r="AV35" i="31" s="1"/>
  <c r="AZ35" i="31" s="1"/>
  <c r="AO64" i="31"/>
  <c r="AV64" i="31" s="1" a="1"/>
  <c r="AV64" i="31" s="1"/>
  <c r="AX64" i="31" s="1"/>
  <c r="AO42" i="31"/>
  <c r="AV42" i="31" s="1" a="1"/>
  <c r="AV42" i="31" s="1"/>
  <c r="AZ42" i="31" s="1"/>
  <c r="AO39" i="31"/>
  <c r="AV39" i="31" s="1" a="1"/>
  <c r="AV39" i="31" s="1"/>
  <c r="AO67" i="31"/>
  <c r="AV67" i="31" s="1" a="1"/>
  <c r="AV67" i="31" s="1"/>
  <c r="AZ67" i="31" s="1"/>
  <c r="AX29" i="31"/>
  <c r="AO54" i="31"/>
  <c r="AV54" i="31" s="1" a="1"/>
  <c r="AV54" i="31" s="1"/>
  <c r="AZ22" i="31"/>
  <c r="AX22" i="31"/>
  <c r="AO83" i="31"/>
  <c r="AV83" i="31" s="1" a="1"/>
  <c r="AV83" i="31" s="1"/>
  <c r="AX31" i="31"/>
  <c r="AX18" i="31"/>
  <c r="AZ18" i="31"/>
  <c r="AX20" i="31"/>
  <c r="AZ20" i="31"/>
  <c r="AO41" i="31"/>
  <c r="AV41" i="31" s="1" a="1"/>
  <c r="AV41" i="31" s="1"/>
  <c r="AO30" i="31"/>
  <c r="AV30" i="31" s="1" a="1"/>
  <c r="AV30" i="31" s="1"/>
  <c r="AZ30" i="31" s="1"/>
  <c r="AO32" i="31"/>
  <c r="AV32" i="31" s="1" a="1"/>
  <c r="AV32" i="31" s="1"/>
  <c r="AZ32" i="31" s="1"/>
  <c r="AX101" i="31"/>
  <c r="AZ101" i="31"/>
  <c r="AL105" i="31"/>
  <c r="S15" i="3" s="1"/>
  <c r="S42" i="3" s="1"/>
  <c r="AZ103" i="31"/>
  <c r="AX103" i="31"/>
  <c r="AZ102" i="31"/>
  <c r="AX102" i="31"/>
  <c r="AO28" i="31"/>
  <c r="AV28" i="31" s="1"/>
  <c r="AX28" i="31" s="1"/>
  <c r="AZ99" i="31"/>
  <c r="AX99" i="31"/>
  <c r="AZ100" i="31"/>
  <c r="AX100" i="31"/>
  <c r="L37" i="37"/>
  <c r="M36" i="37"/>
  <c r="L40" i="37"/>
  <c r="M39" i="37"/>
  <c r="AO116" i="31"/>
  <c r="AV116" i="31" s="1" a="1"/>
  <c r="AV116" i="31" s="1"/>
  <c r="AZ116" i="31" s="1"/>
  <c r="AL113" i="31"/>
  <c r="AO120" i="31"/>
  <c r="AV120" i="31" s="1" a="1"/>
  <c r="AV120" i="31" s="1"/>
  <c r="AX120" i="31" s="1"/>
  <c r="AO88" i="31"/>
  <c r="AV88" i="31" s="1" a="1"/>
  <c r="AV88" i="31" s="1"/>
  <c r="AZ88" i="31" s="1"/>
  <c r="AO89" i="31"/>
  <c r="AV89" i="31" s="1" a="1"/>
  <c r="AV89" i="31" s="1"/>
  <c r="AZ89" i="31" s="1"/>
  <c r="L126" i="31"/>
  <c r="AO97" i="31"/>
  <c r="AV97" i="31" s="1" a="1"/>
  <c r="AV97" i="31" s="1"/>
  <c r="AZ97" i="31" s="1"/>
  <c r="AX33" i="31"/>
  <c r="AS104" i="31"/>
  <c r="AD126" i="31"/>
  <c r="AQ104" i="31"/>
  <c r="M37" i="36"/>
  <c r="L38" i="36"/>
  <c r="M38" i="36" s="1"/>
  <c r="L41" i="36"/>
  <c r="M40" i="36"/>
  <c r="F39" i="36"/>
  <c r="E40" i="36"/>
  <c r="F36" i="36"/>
  <c r="E37" i="36"/>
  <c r="AF105" i="31"/>
  <c r="G23" i="32"/>
  <c r="M26" i="32"/>
  <c r="L27" i="32"/>
  <c r="L7" i="3"/>
  <c r="AZ122" i="31"/>
  <c r="AX122" i="31"/>
  <c r="AZ60" i="31"/>
  <c r="AX60" i="31"/>
  <c r="AZ52" i="31"/>
  <c r="AX52" i="31"/>
  <c r="AZ47" i="31"/>
  <c r="AX47" i="31"/>
  <c r="AZ95" i="31"/>
  <c r="AX95" i="31"/>
  <c r="AZ117" i="31"/>
  <c r="AX117" i="31"/>
  <c r="AZ121" i="31"/>
  <c r="AX121" i="31"/>
  <c r="AZ59" i="31"/>
  <c r="AX59" i="31"/>
  <c r="AZ96" i="31"/>
  <c r="AX96" i="31"/>
  <c r="AZ111" i="31"/>
  <c r="AX111" i="31"/>
  <c r="AZ90" i="31"/>
  <c r="AX90" i="31"/>
  <c r="AZ98" i="31"/>
  <c r="AX98" i="31"/>
  <c r="AZ57" i="31"/>
  <c r="AX57" i="31"/>
  <c r="AZ51" i="31"/>
  <c r="AX51" i="31"/>
  <c r="AZ92" i="31"/>
  <c r="AX92" i="31"/>
  <c r="AZ87" i="31"/>
  <c r="AX87" i="31"/>
  <c r="AZ91" i="31"/>
  <c r="AX91" i="31"/>
  <c r="AZ118" i="31"/>
  <c r="AX118" i="31"/>
  <c r="AZ108" i="31"/>
  <c r="AX108" i="31"/>
  <c r="AZ119" i="31"/>
  <c r="AX119" i="31"/>
  <c r="AZ63" i="31"/>
  <c r="AX63" i="31"/>
  <c r="AZ55" i="31"/>
  <c r="AX55" i="31"/>
  <c r="AX27" i="31"/>
  <c r="AZ27" i="31"/>
  <c r="AZ85" i="31"/>
  <c r="AX85" i="31"/>
  <c r="AZ93" i="31"/>
  <c r="AX93" i="31"/>
  <c r="AZ109" i="31"/>
  <c r="AX109" i="31"/>
  <c r="AZ62" i="31"/>
  <c r="AX62" i="31"/>
  <c r="AX26" i="31"/>
  <c r="AZ26" i="31"/>
  <c r="AZ49" i="31"/>
  <c r="AX49" i="31"/>
  <c r="AZ86" i="31"/>
  <c r="AX86" i="31"/>
  <c r="AZ94" i="31"/>
  <c r="AX94" i="31"/>
  <c r="AZ61" i="31"/>
  <c r="AX61" i="31"/>
  <c r="AZ53" i="31"/>
  <c r="AX53" i="31"/>
  <c r="AX25" i="31"/>
  <c r="AZ25" i="31"/>
  <c r="AZ48" i="31"/>
  <c r="AX48" i="31"/>
  <c r="AW115" i="31"/>
  <c r="AW123" i="31" s="1"/>
  <c r="AQ123" i="31"/>
  <c r="AX71" i="31"/>
  <c r="AX73" i="31"/>
  <c r="AX80" i="31"/>
  <c r="AX74" i="31"/>
  <c r="AZ14" i="31"/>
  <c r="AX14" i="31"/>
  <c r="AZ10" i="31"/>
  <c r="AX10" i="31"/>
  <c r="AX39" i="31"/>
  <c r="AX21" i="31"/>
  <c r="AZ21" i="31"/>
  <c r="AX16" i="31"/>
  <c r="AZ16" i="31"/>
  <c r="AX6" i="31"/>
  <c r="AZ6" i="31"/>
  <c r="AL124" i="31"/>
  <c r="AO84" i="31"/>
  <c r="AV84" i="31" s="1" a="1"/>
  <c r="AV84" i="31" s="1"/>
  <c r="AX65" i="31"/>
  <c r="AX66" i="31"/>
  <c r="AX23" i="31"/>
  <c r="AZ23" i="31"/>
  <c r="AX36" i="31"/>
  <c r="AX17" i="31"/>
  <c r="AZ17" i="31"/>
  <c r="AX43" i="31"/>
  <c r="AX42" i="31"/>
  <c r="AB126" i="31"/>
  <c r="AX19" i="31"/>
  <c r="AZ19" i="31"/>
  <c r="AZ13" i="31"/>
  <c r="AX13" i="31"/>
  <c r="AZ9" i="31"/>
  <c r="AX9" i="31"/>
  <c r="AX46" i="31"/>
  <c r="AO24" i="31"/>
  <c r="AV24" i="31" s="1" a="1"/>
  <c r="AV24" i="31" s="1"/>
  <c r="AZ110" i="31"/>
  <c r="AX110" i="31"/>
  <c r="AS123" i="31"/>
  <c r="AX75" i="31"/>
  <c r="AX70" i="31"/>
  <c r="U126" i="31"/>
  <c r="AX40" i="31"/>
  <c r="AZ7" i="31"/>
  <c r="AX7" i="31"/>
  <c r="AZ81" i="31"/>
  <c r="AX81" i="31"/>
  <c r="AO115" i="31"/>
  <c r="AO107" i="31"/>
  <c r="AX68" i="31"/>
  <c r="AC3" i="31"/>
  <c r="AZ12" i="31"/>
  <c r="AX12" i="31"/>
  <c r="AX34" i="31"/>
  <c r="AX37" i="31"/>
  <c r="AF126" i="31"/>
  <c r="AX50" i="31"/>
  <c r="AN126" i="31"/>
  <c r="AO3" i="31"/>
  <c r="E126" i="31"/>
  <c r="AZ82" i="31"/>
  <c r="AX82" i="31"/>
  <c r="AX41" i="31"/>
  <c r="AZ8" i="31"/>
  <c r="AX8" i="31"/>
  <c r="AZ15" i="31"/>
  <c r="AX15" i="31"/>
  <c r="AZ11" i="31"/>
  <c r="AX11" i="31"/>
  <c r="X126" i="31"/>
  <c r="AZ4" i="31"/>
  <c r="AX4" i="31"/>
  <c r="AX35" i="31"/>
  <c r="AX5" i="31"/>
  <c r="AX76" i="31"/>
  <c r="AX72" i="31"/>
  <c r="AX77" i="31"/>
  <c r="AX78" i="31"/>
  <c r="AX38" i="31"/>
  <c r="AH7" i="3"/>
  <c r="AE7" i="3"/>
  <c r="Z6" i="3"/>
  <c r="Z33" i="3" s="1"/>
  <c r="S6" i="3"/>
  <c r="S33" i="3" s="1"/>
  <c r="AH9" i="3"/>
  <c r="AK9" i="3"/>
  <c r="AH11" i="3"/>
  <c r="AK11" i="3"/>
  <c r="AH15" i="3"/>
  <c r="AK15" i="3"/>
  <c r="Z5" i="3"/>
  <c r="X5" i="3"/>
  <c r="W5" i="3"/>
  <c r="U5" i="3"/>
  <c r="S5" i="3"/>
  <c r="R5" i="3"/>
  <c r="Q5" i="3"/>
  <c r="P5" i="3"/>
  <c r="N5" i="3"/>
  <c r="M5" i="3"/>
  <c r="K5" i="3"/>
  <c r="L5" i="3" s="1"/>
  <c r="J5" i="3"/>
  <c r="I5" i="3"/>
  <c r="H5" i="3"/>
  <c r="G5" i="3"/>
  <c r="AL108" i="28"/>
  <c r="AK7" i="3" l="1"/>
  <c r="G87" i="46"/>
  <c r="G69" i="46"/>
  <c r="G30" i="46"/>
  <c r="G58" i="45"/>
  <c r="G20" i="45"/>
  <c r="F96" i="46"/>
  <c r="E97" i="46"/>
  <c r="E102" i="46"/>
  <c r="F102" i="46" s="1"/>
  <c r="M70" i="46"/>
  <c r="L71" i="46"/>
  <c r="E71" i="46"/>
  <c r="F70" i="46"/>
  <c r="L102" i="46"/>
  <c r="M102" i="46" s="1"/>
  <c r="G102" i="46" s="1"/>
  <c r="M96" i="46"/>
  <c r="L97" i="46"/>
  <c r="E26" i="37"/>
  <c r="F25" i="37"/>
  <c r="M85" i="45"/>
  <c r="L86" i="45"/>
  <c r="E87" i="45"/>
  <c r="F86" i="45"/>
  <c r="M59" i="45"/>
  <c r="L60" i="45"/>
  <c r="F60" i="45"/>
  <c r="E61" i="45"/>
  <c r="E58" i="44"/>
  <c r="F57" i="44"/>
  <c r="L59" i="44"/>
  <c r="M58" i="44"/>
  <c r="E84" i="44"/>
  <c r="F83" i="44"/>
  <c r="L85" i="44"/>
  <c r="M84" i="44"/>
  <c r="AW89" i="31"/>
  <c r="AW88" i="31"/>
  <c r="AZ120" i="31"/>
  <c r="AZ83" i="31"/>
  <c r="AW83" i="31"/>
  <c r="AZ41" i="31"/>
  <c r="AW41" i="31"/>
  <c r="AZ54" i="31"/>
  <c r="AW54" i="31"/>
  <c r="AZ44" i="31"/>
  <c r="AW44" i="31"/>
  <c r="AZ58" i="31"/>
  <c r="AW58" i="31"/>
  <c r="AZ56" i="31"/>
  <c r="AW56" i="31"/>
  <c r="AZ45" i="31"/>
  <c r="AW45" i="31"/>
  <c r="AW28" i="31"/>
  <c r="AZ39" i="31"/>
  <c r="AW39" i="31"/>
  <c r="AX58" i="31"/>
  <c r="AX56" i="31"/>
  <c r="AZ64" i="31"/>
  <c r="AX69" i="31"/>
  <c r="AX83" i="31"/>
  <c r="AZ28" i="31"/>
  <c r="AX67" i="31"/>
  <c r="AX54" i="31"/>
  <c r="AX45" i="31"/>
  <c r="AX97" i="31"/>
  <c r="AX44" i="31"/>
  <c r="AX89" i="31"/>
  <c r="AO105" i="31"/>
  <c r="AX88" i="31"/>
  <c r="AX116" i="31"/>
  <c r="AX32" i="31"/>
  <c r="AE15" i="3"/>
  <c r="F15" i="3"/>
  <c r="S39" i="3"/>
  <c r="AX30" i="31"/>
  <c r="O5" i="3"/>
  <c r="AH5" i="3" s="1"/>
  <c r="L41" i="37"/>
  <c r="M40" i="37"/>
  <c r="G40" i="37" s="1"/>
  <c r="M37" i="37"/>
  <c r="L38" i="37"/>
  <c r="M38" i="37" s="1"/>
  <c r="AC105" i="31"/>
  <c r="AV104" i="31"/>
  <c r="F37" i="36"/>
  <c r="E38" i="36"/>
  <c r="F38" i="36" s="1"/>
  <c r="E41" i="36"/>
  <c r="F40" i="36"/>
  <c r="L42" i="36"/>
  <c r="M41" i="36"/>
  <c r="AC113" i="31"/>
  <c r="AC124" i="31"/>
  <c r="M27" i="32"/>
  <c r="L28" i="32"/>
  <c r="AV3" i="31"/>
  <c r="AW3" i="31" s="1"/>
  <c r="AO113" i="31"/>
  <c r="AV107" i="31" a="1"/>
  <c r="AV107" i="31" s="1"/>
  <c r="AZ84" i="31"/>
  <c r="AX84" i="31"/>
  <c r="AO124" i="31"/>
  <c r="AV115" i="31" a="1"/>
  <c r="AV115" i="31" s="1"/>
  <c r="AX24" i="31"/>
  <c r="AZ24" i="31"/>
  <c r="AK5" i="3" l="1"/>
  <c r="G96" i="46"/>
  <c r="G91" i="46"/>
  <c r="G70" i="46"/>
  <c r="G31" i="46"/>
  <c r="G59" i="45"/>
  <c r="G21" i="45"/>
  <c r="F5" i="3"/>
  <c r="AE5" i="3"/>
  <c r="E103" i="46"/>
  <c r="F103" i="46" s="1"/>
  <c r="F97" i="46"/>
  <c r="E98" i="46"/>
  <c r="E72" i="46"/>
  <c r="F71" i="46"/>
  <c r="L103" i="46"/>
  <c r="M103" i="46" s="1"/>
  <c r="G103" i="46" s="1"/>
  <c r="M97" i="46"/>
  <c r="L98" i="46"/>
  <c r="M71" i="46"/>
  <c r="L72" i="46"/>
  <c r="F26" i="37"/>
  <c r="E27" i="37"/>
  <c r="G50" i="44"/>
  <c r="G25" i="44"/>
  <c r="E62" i="45"/>
  <c r="F61" i="45"/>
  <c r="M60" i="45"/>
  <c r="L61" i="45"/>
  <c r="E88" i="45"/>
  <c r="F87" i="45"/>
  <c r="M86" i="45"/>
  <c r="G86" i="45" s="1"/>
  <c r="L87" i="45"/>
  <c r="E85" i="44"/>
  <c r="F84" i="44"/>
  <c r="L60" i="44"/>
  <c r="M59" i="44"/>
  <c r="L86" i="44"/>
  <c r="M85" i="44"/>
  <c r="E59" i="44"/>
  <c r="F58" i="44"/>
  <c r="G38" i="37"/>
  <c r="G26" i="37"/>
  <c r="AW104" i="31"/>
  <c r="AX104" i="31"/>
  <c r="L42" i="37"/>
  <c r="M41" i="37"/>
  <c r="M42" i="36"/>
  <c r="G40" i="36" s="1"/>
  <c r="L43" i="36"/>
  <c r="E42" i="36"/>
  <c r="F41" i="36"/>
  <c r="AC126" i="31"/>
  <c r="M28" i="32"/>
  <c r="L29" i="32"/>
  <c r="AZ107" i="31"/>
  <c r="AZ113" i="31" s="1"/>
  <c r="AX107" i="31"/>
  <c r="AX112" i="31" s="1"/>
  <c r="AV112" i="31"/>
  <c r="AO126" i="31"/>
  <c r="AZ3" i="31"/>
  <c r="AZ105" i="31" s="1"/>
  <c r="AX3" i="31"/>
  <c r="AV123" i="31"/>
  <c r="AZ115" i="31"/>
  <c r="AZ124" i="31" s="1"/>
  <c r="AX115" i="31"/>
  <c r="AX123" i="31" s="1"/>
  <c r="Z4" i="3"/>
  <c r="Z28" i="3" s="1"/>
  <c r="X4" i="3"/>
  <c r="W4" i="3"/>
  <c r="G4" i="3"/>
  <c r="AI6" i="30"/>
  <c r="AL103" i="30"/>
  <c r="AL104" i="30"/>
  <c r="AL105" i="30"/>
  <c r="AL106" i="30"/>
  <c r="AL111" i="30"/>
  <c r="AL112" i="30"/>
  <c r="AL113" i="30"/>
  <c r="AL114" i="30"/>
  <c r="AL115" i="30"/>
  <c r="AL116" i="30"/>
  <c r="AL117" i="30"/>
  <c r="AL110" i="30"/>
  <c r="AL102" i="30"/>
  <c r="AB102" i="30"/>
  <c r="AL4" i="30"/>
  <c r="AL5" i="30"/>
  <c r="AL6" i="30"/>
  <c r="AL7" i="30"/>
  <c r="AL8" i="30"/>
  <c r="AL9" i="30"/>
  <c r="AL10" i="30"/>
  <c r="AL11" i="30"/>
  <c r="AL12" i="30"/>
  <c r="AL13" i="30"/>
  <c r="AL14" i="30"/>
  <c r="AL15" i="30"/>
  <c r="AL16" i="30"/>
  <c r="AL17" i="30"/>
  <c r="AL18" i="30"/>
  <c r="AL19" i="30"/>
  <c r="AL20" i="30"/>
  <c r="AL21" i="30"/>
  <c r="AL22" i="30"/>
  <c r="AL23" i="30"/>
  <c r="AL24" i="30"/>
  <c r="AL25" i="30"/>
  <c r="AL26" i="30"/>
  <c r="AL27" i="30"/>
  <c r="AL28" i="30"/>
  <c r="AL29" i="30"/>
  <c r="AL30" i="30"/>
  <c r="AL31" i="30"/>
  <c r="AL32" i="30"/>
  <c r="AL33" i="30"/>
  <c r="AL34" i="30"/>
  <c r="AL35" i="30"/>
  <c r="AL36" i="30"/>
  <c r="AL37" i="30"/>
  <c r="AL38" i="30"/>
  <c r="AL39" i="30"/>
  <c r="AL40" i="30"/>
  <c r="AL41" i="30"/>
  <c r="AL42" i="30"/>
  <c r="AL43" i="30"/>
  <c r="AL44" i="30"/>
  <c r="AL45" i="30"/>
  <c r="AL46" i="30"/>
  <c r="AL47" i="30"/>
  <c r="AL48" i="30"/>
  <c r="AL49" i="30"/>
  <c r="AL50" i="30"/>
  <c r="AL51" i="30"/>
  <c r="AL52" i="30"/>
  <c r="AL53" i="30"/>
  <c r="AL54" i="30"/>
  <c r="AL55" i="30"/>
  <c r="AL56" i="30"/>
  <c r="AL57" i="30"/>
  <c r="AL58" i="30"/>
  <c r="AL59" i="30"/>
  <c r="AL60" i="30"/>
  <c r="AL61" i="30"/>
  <c r="AL62" i="30"/>
  <c r="AL63" i="30"/>
  <c r="AL64" i="30"/>
  <c r="AL65" i="30"/>
  <c r="AL66" i="30"/>
  <c r="AL67" i="30"/>
  <c r="AL68" i="30"/>
  <c r="AL69" i="30"/>
  <c r="AL70" i="30"/>
  <c r="AL71" i="30"/>
  <c r="AL72" i="30"/>
  <c r="AL73" i="30"/>
  <c r="AL74" i="30"/>
  <c r="AL75" i="30"/>
  <c r="AL76" i="30"/>
  <c r="AL77" i="30"/>
  <c r="AL78" i="30"/>
  <c r="AL79" i="30"/>
  <c r="AL80" i="30"/>
  <c r="AL81" i="30"/>
  <c r="AL82" i="30"/>
  <c r="AL83" i="30"/>
  <c r="AL84" i="30"/>
  <c r="AL85" i="30"/>
  <c r="AL86" i="30"/>
  <c r="AL87" i="30"/>
  <c r="AL88" i="30"/>
  <c r="AL89" i="30"/>
  <c r="AL90" i="30"/>
  <c r="AL91" i="30"/>
  <c r="AL92" i="30"/>
  <c r="AL93" i="30"/>
  <c r="AL94" i="30"/>
  <c r="AL95" i="30"/>
  <c r="AL96" i="30"/>
  <c r="AL97" i="30"/>
  <c r="AL98" i="30"/>
  <c r="AB103" i="30"/>
  <c r="AB104" i="30"/>
  <c r="AB105" i="30"/>
  <c r="AB106" i="30"/>
  <c r="AB111" i="30"/>
  <c r="AB112" i="30"/>
  <c r="AB113" i="30"/>
  <c r="AB114" i="30"/>
  <c r="AB115" i="30"/>
  <c r="Q116" i="30"/>
  <c r="AB117" i="30"/>
  <c r="AB110" i="30"/>
  <c r="AB4" i="30"/>
  <c r="AB5" i="30"/>
  <c r="AB6" i="30"/>
  <c r="AB7" i="30"/>
  <c r="Q8" i="30"/>
  <c r="AB9" i="30"/>
  <c r="AB10" i="30"/>
  <c r="AB11" i="30"/>
  <c r="AB12" i="30"/>
  <c r="AB13" i="30"/>
  <c r="AB14" i="30"/>
  <c r="AB15" i="30"/>
  <c r="Q16" i="30"/>
  <c r="AB17" i="30"/>
  <c r="AB18" i="30"/>
  <c r="AB19" i="30"/>
  <c r="AB20" i="30"/>
  <c r="AB21" i="30"/>
  <c r="AB22" i="30"/>
  <c r="AB23" i="30"/>
  <c r="AB24" i="30"/>
  <c r="Q25" i="30"/>
  <c r="Q26" i="30"/>
  <c r="AB27" i="30"/>
  <c r="AB28" i="30"/>
  <c r="AB29" i="30"/>
  <c r="AB30" i="30"/>
  <c r="AB31" i="30"/>
  <c r="Q32" i="30"/>
  <c r="AB33" i="30"/>
  <c r="AB34" i="30"/>
  <c r="AB35" i="30"/>
  <c r="AB36" i="30"/>
  <c r="AB37" i="30"/>
  <c r="AB38" i="30"/>
  <c r="AB39" i="30"/>
  <c r="AB40" i="30"/>
  <c r="Q41" i="30"/>
  <c r="AB42" i="30"/>
  <c r="AB43" i="30"/>
  <c r="AB44" i="30"/>
  <c r="AB45" i="30"/>
  <c r="AB46" i="30"/>
  <c r="AB47" i="30"/>
  <c r="AB48" i="30"/>
  <c r="AB49" i="30"/>
  <c r="Q50" i="30"/>
  <c r="AB51" i="30"/>
  <c r="AB52" i="30"/>
  <c r="AB53" i="30"/>
  <c r="AB54" i="30"/>
  <c r="AB55" i="30"/>
  <c r="AB56" i="30"/>
  <c r="Q57" i="30"/>
  <c r="Q58" i="30"/>
  <c r="AB59" i="30"/>
  <c r="AB60" i="30"/>
  <c r="AB61" i="30"/>
  <c r="AB62" i="30"/>
  <c r="AB63" i="30"/>
  <c r="Q64" i="30"/>
  <c r="Q65" i="30"/>
  <c r="Q66" i="30"/>
  <c r="AB67" i="30"/>
  <c r="AB68" i="30"/>
  <c r="AB69" i="30"/>
  <c r="AB70" i="30"/>
  <c r="AB71" i="30"/>
  <c r="AB72" i="30"/>
  <c r="AB73" i="30"/>
  <c r="AB74" i="30"/>
  <c r="Q75" i="30"/>
  <c r="AB76" i="30"/>
  <c r="AB77" i="30"/>
  <c r="Q78" i="30"/>
  <c r="AB79" i="30"/>
  <c r="AB80" i="30"/>
  <c r="Q81" i="30"/>
  <c r="AB82" i="30"/>
  <c r="AB83" i="30"/>
  <c r="AB84" i="30"/>
  <c r="AB85" i="30"/>
  <c r="AB86" i="30"/>
  <c r="AB87" i="30"/>
  <c r="Q88" i="30"/>
  <c r="Q89" i="30"/>
  <c r="AB90" i="30"/>
  <c r="AB91" i="30"/>
  <c r="AB92" i="30"/>
  <c r="AB93" i="30"/>
  <c r="Q94" i="30"/>
  <c r="AB95" i="30"/>
  <c r="AB96" i="30"/>
  <c r="Q97" i="30"/>
  <c r="Q98" i="30"/>
  <c r="AH122" i="30"/>
  <c r="R121" i="30"/>
  <c r="Q121" i="30"/>
  <c r="P121" i="30"/>
  <c r="O121" i="30"/>
  <c r="M121" i="30"/>
  <c r="K121" i="30"/>
  <c r="AK119" i="30"/>
  <c r="AJ119" i="30"/>
  <c r="AI119" i="30"/>
  <c r="AH119" i="30"/>
  <c r="J119" i="30"/>
  <c r="I119" i="30"/>
  <c r="G119" i="30"/>
  <c r="F119" i="30"/>
  <c r="AR117" i="30"/>
  <c r="Q117" i="30"/>
  <c r="E117" i="30"/>
  <c r="L117" i="30" s="1"/>
  <c r="AR116" i="30"/>
  <c r="E116" i="30"/>
  <c r="L116" i="30" s="1"/>
  <c r="AR115" i="30"/>
  <c r="Q115" i="30"/>
  <c r="E115" i="30"/>
  <c r="L115" i="30" s="1"/>
  <c r="AR114" i="30"/>
  <c r="Q114" i="30"/>
  <c r="E114" i="30"/>
  <c r="L114" i="30" s="1"/>
  <c r="AR113" i="30"/>
  <c r="AR112" i="30"/>
  <c r="Q112" i="30"/>
  <c r="AR111" i="30"/>
  <c r="Q111" i="30"/>
  <c r="AR110" i="30"/>
  <c r="Q110" i="30"/>
  <c r="H119" i="30"/>
  <c r="AK108" i="30"/>
  <c r="AJ108" i="30"/>
  <c r="AI108" i="30"/>
  <c r="AH108" i="30"/>
  <c r="J108" i="30"/>
  <c r="I108" i="30"/>
  <c r="G108" i="30"/>
  <c r="F108" i="30"/>
  <c r="AR106" i="30"/>
  <c r="E106" i="30"/>
  <c r="L106" i="30" s="1"/>
  <c r="AR105" i="30"/>
  <c r="Q105" i="30"/>
  <c r="E105" i="30"/>
  <c r="L105" i="30" s="1"/>
  <c r="AR104" i="30"/>
  <c r="Q104" i="30"/>
  <c r="L104" i="30"/>
  <c r="E104" i="30"/>
  <c r="AR103" i="30"/>
  <c r="Q103" i="30"/>
  <c r="E103" i="30"/>
  <c r="L103" i="30" s="1"/>
  <c r="AR102" i="30"/>
  <c r="H108" i="30"/>
  <c r="AK100" i="30"/>
  <c r="AJ100" i="30"/>
  <c r="AI100" i="30"/>
  <c r="X6" i="3" s="1"/>
  <c r="X33" i="3" s="1"/>
  <c r="AH100" i="30"/>
  <c r="J100" i="30"/>
  <c r="I100" i="30"/>
  <c r="I121" i="30" s="1"/>
  <c r="G100" i="30"/>
  <c r="G121" i="30" s="1"/>
  <c r="F100" i="30"/>
  <c r="F121" i="30" s="1"/>
  <c r="AR98" i="30"/>
  <c r="E98" i="30"/>
  <c r="L98" i="30" s="1"/>
  <c r="AR97" i="30"/>
  <c r="E97" i="30"/>
  <c r="L97" i="30" s="1"/>
  <c r="AR96" i="30"/>
  <c r="Q96" i="30"/>
  <c r="E96" i="30"/>
  <c r="L96" i="30" s="1"/>
  <c r="AR95" i="30"/>
  <c r="Q95" i="30"/>
  <c r="E95" i="30"/>
  <c r="L95" i="30" s="1"/>
  <c r="AR94" i="30"/>
  <c r="AR93" i="30"/>
  <c r="Q93" i="30"/>
  <c r="L93" i="30"/>
  <c r="E93" i="30"/>
  <c r="AR92" i="30"/>
  <c r="Q92" i="30"/>
  <c r="AR91" i="30"/>
  <c r="Q91" i="30"/>
  <c r="E91" i="30"/>
  <c r="L91" i="30" s="1"/>
  <c r="AR90" i="30"/>
  <c r="AR89" i="30"/>
  <c r="L89" i="30"/>
  <c r="E89" i="30"/>
  <c r="AR88" i="30"/>
  <c r="E88" i="30"/>
  <c r="L88" i="30" s="1"/>
  <c r="AR87" i="30"/>
  <c r="Q87" i="30"/>
  <c r="E87" i="30"/>
  <c r="L87" i="30" s="1"/>
  <c r="AR86" i="30"/>
  <c r="AR85" i="30"/>
  <c r="Q85" i="30"/>
  <c r="L85" i="30"/>
  <c r="E85" i="30"/>
  <c r="AR84" i="30"/>
  <c r="Q84" i="30"/>
  <c r="AR83" i="30"/>
  <c r="Q83" i="30"/>
  <c r="AR82" i="30"/>
  <c r="AR81" i="30"/>
  <c r="L81" i="30"/>
  <c r="E81" i="30"/>
  <c r="AR80" i="30"/>
  <c r="Q80" i="30"/>
  <c r="E80" i="30"/>
  <c r="L80" i="30" s="1"/>
  <c r="AR79" i="30"/>
  <c r="Q79" i="30"/>
  <c r="E79" i="30"/>
  <c r="L79" i="30" s="1"/>
  <c r="AR78" i="30"/>
  <c r="AR77" i="30"/>
  <c r="Q77" i="30"/>
  <c r="E77" i="30"/>
  <c r="L77" i="30" s="1"/>
  <c r="AR76" i="30"/>
  <c r="Q76" i="30"/>
  <c r="AR75" i="30"/>
  <c r="E75" i="30"/>
  <c r="L75" i="30" s="1"/>
  <c r="AR74" i="30"/>
  <c r="AR73" i="30"/>
  <c r="E73" i="30"/>
  <c r="L73" i="30" s="1"/>
  <c r="AR72" i="30"/>
  <c r="Q72" i="30"/>
  <c r="E72" i="30"/>
  <c r="L72" i="30" s="1"/>
  <c r="AR71" i="30"/>
  <c r="Q71" i="30"/>
  <c r="E71" i="30"/>
  <c r="L71" i="30" s="1"/>
  <c r="AR70" i="30"/>
  <c r="E70" i="30"/>
  <c r="L70" i="30" s="1"/>
  <c r="AR69" i="30"/>
  <c r="Q69" i="30"/>
  <c r="E69" i="30"/>
  <c r="L69" i="30" s="1"/>
  <c r="AR68" i="30"/>
  <c r="Q68" i="30"/>
  <c r="E68" i="30"/>
  <c r="L68" i="30" s="1"/>
  <c r="AR67" i="30"/>
  <c r="Q67" i="30"/>
  <c r="L67" i="30"/>
  <c r="E67" i="30"/>
  <c r="AR66" i="30"/>
  <c r="E66" i="30"/>
  <c r="L66" i="30" s="1"/>
  <c r="AR65" i="30"/>
  <c r="L65" i="30"/>
  <c r="E65" i="30"/>
  <c r="AR64" i="30"/>
  <c r="E64" i="30"/>
  <c r="L64" i="30" s="1"/>
  <c r="AR63" i="30"/>
  <c r="Q63" i="30"/>
  <c r="AR62" i="30"/>
  <c r="AR61" i="30"/>
  <c r="Q61" i="30"/>
  <c r="AR60" i="30"/>
  <c r="Q60" i="30"/>
  <c r="AR59" i="30"/>
  <c r="Q59" i="30"/>
  <c r="E59" i="30"/>
  <c r="L59" i="30" s="1"/>
  <c r="AR58" i="30"/>
  <c r="E58" i="30"/>
  <c r="L58" i="30" s="1"/>
  <c r="AR57" i="30"/>
  <c r="E57" i="30"/>
  <c r="L57" i="30" s="1"/>
  <c r="AR56" i="30"/>
  <c r="Q56" i="30"/>
  <c r="AR55" i="30"/>
  <c r="Q55" i="30"/>
  <c r="L55" i="30"/>
  <c r="E55" i="30"/>
  <c r="AR54" i="30"/>
  <c r="Q54" i="30"/>
  <c r="E54" i="30"/>
  <c r="L54" i="30" s="1"/>
  <c r="AR53" i="30"/>
  <c r="Q53" i="30"/>
  <c r="AR52" i="30"/>
  <c r="Q52" i="30"/>
  <c r="AR51" i="30"/>
  <c r="Q51" i="30"/>
  <c r="AR50" i="30"/>
  <c r="E50" i="30"/>
  <c r="L50" i="30" s="1"/>
  <c r="AR49" i="30"/>
  <c r="AR48" i="30"/>
  <c r="Q48" i="30"/>
  <c r="AR47" i="30"/>
  <c r="Q47" i="30"/>
  <c r="E47" i="30"/>
  <c r="L47" i="30" s="1"/>
  <c r="AR46" i="30"/>
  <c r="Q46" i="30"/>
  <c r="E46" i="30"/>
  <c r="L46" i="30" s="1"/>
  <c r="AR45" i="30"/>
  <c r="Q45" i="30"/>
  <c r="E45" i="30"/>
  <c r="L45" i="30" s="1"/>
  <c r="AR44" i="30"/>
  <c r="Q44" i="30"/>
  <c r="AR43" i="30"/>
  <c r="Q43" i="30"/>
  <c r="L43" i="30"/>
  <c r="E43" i="30"/>
  <c r="AR42" i="30"/>
  <c r="E42" i="30"/>
  <c r="L42" i="30" s="1"/>
  <c r="AR41" i="30"/>
  <c r="E41" i="30"/>
  <c r="L41" i="30" s="1"/>
  <c r="AR40" i="30"/>
  <c r="Q40" i="30"/>
  <c r="AR39" i="30"/>
  <c r="Q39" i="30"/>
  <c r="E39" i="30"/>
  <c r="L39" i="30" s="1"/>
  <c r="AR38" i="30"/>
  <c r="Q38" i="30"/>
  <c r="AR37" i="30"/>
  <c r="Q37" i="30"/>
  <c r="E37" i="30"/>
  <c r="L37" i="30" s="1"/>
  <c r="AR36" i="30"/>
  <c r="Q36" i="30"/>
  <c r="AR35" i="30"/>
  <c r="Q35" i="30"/>
  <c r="E35" i="30"/>
  <c r="L35" i="30" s="1"/>
  <c r="AR34" i="30"/>
  <c r="E34" i="30"/>
  <c r="L34" i="30" s="1"/>
  <c r="AR33" i="30"/>
  <c r="AR32" i="30"/>
  <c r="AR31" i="30"/>
  <c r="Q31" i="30"/>
  <c r="L31" i="30"/>
  <c r="E31" i="30"/>
  <c r="AR30" i="30"/>
  <c r="Q30" i="30"/>
  <c r="E30" i="30"/>
  <c r="L30" i="30" s="1"/>
  <c r="AR29" i="30"/>
  <c r="Q29" i="30"/>
  <c r="E29" i="30"/>
  <c r="L29" i="30" s="1"/>
  <c r="AR28" i="30"/>
  <c r="Q28" i="30"/>
  <c r="E28" i="30"/>
  <c r="L28" i="30" s="1"/>
  <c r="AR27" i="30"/>
  <c r="Q27" i="30"/>
  <c r="AR26" i="30"/>
  <c r="E26" i="30"/>
  <c r="L26" i="30" s="1"/>
  <c r="AR25" i="30"/>
  <c r="L25" i="30"/>
  <c r="E25" i="30"/>
  <c r="AR24" i="30"/>
  <c r="Q24" i="30"/>
  <c r="E24" i="30"/>
  <c r="L24" i="30" s="1"/>
  <c r="AR23" i="30"/>
  <c r="Q23" i="30"/>
  <c r="E23" i="30"/>
  <c r="L23" i="30" s="1"/>
  <c r="AR22" i="30"/>
  <c r="Q22" i="30"/>
  <c r="E22" i="30"/>
  <c r="L22" i="30" s="1"/>
  <c r="AR21" i="30"/>
  <c r="Q21" i="30"/>
  <c r="L21" i="30"/>
  <c r="E21" i="30"/>
  <c r="AR20" i="30"/>
  <c r="Q20" i="30"/>
  <c r="E20" i="30"/>
  <c r="L20" i="30" s="1"/>
  <c r="AR19" i="30"/>
  <c r="Q19" i="30"/>
  <c r="E19" i="30"/>
  <c r="L19" i="30" s="1"/>
  <c r="AR18" i="30"/>
  <c r="E18" i="30"/>
  <c r="L18" i="30" s="1"/>
  <c r="AR17" i="30"/>
  <c r="L17" i="30"/>
  <c r="E17" i="30"/>
  <c r="AR16" i="30"/>
  <c r="L16" i="30"/>
  <c r="E16" i="30"/>
  <c r="AR15" i="30"/>
  <c r="Q15" i="30"/>
  <c r="L15" i="30"/>
  <c r="E15" i="30"/>
  <c r="AR14" i="30"/>
  <c r="AR13" i="30"/>
  <c r="Q13" i="30"/>
  <c r="AR12" i="30"/>
  <c r="Q12" i="30"/>
  <c r="E12" i="30"/>
  <c r="L12" i="30" s="1"/>
  <c r="AR11" i="30"/>
  <c r="Q11" i="30"/>
  <c r="E11" i="30"/>
  <c r="L11" i="30" s="1"/>
  <c r="AR10" i="30"/>
  <c r="E10" i="30"/>
  <c r="L10" i="30" s="1"/>
  <c r="AR9" i="30"/>
  <c r="E9" i="30"/>
  <c r="L9" i="30" s="1"/>
  <c r="AR8" i="30"/>
  <c r="L8" i="30"/>
  <c r="E8" i="30"/>
  <c r="AR7" i="30"/>
  <c r="Q7" i="30"/>
  <c r="L7" i="30"/>
  <c r="E7" i="30"/>
  <c r="AR6" i="30"/>
  <c r="AR5" i="30"/>
  <c r="Q5" i="30"/>
  <c r="E5" i="30"/>
  <c r="L5" i="30" s="1"/>
  <c r="AR4" i="30"/>
  <c r="Q4" i="30"/>
  <c r="E4" i="30"/>
  <c r="L4" i="30" s="1"/>
  <c r="AR3" i="30"/>
  <c r="E3" i="30"/>
  <c r="X28" i="3" l="1"/>
  <c r="AI128" i="38" s="1"/>
  <c r="G97" i="46"/>
  <c r="G93" i="46"/>
  <c r="G71" i="46"/>
  <c r="G32" i="46"/>
  <c r="G60" i="45"/>
  <c r="G22" i="45"/>
  <c r="L104" i="46"/>
  <c r="M104" i="46" s="1"/>
  <c r="M98" i="46"/>
  <c r="F72" i="46"/>
  <c r="E73" i="46"/>
  <c r="E104" i="46"/>
  <c r="F104" i="46" s="1"/>
  <c r="F98" i="46"/>
  <c r="M72" i="46"/>
  <c r="L73" i="46"/>
  <c r="F27" i="37"/>
  <c r="E28" i="37"/>
  <c r="G51" i="44"/>
  <c r="G26" i="44"/>
  <c r="M87" i="45"/>
  <c r="G87" i="45" s="1"/>
  <c r="L88" i="45"/>
  <c r="F88" i="45"/>
  <c r="E89" i="45"/>
  <c r="M61" i="45"/>
  <c r="L62" i="45"/>
  <c r="E63" i="45"/>
  <c r="F62" i="45"/>
  <c r="E60" i="44"/>
  <c r="F59" i="44"/>
  <c r="L87" i="44"/>
  <c r="M86" i="44"/>
  <c r="L61" i="44"/>
  <c r="M60" i="44"/>
  <c r="G30" i="44" s="1"/>
  <c r="E86" i="44"/>
  <c r="F85" i="44"/>
  <c r="L43" i="37"/>
  <c r="M42" i="37"/>
  <c r="F42" i="36"/>
  <c r="E43" i="36"/>
  <c r="L44" i="36"/>
  <c r="M43" i="36"/>
  <c r="L30" i="32"/>
  <c r="M29" i="32"/>
  <c r="AZ126" i="31"/>
  <c r="AH121" i="30"/>
  <c r="W6" i="3"/>
  <c r="W33" i="3" s="1"/>
  <c r="Q10" i="30"/>
  <c r="AB88" i="30"/>
  <c r="AB64" i="30"/>
  <c r="AB32" i="30"/>
  <c r="AB16" i="30"/>
  <c r="AB8" i="30"/>
  <c r="AB116" i="30"/>
  <c r="AB119" i="30" s="1"/>
  <c r="Q34" i="30"/>
  <c r="Q74" i="30"/>
  <c r="Q82" i="30"/>
  <c r="AB75" i="30"/>
  <c r="Q18" i="30"/>
  <c r="Q90" i="30"/>
  <c r="Q42" i="30"/>
  <c r="AB98" i="30"/>
  <c r="AB94" i="30"/>
  <c r="AB78" i="30"/>
  <c r="AB66" i="30"/>
  <c r="AB58" i="30"/>
  <c r="AB50" i="30"/>
  <c r="AB26" i="30"/>
  <c r="AB97" i="30"/>
  <c r="AB89" i="30"/>
  <c r="AB81" i="30"/>
  <c r="AB65" i="30"/>
  <c r="AB57" i="30"/>
  <c r="AB41" i="30"/>
  <c r="AB25" i="30"/>
  <c r="AJ121" i="30"/>
  <c r="AI121" i="30"/>
  <c r="AK121" i="30"/>
  <c r="Q106" i="30"/>
  <c r="N108" i="30"/>
  <c r="N119" i="30"/>
  <c r="Q113" i="30"/>
  <c r="Q102" i="30"/>
  <c r="Q9" i="30"/>
  <c r="Q17" i="30"/>
  <c r="Q62" i="30"/>
  <c r="Q70" i="30"/>
  <c r="Q86" i="30"/>
  <c r="Q6" i="30"/>
  <c r="Q73" i="30"/>
  <c r="Q33" i="30"/>
  <c r="Q49" i="30"/>
  <c r="N100" i="30"/>
  <c r="G6" i="3" s="1"/>
  <c r="G33" i="3" s="1"/>
  <c r="Q14" i="30"/>
  <c r="AB3" i="30"/>
  <c r="AB100" i="30" s="1"/>
  <c r="Q3" i="30"/>
  <c r="L3" i="30"/>
  <c r="H100" i="30"/>
  <c r="H121" i="30" s="1"/>
  <c r="E13" i="30"/>
  <c r="L13" i="30" s="1"/>
  <c r="E14" i="30"/>
  <c r="L14" i="30" s="1"/>
  <c r="E6" i="30"/>
  <c r="L6" i="30" s="1"/>
  <c r="E33" i="30"/>
  <c r="L33" i="30" s="1"/>
  <c r="AR99" i="30"/>
  <c r="E40" i="30"/>
  <c r="L40" i="30" s="1"/>
  <c r="E44" i="30"/>
  <c r="L44" i="30" s="1"/>
  <c r="E27" i="30"/>
  <c r="L27" i="30" s="1"/>
  <c r="E60" i="30"/>
  <c r="L60" i="30" s="1"/>
  <c r="E53" i="30"/>
  <c r="L53" i="30" s="1"/>
  <c r="E32" i="30"/>
  <c r="L32" i="30" s="1"/>
  <c r="E52" i="30"/>
  <c r="L52" i="30" s="1"/>
  <c r="E83" i="30"/>
  <c r="L83" i="30" s="1"/>
  <c r="E38" i="30"/>
  <c r="L38" i="30" s="1"/>
  <c r="E49" i="30"/>
  <c r="L49" i="30" s="1"/>
  <c r="E36" i="30"/>
  <c r="L36" i="30" s="1"/>
  <c r="E63" i="30"/>
  <c r="L63" i="30" s="1"/>
  <c r="E56" i="30"/>
  <c r="L56" i="30" s="1"/>
  <c r="E84" i="30"/>
  <c r="L84" i="30" s="1"/>
  <c r="E90" i="30"/>
  <c r="L90" i="30" s="1"/>
  <c r="E62" i="30"/>
  <c r="L62" i="30" s="1"/>
  <c r="E48" i="30"/>
  <c r="L48" i="30" s="1"/>
  <c r="E51" i="30"/>
  <c r="L51" i="30" s="1"/>
  <c r="E61" i="30"/>
  <c r="L61" i="30" s="1"/>
  <c r="E74" i="30"/>
  <c r="L74" i="30" s="1"/>
  <c r="E78" i="30"/>
  <c r="L78" i="30" s="1"/>
  <c r="E76" i="30"/>
  <c r="L76" i="30" s="1"/>
  <c r="E92" i="30"/>
  <c r="L92" i="30" s="1"/>
  <c r="E82" i="30"/>
  <c r="L82" i="30" s="1"/>
  <c r="E86" i="30"/>
  <c r="L86" i="30" s="1"/>
  <c r="E94" i="30"/>
  <c r="L94" i="30" s="1"/>
  <c r="AR107" i="30"/>
  <c r="E102" i="30"/>
  <c r="AB108" i="30"/>
  <c r="J121" i="30"/>
  <c r="E110" i="30"/>
  <c r="E111" i="30"/>
  <c r="L111" i="30" s="1"/>
  <c r="AR118" i="30"/>
  <c r="E112" i="30"/>
  <c r="L112" i="30" s="1"/>
  <c r="E113" i="30"/>
  <c r="L113" i="30" s="1"/>
  <c r="G28" i="3" l="1"/>
  <c r="W28" i="3"/>
  <c r="AH128" i="38" s="1"/>
  <c r="G98" i="46"/>
  <c r="G95" i="46"/>
  <c r="G104" i="46"/>
  <c r="G52" i="46"/>
  <c r="G72" i="46"/>
  <c r="G33" i="46"/>
  <c r="G61" i="45"/>
  <c r="G23" i="45"/>
  <c r="N128" i="38"/>
  <c r="M73" i="46"/>
  <c r="L74" i="46"/>
  <c r="F73" i="46"/>
  <c r="E74" i="46"/>
  <c r="F28" i="37"/>
  <c r="E29" i="37"/>
  <c r="F63" i="45"/>
  <c r="E64" i="45"/>
  <c r="M62" i="45"/>
  <c r="L63" i="45"/>
  <c r="F89" i="45"/>
  <c r="E90" i="45"/>
  <c r="M88" i="45"/>
  <c r="G88" i="45" s="1"/>
  <c r="L89" i="45"/>
  <c r="G86" i="44"/>
  <c r="E87" i="44"/>
  <c r="F86" i="44"/>
  <c r="L62" i="44"/>
  <c r="M61" i="44"/>
  <c r="G31" i="44" s="1"/>
  <c r="L88" i="44"/>
  <c r="M87" i="44"/>
  <c r="G80" i="44" s="1"/>
  <c r="E61" i="44"/>
  <c r="F60" i="44"/>
  <c r="L44" i="37"/>
  <c r="M43" i="37"/>
  <c r="L45" i="36"/>
  <c r="M44" i="36"/>
  <c r="G27" i="36" s="1"/>
  <c r="E44" i="36"/>
  <c r="F43" i="36"/>
  <c r="L31" i="32"/>
  <c r="M30" i="32"/>
  <c r="N121" i="30"/>
  <c r="E108" i="30"/>
  <c r="L102" i="30"/>
  <c r="L108" i="30" s="1"/>
  <c r="E100" i="30"/>
  <c r="AL108" i="30"/>
  <c r="AB121" i="30"/>
  <c r="AL3" i="30"/>
  <c r="E119" i="30"/>
  <c r="L110" i="30"/>
  <c r="L119" i="30" s="1"/>
  <c r="L100" i="30"/>
  <c r="G73" i="46" l="1"/>
  <c r="G35" i="46"/>
  <c r="G62" i="45"/>
  <c r="G24" i="45"/>
  <c r="F74" i="46"/>
  <c r="E75" i="46"/>
  <c r="F75" i="46" s="1"/>
  <c r="L75" i="46"/>
  <c r="M75" i="46" s="1"/>
  <c r="M74" i="46"/>
  <c r="F29" i="37"/>
  <c r="E30" i="37"/>
  <c r="F90" i="45"/>
  <c r="E91" i="45"/>
  <c r="M63" i="45"/>
  <c r="L64" i="45"/>
  <c r="L90" i="45"/>
  <c r="M89" i="45"/>
  <c r="G89" i="45" s="1"/>
  <c r="F64" i="45"/>
  <c r="E65" i="45"/>
  <c r="G53" i="44"/>
  <c r="E62" i="44"/>
  <c r="F61" i="44"/>
  <c r="L89" i="44"/>
  <c r="M88" i="44"/>
  <c r="G76" i="44" s="1"/>
  <c r="L63" i="44"/>
  <c r="M62" i="44"/>
  <c r="G32" i="44" s="1"/>
  <c r="F87" i="44"/>
  <c r="E88" i="44"/>
  <c r="L45" i="37"/>
  <c r="M44" i="37"/>
  <c r="G44" i="37" s="1"/>
  <c r="E45" i="36"/>
  <c r="F44" i="36"/>
  <c r="L46" i="36"/>
  <c r="M45" i="36"/>
  <c r="G38" i="36" s="1"/>
  <c r="M31" i="32"/>
  <c r="L32" i="32"/>
  <c r="L121" i="30"/>
  <c r="E121" i="30"/>
  <c r="AL100" i="30"/>
  <c r="AL119" i="30"/>
  <c r="G75" i="46" l="1"/>
  <c r="G37" i="46"/>
  <c r="G74" i="46"/>
  <c r="G36" i="46"/>
  <c r="G63" i="45"/>
  <c r="G25" i="45"/>
  <c r="E31" i="37"/>
  <c r="F30" i="37"/>
  <c r="L91" i="45"/>
  <c r="M90" i="45"/>
  <c r="M64" i="45"/>
  <c r="L65" i="45"/>
  <c r="F91" i="45"/>
  <c r="E92" i="45"/>
  <c r="F65" i="45"/>
  <c r="E66" i="45"/>
  <c r="G62" i="44"/>
  <c r="E89" i="44"/>
  <c r="F88" i="44"/>
  <c r="L64" i="44"/>
  <c r="M63" i="44"/>
  <c r="M89" i="44"/>
  <c r="G85" i="44" s="1"/>
  <c r="L90" i="44"/>
  <c r="F62" i="44"/>
  <c r="E63" i="44"/>
  <c r="L46" i="37"/>
  <c r="M45" i="37"/>
  <c r="G45" i="37" s="1"/>
  <c r="L47" i="36"/>
  <c r="M46" i="36"/>
  <c r="G46" i="36" s="1"/>
  <c r="E46" i="36"/>
  <c r="F45" i="36"/>
  <c r="L33" i="32"/>
  <c r="M32" i="32"/>
  <c r="AT53" i="30"/>
  <c r="G64" i="45" l="1"/>
  <c r="G26" i="45"/>
  <c r="G90" i="45"/>
  <c r="G78" i="45"/>
  <c r="F31" i="37"/>
  <c r="E32" i="37"/>
  <c r="G84" i="44"/>
  <c r="G33" i="44"/>
  <c r="F66" i="45"/>
  <c r="E67" i="45"/>
  <c r="F92" i="45"/>
  <c r="E93" i="45"/>
  <c r="L66" i="45"/>
  <c r="M65" i="45"/>
  <c r="M91" i="45"/>
  <c r="L92" i="45"/>
  <c r="G89" i="44"/>
  <c r="L91" i="44"/>
  <c r="M90" i="44"/>
  <c r="G78" i="44" s="1"/>
  <c r="E64" i="44"/>
  <c r="F63" i="44"/>
  <c r="L65" i="44"/>
  <c r="M64" i="44"/>
  <c r="E90" i="44"/>
  <c r="F89" i="44"/>
  <c r="L47" i="37"/>
  <c r="M46" i="37"/>
  <c r="G46" i="37" s="1"/>
  <c r="E47" i="36"/>
  <c r="F46" i="36"/>
  <c r="M47" i="36"/>
  <c r="G29" i="36" s="1"/>
  <c r="L48" i="36"/>
  <c r="G24" i="32"/>
  <c r="M33" i="32"/>
  <c r="G33" i="32" s="1"/>
  <c r="L34" i="32"/>
  <c r="U52" i="30"/>
  <c r="AD52" i="30" s="1"/>
  <c r="AA54" i="30"/>
  <c r="X50" i="30"/>
  <c r="AA62" i="30"/>
  <c r="U60" i="30"/>
  <c r="AQ60" i="30" s="1"/>
  <c r="AW60" i="30" s="1"/>
  <c r="X55" i="30"/>
  <c r="AA71" i="30"/>
  <c r="X72" i="30"/>
  <c r="X74" i="30"/>
  <c r="AA73" i="30"/>
  <c r="U71" i="30"/>
  <c r="AD71" i="30" s="1"/>
  <c r="AA65" i="30"/>
  <c r="AA57" i="30"/>
  <c r="U55" i="30"/>
  <c r="AD55" i="30" s="1"/>
  <c r="X65" i="30"/>
  <c r="U58" i="30"/>
  <c r="AS58" i="30" s="1"/>
  <c r="X57" i="30"/>
  <c r="U69" i="30"/>
  <c r="AD69" i="30" s="1"/>
  <c r="X68" i="30"/>
  <c r="X60" i="30"/>
  <c r="U72" i="30"/>
  <c r="AT72" i="30"/>
  <c r="AU72" i="30"/>
  <c r="X71" i="30"/>
  <c r="AA70" i="30"/>
  <c r="AU68" i="30"/>
  <c r="AT68" i="30"/>
  <c r="X67" i="30"/>
  <c r="AA66" i="30"/>
  <c r="U64" i="30"/>
  <c r="AT64" i="30"/>
  <c r="AU64" i="30"/>
  <c r="X63" i="30"/>
  <c r="AU60" i="30"/>
  <c r="AT60" i="30"/>
  <c r="X59" i="30"/>
  <c r="AA58" i="30"/>
  <c r="U56" i="30"/>
  <c r="AU56" i="30"/>
  <c r="AT56" i="30"/>
  <c r="AU52" i="30"/>
  <c r="AT52" i="30"/>
  <c r="X51" i="30"/>
  <c r="AA50" i="30"/>
  <c r="U73" i="30"/>
  <c r="AT73" i="30"/>
  <c r="AU73" i="30"/>
  <c r="AA74" i="30"/>
  <c r="U63" i="30"/>
  <c r="AA49" i="30"/>
  <c r="AU71" i="30"/>
  <c r="AT71" i="30"/>
  <c r="X70" i="30"/>
  <c r="AA69" i="30"/>
  <c r="U67" i="30"/>
  <c r="AU67" i="30"/>
  <c r="AT67" i="30"/>
  <c r="X66" i="30"/>
  <c r="AU63" i="30"/>
  <c r="AT63" i="30"/>
  <c r="X62" i="30"/>
  <c r="AA61" i="30"/>
  <c r="U59" i="30"/>
  <c r="AU59" i="30"/>
  <c r="AT59" i="30"/>
  <c r="X58" i="30"/>
  <c r="AU55" i="30"/>
  <c r="AT55" i="30"/>
  <c r="X54" i="30"/>
  <c r="AA53" i="30"/>
  <c r="U51" i="30"/>
  <c r="AU51" i="30"/>
  <c r="AT51" i="30"/>
  <c r="X49" i="30"/>
  <c r="AU74" i="30"/>
  <c r="AT74" i="30"/>
  <c r="U74" i="30"/>
  <c r="X73" i="30"/>
  <c r="AA72" i="30"/>
  <c r="AU70" i="30"/>
  <c r="AT70" i="30"/>
  <c r="U70" i="30"/>
  <c r="X69" i="30"/>
  <c r="AA68" i="30"/>
  <c r="AU66" i="30"/>
  <c r="AT66" i="30"/>
  <c r="U66" i="30"/>
  <c r="AA64" i="30"/>
  <c r="U62" i="30"/>
  <c r="AU62" i="30"/>
  <c r="AT62" i="30"/>
  <c r="X61" i="30"/>
  <c r="AA60" i="30"/>
  <c r="AU58" i="30"/>
  <c r="AT58" i="30"/>
  <c r="AA56" i="30"/>
  <c r="U54" i="30"/>
  <c r="AU54" i="30"/>
  <c r="AT54" i="30"/>
  <c r="X53" i="30"/>
  <c r="AA52" i="30"/>
  <c r="U50" i="30"/>
  <c r="AU50" i="30"/>
  <c r="AT50" i="30"/>
  <c r="X52" i="30"/>
  <c r="AU69" i="30"/>
  <c r="AT69" i="30"/>
  <c r="AA67" i="30"/>
  <c r="AT65" i="30"/>
  <c r="U65" i="30"/>
  <c r="AU65" i="30"/>
  <c r="X64" i="30"/>
  <c r="AA63" i="30"/>
  <c r="U61" i="30"/>
  <c r="AU61" i="30"/>
  <c r="AT61" i="30"/>
  <c r="AA59" i="30"/>
  <c r="AU57" i="30"/>
  <c r="U57" i="30"/>
  <c r="AT57" i="30"/>
  <c r="X56" i="30"/>
  <c r="AA55" i="30"/>
  <c r="U53" i="30"/>
  <c r="AU53" i="30"/>
  <c r="AA51" i="30"/>
  <c r="U49" i="30"/>
  <c r="AT49" i="30"/>
  <c r="AU49" i="30"/>
  <c r="U68" i="30"/>
  <c r="X89" i="30"/>
  <c r="X90" i="30"/>
  <c r="G80" i="45" l="1"/>
  <c r="G65" i="45"/>
  <c r="G30" i="45"/>
  <c r="E33" i="37"/>
  <c r="F32" i="37"/>
  <c r="G87" i="44"/>
  <c r="G36" i="44"/>
  <c r="M92" i="45"/>
  <c r="L93" i="45"/>
  <c r="L67" i="45"/>
  <c r="M66" i="45"/>
  <c r="E94" i="45"/>
  <c r="E99" i="45"/>
  <c r="F99" i="45" s="1"/>
  <c r="F93" i="45"/>
  <c r="F67" i="45"/>
  <c r="E68" i="45"/>
  <c r="E91" i="44"/>
  <c r="F90" i="44"/>
  <c r="L66" i="44"/>
  <c r="M65" i="44"/>
  <c r="E65" i="44"/>
  <c r="F64" i="44"/>
  <c r="L92" i="44"/>
  <c r="M91" i="44"/>
  <c r="L48" i="37"/>
  <c r="M47" i="37"/>
  <c r="M48" i="36"/>
  <c r="L49" i="36"/>
  <c r="E48" i="36"/>
  <c r="F47" i="36"/>
  <c r="M34" i="32"/>
  <c r="G34" i="32" s="1"/>
  <c r="L35" i="32"/>
  <c r="X35" i="30"/>
  <c r="AA93" i="30"/>
  <c r="AF93" i="30" s="1"/>
  <c r="X93" i="30"/>
  <c r="R52" i="30"/>
  <c r="AS52" i="30"/>
  <c r="AQ52" i="30"/>
  <c r="AW52" i="30" s="1"/>
  <c r="AS60" i="30"/>
  <c r="AO52" i="30"/>
  <c r="AQ55" i="30"/>
  <c r="AW55" i="30" s="1"/>
  <c r="AO69" i="30"/>
  <c r="AD60" i="30"/>
  <c r="AO60" i="30" s="1"/>
  <c r="AF71" i="30"/>
  <c r="AO71" i="30"/>
  <c r="AF57" i="30"/>
  <c r="AF65" i="30"/>
  <c r="AF62" i="30"/>
  <c r="AO55" i="30"/>
  <c r="C56" i="16" s="1"/>
  <c r="AF73" i="30"/>
  <c r="AF54" i="30"/>
  <c r="R60" i="30"/>
  <c r="X92" i="30"/>
  <c r="R69" i="30"/>
  <c r="AQ69" i="30"/>
  <c r="AW69" i="30" s="1"/>
  <c r="AS69" i="30"/>
  <c r="AD58" i="30"/>
  <c r="AO58" i="30" s="1"/>
  <c r="C27" i="16" s="1"/>
  <c r="AQ71" i="30"/>
  <c r="R71" i="30"/>
  <c r="AS55" i="30"/>
  <c r="AQ58" i="30"/>
  <c r="R55" i="30"/>
  <c r="X38" i="30"/>
  <c r="R58" i="30"/>
  <c r="AA36" i="30"/>
  <c r="AA92" i="30"/>
  <c r="AA40" i="30"/>
  <c r="X36" i="30"/>
  <c r="AA35" i="30"/>
  <c r="X91" i="30"/>
  <c r="AA38" i="30"/>
  <c r="X39" i="30"/>
  <c r="AA37" i="30"/>
  <c r="AS71" i="30"/>
  <c r="AQ66" i="30"/>
  <c r="AW66" i="30" s="1"/>
  <c r="AD66" i="30"/>
  <c r="AS66" i="30"/>
  <c r="R66" i="30"/>
  <c r="AF72" i="30"/>
  <c r="AF50" i="30"/>
  <c r="U38" i="30"/>
  <c r="AT38" i="30"/>
  <c r="AU38" i="30"/>
  <c r="X37" i="30"/>
  <c r="AU93" i="30"/>
  <c r="AT93" i="30"/>
  <c r="U93" i="30"/>
  <c r="AA91" i="30"/>
  <c r="AU89" i="30"/>
  <c r="U89" i="30"/>
  <c r="AT89" i="30"/>
  <c r="AD57" i="30"/>
  <c r="AO57" i="30" s="1"/>
  <c r="C43" i="16" s="1"/>
  <c r="AS57" i="30"/>
  <c r="AQ57" i="30"/>
  <c r="AW57" i="30" s="1"/>
  <c r="R57" i="30"/>
  <c r="AD50" i="30"/>
  <c r="AQ50" i="30"/>
  <c r="R50" i="30"/>
  <c r="AS50" i="30"/>
  <c r="AT39" i="30"/>
  <c r="AU39" i="30"/>
  <c r="U39" i="30"/>
  <c r="AD49" i="30"/>
  <c r="AO49" i="30" s="1"/>
  <c r="AS49" i="30"/>
  <c r="AQ49" i="30"/>
  <c r="R49" i="30"/>
  <c r="AD65" i="30"/>
  <c r="AO65" i="30" s="1"/>
  <c r="C55" i="16" s="1"/>
  <c r="AS65" i="30"/>
  <c r="R65" i="30"/>
  <c r="AQ65" i="30"/>
  <c r="AW65" i="30" s="1"/>
  <c r="AF52" i="30"/>
  <c r="AF60" i="30"/>
  <c r="R74" i="30"/>
  <c r="AS74" i="30"/>
  <c r="AQ74" i="30"/>
  <c r="AD74" i="30"/>
  <c r="AO74" i="30" s="1"/>
  <c r="C15" i="16" s="1"/>
  <c r="U92" i="30"/>
  <c r="AU92" i="30"/>
  <c r="AT92" i="30"/>
  <c r="AA90" i="30"/>
  <c r="AF51" i="30"/>
  <c r="AF59" i="30"/>
  <c r="AF68" i="30"/>
  <c r="AF70" i="30"/>
  <c r="U36" i="30"/>
  <c r="AA89" i="30"/>
  <c r="AF67" i="30"/>
  <c r="AD51" i="30"/>
  <c r="AO51" i="30" s="1"/>
  <c r="C98" i="16" s="1"/>
  <c r="AQ51" i="30"/>
  <c r="AS51" i="30"/>
  <c r="R51" i="30"/>
  <c r="AD59" i="30"/>
  <c r="AO59" i="30" s="1"/>
  <c r="C44" i="16" s="1"/>
  <c r="AQ59" i="30"/>
  <c r="AW59" i="30" s="1"/>
  <c r="R59" i="30"/>
  <c r="AS59" i="30"/>
  <c r="AD67" i="30"/>
  <c r="AO67" i="30" s="1"/>
  <c r="C22" i="16" s="1"/>
  <c r="R67" i="30"/>
  <c r="AS67" i="30"/>
  <c r="AQ67" i="30"/>
  <c r="AF49" i="30"/>
  <c r="AD63" i="30"/>
  <c r="AO63" i="30" s="1"/>
  <c r="C46" i="16" s="1"/>
  <c r="AQ63" i="30"/>
  <c r="AW63" i="30" s="1"/>
  <c r="R63" i="30"/>
  <c r="AS63" i="30"/>
  <c r="AF74" i="30"/>
  <c r="AU36" i="30"/>
  <c r="AT36" i="30"/>
  <c r="AT91" i="30"/>
  <c r="AU91" i="30"/>
  <c r="U91" i="30"/>
  <c r="AD53" i="30"/>
  <c r="AS53" i="30"/>
  <c r="R53" i="30"/>
  <c r="AQ53" i="30"/>
  <c r="AD70" i="30"/>
  <c r="R70" i="30"/>
  <c r="AS70" i="30"/>
  <c r="AQ70" i="30"/>
  <c r="AF53" i="30"/>
  <c r="AF61" i="30"/>
  <c r="AF69" i="30"/>
  <c r="U37" i="30"/>
  <c r="AT37" i="30"/>
  <c r="AU37" i="30"/>
  <c r="AA39" i="30"/>
  <c r="X40" i="30"/>
  <c r="AF55" i="30"/>
  <c r="AV55" i="30" a="1"/>
  <c r="AV55" i="30" s="1"/>
  <c r="AD61" i="30"/>
  <c r="AO61" i="30" s="1"/>
  <c r="C82" i="16" s="1"/>
  <c r="AQ61" i="30"/>
  <c r="AW61" i="30" s="1"/>
  <c r="R61" i="30"/>
  <c r="AS61" i="30"/>
  <c r="AD54" i="30"/>
  <c r="AQ54" i="30"/>
  <c r="AS54" i="30"/>
  <c r="R54" i="30"/>
  <c r="AD62" i="30"/>
  <c r="AO62" i="30" s="1"/>
  <c r="C45" i="16" s="1"/>
  <c r="AS62" i="30"/>
  <c r="R62" i="30"/>
  <c r="AQ62" i="30"/>
  <c r="AW62" i="30" s="1"/>
  <c r="AD56" i="30"/>
  <c r="AO56" i="30" s="1"/>
  <c r="C80" i="16" s="1"/>
  <c r="AS56" i="30"/>
  <c r="AQ56" i="30"/>
  <c r="AW56" i="30" s="1"/>
  <c r="R56" i="30"/>
  <c r="AD64" i="30"/>
  <c r="R64" i="30"/>
  <c r="AQ64" i="30"/>
  <c r="AW64" i="30" s="1"/>
  <c r="AS64" i="30"/>
  <c r="U40" i="30"/>
  <c r="AT40" i="30"/>
  <c r="AU40" i="30"/>
  <c r="U35" i="30"/>
  <c r="AU35" i="30"/>
  <c r="AT35" i="30"/>
  <c r="U90" i="30"/>
  <c r="AT90" i="30"/>
  <c r="AU90" i="30"/>
  <c r="AD68" i="30"/>
  <c r="AO68" i="30" s="1"/>
  <c r="C48" i="16" s="1"/>
  <c r="R68" i="30"/>
  <c r="AS68" i="30"/>
  <c r="AQ68" i="30"/>
  <c r="AW68" i="30" s="1"/>
  <c r="AF63" i="30"/>
  <c r="AF56" i="30"/>
  <c r="AF64" i="30"/>
  <c r="AD73" i="30"/>
  <c r="AO73" i="30" s="1"/>
  <c r="C31" i="16" s="1"/>
  <c r="AQ73" i="30"/>
  <c r="R73" i="30"/>
  <c r="AS73" i="30"/>
  <c r="AF58" i="30"/>
  <c r="AF66" i="30"/>
  <c r="AD72" i="30"/>
  <c r="AQ72" i="30"/>
  <c r="AS72" i="30"/>
  <c r="R72" i="30"/>
  <c r="G66" i="45" l="1"/>
  <c r="G33" i="45"/>
  <c r="G83" i="45"/>
  <c r="E34" i="37"/>
  <c r="F33" i="37"/>
  <c r="G37" i="44"/>
  <c r="E95" i="45"/>
  <c r="E100" i="45"/>
  <c r="F100" i="45" s="1"/>
  <c r="F94" i="45"/>
  <c r="L68" i="45"/>
  <c r="M67" i="45"/>
  <c r="L99" i="45"/>
  <c r="M99" i="45" s="1"/>
  <c r="M93" i="45"/>
  <c r="L94" i="45"/>
  <c r="F68" i="45"/>
  <c r="E69" i="45"/>
  <c r="L93" i="44"/>
  <c r="M92" i="44"/>
  <c r="G90" i="44" s="1"/>
  <c r="E66" i="44"/>
  <c r="F65" i="44"/>
  <c r="L67" i="44"/>
  <c r="M66" i="44"/>
  <c r="E92" i="44"/>
  <c r="F91" i="44"/>
  <c r="G30" i="37"/>
  <c r="AV71" i="30" a="1"/>
  <c r="AV71" i="30" s="1"/>
  <c r="C72" i="16"/>
  <c r="AV60" i="30" a="1"/>
  <c r="AV60" i="30" s="1"/>
  <c r="AZ60" i="30" s="1"/>
  <c r="C79" i="16"/>
  <c r="AV69" i="30" a="1"/>
  <c r="AV69" i="30" s="1"/>
  <c r="AZ69" i="30" s="1"/>
  <c r="C53" i="16"/>
  <c r="AV52" i="30" a="1"/>
  <c r="AV52" i="30" s="1"/>
  <c r="C78" i="16"/>
  <c r="AV49" i="30" a="1"/>
  <c r="AV49" i="30" s="1"/>
  <c r="C88" i="16"/>
  <c r="L49" i="37"/>
  <c r="M48" i="37"/>
  <c r="E49" i="36"/>
  <c r="F48" i="36"/>
  <c r="L76" i="36"/>
  <c r="M49" i="36"/>
  <c r="L50" i="36"/>
  <c r="L39" i="32"/>
  <c r="M35" i="32"/>
  <c r="L36" i="32"/>
  <c r="AV57" i="30" a="1"/>
  <c r="AV57" i="30" s="1"/>
  <c r="AZ57" i="30" s="1"/>
  <c r="AV68" i="30" a="1"/>
  <c r="AV68" i="30" s="1"/>
  <c r="AZ68" i="30" s="1"/>
  <c r="AV65" i="30" a="1"/>
  <c r="AV65" i="30" s="1"/>
  <c r="AZ65" i="30" s="1"/>
  <c r="AF40" i="30"/>
  <c r="AO66" i="30"/>
  <c r="AV73" i="30" a="1"/>
  <c r="AV73" i="30" s="1"/>
  <c r="AX73" i="30" s="1"/>
  <c r="AV56" i="30" a="1"/>
  <c r="AV56" i="30" s="1"/>
  <c r="AX56" i="30" s="1"/>
  <c r="AV67" i="30" a="1"/>
  <c r="AV67" i="30" s="1"/>
  <c r="AW67" i="30" s="1"/>
  <c r="AV51" i="30" a="1"/>
  <c r="AV51" i="30" s="1"/>
  <c r="AW51" i="30" s="1"/>
  <c r="AO54" i="30"/>
  <c r="AO53" i="30"/>
  <c r="AF37" i="30"/>
  <c r="AF92" i="30"/>
  <c r="AV63" i="30" a="1"/>
  <c r="AV63" i="30" s="1"/>
  <c r="AZ63" i="30" s="1"/>
  <c r="AF36" i="30"/>
  <c r="AV58" i="30" a="1"/>
  <c r="AV58" i="30" s="1"/>
  <c r="AW58" i="30" s="1"/>
  <c r="AO72" i="30"/>
  <c r="AF38" i="30"/>
  <c r="AO50" i="30"/>
  <c r="AO70" i="30"/>
  <c r="AV62" i="30" a="1"/>
  <c r="AV62" i="30" s="1"/>
  <c r="AZ62" i="30" s="1"/>
  <c r="AV61" i="30" a="1"/>
  <c r="AV61" i="30" s="1"/>
  <c r="AZ61" i="30" s="1"/>
  <c r="AV59" i="30" a="1"/>
  <c r="AV59" i="30" s="1"/>
  <c r="AX59" i="30" s="1"/>
  <c r="AV74" i="30" a="1"/>
  <c r="AV74" i="30" s="1"/>
  <c r="AW74" i="30" s="1"/>
  <c r="AO64" i="30"/>
  <c r="AF35" i="30"/>
  <c r="AW71" i="30"/>
  <c r="T108" i="30"/>
  <c r="AZ71" i="30"/>
  <c r="AX71" i="30"/>
  <c r="T119" i="30"/>
  <c r="Z100" i="30"/>
  <c r="AQ91" i="30"/>
  <c r="AW91" i="30" s="1"/>
  <c r="R91" i="30"/>
  <c r="AD91" i="30"/>
  <c r="AS91" i="30"/>
  <c r="AD36" i="30"/>
  <c r="AS36" i="30"/>
  <c r="R36" i="30"/>
  <c r="AQ36" i="30"/>
  <c r="AW36" i="30" s="1"/>
  <c r="R92" i="30"/>
  <c r="AQ92" i="30"/>
  <c r="AW92" i="30" s="1"/>
  <c r="AD92" i="30"/>
  <c r="AO92" i="30" s="1"/>
  <c r="C73" i="16" s="1"/>
  <c r="AS92" i="30"/>
  <c r="W100" i="30"/>
  <c r="AD90" i="30"/>
  <c r="AO90" i="30" s="1"/>
  <c r="C65" i="16" s="1"/>
  <c r="R90" i="30"/>
  <c r="AQ90" i="30"/>
  <c r="AW90" i="30" s="1"/>
  <c r="AS90" i="30"/>
  <c r="T100" i="30"/>
  <c r="AF39" i="30"/>
  <c r="W108" i="30"/>
  <c r="Z108" i="30"/>
  <c r="AD89" i="30"/>
  <c r="AO89" i="30" s="1"/>
  <c r="C74" i="16" s="1"/>
  <c r="AQ89" i="30"/>
  <c r="AW89" i="30" s="1"/>
  <c r="AS89" i="30"/>
  <c r="R89" i="30"/>
  <c r="AZ55" i="30"/>
  <c r="AX55" i="30"/>
  <c r="AW49" i="30"/>
  <c r="AD38" i="30"/>
  <c r="AS38" i="30"/>
  <c r="AQ38" i="30"/>
  <c r="AW38" i="30" s="1"/>
  <c r="R38" i="30"/>
  <c r="W119" i="30"/>
  <c r="AQ40" i="30"/>
  <c r="AD40" i="30"/>
  <c r="R40" i="30"/>
  <c r="AS40" i="30"/>
  <c r="AD37" i="30"/>
  <c r="AS37" i="30"/>
  <c r="AQ37" i="30"/>
  <c r="R37" i="30"/>
  <c r="AF90" i="30"/>
  <c r="AZ52" i="30"/>
  <c r="AX52" i="30"/>
  <c r="AF91" i="30"/>
  <c r="AX49" i="30"/>
  <c r="AZ49" i="30"/>
  <c r="R93" i="30"/>
  <c r="AS93" i="30"/>
  <c r="AQ93" i="30"/>
  <c r="AW93" i="30" s="1"/>
  <c r="AD93" i="30"/>
  <c r="Z119" i="30"/>
  <c r="AD35" i="30"/>
  <c r="AQ35" i="30"/>
  <c r="AW35" i="30" s="1"/>
  <c r="AS35" i="30"/>
  <c r="R35" i="30"/>
  <c r="AF89" i="30"/>
  <c r="R39" i="30"/>
  <c r="AQ39" i="30"/>
  <c r="AW39" i="30" s="1"/>
  <c r="AS39" i="30"/>
  <c r="AD39" i="30"/>
  <c r="X111" i="30"/>
  <c r="AA111" i="30"/>
  <c r="X112" i="30"/>
  <c r="AA112" i="30"/>
  <c r="X113" i="30"/>
  <c r="AA113" i="30"/>
  <c r="X114" i="30"/>
  <c r="AA114" i="30"/>
  <c r="AU115" i="30"/>
  <c r="X115" i="30"/>
  <c r="AA115" i="30"/>
  <c r="X116" i="30"/>
  <c r="AA116" i="30"/>
  <c r="X117" i="30"/>
  <c r="AA117" i="30"/>
  <c r="X103" i="30"/>
  <c r="AA103" i="30"/>
  <c r="X104" i="30"/>
  <c r="AA104" i="30"/>
  <c r="X105" i="30"/>
  <c r="AA105" i="30"/>
  <c r="U106" i="30"/>
  <c r="X106" i="30"/>
  <c r="AA106" i="30"/>
  <c r="X4" i="30"/>
  <c r="AA4" i="30"/>
  <c r="X5" i="30"/>
  <c r="AA5" i="30"/>
  <c r="X6" i="30"/>
  <c r="AA6" i="30"/>
  <c r="X7" i="30"/>
  <c r="AA7" i="30"/>
  <c r="X8" i="30"/>
  <c r="AA8" i="30"/>
  <c r="X9" i="30"/>
  <c r="AA9" i="30"/>
  <c r="U10" i="30"/>
  <c r="X10" i="30"/>
  <c r="AA10" i="30"/>
  <c r="X11" i="30"/>
  <c r="AA11" i="30"/>
  <c r="X12" i="30"/>
  <c r="AA12" i="30"/>
  <c r="X13" i="30"/>
  <c r="AA13" i="30"/>
  <c r="X14" i="30"/>
  <c r="AA14" i="30"/>
  <c r="X15" i="30"/>
  <c r="AA15" i="30"/>
  <c r="X16" i="30"/>
  <c r="AA16" i="30"/>
  <c r="X17" i="30"/>
  <c r="AA17" i="30"/>
  <c r="X18" i="30"/>
  <c r="AA18" i="30"/>
  <c r="X19" i="30"/>
  <c r="AA19" i="30"/>
  <c r="X20" i="30"/>
  <c r="AA20" i="30"/>
  <c r="X21" i="30"/>
  <c r="AA21" i="30"/>
  <c r="X22" i="30"/>
  <c r="AA22" i="30"/>
  <c r="X23" i="30"/>
  <c r="AA23" i="30"/>
  <c r="X24" i="30"/>
  <c r="AA24" i="30"/>
  <c r="X25" i="30"/>
  <c r="AA25" i="30"/>
  <c r="U26" i="30"/>
  <c r="X26" i="30"/>
  <c r="AA26" i="30"/>
  <c r="X27" i="30"/>
  <c r="AA27" i="30"/>
  <c r="X28" i="30"/>
  <c r="AA28" i="30"/>
  <c r="X29" i="30"/>
  <c r="AA29" i="30"/>
  <c r="X30" i="30"/>
  <c r="AA30" i="30"/>
  <c r="X31" i="30"/>
  <c r="AA31" i="30"/>
  <c r="X32" i="30"/>
  <c r="AA32" i="30"/>
  <c r="X33" i="30"/>
  <c r="AA33" i="30"/>
  <c r="U34" i="30"/>
  <c r="X34" i="30"/>
  <c r="AA34" i="30"/>
  <c r="AO38" i="30"/>
  <c r="C60" i="16" s="1"/>
  <c r="X41" i="30"/>
  <c r="AA41" i="30"/>
  <c r="U42" i="30"/>
  <c r="X42" i="30"/>
  <c r="AA42" i="30"/>
  <c r="X43" i="30"/>
  <c r="AA43" i="30"/>
  <c r="X44" i="30"/>
  <c r="AA44" i="30"/>
  <c r="X45" i="30"/>
  <c r="AA45" i="30"/>
  <c r="X46" i="30"/>
  <c r="AA46" i="30"/>
  <c r="U47" i="30"/>
  <c r="X47" i="30"/>
  <c r="AA47" i="30"/>
  <c r="X48" i="30"/>
  <c r="AA48" i="30"/>
  <c r="X75" i="30"/>
  <c r="AA75" i="30"/>
  <c r="X76" i="30"/>
  <c r="AA76" i="30"/>
  <c r="U77" i="30"/>
  <c r="X77" i="30"/>
  <c r="AA77" i="30"/>
  <c r="X78" i="30"/>
  <c r="AA78" i="30"/>
  <c r="X79" i="30"/>
  <c r="AA79" i="30"/>
  <c r="X80" i="30"/>
  <c r="AA80" i="30"/>
  <c r="X81" i="30"/>
  <c r="AA81" i="30"/>
  <c r="X82" i="30"/>
  <c r="AA82" i="30"/>
  <c r="X83" i="30"/>
  <c r="AA83" i="30"/>
  <c r="X84" i="30"/>
  <c r="AA84" i="30"/>
  <c r="X85" i="30"/>
  <c r="AA85" i="30"/>
  <c r="X86" i="30"/>
  <c r="AA86" i="30"/>
  <c r="X87" i="30"/>
  <c r="AA87" i="30"/>
  <c r="X88" i="30"/>
  <c r="AA88" i="30"/>
  <c r="X94" i="30"/>
  <c r="AA94" i="30"/>
  <c r="AU95" i="30"/>
  <c r="X95" i="30"/>
  <c r="AA95" i="30"/>
  <c r="AT95" i="30"/>
  <c r="X96" i="30"/>
  <c r="AA96" i="30"/>
  <c r="X97" i="30"/>
  <c r="AA97" i="30"/>
  <c r="AU98" i="30"/>
  <c r="X98" i="30"/>
  <c r="AA98" i="30"/>
  <c r="AX60" i="30" l="1"/>
  <c r="G84" i="45"/>
  <c r="G67" i="45"/>
  <c r="G35" i="45"/>
  <c r="F34" i="37"/>
  <c r="E35" i="37"/>
  <c r="G92" i="44"/>
  <c r="G39" i="44"/>
  <c r="M68" i="45"/>
  <c r="L69" i="45"/>
  <c r="L100" i="45"/>
  <c r="M100" i="45" s="1"/>
  <c r="M94" i="45"/>
  <c r="L95" i="45"/>
  <c r="E70" i="45"/>
  <c r="F69" i="45"/>
  <c r="F95" i="45"/>
  <c r="E96" i="45"/>
  <c r="E101" i="45"/>
  <c r="F101" i="45" s="1"/>
  <c r="E93" i="44"/>
  <c r="F92" i="44"/>
  <c r="L68" i="44"/>
  <c r="M67" i="44"/>
  <c r="E67" i="44"/>
  <c r="F66" i="44"/>
  <c r="L94" i="44"/>
  <c r="M93" i="44"/>
  <c r="L99" i="44"/>
  <c r="M99" i="44" s="1"/>
  <c r="G48" i="37"/>
  <c r="G31" i="37"/>
  <c r="G48" i="36"/>
  <c r="G20" i="36"/>
  <c r="AV64" i="30" a="1"/>
  <c r="AV64" i="30" s="1"/>
  <c r="AZ64" i="30" s="1"/>
  <c r="C47" i="16"/>
  <c r="AV72" i="30" a="1"/>
  <c r="AV72" i="30" s="1"/>
  <c r="C35" i="16"/>
  <c r="AV54" i="30" a="1"/>
  <c r="AV54" i="30" s="1"/>
  <c r="AX54" i="30" s="1"/>
  <c r="C34" i="16"/>
  <c r="AX69" i="30"/>
  <c r="AV66" i="30" a="1"/>
  <c r="AV66" i="30" s="1"/>
  <c r="AX66" i="30" s="1"/>
  <c r="C68" i="16"/>
  <c r="AV70" i="30" a="1"/>
  <c r="AV70" i="30" s="1"/>
  <c r="C23" i="16"/>
  <c r="AV50" i="30" a="1"/>
  <c r="AV50" i="30" s="1"/>
  <c r="C90" i="16"/>
  <c r="AV53" i="30" a="1"/>
  <c r="AV53" i="30" s="1"/>
  <c r="AX53" i="30" s="1"/>
  <c r="C36" i="16"/>
  <c r="L50" i="37"/>
  <c r="M49" i="37"/>
  <c r="G49" i="37" s="1"/>
  <c r="L76" i="37"/>
  <c r="M50" i="36"/>
  <c r="L51" i="36"/>
  <c r="L77" i="36"/>
  <c r="M76" i="36"/>
  <c r="E50" i="36"/>
  <c r="F49" i="36"/>
  <c r="E76" i="36"/>
  <c r="G25" i="32"/>
  <c r="M36" i="32"/>
  <c r="L37" i="32"/>
  <c r="L40" i="32"/>
  <c r="M39" i="32"/>
  <c r="AX74" i="30"/>
  <c r="AZ74" i="30"/>
  <c r="AX57" i="30"/>
  <c r="AW73" i="30"/>
  <c r="AX68" i="30"/>
  <c r="AZ56" i="30"/>
  <c r="AZ59" i="30"/>
  <c r="AX63" i="30"/>
  <c r="AZ51" i="30"/>
  <c r="AT3" i="30"/>
  <c r="AZ66" i="30"/>
  <c r="AX50" i="30"/>
  <c r="AZ50" i="30"/>
  <c r="AW54" i="30"/>
  <c r="AO39" i="30"/>
  <c r="C61" i="16" s="1"/>
  <c r="AO40" i="30"/>
  <c r="AW70" i="30"/>
  <c r="AZ70" i="30"/>
  <c r="AX70" i="30"/>
  <c r="AW72" i="30"/>
  <c r="AZ72" i="30"/>
  <c r="AX72" i="30"/>
  <c r="AW53" i="30"/>
  <c r="AZ53" i="30"/>
  <c r="AW50" i="30"/>
  <c r="AZ67" i="30"/>
  <c r="AX58" i="30"/>
  <c r="AX51" i="30"/>
  <c r="AO93" i="30"/>
  <c r="AX67" i="30"/>
  <c r="AZ58" i="30"/>
  <c r="AV92" i="30" a="1"/>
  <c r="AV92" i="30" s="1"/>
  <c r="AZ92" i="30" s="1"/>
  <c r="AX62" i="30"/>
  <c r="AV90" i="30" a="1"/>
  <c r="AV90" i="30" s="1"/>
  <c r="AX90" i="30" s="1"/>
  <c r="AX61" i="30"/>
  <c r="AO36" i="30"/>
  <c r="AX65" i="30"/>
  <c r="AZ73" i="30"/>
  <c r="AO35" i="30"/>
  <c r="AO37" i="30"/>
  <c r="AV89" i="30" a="1"/>
  <c r="AV89" i="30" s="1"/>
  <c r="AO91" i="30"/>
  <c r="AG100" i="30"/>
  <c r="Q6" i="3" s="1"/>
  <c r="Q33" i="3" s="1"/>
  <c r="AM100" i="30"/>
  <c r="AV39" i="30" a="1"/>
  <c r="AV39" i="30" s="1"/>
  <c r="AX39" i="30" s="1"/>
  <c r="AD42" i="30"/>
  <c r="AO42" i="30" s="1"/>
  <c r="AS42" i="30"/>
  <c r="AQ42" i="30"/>
  <c r="AW42" i="30" s="1"/>
  <c r="R42" i="30"/>
  <c r="AF113" i="30"/>
  <c r="AF79" i="30"/>
  <c r="AD77" i="30"/>
  <c r="AO77" i="30" s="1"/>
  <c r="C59" i="16" s="1"/>
  <c r="R77" i="30"/>
  <c r="AS77" i="30"/>
  <c r="AQ77" i="30"/>
  <c r="AW77" i="30" s="1"/>
  <c r="AD34" i="30"/>
  <c r="AO34" i="30" s="1"/>
  <c r="C66" i="16" s="1"/>
  <c r="AS34" i="30"/>
  <c r="R34" i="30"/>
  <c r="AQ34" i="30"/>
  <c r="AF28" i="30"/>
  <c r="AD26" i="30"/>
  <c r="AQ26" i="30"/>
  <c r="R26" i="30"/>
  <c r="AS26" i="30"/>
  <c r="AF20" i="30"/>
  <c r="AF12" i="30"/>
  <c r="AD10" i="30"/>
  <c r="AO10" i="30" s="1"/>
  <c r="C87" i="16" s="1"/>
  <c r="AQ10" i="30"/>
  <c r="R10" i="30"/>
  <c r="AS10" i="30"/>
  <c r="AF4" i="30"/>
  <c r="AS106" i="30"/>
  <c r="AQ106" i="30"/>
  <c r="AW106" i="30" s="1"/>
  <c r="AD106" i="30"/>
  <c r="R106" i="30"/>
  <c r="AF46" i="30"/>
  <c r="AF44" i="30"/>
  <c r="AF94" i="30"/>
  <c r="AF81" i="30"/>
  <c r="AF14" i="30"/>
  <c r="AF103" i="30"/>
  <c r="AD47" i="30"/>
  <c r="AS47" i="30"/>
  <c r="AQ47" i="30"/>
  <c r="R47" i="30"/>
  <c r="AZ89" i="30"/>
  <c r="AX89" i="30"/>
  <c r="AF97" i="30"/>
  <c r="AU44" i="30"/>
  <c r="AT44" i="30"/>
  <c r="AF29" i="30"/>
  <c r="U27" i="30"/>
  <c r="AT27" i="30"/>
  <c r="AU27" i="30"/>
  <c r="AF21" i="30"/>
  <c r="U19" i="30"/>
  <c r="AU19" i="30"/>
  <c r="AT19" i="30"/>
  <c r="AF13" i="30"/>
  <c r="U11" i="30"/>
  <c r="AU11" i="30"/>
  <c r="AT11" i="30"/>
  <c r="AF5" i="30"/>
  <c r="AF116" i="30"/>
  <c r="U114" i="30"/>
  <c r="AT114" i="30"/>
  <c r="AU114" i="30"/>
  <c r="U44" i="30"/>
  <c r="AF80" i="30"/>
  <c r="AU78" i="30"/>
  <c r="U78" i="30"/>
  <c r="AT78" i="30"/>
  <c r="AU79" i="30"/>
  <c r="AT79" i="30"/>
  <c r="AF47" i="30"/>
  <c r="U45" i="30"/>
  <c r="AU45" i="30"/>
  <c r="AT45" i="30"/>
  <c r="AF30" i="30"/>
  <c r="U28" i="30"/>
  <c r="AT28" i="30"/>
  <c r="AU28" i="30"/>
  <c r="AF22" i="30"/>
  <c r="AU20" i="30"/>
  <c r="AT20" i="30"/>
  <c r="U12" i="30"/>
  <c r="AU12" i="30"/>
  <c r="AT12" i="30"/>
  <c r="AF6" i="30"/>
  <c r="AU4" i="30"/>
  <c r="AT4" i="30"/>
  <c r="AF117" i="30"/>
  <c r="U115" i="30"/>
  <c r="W121" i="30"/>
  <c r="K6" i="3"/>
  <c r="K33" i="3" s="1"/>
  <c r="N6" i="3"/>
  <c r="N33" i="3" s="1"/>
  <c r="Z121" i="30"/>
  <c r="AT85" i="30"/>
  <c r="AF82" i="30"/>
  <c r="U80" i="30"/>
  <c r="AU80" i="30"/>
  <c r="AT80" i="30"/>
  <c r="AF48" i="30"/>
  <c r="U46" i="30"/>
  <c r="AU46" i="30"/>
  <c r="AT46" i="30"/>
  <c r="AF31" i="30"/>
  <c r="U29" i="30"/>
  <c r="AU29" i="30"/>
  <c r="AT29" i="30"/>
  <c r="AF23" i="30"/>
  <c r="U21" i="30"/>
  <c r="AU21" i="30"/>
  <c r="AF15" i="30"/>
  <c r="U13" i="30"/>
  <c r="AU13" i="30"/>
  <c r="AT13" i="30"/>
  <c r="AF7" i="30"/>
  <c r="U5" i="30"/>
  <c r="AT5" i="30"/>
  <c r="AU5" i="30"/>
  <c r="U102" i="30"/>
  <c r="S108" i="30"/>
  <c r="AU102" i="30"/>
  <c r="AT102" i="30"/>
  <c r="U116" i="30"/>
  <c r="AU116" i="30"/>
  <c r="AT116" i="30"/>
  <c r="AM119" i="30"/>
  <c r="AE119" i="30"/>
  <c r="AA110" i="30"/>
  <c r="Y119" i="30"/>
  <c r="U4" i="30"/>
  <c r="U6" i="3"/>
  <c r="U33" i="3" s="1"/>
  <c r="AF88" i="30"/>
  <c r="AT86" i="30"/>
  <c r="AU86" i="30"/>
  <c r="U86" i="30"/>
  <c r="AU3" i="30"/>
  <c r="U3" i="30"/>
  <c r="S100" i="30"/>
  <c r="AF96" i="30"/>
  <c r="AT94" i="30"/>
  <c r="AU94" i="30"/>
  <c r="U94" i="30"/>
  <c r="AF83" i="30"/>
  <c r="U81" i="30"/>
  <c r="AU81" i="30"/>
  <c r="AT81" i="30"/>
  <c r="AF75" i="30"/>
  <c r="AU47" i="30"/>
  <c r="AT47" i="30"/>
  <c r="AF41" i="30"/>
  <c r="AF32" i="30"/>
  <c r="U30" i="30"/>
  <c r="AU30" i="30"/>
  <c r="AT30" i="30"/>
  <c r="AF24" i="30"/>
  <c r="U22" i="30"/>
  <c r="AU22" i="30"/>
  <c r="AT22" i="30"/>
  <c r="AF16" i="30"/>
  <c r="U14" i="30"/>
  <c r="AT14" i="30"/>
  <c r="AU14" i="30"/>
  <c r="AF8" i="30"/>
  <c r="U6" i="30"/>
  <c r="AU6" i="30"/>
  <c r="AT6" i="30"/>
  <c r="X102" i="30"/>
  <c r="V108" i="30"/>
  <c r="L8" i="3" s="1"/>
  <c r="AF104" i="30"/>
  <c r="U117" i="30"/>
  <c r="AU117" i="30"/>
  <c r="AT117" i="30"/>
  <c r="AF111" i="30"/>
  <c r="X110" i="30"/>
  <c r="V119" i="30"/>
  <c r="U20" i="30"/>
  <c r="U98" i="30"/>
  <c r="AU87" i="30"/>
  <c r="AT87" i="30"/>
  <c r="AF95" i="30"/>
  <c r="AU88" i="30"/>
  <c r="AT88" i="30"/>
  <c r="U88" i="30"/>
  <c r="X3" i="30"/>
  <c r="V100" i="30"/>
  <c r="AF84" i="30"/>
  <c r="AU82" i="30"/>
  <c r="AT82" i="30"/>
  <c r="U82" i="30"/>
  <c r="AF76" i="30"/>
  <c r="U48" i="30"/>
  <c r="AU48" i="30"/>
  <c r="AT48" i="30"/>
  <c r="AF42" i="30"/>
  <c r="AF33" i="30"/>
  <c r="U31" i="30"/>
  <c r="AU31" i="30"/>
  <c r="AT31" i="30"/>
  <c r="AF25" i="30"/>
  <c r="U23" i="30"/>
  <c r="AU23" i="30"/>
  <c r="AT23" i="30"/>
  <c r="AF17" i="30"/>
  <c r="AT15" i="30"/>
  <c r="AU15" i="30"/>
  <c r="U15" i="30"/>
  <c r="AF9" i="30"/>
  <c r="U7" i="30"/>
  <c r="AU7" i="30"/>
  <c r="AT7" i="30"/>
  <c r="AA102" i="30"/>
  <c r="Y108" i="30"/>
  <c r="O8" i="3" s="1"/>
  <c r="AF105" i="30"/>
  <c r="U103" i="30"/>
  <c r="AU103" i="30"/>
  <c r="AT103" i="30"/>
  <c r="AT115" i="30"/>
  <c r="AF112" i="30"/>
  <c r="U110" i="30"/>
  <c r="AU110" i="30"/>
  <c r="AT110" i="30"/>
  <c r="S119" i="30"/>
  <c r="AU119" i="30" s="1"/>
  <c r="T121" i="30"/>
  <c r="I6" i="3"/>
  <c r="I33" i="3" s="1"/>
  <c r="U79" i="30"/>
  <c r="AT98" i="30"/>
  <c r="AF98" i="30"/>
  <c r="AU96" i="30"/>
  <c r="AT96" i="30"/>
  <c r="U96" i="30"/>
  <c r="AF85" i="30"/>
  <c r="U83" i="30"/>
  <c r="AT83" i="30"/>
  <c r="AU83" i="30"/>
  <c r="AF77" i="30"/>
  <c r="U75" i="30"/>
  <c r="AT75" i="30"/>
  <c r="AU75" i="30"/>
  <c r="AF43" i="30"/>
  <c r="U41" i="30"/>
  <c r="AU41" i="30"/>
  <c r="AT41" i="30"/>
  <c r="AF34" i="30"/>
  <c r="U32" i="30"/>
  <c r="AU32" i="30"/>
  <c r="AT32" i="30"/>
  <c r="AF26" i="30"/>
  <c r="U24" i="30"/>
  <c r="AU24" i="30"/>
  <c r="AT24" i="30"/>
  <c r="AT21" i="30"/>
  <c r="AF18" i="30"/>
  <c r="U16" i="30"/>
  <c r="AT16" i="30"/>
  <c r="AU16" i="30"/>
  <c r="AF10" i="30"/>
  <c r="U8" i="30"/>
  <c r="AT8" i="30"/>
  <c r="AU8" i="30"/>
  <c r="AF106" i="30"/>
  <c r="U104" i="30"/>
  <c r="AU104" i="30"/>
  <c r="AT104" i="30"/>
  <c r="U111" i="30"/>
  <c r="AU111" i="30"/>
  <c r="AT111" i="30"/>
  <c r="AV38" i="30" a="1"/>
  <c r="AV38" i="30" s="1"/>
  <c r="U95" i="30"/>
  <c r="U87" i="30"/>
  <c r="AA3" i="30"/>
  <c r="Y100" i="30"/>
  <c r="AE100" i="30"/>
  <c r="AU97" i="30"/>
  <c r="AT97" i="30"/>
  <c r="U97" i="30"/>
  <c r="AF86" i="30"/>
  <c r="U84" i="30"/>
  <c r="AU84" i="30"/>
  <c r="AT84" i="30"/>
  <c r="AF78" i="30"/>
  <c r="U76" i="30"/>
  <c r="AU76" i="30"/>
  <c r="AT76" i="30"/>
  <c r="AU42" i="30"/>
  <c r="AT42" i="30"/>
  <c r="U33" i="30"/>
  <c r="AU33" i="30"/>
  <c r="AT33" i="30"/>
  <c r="AF27" i="30"/>
  <c r="U25" i="30"/>
  <c r="AU25" i="30"/>
  <c r="AT25" i="30"/>
  <c r="AF19" i="30"/>
  <c r="U17" i="30"/>
  <c r="AU17" i="30"/>
  <c r="AT17" i="30"/>
  <c r="AF11" i="30"/>
  <c r="U9" i="30"/>
  <c r="AU9" i="30"/>
  <c r="AT9" i="30"/>
  <c r="AE108" i="30"/>
  <c r="AT105" i="30"/>
  <c r="AU105" i="30"/>
  <c r="U105" i="30"/>
  <c r="AM108" i="30"/>
  <c r="AF114" i="30"/>
  <c r="AU112" i="30"/>
  <c r="AT112" i="30"/>
  <c r="U112" i="30"/>
  <c r="AF87" i="30"/>
  <c r="U85" i="30"/>
  <c r="AU85" i="30"/>
  <c r="AU77" i="30"/>
  <c r="AT77" i="30"/>
  <c r="AF45" i="30"/>
  <c r="U43" i="30"/>
  <c r="AU43" i="30"/>
  <c r="AT43" i="30"/>
  <c r="AT34" i="30"/>
  <c r="AU34" i="30"/>
  <c r="AU26" i="30"/>
  <c r="AT26" i="30"/>
  <c r="AU18" i="30"/>
  <c r="AT18" i="30"/>
  <c r="AU10" i="30"/>
  <c r="AT10" i="30"/>
  <c r="AG108" i="30"/>
  <c r="AU106" i="30"/>
  <c r="AT106" i="30"/>
  <c r="AF115" i="30"/>
  <c r="U113" i="30"/>
  <c r="AT113" i="30"/>
  <c r="AU113" i="30"/>
  <c r="AZ90" i="30"/>
  <c r="U18" i="30"/>
  <c r="AX64" i="30" l="1"/>
  <c r="G94" i="45"/>
  <c r="G85" i="45"/>
  <c r="G68" i="45"/>
  <c r="G36" i="45"/>
  <c r="E36" i="37"/>
  <c r="E39" i="37"/>
  <c r="F35" i="37"/>
  <c r="G88" i="44"/>
  <c r="G41" i="44"/>
  <c r="E71" i="45"/>
  <c r="F70" i="45"/>
  <c r="L101" i="45"/>
  <c r="M101" i="45" s="1"/>
  <c r="M95" i="45"/>
  <c r="L96" i="45"/>
  <c r="M69" i="45"/>
  <c r="L70" i="45"/>
  <c r="F96" i="45"/>
  <c r="E97" i="45"/>
  <c r="E102" i="45"/>
  <c r="F102" i="45" s="1"/>
  <c r="G93" i="44"/>
  <c r="G66" i="44"/>
  <c r="G99" i="44"/>
  <c r="L100" i="44"/>
  <c r="M100" i="44" s="1"/>
  <c r="G79" i="44" s="1"/>
  <c r="L95" i="44"/>
  <c r="M94" i="44"/>
  <c r="E68" i="44"/>
  <c r="F67" i="44"/>
  <c r="L69" i="44"/>
  <c r="M68" i="44"/>
  <c r="E94" i="44"/>
  <c r="F93" i="44"/>
  <c r="E99" i="44"/>
  <c r="F99" i="44" s="1"/>
  <c r="G50" i="36"/>
  <c r="G21" i="36"/>
  <c r="AV37" i="30" a="1"/>
  <c r="AV37" i="30" s="1"/>
  <c r="C28" i="16"/>
  <c r="AV35" i="30" a="1"/>
  <c r="AV35" i="30" s="1"/>
  <c r="AZ35" i="30" s="1"/>
  <c r="C40" i="16"/>
  <c r="AV42" i="30" a="1"/>
  <c r="AV42" i="30" s="1"/>
  <c r="C69" i="16"/>
  <c r="AV93" i="30" a="1"/>
  <c r="AV93" i="30" s="1"/>
  <c r="C75" i="16"/>
  <c r="AV40" i="30" a="1"/>
  <c r="AV40" i="30" s="1"/>
  <c r="C32" i="16"/>
  <c r="AV36" i="30" a="1"/>
  <c r="AV36" i="30" s="1"/>
  <c r="AZ36" i="30" s="1"/>
  <c r="C41" i="16"/>
  <c r="AZ54" i="30"/>
  <c r="AV91" i="30" a="1"/>
  <c r="AV91" i="30" s="1"/>
  <c r="AX91" i="30" s="1"/>
  <c r="C58" i="16"/>
  <c r="L77" i="37"/>
  <c r="M76" i="37"/>
  <c r="L51" i="37"/>
  <c r="M50" i="37"/>
  <c r="F76" i="36"/>
  <c r="E77" i="36"/>
  <c r="E51" i="36"/>
  <c r="F50" i="36"/>
  <c r="L78" i="36"/>
  <c r="M77" i="36"/>
  <c r="L52" i="36"/>
  <c r="M51" i="36"/>
  <c r="G28" i="32"/>
  <c r="G32" i="32"/>
  <c r="L41" i="32"/>
  <c r="M40" i="32"/>
  <c r="G40" i="32" s="1"/>
  <c r="M37" i="32"/>
  <c r="L38" i="32"/>
  <c r="M38" i="32" s="1"/>
  <c r="AX92" i="30"/>
  <c r="AZ39" i="30"/>
  <c r="AW37" i="30"/>
  <c r="AZ37" i="30"/>
  <c r="AX37" i="30"/>
  <c r="AZ93" i="30"/>
  <c r="AX93" i="30"/>
  <c r="AX36" i="30"/>
  <c r="AV34" i="30" a="1"/>
  <c r="AV34" i="30" s="1"/>
  <c r="AW34" i="30" s="1"/>
  <c r="AO106" i="30"/>
  <c r="AV10" i="30" a="1"/>
  <c r="AV10" i="30" s="1"/>
  <c r="AZ10" i="30" s="1"/>
  <c r="AV77" i="30" a="1"/>
  <c r="AV77" i="30" s="1"/>
  <c r="AO47" i="30"/>
  <c r="AO26" i="30"/>
  <c r="AQ112" i="30"/>
  <c r="AW112" i="30" s="1"/>
  <c r="AD112" i="30"/>
  <c r="AS112" i="30"/>
  <c r="R112" i="30"/>
  <c r="AX38" i="30"/>
  <c r="AZ38" i="30"/>
  <c r="AD32" i="30"/>
  <c r="R32" i="30"/>
  <c r="AS32" i="30"/>
  <c r="AQ32" i="30"/>
  <c r="AD31" i="30"/>
  <c r="AS31" i="30"/>
  <c r="R31" i="30"/>
  <c r="AQ31" i="30"/>
  <c r="AQ117" i="30"/>
  <c r="AW117" i="30" s="1"/>
  <c r="R117" i="30"/>
  <c r="AD117" i="30"/>
  <c r="AS117" i="30"/>
  <c r="AD6" i="30"/>
  <c r="AS6" i="30"/>
  <c r="AQ6" i="30"/>
  <c r="R6" i="30"/>
  <c r="R81" i="30"/>
  <c r="AS81" i="30"/>
  <c r="AD81" i="30"/>
  <c r="AQ81" i="30"/>
  <c r="AW81" i="30" s="1"/>
  <c r="AD116" i="30"/>
  <c r="R116" i="30"/>
  <c r="AQ116" i="30"/>
  <c r="AW116" i="30" s="1"/>
  <c r="AS116" i="30"/>
  <c r="AD29" i="30"/>
  <c r="AQ29" i="30"/>
  <c r="R29" i="30"/>
  <c r="AS29" i="30"/>
  <c r="AD25" i="30"/>
  <c r="AS25" i="30"/>
  <c r="AQ25" i="30"/>
  <c r="R25" i="30"/>
  <c r="AE121" i="30"/>
  <c r="R6" i="3"/>
  <c r="R33" i="3" s="1"/>
  <c r="AW40" i="30"/>
  <c r="AZ40" i="30"/>
  <c r="AX40" i="30"/>
  <c r="AD48" i="30"/>
  <c r="AQ48" i="30"/>
  <c r="AS48" i="30"/>
  <c r="R48" i="30"/>
  <c r="S121" i="30"/>
  <c r="AU121" i="30" s="1"/>
  <c r="H6" i="3"/>
  <c r="H33" i="3" s="1"/>
  <c r="AU100" i="30"/>
  <c r="AT107" i="30"/>
  <c r="AD44" i="30"/>
  <c r="AS44" i="30"/>
  <c r="AQ44" i="30"/>
  <c r="R44" i="30"/>
  <c r="AD84" i="30"/>
  <c r="AS84" i="30"/>
  <c r="R84" i="30"/>
  <c r="AQ84" i="30"/>
  <c r="AW84" i="30" s="1"/>
  <c r="Y121" i="30"/>
  <c r="M6" i="3"/>
  <c r="AD24" i="30"/>
  <c r="AQ24" i="30"/>
  <c r="R24" i="30"/>
  <c r="AS24" i="30"/>
  <c r="AU99" i="30"/>
  <c r="R83" i="30"/>
  <c r="AS83" i="30"/>
  <c r="AD83" i="30"/>
  <c r="AQ83" i="30"/>
  <c r="AW83" i="30" s="1"/>
  <c r="AK8" i="3"/>
  <c r="F8" i="3"/>
  <c r="AQ15" i="30"/>
  <c r="R15" i="30"/>
  <c r="AD15" i="30"/>
  <c r="AS15" i="30"/>
  <c r="AD23" i="30"/>
  <c r="AS23" i="30"/>
  <c r="R23" i="30"/>
  <c r="AQ23" i="30"/>
  <c r="AW23" i="30" s="1"/>
  <c r="AN119" i="30"/>
  <c r="AC8" i="3" s="1"/>
  <c r="X119" i="30"/>
  <c r="AD30" i="30"/>
  <c r="R30" i="30"/>
  <c r="AS30" i="30"/>
  <c r="AQ30" i="30"/>
  <c r="AU107" i="30"/>
  <c r="AD21" i="30"/>
  <c r="AQ21" i="30"/>
  <c r="AW21" i="30" s="1"/>
  <c r="R21" i="30"/>
  <c r="AS21" i="30"/>
  <c r="AD17" i="30"/>
  <c r="R17" i="30"/>
  <c r="AQ17" i="30"/>
  <c r="AS17" i="30"/>
  <c r="AF3" i="30"/>
  <c r="AA100" i="30"/>
  <c r="AD16" i="30"/>
  <c r="AS16" i="30"/>
  <c r="R16" i="30"/>
  <c r="AQ16" i="30"/>
  <c r="AA108" i="30"/>
  <c r="AF108" i="30" s="1"/>
  <c r="AF102" i="30"/>
  <c r="V121" i="30"/>
  <c r="J6" i="3"/>
  <c r="AD3" i="30"/>
  <c r="AQ3" i="30"/>
  <c r="AS3" i="30"/>
  <c r="R3" i="30"/>
  <c r="AM121" i="30"/>
  <c r="AF110" i="30"/>
  <c r="AA119" i="30"/>
  <c r="AF119" i="30" s="1"/>
  <c r="AU108" i="30"/>
  <c r="AD27" i="30"/>
  <c r="R27" i="30"/>
  <c r="AQ27" i="30"/>
  <c r="AS27" i="30"/>
  <c r="AD113" i="30"/>
  <c r="AS113" i="30"/>
  <c r="AQ113" i="30"/>
  <c r="AW113" i="30" s="1"/>
  <c r="R113" i="30"/>
  <c r="AS85" i="30"/>
  <c r="AQ85" i="30"/>
  <c r="R85" i="30"/>
  <c r="AD85" i="30"/>
  <c r="AD76" i="30"/>
  <c r="R76" i="30"/>
  <c r="AS76" i="30"/>
  <c r="AQ76" i="30"/>
  <c r="AW76" i="30" s="1"/>
  <c r="AQ111" i="30"/>
  <c r="AW111" i="30" s="1"/>
  <c r="AS111" i="30"/>
  <c r="R111" i="30"/>
  <c r="AD111" i="30"/>
  <c r="AD75" i="30"/>
  <c r="AS75" i="30"/>
  <c r="AQ75" i="30"/>
  <c r="R75" i="30"/>
  <c r="AT99" i="30"/>
  <c r="AN100" i="30"/>
  <c r="AN121" i="30" s="1"/>
  <c r="X100" i="30"/>
  <c r="AD22" i="30"/>
  <c r="AS22" i="30"/>
  <c r="R22" i="30"/>
  <c r="AQ22" i="30"/>
  <c r="AW22" i="30" s="1"/>
  <c r="AD94" i="30"/>
  <c r="AS94" i="30"/>
  <c r="AQ94" i="30"/>
  <c r="AW94" i="30" s="1"/>
  <c r="R94" i="30"/>
  <c r="AS102" i="30"/>
  <c r="AQ102" i="30"/>
  <c r="U108" i="30"/>
  <c r="R102" i="30"/>
  <c r="AD102" i="30"/>
  <c r="AQ80" i="30"/>
  <c r="AW80" i="30" s="1"/>
  <c r="AD80" i="30"/>
  <c r="R80" i="30"/>
  <c r="AS80" i="30"/>
  <c r="R115" i="30"/>
  <c r="AQ115" i="30"/>
  <c r="AW115" i="30" s="1"/>
  <c r="AD115" i="30"/>
  <c r="AS115" i="30"/>
  <c r="AD78" i="30"/>
  <c r="R78" i="30"/>
  <c r="AS78" i="30"/>
  <c r="AQ78" i="30"/>
  <c r="AD18" i="30"/>
  <c r="AQ18" i="30"/>
  <c r="R18" i="30"/>
  <c r="AS18" i="30"/>
  <c r="AD43" i="30"/>
  <c r="AS43" i="30"/>
  <c r="R43" i="30"/>
  <c r="AQ43" i="30"/>
  <c r="AW43" i="30" s="1"/>
  <c r="AD9" i="30"/>
  <c r="R9" i="30"/>
  <c r="AS9" i="30"/>
  <c r="AQ9" i="30"/>
  <c r="AD8" i="30"/>
  <c r="AQ8" i="30"/>
  <c r="AS8" i="30"/>
  <c r="R8" i="30"/>
  <c r="AD79" i="30"/>
  <c r="AS79" i="30"/>
  <c r="R79" i="30"/>
  <c r="AQ79" i="30"/>
  <c r="AW79" i="30" s="1"/>
  <c r="AT118" i="30"/>
  <c r="AZ42" i="30"/>
  <c r="AX42" i="30"/>
  <c r="R82" i="30"/>
  <c r="AD82" i="30"/>
  <c r="AQ82" i="30"/>
  <c r="AW82" i="30" s="1"/>
  <c r="AS82" i="30"/>
  <c r="U100" i="30"/>
  <c r="AQ88" i="30"/>
  <c r="R88" i="30"/>
  <c r="AD88" i="30"/>
  <c r="AS88" i="30"/>
  <c r="AD98" i="30"/>
  <c r="AQ98" i="30"/>
  <c r="AW98" i="30" s="1"/>
  <c r="R98" i="30"/>
  <c r="AS98" i="30"/>
  <c r="AN108" i="30"/>
  <c r="AC7" i="3" s="1"/>
  <c r="AF7" i="3" s="1"/>
  <c r="X108" i="30"/>
  <c r="AD86" i="30"/>
  <c r="R86" i="30"/>
  <c r="AS86" i="30"/>
  <c r="AQ86" i="30"/>
  <c r="AD13" i="30"/>
  <c r="AS13" i="30"/>
  <c r="AQ13" i="30"/>
  <c r="R13" i="30"/>
  <c r="AD45" i="30"/>
  <c r="AQ45" i="30"/>
  <c r="R45" i="30"/>
  <c r="AS45" i="30"/>
  <c r="AD114" i="30"/>
  <c r="AS114" i="30"/>
  <c r="R114" i="30"/>
  <c r="AQ114" i="30"/>
  <c r="AW114" i="30" s="1"/>
  <c r="AD19" i="30"/>
  <c r="AS19" i="30"/>
  <c r="AQ19" i="30"/>
  <c r="AW19" i="30" s="1"/>
  <c r="R19" i="30"/>
  <c r="R97" i="30"/>
  <c r="AQ97" i="30"/>
  <c r="AW97" i="30" s="1"/>
  <c r="AS97" i="30"/>
  <c r="AD97" i="30"/>
  <c r="AD87" i="30"/>
  <c r="R87" i="30"/>
  <c r="AS87" i="30"/>
  <c r="AQ87" i="30"/>
  <c r="AD41" i="30"/>
  <c r="R41" i="30"/>
  <c r="AS41" i="30"/>
  <c r="AQ41" i="30"/>
  <c r="AS96" i="30"/>
  <c r="AQ96" i="30"/>
  <c r="R96" i="30"/>
  <c r="AD96" i="30"/>
  <c r="AU118" i="30"/>
  <c r="AS103" i="30"/>
  <c r="AD103" i="30"/>
  <c r="AQ103" i="30"/>
  <c r="AW103" i="30" s="1"/>
  <c r="R103" i="30"/>
  <c r="AD7" i="30"/>
  <c r="AS7" i="30"/>
  <c r="AQ7" i="30"/>
  <c r="R7" i="30"/>
  <c r="AD20" i="30"/>
  <c r="AS20" i="30"/>
  <c r="AQ20" i="30"/>
  <c r="AW20" i="30" s="1"/>
  <c r="R20" i="30"/>
  <c r="AD14" i="30"/>
  <c r="AS14" i="30"/>
  <c r="R14" i="30"/>
  <c r="AQ14" i="30"/>
  <c r="AD4" i="30"/>
  <c r="AQ4" i="30"/>
  <c r="R4" i="30"/>
  <c r="AS4" i="30"/>
  <c r="AD46" i="30"/>
  <c r="R46" i="30"/>
  <c r="AQ46" i="30"/>
  <c r="AW46" i="30" s="1"/>
  <c r="AS46" i="30"/>
  <c r="AD11" i="30"/>
  <c r="AQ11" i="30"/>
  <c r="R11" i="30"/>
  <c r="AS11" i="30"/>
  <c r="AQ105" i="30"/>
  <c r="AW105" i="30" s="1"/>
  <c r="R105" i="30"/>
  <c r="AS105" i="30"/>
  <c r="AD105" i="30"/>
  <c r="AD33" i="30"/>
  <c r="AQ33" i="30"/>
  <c r="R33" i="30"/>
  <c r="AS33" i="30"/>
  <c r="AD95" i="30"/>
  <c r="AQ95" i="30"/>
  <c r="AW95" i="30" s="1"/>
  <c r="AS95" i="30"/>
  <c r="R95" i="30"/>
  <c r="AD104" i="30"/>
  <c r="AS104" i="30"/>
  <c r="R104" i="30"/>
  <c r="AQ104" i="30"/>
  <c r="AW104" i="30" s="1"/>
  <c r="AZ77" i="30"/>
  <c r="AX77" i="30"/>
  <c r="AQ110" i="30"/>
  <c r="R110" i="30"/>
  <c r="U119" i="30"/>
  <c r="AS110" i="30"/>
  <c r="AS118" i="30" s="1"/>
  <c r="AD110" i="30"/>
  <c r="AO110" i="30" s="1"/>
  <c r="AD5" i="30"/>
  <c r="AS5" i="30"/>
  <c r="R5" i="30"/>
  <c r="AQ5" i="30"/>
  <c r="AD12" i="30"/>
  <c r="AQ12" i="30"/>
  <c r="AS12" i="30"/>
  <c r="R12" i="30"/>
  <c r="AD28" i="30"/>
  <c r="AQ28" i="30"/>
  <c r="R28" i="30"/>
  <c r="AS28" i="30"/>
  <c r="AX35" i="30" l="1"/>
  <c r="G95" i="45"/>
  <c r="G91" i="45"/>
  <c r="G101" i="45"/>
  <c r="G99" i="45"/>
  <c r="G69" i="45"/>
  <c r="G37" i="45"/>
  <c r="E40" i="37"/>
  <c r="F39" i="37"/>
  <c r="E37" i="37"/>
  <c r="F36" i="37"/>
  <c r="G82" i="44"/>
  <c r="G47" i="44"/>
  <c r="M70" i="45"/>
  <c r="L71" i="45"/>
  <c r="L102" i="45"/>
  <c r="M102" i="45" s="1"/>
  <c r="M96" i="45"/>
  <c r="L97" i="45"/>
  <c r="E103" i="45"/>
  <c r="F103" i="45" s="1"/>
  <c r="F97" i="45"/>
  <c r="E98" i="45"/>
  <c r="E72" i="45"/>
  <c r="F71" i="45"/>
  <c r="G63" i="44"/>
  <c r="G94" i="44"/>
  <c r="E100" i="44"/>
  <c r="F100" i="44" s="1"/>
  <c r="F94" i="44"/>
  <c r="E95" i="44"/>
  <c r="L70" i="44"/>
  <c r="M69" i="44"/>
  <c r="G52" i="44" s="1"/>
  <c r="E69" i="44"/>
  <c r="F68" i="44"/>
  <c r="L101" i="44"/>
  <c r="M101" i="44" s="1"/>
  <c r="L96" i="44"/>
  <c r="M95" i="44"/>
  <c r="G50" i="37"/>
  <c r="G23" i="37"/>
  <c r="G36" i="37"/>
  <c r="G49" i="36"/>
  <c r="G22" i="36"/>
  <c r="AV106" i="30" a="1"/>
  <c r="AV106" i="30" s="1"/>
  <c r="AX106" i="30" s="1"/>
  <c r="C108" i="16"/>
  <c r="AJ7" i="3"/>
  <c r="AI7" i="3"/>
  <c r="AV26" i="30" a="1"/>
  <c r="AV26" i="30" s="1"/>
  <c r="AW26" i="30" s="1"/>
  <c r="C99" i="16"/>
  <c r="AZ91" i="30"/>
  <c r="AV47" i="30" a="1"/>
  <c r="AV47" i="30" s="1"/>
  <c r="AX47" i="30" s="1"/>
  <c r="C17" i="16"/>
  <c r="M51" i="37"/>
  <c r="L52" i="37"/>
  <c r="M77" i="37"/>
  <c r="L78" i="37"/>
  <c r="L53" i="36"/>
  <c r="M52" i="36"/>
  <c r="L79" i="36"/>
  <c r="M78" i="36"/>
  <c r="E52" i="36"/>
  <c r="F51" i="36"/>
  <c r="F77" i="36"/>
  <c r="E78" i="36"/>
  <c r="G37" i="32"/>
  <c r="G26" i="32"/>
  <c r="G36" i="32"/>
  <c r="M41" i="32"/>
  <c r="L42" i="32"/>
  <c r="L6" i="3"/>
  <c r="L33" i="3" s="1"/>
  <c r="J33" i="3"/>
  <c r="O6" i="3"/>
  <c r="M33" i="3"/>
  <c r="N34" i="3" s="1"/>
  <c r="AO3" i="30"/>
  <c r="C8" i="16" s="1"/>
  <c r="AZ47" i="30"/>
  <c r="AX10" i="30"/>
  <c r="AW10" i="30"/>
  <c r="AO102" i="30"/>
  <c r="C104" i="16" s="1"/>
  <c r="AX26" i="30"/>
  <c r="AZ26" i="30"/>
  <c r="AO98" i="30"/>
  <c r="AO15" i="30"/>
  <c r="AO28" i="30"/>
  <c r="AO5" i="30"/>
  <c r="AO96" i="30"/>
  <c r="AO115" i="30"/>
  <c r="AV115" i="30" s="1" a="1"/>
  <c r="AV115" i="30" s="1"/>
  <c r="AO17" i="30"/>
  <c r="AO81" i="30"/>
  <c r="AO117" i="30"/>
  <c r="AV117" i="30" s="1" a="1"/>
  <c r="AV117" i="30" s="1"/>
  <c r="AO30" i="30"/>
  <c r="AO95" i="30"/>
  <c r="AO46" i="30"/>
  <c r="AO14" i="30"/>
  <c r="AO7" i="30"/>
  <c r="AO9" i="30"/>
  <c r="AO18" i="30"/>
  <c r="AO75" i="30"/>
  <c r="AO16" i="30"/>
  <c r="AO29" i="30"/>
  <c r="AO32" i="30"/>
  <c r="AO87" i="30"/>
  <c r="AO19" i="30"/>
  <c r="AO45" i="30"/>
  <c r="AO86" i="30"/>
  <c r="AO88" i="30"/>
  <c r="AO22" i="30"/>
  <c r="AZ34" i="30"/>
  <c r="AO44" i="30"/>
  <c r="AO48" i="30"/>
  <c r="AO79" i="30"/>
  <c r="AO24" i="30"/>
  <c r="AO12" i="30"/>
  <c r="AO97" i="30"/>
  <c r="AO21" i="30"/>
  <c r="AX34" i="30"/>
  <c r="AO103" i="30"/>
  <c r="AO8" i="30"/>
  <c r="AO80" i="30"/>
  <c r="AO76" i="30"/>
  <c r="AO113" i="30"/>
  <c r="AV113" i="30" s="1" a="1"/>
  <c r="AV113" i="30" s="1"/>
  <c r="AO27" i="30"/>
  <c r="AV104" i="30" a="1"/>
  <c r="AV104" i="30" s="1"/>
  <c r="AO33" i="30"/>
  <c r="AO11" i="30"/>
  <c r="AO4" i="30"/>
  <c r="AO20" i="30"/>
  <c r="AO43" i="30"/>
  <c r="AO78" i="30"/>
  <c r="AO111" i="30"/>
  <c r="AV111" i="30" s="1" a="1"/>
  <c r="AV111" i="30" s="1"/>
  <c r="AO85" i="30"/>
  <c r="AO25" i="30"/>
  <c r="AO116" i="30"/>
  <c r="AV116" i="30" s="1" a="1"/>
  <c r="AV116" i="30" s="1"/>
  <c r="AO6" i="30"/>
  <c r="AO31" i="30"/>
  <c r="AO82" i="30"/>
  <c r="AO105" i="30"/>
  <c r="AO41" i="30"/>
  <c r="AO114" i="30"/>
  <c r="AV114" i="30" s="1" a="1"/>
  <c r="AV114" i="30" s="1"/>
  <c r="AO13" i="30"/>
  <c r="AO94" i="30"/>
  <c r="AO23" i="30"/>
  <c r="AO83" i="30"/>
  <c r="AO84" i="30"/>
  <c r="AO112" i="30"/>
  <c r="U121" i="30"/>
  <c r="AS107" i="30"/>
  <c r="AV110" i="30" a="1"/>
  <c r="AV110" i="30" s="1"/>
  <c r="AC6" i="3"/>
  <c r="AC33" i="3" s="1"/>
  <c r="AD100" i="30"/>
  <c r="AQ99" i="30"/>
  <c r="AD108" i="30"/>
  <c r="AD119" i="30"/>
  <c r="AS99" i="30"/>
  <c r="AF100" i="30"/>
  <c r="AA121" i="30"/>
  <c r="AQ107" i="30"/>
  <c r="AW102" i="30"/>
  <c r="AW107" i="30" s="1"/>
  <c r="AW110" i="30"/>
  <c r="AW118" i="30" s="1"/>
  <c r="AQ118" i="30"/>
  <c r="X121" i="30"/>
  <c r="G92" i="45" l="1"/>
  <c r="G70" i="45"/>
  <c r="G38" i="45"/>
  <c r="G102" i="45"/>
  <c r="G100" i="45"/>
  <c r="E38" i="37"/>
  <c r="F38" i="37" s="1"/>
  <c r="F37" i="37"/>
  <c r="E41" i="37"/>
  <c r="F40" i="37"/>
  <c r="L98" i="45"/>
  <c r="L103" i="45"/>
  <c r="M103" i="45" s="1"/>
  <c r="G103" i="45" s="1"/>
  <c r="M97" i="45"/>
  <c r="M71" i="45"/>
  <c r="L72" i="45"/>
  <c r="E104" i="45"/>
  <c r="F104" i="45" s="1"/>
  <c r="F98" i="45"/>
  <c r="F72" i="45"/>
  <c r="E73" i="45"/>
  <c r="G55" i="44"/>
  <c r="G69" i="44"/>
  <c r="G64" i="44"/>
  <c r="G95" i="44"/>
  <c r="G67" i="44"/>
  <c r="G101" i="44"/>
  <c r="E70" i="44"/>
  <c r="F69" i="44"/>
  <c r="L71" i="44"/>
  <c r="M70" i="44"/>
  <c r="E101" i="44"/>
  <c r="F101" i="44" s="1"/>
  <c r="E96" i="44"/>
  <c r="F95" i="44"/>
  <c r="L97" i="44"/>
  <c r="M96" i="44"/>
  <c r="L102" i="44"/>
  <c r="M102" i="44" s="1"/>
  <c r="G37" i="37"/>
  <c r="G51" i="37"/>
  <c r="G32" i="37"/>
  <c r="G44" i="36"/>
  <c r="G23" i="36"/>
  <c r="O33" i="3"/>
  <c r="R34" i="3" s="1"/>
  <c r="AZ106" i="30"/>
  <c r="AV105" i="30" a="1"/>
  <c r="AV105" i="30" s="1"/>
  <c r="AX105" i="30" s="1"/>
  <c r="C107" i="16"/>
  <c r="AV103" i="30" a="1"/>
  <c r="AV103" i="30" s="1"/>
  <c r="C105" i="16"/>
  <c r="AV31" i="30" a="1"/>
  <c r="AV31" i="30" s="1"/>
  <c r="C89" i="16"/>
  <c r="AV20" i="30" a="1"/>
  <c r="AV20" i="30" s="1"/>
  <c r="C38" i="16"/>
  <c r="AV80" i="30" a="1"/>
  <c r="AV80" i="30" s="1"/>
  <c r="C62" i="16"/>
  <c r="AV79" i="30" a="1"/>
  <c r="AV79" i="30" s="1"/>
  <c r="C71" i="16"/>
  <c r="AV19" i="30" a="1"/>
  <c r="AV19" i="30" s="1"/>
  <c r="C37" i="16"/>
  <c r="AV7" i="30" a="1"/>
  <c r="AV7" i="30" s="1"/>
  <c r="C6" i="16"/>
  <c r="AV23" i="30" a="1"/>
  <c r="AV23" i="30" s="1"/>
  <c r="C39" i="16"/>
  <c r="AV8" i="30" a="1"/>
  <c r="AV8" i="30" s="1"/>
  <c r="C93" i="16"/>
  <c r="AV48" i="30" a="1"/>
  <c r="AV48" i="30" s="1"/>
  <c r="C25" i="16"/>
  <c r="AV87" i="30" a="1"/>
  <c r="AV87" i="30" s="1"/>
  <c r="C21" i="16"/>
  <c r="AV14" i="30" a="1"/>
  <c r="AV14" i="30" s="1"/>
  <c r="C96" i="16"/>
  <c r="AV96" i="30" a="1"/>
  <c r="AV96" i="30" s="1"/>
  <c r="C33" i="16"/>
  <c r="AV94" i="30" a="1"/>
  <c r="AV94" i="30" s="1"/>
  <c r="C51" i="16"/>
  <c r="AV11" i="30" a="1"/>
  <c r="AV11" i="30" s="1"/>
  <c r="C9" i="16"/>
  <c r="AV44" i="30" a="1"/>
  <c r="AV44" i="30" s="1"/>
  <c r="C86" i="16"/>
  <c r="AV32" i="30" a="1"/>
  <c r="AV32" i="30" s="1"/>
  <c r="C29" i="16"/>
  <c r="AV46" i="30" a="1"/>
  <c r="AV46" i="30" s="1"/>
  <c r="C42" i="16"/>
  <c r="AV13" i="30" a="1"/>
  <c r="AV13" i="30" s="1"/>
  <c r="C11" i="16"/>
  <c r="AV25" i="30" a="1"/>
  <c r="AV25" i="30" s="1"/>
  <c r="C14" i="16"/>
  <c r="AV33" i="30" a="1"/>
  <c r="AV33" i="30" s="1"/>
  <c r="C83" i="16"/>
  <c r="AV29" i="30" a="1"/>
  <c r="AV29" i="30" s="1"/>
  <c r="C67" i="16"/>
  <c r="AV95" i="30" a="1"/>
  <c r="AV95" i="30" s="1"/>
  <c r="C50" i="16"/>
  <c r="AV28" i="30"/>
  <c r="C97" i="16"/>
  <c r="AV85" i="30" a="1"/>
  <c r="AV85" i="30" s="1"/>
  <c r="C95" i="16"/>
  <c r="AV21" i="30" a="1"/>
  <c r="AV21" i="30" s="1"/>
  <c r="C49" i="16"/>
  <c r="AV22" i="30" a="1"/>
  <c r="AV22" i="30" s="1"/>
  <c r="C57" i="16"/>
  <c r="AV16" i="30" a="1"/>
  <c r="AV16" i="30" s="1"/>
  <c r="C18" i="16"/>
  <c r="AV30" i="30" a="1"/>
  <c r="AV30" i="30" s="1"/>
  <c r="C85" i="16"/>
  <c r="AV15" i="30" a="1"/>
  <c r="AV15" i="30" s="1"/>
  <c r="C94" i="16"/>
  <c r="AV83" i="30" a="1"/>
  <c r="AV83" i="30" s="1"/>
  <c r="C70" i="16"/>
  <c r="AV41" i="30" a="1"/>
  <c r="AV41" i="30" s="1"/>
  <c r="C24" i="16"/>
  <c r="AV27" i="30" a="1"/>
  <c r="AV27" i="30" s="1"/>
  <c r="C84" i="16"/>
  <c r="AV97" i="30" a="1"/>
  <c r="AV97" i="30" s="1"/>
  <c r="C52" i="16"/>
  <c r="AV88" i="30" a="1"/>
  <c r="AV88" i="30" s="1"/>
  <c r="C91" i="16"/>
  <c r="AV75" i="30" a="1"/>
  <c r="AV75" i="30" s="1"/>
  <c r="C20" i="16"/>
  <c r="AV98" i="30" a="1"/>
  <c r="AV98" i="30" s="1"/>
  <c r="C54" i="16"/>
  <c r="AV78" i="30" a="1"/>
  <c r="AV78" i="30" s="1"/>
  <c r="AX78" i="30" s="1"/>
  <c r="C26" i="16"/>
  <c r="AV12" i="30" a="1"/>
  <c r="AV12" i="30" s="1"/>
  <c r="AX12" i="30" s="1"/>
  <c r="C92" i="16"/>
  <c r="AV86" i="30" a="1"/>
  <c r="AV86" i="30" s="1"/>
  <c r="C19" i="16"/>
  <c r="AV18" i="30" a="1"/>
  <c r="AV18" i="30" s="1"/>
  <c r="AX18" i="30" s="1"/>
  <c r="C10" i="16"/>
  <c r="AV81" i="30" a="1"/>
  <c r="AV81" i="30" s="1"/>
  <c r="AX81" i="30" s="1"/>
  <c r="C77" i="16"/>
  <c r="AW47" i="30"/>
  <c r="AV84" i="30" a="1"/>
  <c r="AV84" i="30" s="1"/>
  <c r="C81" i="16"/>
  <c r="AV82" i="30" a="1"/>
  <c r="AV82" i="30" s="1"/>
  <c r="C63" i="16"/>
  <c r="AV43" i="30" a="1"/>
  <c r="AV43" i="30" s="1"/>
  <c r="AX43" i="30" s="1"/>
  <c r="C76" i="16"/>
  <c r="AV76" i="30" a="1"/>
  <c r="AV76" i="30" s="1"/>
  <c r="C64" i="16"/>
  <c r="AV24" i="30" a="1"/>
  <c r="AV24" i="30" s="1"/>
  <c r="C16" i="16"/>
  <c r="AV45" i="30" a="1"/>
  <c r="AV45" i="30" s="1"/>
  <c r="C13" i="16"/>
  <c r="AV9" i="30" a="1"/>
  <c r="AV9" i="30" s="1"/>
  <c r="AX9" i="30" s="1"/>
  <c r="C12" i="16"/>
  <c r="AV17" i="30" a="1"/>
  <c r="AV17" i="30" s="1"/>
  <c r="C30" i="16"/>
  <c r="AV6" i="30" a="1"/>
  <c r="AV6" i="30" s="1"/>
  <c r="AX6" i="30" s="1"/>
  <c r="C7" i="16"/>
  <c r="AV4" i="30" a="1"/>
  <c r="AV4" i="30" s="1"/>
  <c r="AX4" i="30" s="1"/>
  <c r="C4" i="16"/>
  <c r="AV5" i="30" a="1"/>
  <c r="AV5" i="30" s="1"/>
  <c r="AW5" i="30" s="1"/>
  <c r="C5" i="16"/>
  <c r="AK6" i="3"/>
  <c r="F6" i="3"/>
  <c r="L79" i="37"/>
  <c r="M78" i="37"/>
  <c r="L53" i="37"/>
  <c r="M52" i="37"/>
  <c r="E79" i="36"/>
  <c r="F78" i="36"/>
  <c r="E53" i="36"/>
  <c r="F52" i="36"/>
  <c r="L80" i="36"/>
  <c r="M79" i="36"/>
  <c r="M53" i="36"/>
  <c r="G24" i="36" s="1"/>
  <c r="L54" i="36"/>
  <c r="G41" i="32"/>
  <c r="G31" i="32"/>
  <c r="M42" i="32"/>
  <c r="L43" i="32"/>
  <c r="AO119" i="30"/>
  <c r="AZ94" i="30"/>
  <c r="AX94" i="30"/>
  <c r="AX116" i="30"/>
  <c r="AZ116" i="30"/>
  <c r="AZ44" i="30"/>
  <c r="AX44" i="30"/>
  <c r="AW44" i="30"/>
  <c r="AW29" i="30"/>
  <c r="AZ29" i="30"/>
  <c r="AX29" i="30"/>
  <c r="AW45" i="30"/>
  <c r="AZ45" i="30"/>
  <c r="AX45" i="30"/>
  <c r="AZ79" i="30"/>
  <c r="AX79" i="30"/>
  <c r="AX103" i="30"/>
  <c r="AZ103" i="30"/>
  <c r="AW17" i="30"/>
  <c r="AZ17" i="30"/>
  <c r="AX17" i="30"/>
  <c r="AW11" i="30"/>
  <c r="AX11" i="30"/>
  <c r="AZ21" i="30"/>
  <c r="AX21" i="30"/>
  <c r="AW78" i="30"/>
  <c r="AZ113" i="30"/>
  <c r="AX113" i="30"/>
  <c r="AZ12" i="30"/>
  <c r="AX95" i="30"/>
  <c r="AZ95" i="30"/>
  <c r="AW28" i="30"/>
  <c r="AZ28" i="30"/>
  <c r="AX28" i="30"/>
  <c r="AV112" i="30" a="1"/>
  <c r="AV112" i="30" s="1"/>
  <c r="AW48" i="30"/>
  <c r="AZ48" i="30"/>
  <c r="AX48" i="30"/>
  <c r="AW18" i="30"/>
  <c r="AW30" i="30"/>
  <c r="AZ30" i="30"/>
  <c r="AX30" i="30"/>
  <c r="AW13" i="30"/>
  <c r="AZ13" i="30"/>
  <c r="AX13" i="30"/>
  <c r="AZ20" i="30"/>
  <c r="AX20" i="30"/>
  <c r="AZ19" i="30"/>
  <c r="AX19" i="30"/>
  <c r="AX117" i="30"/>
  <c r="AZ117" i="30"/>
  <c r="AZ114" i="30"/>
  <c r="AX114" i="30"/>
  <c r="AZ76" i="30"/>
  <c r="AX76" i="30"/>
  <c r="AZ97" i="30"/>
  <c r="AX97" i="30"/>
  <c r="AZ87" i="30"/>
  <c r="AW87" i="30"/>
  <c r="AX87" i="30"/>
  <c r="AZ81" i="30"/>
  <c r="AW15" i="30"/>
  <c r="AZ15" i="30"/>
  <c r="AX15" i="30"/>
  <c r="AZ75" i="30"/>
  <c r="AX75" i="30"/>
  <c r="AW75" i="30"/>
  <c r="AW41" i="30"/>
  <c r="AZ41" i="30"/>
  <c r="AX41" i="30"/>
  <c r="AW25" i="30"/>
  <c r="AX25" i="30"/>
  <c r="AZ25" i="30"/>
  <c r="AX80" i="30"/>
  <c r="AZ80" i="30"/>
  <c r="AW32" i="30"/>
  <c r="AZ32" i="30"/>
  <c r="AX32" i="30"/>
  <c r="AW7" i="30"/>
  <c r="AZ7" i="30"/>
  <c r="AX7" i="30"/>
  <c r="AX98" i="30"/>
  <c r="AZ98" i="30"/>
  <c r="AZ84" i="30"/>
  <c r="AX84" i="30"/>
  <c r="AZ85" i="30"/>
  <c r="AX85" i="30"/>
  <c r="AW85" i="30"/>
  <c r="AW8" i="30"/>
  <c r="AZ8" i="30"/>
  <c r="AX8" i="30"/>
  <c r="AX22" i="30"/>
  <c r="AZ22" i="30"/>
  <c r="AW14" i="30"/>
  <c r="AZ14" i="30"/>
  <c r="AX14" i="30"/>
  <c r="AW27" i="30"/>
  <c r="AZ27" i="30"/>
  <c r="AX27" i="30"/>
  <c r="AZ83" i="30"/>
  <c r="AX83" i="30"/>
  <c r="AZ111" i="30"/>
  <c r="AX111" i="30"/>
  <c r="AZ33" i="30"/>
  <c r="AW33" i="30"/>
  <c r="AX33" i="30"/>
  <c r="AZ24" i="30"/>
  <c r="AW24" i="30"/>
  <c r="AX24" i="30"/>
  <c r="AZ88" i="30"/>
  <c r="AW88" i="30"/>
  <c r="AX88" i="30"/>
  <c r="AZ46" i="30"/>
  <c r="AX46" i="30"/>
  <c r="AZ115" i="30"/>
  <c r="AX115" i="30"/>
  <c r="AX31" i="30"/>
  <c r="AW31" i="30"/>
  <c r="AZ31" i="30"/>
  <c r="AZ23" i="30"/>
  <c r="AX23" i="30"/>
  <c r="AZ82" i="30"/>
  <c r="AX82" i="30"/>
  <c r="AX104" i="30"/>
  <c r="AZ104" i="30"/>
  <c r="AW86" i="30"/>
  <c r="AZ86" i="30"/>
  <c r="AX86" i="30"/>
  <c r="AX16" i="30"/>
  <c r="AZ16" i="30"/>
  <c r="AW16" i="30"/>
  <c r="AZ96" i="30"/>
  <c r="AW96" i="30"/>
  <c r="AX96" i="30"/>
  <c r="AZ78" i="30"/>
  <c r="AZ11" i="30"/>
  <c r="AZ105" i="30"/>
  <c r="AO100" i="30"/>
  <c r="AV3" i="30"/>
  <c r="AC65" i="30"/>
  <c r="AC54" i="30"/>
  <c r="AC71" i="30"/>
  <c r="AC62" i="30"/>
  <c r="AC57" i="30"/>
  <c r="AC73" i="30"/>
  <c r="AC59" i="30"/>
  <c r="AC74" i="30"/>
  <c r="AC61" i="30"/>
  <c r="AC38" i="30"/>
  <c r="AC40" i="30"/>
  <c r="AC50" i="30"/>
  <c r="AC49" i="30"/>
  <c r="AC56" i="30"/>
  <c r="AC68" i="30"/>
  <c r="AC67" i="30"/>
  <c r="AC69" i="30"/>
  <c r="AC52" i="30"/>
  <c r="AC93" i="30"/>
  <c r="AC55" i="30"/>
  <c r="AC58" i="30"/>
  <c r="AC51" i="30"/>
  <c r="AC53" i="30"/>
  <c r="AC92" i="30"/>
  <c r="AC64" i="30"/>
  <c r="AC72" i="30"/>
  <c r="AC35" i="30"/>
  <c r="AC70" i="30"/>
  <c r="AC36" i="30"/>
  <c r="AC60" i="30"/>
  <c r="AC37" i="30"/>
  <c r="AC63" i="30"/>
  <c r="AC66" i="30"/>
  <c r="AC90" i="30"/>
  <c r="AC39" i="30"/>
  <c r="AC89" i="30"/>
  <c r="AC91" i="30"/>
  <c r="AC48" i="30"/>
  <c r="AC96" i="30"/>
  <c r="AC16" i="30"/>
  <c r="AC9" i="30"/>
  <c r="AC105" i="30"/>
  <c r="AC43" i="30"/>
  <c r="AC79" i="30"/>
  <c r="AC44" i="30"/>
  <c r="AC21" i="30"/>
  <c r="AC116" i="30"/>
  <c r="AC80" i="30"/>
  <c r="AC47" i="30"/>
  <c r="AC15" i="30"/>
  <c r="AC41" i="30"/>
  <c r="AC10" i="30"/>
  <c r="AC11" i="30"/>
  <c r="AC45" i="30"/>
  <c r="AC14" i="30"/>
  <c r="AC117" i="30"/>
  <c r="AC82" i="30"/>
  <c r="AC24" i="30"/>
  <c r="AC17" i="30"/>
  <c r="AC77" i="30"/>
  <c r="AC78" i="30"/>
  <c r="AC87" i="30"/>
  <c r="AC115" i="30"/>
  <c r="AC20" i="30"/>
  <c r="AC29" i="30"/>
  <c r="AC42" i="30"/>
  <c r="AC18" i="30"/>
  <c r="AC19" i="30"/>
  <c r="AC28" i="30"/>
  <c r="AC46" i="30"/>
  <c r="AC94" i="30"/>
  <c r="AC23" i="30"/>
  <c r="AC75" i="30"/>
  <c r="AC32" i="30"/>
  <c r="AC111" i="30"/>
  <c r="AC25" i="30"/>
  <c r="AC85" i="30"/>
  <c r="AC26" i="30"/>
  <c r="AC86" i="30"/>
  <c r="AC114" i="30"/>
  <c r="AC4" i="30"/>
  <c r="AC103" i="30"/>
  <c r="AC22" i="30"/>
  <c r="AC6" i="30"/>
  <c r="AC76" i="30"/>
  <c r="AC27" i="30"/>
  <c r="AC113" i="30"/>
  <c r="AC12" i="30"/>
  <c r="AC97" i="30"/>
  <c r="AC5" i="30"/>
  <c r="AC31" i="30"/>
  <c r="AC83" i="30"/>
  <c r="AC8" i="30"/>
  <c r="AC104" i="30"/>
  <c r="AC33" i="30"/>
  <c r="AC98" i="30"/>
  <c r="AC34" i="30"/>
  <c r="AC81" i="30"/>
  <c r="AC13" i="30"/>
  <c r="AC30" i="30"/>
  <c r="AC7" i="30"/>
  <c r="AC88" i="30"/>
  <c r="AC95" i="30"/>
  <c r="AC84" i="30"/>
  <c r="AC112" i="30"/>
  <c r="AC106" i="30"/>
  <c r="AC3" i="30"/>
  <c r="AC102" i="30"/>
  <c r="AC110" i="30"/>
  <c r="AF121" i="30"/>
  <c r="AV118" i="30"/>
  <c r="AX110" i="30"/>
  <c r="AZ110" i="30"/>
  <c r="AO108" i="30"/>
  <c r="AV102" i="30" a="1"/>
  <c r="AV102" i="30" s="1"/>
  <c r="P6" i="3"/>
  <c r="P33" i="3" s="1"/>
  <c r="AD121" i="30"/>
  <c r="AH8" i="3"/>
  <c r="AF8" i="3"/>
  <c r="AE8" i="3"/>
  <c r="AZ18" i="30" l="1"/>
  <c r="U34" i="3"/>
  <c r="W34" i="3"/>
  <c r="X34" i="3"/>
  <c r="S34" i="3"/>
  <c r="Z34" i="3"/>
  <c r="P34" i="3"/>
  <c r="AD34" i="3"/>
  <c r="V34" i="3"/>
  <c r="Q34" i="3"/>
  <c r="T34" i="3"/>
  <c r="G71" i="45"/>
  <c r="G39" i="45"/>
  <c r="G97" i="45"/>
  <c r="G93" i="45"/>
  <c r="E42" i="37"/>
  <c r="F41" i="37"/>
  <c r="G54" i="44"/>
  <c r="M72" i="45"/>
  <c r="L73" i="45"/>
  <c r="F73" i="45"/>
  <c r="E74" i="45"/>
  <c r="L104" i="45"/>
  <c r="M104" i="45" s="1"/>
  <c r="G104" i="45" s="1"/>
  <c r="M98" i="45"/>
  <c r="G77" i="44"/>
  <c r="G102" i="44"/>
  <c r="G65" i="44"/>
  <c r="G96" i="44"/>
  <c r="L103" i="44"/>
  <c r="M103" i="44" s="1"/>
  <c r="L98" i="44"/>
  <c r="M97" i="44"/>
  <c r="E97" i="44"/>
  <c r="F96" i="44"/>
  <c r="E102" i="44"/>
  <c r="F102" i="44" s="1"/>
  <c r="L72" i="44"/>
  <c r="M71" i="44"/>
  <c r="G56" i="44" s="1"/>
  <c r="F70" i="44"/>
  <c r="E71" i="44"/>
  <c r="G52" i="37"/>
  <c r="G43" i="37"/>
  <c r="G39" i="37"/>
  <c r="AC34" i="3"/>
  <c r="AE6" i="3"/>
  <c r="AE33" i="3" s="1"/>
  <c r="AF6" i="3"/>
  <c r="AF33" i="3" s="1"/>
  <c r="AZ9" i="30"/>
  <c r="AZ43" i="30"/>
  <c r="AW12" i="30"/>
  <c r="AW9" i="30"/>
  <c r="AV99" i="30"/>
  <c r="AW6" i="30"/>
  <c r="AZ6" i="30"/>
  <c r="AW4" i="30"/>
  <c r="AZ4" i="30"/>
  <c r="AX5" i="30"/>
  <c r="AZ5" i="30"/>
  <c r="M53" i="37"/>
  <c r="L54" i="37"/>
  <c r="M79" i="37"/>
  <c r="L80" i="37"/>
  <c r="L55" i="36"/>
  <c r="M54" i="36"/>
  <c r="M80" i="36"/>
  <c r="L81" i="36"/>
  <c r="F53" i="36"/>
  <c r="E54" i="36"/>
  <c r="E80" i="36"/>
  <c r="F79" i="36"/>
  <c r="M43" i="32"/>
  <c r="L44" i="32"/>
  <c r="AX99" i="30"/>
  <c r="AW99" i="30"/>
  <c r="AZ112" i="30"/>
  <c r="AZ119" i="30" s="1"/>
  <c r="AX112" i="30"/>
  <c r="AX118" i="30" s="1"/>
  <c r="AC119" i="30"/>
  <c r="AC108" i="30"/>
  <c r="AC100" i="30"/>
  <c r="AZ102" i="30"/>
  <c r="AZ108" i="30" s="1"/>
  <c r="AX102" i="30"/>
  <c r="AX107" i="30" s="1"/>
  <c r="AV107" i="30"/>
  <c r="AI8" i="3"/>
  <c r="AJ8" i="3"/>
  <c r="AH6" i="3"/>
  <c r="AW3" i="30"/>
  <c r="AZ3" i="30"/>
  <c r="AX3" i="30"/>
  <c r="AO121" i="30"/>
  <c r="AZ100" i="30" l="1"/>
  <c r="AG33" i="3"/>
  <c r="AG34" i="3"/>
  <c r="AF34" i="3"/>
  <c r="G72" i="45"/>
  <c r="G42" i="45"/>
  <c r="G98" i="45"/>
  <c r="G96" i="45"/>
  <c r="F42" i="37"/>
  <c r="E43" i="37"/>
  <c r="F74" i="45"/>
  <c r="E75" i="45"/>
  <c r="F75" i="45" s="1"/>
  <c r="L74" i="45"/>
  <c r="M73" i="45"/>
  <c r="G70" i="44"/>
  <c r="G97" i="44"/>
  <c r="G68" i="44"/>
  <c r="G103" i="44"/>
  <c r="G91" i="44"/>
  <c r="G71" i="44"/>
  <c r="L73" i="44"/>
  <c r="M72" i="44"/>
  <c r="G83" i="44" s="1"/>
  <c r="E98" i="44"/>
  <c r="F97" i="44"/>
  <c r="E103" i="44"/>
  <c r="F103" i="44" s="1"/>
  <c r="E72" i="44"/>
  <c r="F71" i="44"/>
  <c r="L104" i="44"/>
  <c r="M104" i="44" s="1"/>
  <c r="G35" i="44" s="1"/>
  <c r="M98" i="44"/>
  <c r="G79" i="37"/>
  <c r="G41" i="37"/>
  <c r="G25" i="36"/>
  <c r="L81" i="37"/>
  <c r="M80" i="37"/>
  <c r="L55" i="37"/>
  <c r="M54" i="37"/>
  <c r="G54" i="37" s="1"/>
  <c r="E81" i="36"/>
  <c r="F80" i="36"/>
  <c r="F54" i="36"/>
  <c r="E55" i="36"/>
  <c r="M81" i="36"/>
  <c r="L82" i="36"/>
  <c r="L56" i="36"/>
  <c r="M55" i="36"/>
  <c r="G26" i="36" s="1"/>
  <c r="G43" i="32"/>
  <c r="G30" i="32"/>
  <c r="M44" i="32"/>
  <c r="L45" i="32"/>
  <c r="AG6" i="3"/>
  <c r="AZ121" i="30"/>
  <c r="AC121" i="30"/>
  <c r="AI6" i="3"/>
  <c r="AJ6" i="3"/>
  <c r="G73" i="45" l="1"/>
  <c r="G47" i="45"/>
  <c r="E44" i="37"/>
  <c r="F43" i="37"/>
  <c r="L75" i="45"/>
  <c r="M75" i="45" s="1"/>
  <c r="M74" i="45"/>
  <c r="G100" i="44"/>
  <c r="G104" i="44"/>
  <c r="G72" i="44"/>
  <c r="G98" i="44"/>
  <c r="E73" i="44"/>
  <c r="F72" i="44"/>
  <c r="E104" i="44"/>
  <c r="F104" i="44" s="1"/>
  <c r="F98" i="44"/>
  <c r="L74" i="44"/>
  <c r="M73" i="44"/>
  <c r="G47" i="37"/>
  <c r="M55" i="37"/>
  <c r="G55" i="37" s="1"/>
  <c r="L56" i="37"/>
  <c r="L82" i="37"/>
  <c r="M81" i="37"/>
  <c r="M82" i="36"/>
  <c r="L83" i="36"/>
  <c r="L57" i="36"/>
  <c r="M56" i="36"/>
  <c r="F55" i="36"/>
  <c r="E56" i="36"/>
  <c r="E82" i="36"/>
  <c r="F81" i="36"/>
  <c r="G27" i="32"/>
  <c r="M45" i="32"/>
  <c r="L46" i="32"/>
  <c r="AH127" i="29"/>
  <c r="R126" i="29"/>
  <c r="Q126" i="29"/>
  <c r="P126" i="29"/>
  <c r="O126" i="29"/>
  <c r="M126" i="29"/>
  <c r="K126" i="29"/>
  <c r="AK124" i="29"/>
  <c r="AJ124" i="29"/>
  <c r="AI124" i="29"/>
  <c r="AH124" i="29"/>
  <c r="AR122" i="29"/>
  <c r="AN122" i="29"/>
  <c r="E122" i="29"/>
  <c r="L122" i="29" s="1"/>
  <c r="AR121" i="29"/>
  <c r="AT121" i="29"/>
  <c r="AN121" i="29"/>
  <c r="AU121" i="29"/>
  <c r="E121" i="29"/>
  <c r="L121" i="29" s="1"/>
  <c r="AU120" i="29"/>
  <c r="AR120" i="29"/>
  <c r="AT120" i="29"/>
  <c r="AN120" i="29"/>
  <c r="E120" i="29"/>
  <c r="L120" i="29" s="1"/>
  <c r="AR119" i="29"/>
  <c r="AN119" i="29"/>
  <c r="E119" i="29"/>
  <c r="L119" i="29" s="1"/>
  <c r="AR118" i="29"/>
  <c r="AT118" i="29"/>
  <c r="AN118" i="29"/>
  <c r="AU118" i="29"/>
  <c r="E118" i="29"/>
  <c r="L118" i="29" s="1"/>
  <c r="AR117" i="29"/>
  <c r="AT117" i="29"/>
  <c r="AN117" i="29"/>
  <c r="AU117" i="29"/>
  <c r="E117" i="29"/>
  <c r="L117" i="29" s="1"/>
  <c r="AU116" i="29"/>
  <c r="AR116" i="29"/>
  <c r="AN116" i="29"/>
  <c r="E116" i="29"/>
  <c r="L116" i="29" s="1"/>
  <c r="AR115" i="29"/>
  <c r="AM124" i="29"/>
  <c r="AG124" i="29"/>
  <c r="AE124" i="29"/>
  <c r="V124" i="29"/>
  <c r="T124" i="29"/>
  <c r="E115" i="29"/>
  <c r="AK113" i="29"/>
  <c r="AJ113" i="29"/>
  <c r="AI113" i="29"/>
  <c r="AH113" i="29"/>
  <c r="AR111" i="29"/>
  <c r="AT111" i="29"/>
  <c r="AU111" i="29"/>
  <c r="E111" i="29"/>
  <c r="L111" i="29" s="1"/>
  <c r="AU110" i="29"/>
  <c r="AR110" i="29"/>
  <c r="AT110" i="29"/>
  <c r="Z113" i="29"/>
  <c r="N14" i="3" s="1"/>
  <c r="AN110" i="29"/>
  <c r="T113" i="29"/>
  <c r="I14" i="3" s="1"/>
  <c r="E110" i="29"/>
  <c r="L110" i="29" s="1"/>
  <c r="AR109" i="29"/>
  <c r="AR112" i="29" s="1"/>
  <c r="E109" i="29"/>
  <c r="L109" i="29" s="1"/>
  <c r="AR108" i="29"/>
  <c r="AN108" i="29"/>
  <c r="AR107" i="29"/>
  <c r="AN107" i="29"/>
  <c r="E107" i="29"/>
  <c r="L107" i="29" s="1"/>
  <c r="AU98" i="29"/>
  <c r="AR98" i="29"/>
  <c r="AN98" i="29"/>
  <c r="AR97" i="29"/>
  <c r="AN97" i="29"/>
  <c r="AT96" i="29"/>
  <c r="AR96" i="29"/>
  <c r="AN96" i="29"/>
  <c r="AU96" i="29"/>
  <c r="E96" i="29"/>
  <c r="L96" i="29" s="1"/>
  <c r="AU95" i="29"/>
  <c r="AR95" i="29"/>
  <c r="AT95" i="29"/>
  <c r="AN95" i="29"/>
  <c r="E95" i="29"/>
  <c r="L95" i="29" s="1"/>
  <c r="AU94" i="29"/>
  <c r="AR94" i="29"/>
  <c r="AN94" i="29"/>
  <c r="AT94" i="29"/>
  <c r="E94" i="29"/>
  <c r="L94" i="29" s="1"/>
  <c r="AU93" i="29"/>
  <c r="AR93" i="29"/>
  <c r="AN93" i="29"/>
  <c r="AT93" i="29"/>
  <c r="E93" i="29"/>
  <c r="L93" i="29" s="1"/>
  <c r="AU92" i="29"/>
  <c r="AR92" i="29"/>
  <c r="AT92" i="29"/>
  <c r="AN92" i="29"/>
  <c r="E92" i="29"/>
  <c r="L92" i="29" s="1"/>
  <c r="AU91" i="29"/>
  <c r="AR91" i="29"/>
  <c r="E91" i="29"/>
  <c r="L91" i="29" s="1"/>
  <c r="AU90" i="29"/>
  <c r="AR90" i="29"/>
  <c r="AN90" i="29"/>
  <c r="E90" i="29"/>
  <c r="L90" i="29" s="1"/>
  <c r="AR89" i="29"/>
  <c r="E89" i="29"/>
  <c r="L89" i="29" s="1"/>
  <c r="AU88" i="29"/>
  <c r="AR88" i="29"/>
  <c r="AT88" i="29"/>
  <c r="E88" i="29"/>
  <c r="L88" i="29" s="1"/>
  <c r="AR87" i="29"/>
  <c r="AN87" i="29"/>
  <c r="E87" i="29"/>
  <c r="L87" i="29" s="1"/>
  <c r="AR86" i="29"/>
  <c r="AT86" i="29"/>
  <c r="AN86" i="29"/>
  <c r="AT85" i="29"/>
  <c r="AR85" i="29"/>
  <c r="AN85" i="29"/>
  <c r="AU85" i="29"/>
  <c r="AR84" i="29"/>
  <c r="AN84" i="29"/>
  <c r="AU84" i="29"/>
  <c r="E84" i="29"/>
  <c r="L84" i="29" s="1"/>
  <c r="AR83" i="29"/>
  <c r="AN83" i="29"/>
  <c r="E83" i="29"/>
  <c r="L83" i="29" s="1"/>
  <c r="AR82" i="29"/>
  <c r="AN82" i="29"/>
  <c r="E82" i="29"/>
  <c r="L82" i="29" s="1"/>
  <c r="AU81" i="29"/>
  <c r="AT81" i="29"/>
  <c r="AR81" i="29"/>
  <c r="AN81" i="29"/>
  <c r="E81" i="29"/>
  <c r="L81" i="29" s="1"/>
  <c r="AU80" i="29"/>
  <c r="AR80" i="29"/>
  <c r="AT80" i="29"/>
  <c r="E80" i="29"/>
  <c r="L80" i="29" s="1"/>
  <c r="AR79" i="29"/>
  <c r="E79" i="29"/>
  <c r="L79" i="29" s="1"/>
  <c r="AR78" i="29"/>
  <c r="AN78" i="29"/>
  <c r="AT78" i="29"/>
  <c r="E78" i="29"/>
  <c r="L78" i="29" s="1"/>
  <c r="AR77" i="29"/>
  <c r="AN77" i="29"/>
  <c r="E77" i="29"/>
  <c r="L77" i="29" s="1"/>
  <c r="AU76" i="29"/>
  <c r="AR76" i="29"/>
  <c r="AN76" i="29"/>
  <c r="E76" i="29"/>
  <c r="L76" i="29" s="1"/>
  <c r="AR75" i="29"/>
  <c r="AN75" i="29"/>
  <c r="AT75" i="29"/>
  <c r="E75" i="29"/>
  <c r="L75" i="29" s="1"/>
  <c r="AU74" i="29"/>
  <c r="AR74" i="29"/>
  <c r="AT74" i="29"/>
  <c r="AN74" i="29"/>
  <c r="E74" i="29"/>
  <c r="L74" i="29" s="1"/>
  <c r="AR73" i="29"/>
  <c r="AT73" i="29"/>
  <c r="AU73" i="29"/>
  <c r="AU72" i="29"/>
  <c r="AR72" i="29"/>
  <c r="AT72" i="29"/>
  <c r="AN72" i="29"/>
  <c r="E72" i="29"/>
  <c r="L72" i="29" s="1"/>
  <c r="AR71" i="29"/>
  <c r="AT71" i="29"/>
  <c r="AN71" i="29"/>
  <c r="E71" i="29"/>
  <c r="L71" i="29" s="1"/>
  <c r="AR70" i="29"/>
  <c r="AN70" i="29"/>
  <c r="E70" i="29"/>
  <c r="L70" i="29" s="1"/>
  <c r="AT69" i="29"/>
  <c r="AR69" i="29"/>
  <c r="AN69" i="29"/>
  <c r="AU69" i="29"/>
  <c r="E69" i="29"/>
  <c r="L69" i="29" s="1"/>
  <c r="AU68" i="29"/>
  <c r="AR68" i="29"/>
  <c r="AT68" i="29"/>
  <c r="AN68" i="29"/>
  <c r="E68" i="29"/>
  <c r="L68" i="29" s="1"/>
  <c r="AR67" i="29"/>
  <c r="AU67" i="29"/>
  <c r="E67" i="29"/>
  <c r="L67" i="29" s="1"/>
  <c r="AU66" i="29"/>
  <c r="AR66" i="29"/>
  <c r="AT66" i="29"/>
  <c r="AR65" i="29"/>
  <c r="AU65" i="29"/>
  <c r="AU64" i="29"/>
  <c r="AT64" i="29"/>
  <c r="AR64" i="29"/>
  <c r="AN64" i="29"/>
  <c r="AR63" i="29"/>
  <c r="AU63" i="29"/>
  <c r="E63" i="29"/>
  <c r="L63" i="29" s="1"/>
  <c r="AU62" i="29"/>
  <c r="AR62" i="29"/>
  <c r="AN62" i="29"/>
  <c r="AT62" i="29"/>
  <c r="E62" i="29"/>
  <c r="L62" i="29" s="1"/>
  <c r="AR61" i="29"/>
  <c r="AN61" i="29"/>
  <c r="AT61" i="29"/>
  <c r="E61" i="29"/>
  <c r="L61" i="29" s="1"/>
  <c r="AR60" i="29"/>
  <c r="AN60" i="29"/>
  <c r="AT60" i="29"/>
  <c r="AU59" i="29"/>
  <c r="AT59" i="29"/>
  <c r="AR59" i="29"/>
  <c r="AN59" i="29"/>
  <c r="AU58" i="29"/>
  <c r="AR58" i="29"/>
  <c r="AT58" i="29"/>
  <c r="AN58" i="29"/>
  <c r="AU57" i="29"/>
  <c r="AR57" i="29"/>
  <c r="AT57" i="29"/>
  <c r="E57" i="29"/>
  <c r="L57" i="29" s="1"/>
  <c r="AR56" i="29"/>
  <c r="AN56" i="29"/>
  <c r="E56" i="29"/>
  <c r="L56" i="29" s="1"/>
  <c r="AR55" i="29"/>
  <c r="AN55" i="29"/>
  <c r="E55" i="29"/>
  <c r="L55" i="29" s="1"/>
  <c r="AR54" i="29"/>
  <c r="AN54" i="29"/>
  <c r="E54" i="29"/>
  <c r="L54" i="29" s="1"/>
  <c r="AR53" i="29"/>
  <c r="AN53" i="29"/>
  <c r="E53" i="29"/>
  <c r="L53" i="29" s="1"/>
  <c r="AU52" i="29"/>
  <c r="AR52" i="29"/>
  <c r="AN52" i="29"/>
  <c r="AT52" i="29"/>
  <c r="E52" i="29"/>
  <c r="L52" i="29" s="1"/>
  <c r="AU51" i="29"/>
  <c r="AR51" i="29"/>
  <c r="AN51" i="29"/>
  <c r="E51" i="29"/>
  <c r="L51" i="29" s="1"/>
  <c r="AR50" i="29"/>
  <c r="AN50" i="29"/>
  <c r="AU50" i="29"/>
  <c r="AU49" i="29"/>
  <c r="AR49" i="29"/>
  <c r="AT49" i="29"/>
  <c r="AN49" i="29"/>
  <c r="E49" i="29"/>
  <c r="L49" i="29" s="1"/>
  <c r="AU48" i="29"/>
  <c r="AT48" i="29"/>
  <c r="AR48" i="29"/>
  <c r="AN48" i="29"/>
  <c r="E48" i="29"/>
  <c r="L48" i="29" s="1"/>
  <c r="AU47" i="29"/>
  <c r="AR47" i="29"/>
  <c r="AT47" i="29"/>
  <c r="AN47" i="29"/>
  <c r="E47" i="29"/>
  <c r="L47" i="29" s="1"/>
  <c r="AR46" i="29"/>
  <c r="AU46" i="29"/>
  <c r="E46" i="29"/>
  <c r="L46" i="29" s="1"/>
  <c r="AU45" i="29"/>
  <c r="AR45" i="29"/>
  <c r="AT45" i="29"/>
  <c r="AN45" i="29"/>
  <c r="E45" i="29"/>
  <c r="L45" i="29" s="1"/>
  <c r="AU44" i="29"/>
  <c r="AR44" i="29"/>
  <c r="AT44" i="29"/>
  <c r="AN44" i="29"/>
  <c r="E44" i="29"/>
  <c r="L44" i="29" s="1"/>
  <c r="AR43" i="29"/>
  <c r="AN43" i="29"/>
  <c r="E43" i="29"/>
  <c r="L43" i="29" s="1"/>
  <c r="AT42" i="29"/>
  <c r="AR42" i="29"/>
  <c r="AN42" i="29"/>
  <c r="E42" i="29"/>
  <c r="L42" i="29" s="1"/>
  <c r="AR41" i="29"/>
  <c r="AT41" i="29"/>
  <c r="AN41" i="29"/>
  <c r="AU41" i="29"/>
  <c r="E41" i="29"/>
  <c r="L41" i="29" s="1"/>
  <c r="AU40" i="29"/>
  <c r="AR40" i="29"/>
  <c r="AN40" i="29"/>
  <c r="E40" i="29"/>
  <c r="L40" i="29" s="1"/>
  <c r="AU39" i="29"/>
  <c r="AR39" i="29"/>
  <c r="AT39" i="29"/>
  <c r="AN39" i="29"/>
  <c r="E39" i="29"/>
  <c r="L39" i="29" s="1"/>
  <c r="AR38" i="29"/>
  <c r="AU38" i="29"/>
  <c r="AU37" i="29"/>
  <c r="AT37" i="29"/>
  <c r="AR37" i="29"/>
  <c r="AN37" i="29"/>
  <c r="E37" i="29"/>
  <c r="L37" i="29" s="1"/>
  <c r="AU36" i="29"/>
  <c r="AT36" i="29"/>
  <c r="AR36" i="29"/>
  <c r="E36" i="29"/>
  <c r="L36" i="29" s="1"/>
  <c r="AR35" i="29"/>
  <c r="AN35" i="29"/>
  <c r="E35" i="29"/>
  <c r="L35" i="29" s="1"/>
  <c r="AU34" i="29"/>
  <c r="AR34" i="29"/>
  <c r="AN34" i="29"/>
  <c r="AQ34" i="29"/>
  <c r="E34" i="29"/>
  <c r="L34" i="29" s="1"/>
  <c r="AR33" i="29"/>
  <c r="AN33" i="29"/>
  <c r="E33" i="29"/>
  <c r="L33" i="29" s="1"/>
  <c r="AR32" i="29"/>
  <c r="AN32" i="29"/>
  <c r="E32" i="29"/>
  <c r="L32" i="29" s="1"/>
  <c r="AU31" i="29"/>
  <c r="AR31" i="29"/>
  <c r="AT31" i="29"/>
  <c r="AN31" i="29"/>
  <c r="E31" i="29"/>
  <c r="L31" i="29" s="1"/>
  <c r="AU30" i="29"/>
  <c r="AR30" i="29"/>
  <c r="AT30" i="29"/>
  <c r="E30" i="29"/>
  <c r="L30" i="29" s="1"/>
  <c r="AU29" i="29"/>
  <c r="AT29" i="29"/>
  <c r="AR29" i="29"/>
  <c r="AN29" i="29"/>
  <c r="AR28" i="29"/>
  <c r="AN28" i="29"/>
  <c r="AU27" i="29"/>
  <c r="AR27" i="29"/>
  <c r="AT27" i="29"/>
  <c r="AN27" i="29"/>
  <c r="E27" i="29"/>
  <c r="L27" i="29" s="1"/>
  <c r="AR26" i="29"/>
  <c r="AN26" i="29"/>
  <c r="E26" i="29"/>
  <c r="L26" i="29" s="1"/>
  <c r="AR25" i="29"/>
  <c r="AN25" i="29"/>
  <c r="E25" i="29"/>
  <c r="L25" i="29" s="1"/>
  <c r="AR24" i="29"/>
  <c r="AN24" i="29"/>
  <c r="AT24" i="29"/>
  <c r="E24" i="29"/>
  <c r="L24" i="29" s="1"/>
  <c r="AU23" i="29"/>
  <c r="AR23" i="29"/>
  <c r="AN23" i="29"/>
  <c r="AT23" i="29"/>
  <c r="E23" i="29"/>
  <c r="L23" i="29" s="1"/>
  <c r="AU22" i="29"/>
  <c r="AR22" i="29"/>
  <c r="AT22" i="29"/>
  <c r="AN22" i="29"/>
  <c r="E22" i="29"/>
  <c r="L22" i="29" s="1"/>
  <c r="AU21" i="29"/>
  <c r="AR21" i="29"/>
  <c r="AT21" i="29"/>
  <c r="AR20" i="29"/>
  <c r="AN20" i="29"/>
  <c r="AU19" i="29"/>
  <c r="AR19" i="29"/>
  <c r="AT19" i="29"/>
  <c r="AN19" i="29"/>
  <c r="AR18" i="29"/>
  <c r="AN18" i="29"/>
  <c r="AU18" i="29"/>
  <c r="E18" i="29"/>
  <c r="L18" i="29" s="1"/>
  <c r="AU17" i="29"/>
  <c r="AT17" i="29"/>
  <c r="AR17" i="29"/>
  <c r="AN17" i="29"/>
  <c r="E17" i="29"/>
  <c r="L17" i="29" s="1"/>
  <c r="AR16" i="29"/>
  <c r="AN16" i="29"/>
  <c r="E16" i="29"/>
  <c r="L16" i="29" s="1"/>
  <c r="AR15" i="29"/>
  <c r="AN15" i="29"/>
  <c r="AT15" i="29"/>
  <c r="E15" i="29"/>
  <c r="L15" i="29" s="1"/>
  <c r="AU14" i="29"/>
  <c r="AT14" i="29"/>
  <c r="AR14" i="29"/>
  <c r="AN14" i="29"/>
  <c r="E14" i="29"/>
  <c r="L14" i="29" s="1"/>
  <c r="AU13" i="29"/>
  <c r="AR13" i="29"/>
  <c r="AN13" i="29"/>
  <c r="AT13" i="29"/>
  <c r="E13" i="29"/>
  <c r="L13" i="29" s="1"/>
  <c r="AU12" i="29"/>
  <c r="AR12" i="29"/>
  <c r="AN12" i="29"/>
  <c r="AT12" i="29"/>
  <c r="E12" i="29"/>
  <c r="L12" i="29" s="1"/>
  <c r="AU11" i="29"/>
  <c r="AT11" i="29"/>
  <c r="AR11" i="29"/>
  <c r="AN11" i="29"/>
  <c r="AR10" i="29"/>
  <c r="AT10" i="29"/>
  <c r="AN10" i="29"/>
  <c r="AU10" i="29"/>
  <c r="E10" i="29"/>
  <c r="L10" i="29" s="1"/>
  <c r="AR9" i="29"/>
  <c r="AN9" i="29"/>
  <c r="E9" i="29"/>
  <c r="L9" i="29" s="1"/>
  <c r="AR8" i="29"/>
  <c r="AN8" i="29"/>
  <c r="E8" i="29"/>
  <c r="L8" i="29" s="1"/>
  <c r="AU7" i="29"/>
  <c r="AR7" i="29"/>
  <c r="AN7" i="29"/>
  <c r="AT7" i="29"/>
  <c r="E7" i="29"/>
  <c r="L7" i="29" s="1"/>
  <c r="AU6" i="29"/>
  <c r="AT6" i="29"/>
  <c r="AR6" i="29"/>
  <c r="AN6" i="29"/>
  <c r="E6" i="29"/>
  <c r="L6" i="29" s="1"/>
  <c r="AU5" i="29"/>
  <c r="AR5" i="29"/>
  <c r="AN5" i="29"/>
  <c r="AT5" i="29"/>
  <c r="E5" i="29"/>
  <c r="L5" i="29" s="1"/>
  <c r="AU4" i="29"/>
  <c r="AR4" i="29"/>
  <c r="AT4" i="29"/>
  <c r="AN4" i="29"/>
  <c r="E4" i="29"/>
  <c r="L4" i="29" s="1"/>
  <c r="AT3" i="29"/>
  <c r="AR3" i="29"/>
  <c r="U3" i="29"/>
  <c r="U105" i="29" s="1"/>
  <c r="E3" i="29"/>
  <c r="AA103" i="28"/>
  <c r="U104" i="28"/>
  <c r="X104" i="28"/>
  <c r="AA104" i="28"/>
  <c r="U105" i="28"/>
  <c r="U111" i="28"/>
  <c r="U113" i="28"/>
  <c r="AD113" i="28" s="1"/>
  <c r="X113" i="28"/>
  <c r="U114" i="28"/>
  <c r="X114" i="28"/>
  <c r="U115" i="28"/>
  <c r="R115" i="28" s="1"/>
  <c r="X115" i="28"/>
  <c r="AA115" i="28"/>
  <c r="U116" i="28"/>
  <c r="AD116" i="28" s="1"/>
  <c r="X116" i="28"/>
  <c r="U117" i="28"/>
  <c r="AA117" i="28"/>
  <c r="AA110" i="28"/>
  <c r="X110" i="28"/>
  <c r="U110" i="28"/>
  <c r="AB4" i="28"/>
  <c r="U5" i="28"/>
  <c r="X5" i="28"/>
  <c r="X6" i="28"/>
  <c r="AA7" i="28"/>
  <c r="AB7" i="28"/>
  <c r="U8" i="28"/>
  <c r="R8" i="28" s="1"/>
  <c r="AA8" i="28"/>
  <c r="U9" i="28"/>
  <c r="AD9" i="28" s="1"/>
  <c r="X10" i="28"/>
  <c r="X11" i="28"/>
  <c r="AA11" i="28"/>
  <c r="U12" i="28"/>
  <c r="AD12" i="28" s="1"/>
  <c r="AA12" i="28"/>
  <c r="AB12" i="28"/>
  <c r="X13" i="28"/>
  <c r="U14" i="28"/>
  <c r="X14" i="28"/>
  <c r="U15" i="28"/>
  <c r="R15" i="28" s="1"/>
  <c r="AD15" i="28"/>
  <c r="U16" i="28"/>
  <c r="AA16" i="28"/>
  <c r="U17" i="28"/>
  <c r="AD17" i="28" s="1"/>
  <c r="X17" i="28"/>
  <c r="AA17" i="28"/>
  <c r="AA18" i="28"/>
  <c r="X19" i="28"/>
  <c r="U20" i="28"/>
  <c r="AD20" i="28" s="1"/>
  <c r="X20" i="28"/>
  <c r="U21" i="28"/>
  <c r="X21" i="28"/>
  <c r="U23" i="28"/>
  <c r="R23" i="28" s="1"/>
  <c r="U24" i="28"/>
  <c r="X24" i="28"/>
  <c r="AA25" i="28"/>
  <c r="AB25" i="28"/>
  <c r="AA26" i="28"/>
  <c r="X27" i="28"/>
  <c r="AA27" i="28"/>
  <c r="U28" i="28"/>
  <c r="AD28" i="28" s="1"/>
  <c r="X28" i="28"/>
  <c r="U29" i="28"/>
  <c r="X29" i="28"/>
  <c r="U30" i="28"/>
  <c r="U32" i="28"/>
  <c r="AA32" i="28"/>
  <c r="U33" i="28"/>
  <c r="X33" i="28"/>
  <c r="X34" i="28"/>
  <c r="AA34" i="28"/>
  <c r="X35" i="28"/>
  <c r="U37" i="28"/>
  <c r="X37" i="28"/>
  <c r="U38" i="28"/>
  <c r="U39" i="28"/>
  <c r="R39" i="28" s="1"/>
  <c r="AA39" i="28"/>
  <c r="U40" i="28"/>
  <c r="AD40" i="28" s="1"/>
  <c r="X40" i="28"/>
  <c r="AA40" i="28"/>
  <c r="X41" i="28"/>
  <c r="AA41" i="28"/>
  <c r="X42" i="28"/>
  <c r="X43" i="28"/>
  <c r="U46" i="28"/>
  <c r="AA47" i="28"/>
  <c r="U48" i="28"/>
  <c r="AD48" i="28" s="1"/>
  <c r="X48" i="28"/>
  <c r="AA48" i="28"/>
  <c r="U49" i="28"/>
  <c r="AD49" i="28" s="1"/>
  <c r="AA49" i="28"/>
  <c r="X50" i="28"/>
  <c r="AA50" i="28"/>
  <c r="X51" i="28"/>
  <c r="AA51" i="28"/>
  <c r="AA52" i="28"/>
  <c r="U53" i="28"/>
  <c r="X53" i="28"/>
  <c r="U54" i="28"/>
  <c r="AD54" i="28" s="1"/>
  <c r="X54" i="28"/>
  <c r="U56" i="28"/>
  <c r="AD56" i="28" s="1"/>
  <c r="X56" i="28"/>
  <c r="X57" i="28"/>
  <c r="U58" i="28"/>
  <c r="AD58" i="28" s="1"/>
  <c r="U60" i="28"/>
  <c r="AD60" i="28" s="1"/>
  <c r="X61" i="28"/>
  <c r="U62" i="28"/>
  <c r="AD62" i="28" s="1"/>
  <c r="U63" i="28"/>
  <c r="R63" i="28" s="1"/>
  <c r="AA63" i="28"/>
  <c r="U64" i="28"/>
  <c r="AA64" i="28"/>
  <c r="U65" i="28"/>
  <c r="AA65" i="28"/>
  <c r="AA66" i="28"/>
  <c r="X69" i="28"/>
  <c r="X70" i="28"/>
  <c r="X71" i="28"/>
  <c r="U72" i="28"/>
  <c r="U73" i="28"/>
  <c r="X74" i="28"/>
  <c r="X75" i="28"/>
  <c r="AA76" i="28"/>
  <c r="U77" i="28"/>
  <c r="X77" i="28"/>
  <c r="U78" i="28"/>
  <c r="AD78" i="28" s="1"/>
  <c r="X78" i="28"/>
  <c r="U79" i="28"/>
  <c r="R79" i="28" s="1"/>
  <c r="AA79" i="28"/>
  <c r="X81" i="28"/>
  <c r="AA81" i="28"/>
  <c r="X82" i="28"/>
  <c r="AA82" i="28"/>
  <c r="U83" i="28"/>
  <c r="AD83" i="28" s="1"/>
  <c r="AA83" i="28"/>
  <c r="X84" i="28"/>
  <c r="AA84" i="28"/>
  <c r="U85" i="28"/>
  <c r="AD85" i="28" s="1"/>
  <c r="U86" i="28"/>
  <c r="AD86" i="28" s="1"/>
  <c r="X86" i="28"/>
  <c r="AA87" i="28"/>
  <c r="U88" i="28"/>
  <c r="R88" i="28" s="1"/>
  <c r="X88" i="28"/>
  <c r="U90" i="28"/>
  <c r="AD90" i="28" s="1"/>
  <c r="AA91" i="28"/>
  <c r="U93" i="28"/>
  <c r="U94" i="28"/>
  <c r="AD94" i="28" s="1"/>
  <c r="X94" i="28"/>
  <c r="U95" i="28"/>
  <c r="R95" i="28" s="1"/>
  <c r="X95" i="28"/>
  <c r="AA95" i="28"/>
  <c r="U96" i="28"/>
  <c r="AA96" i="28"/>
  <c r="AA97" i="28"/>
  <c r="U98" i="28"/>
  <c r="X98" i="28"/>
  <c r="AA98" i="28"/>
  <c r="Q106" i="28"/>
  <c r="Q117" i="28"/>
  <c r="R12" i="28"/>
  <c r="Q17" i="28"/>
  <c r="Q22" i="28"/>
  <c r="Q31" i="28"/>
  <c r="Q41" i="28"/>
  <c r="Q57" i="28"/>
  <c r="Q69" i="28"/>
  <c r="Q75" i="28"/>
  <c r="Q103" i="28"/>
  <c r="AB104" i="28"/>
  <c r="Q105" i="28"/>
  <c r="AB106" i="28"/>
  <c r="Q111" i="28"/>
  <c r="AB112" i="28"/>
  <c r="Q113" i="28"/>
  <c r="AB114" i="28"/>
  <c r="AB115" i="28"/>
  <c r="AB116" i="28"/>
  <c r="AB117" i="28"/>
  <c r="Q110" i="28"/>
  <c r="Q102" i="28"/>
  <c r="Q4" i="28"/>
  <c r="AB5" i="28"/>
  <c r="AB6" i="28"/>
  <c r="Q7" i="28"/>
  <c r="Q8" i="28"/>
  <c r="AB9" i="28"/>
  <c r="Q10" i="28"/>
  <c r="AB10" i="28"/>
  <c r="AB11" i="28"/>
  <c r="Q12" i="28"/>
  <c r="Q13" i="28"/>
  <c r="AB14" i="28"/>
  <c r="Q15" i="28"/>
  <c r="AB16" i="28"/>
  <c r="AB17" i="28"/>
  <c r="Q18" i="28"/>
  <c r="AB19" i="28"/>
  <c r="Q20" i="28"/>
  <c r="AB21" i="28"/>
  <c r="AB22" i="28"/>
  <c r="Q23" i="28"/>
  <c r="AB24" i="28"/>
  <c r="Q25" i="28"/>
  <c r="AB26" i="28"/>
  <c r="AB27" i="28"/>
  <c r="Q28" i="28"/>
  <c r="AB29" i="28"/>
  <c r="AB30" i="28"/>
  <c r="AB31" i="28"/>
  <c r="AB32" i="28"/>
  <c r="Q33" i="28"/>
  <c r="AB34" i="28"/>
  <c r="Q35" i="28"/>
  <c r="AB36" i="28"/>
  <c r="Q37" i="28"/>
  <c r="Q38" i="28"/>
  <c r="AB40" i="28"/>
  <c r="Q43" i="28"/>
  <c r="AB45" i="28"/>
  <c r="Q48" i="28"/>
  <c r="AB51" i="28"/>
  <c r="Q53" i="28"/>
  <c r="AB56" i="28"/>
  <c r="AB57" i="28"/>
  <c r="AB59" i="28"/>
  <c r="AB61" i="28"/>
  <c r="Q64" i="28"/>
  <c r="AB67" i="28"/>
  <c r="AB69" i="28"/>
  <c r="Q70" i="28"/>
  <c r="AB70" i="28"/>
  <c r="AB72" i="28"/>
  <c r="Q73" i="28"/>
  <c r="AB75" i="28"/>
  <c r="Q77" i="28"/>
  <c r="AB80" i="28"/>
  <c r="Q83" i="28"/>
  <c r="Q85" i="28"/>
  <c r="AB88" i="28"/>
  <c r="Q89" i="28"/>
  <c r="Q91" i="28"/>
  <c r="Q93" i="28"/>
  <c r="Q96" i="28"/>
  <c r="Q3" i="28"/>
  <c r="J109" i="16"/>
  <c r="K108" i="16" s="1"/>
  <c r="J100" i="16"/>
  <c r="K85" i="16" s="1"/>
  <c r="G74" i="45" l="1"/>
  <c r="G53" i="45"/>
  <c r="G75" i="45"/>
  <c r="G54" i="45"/>
  <c r="E45" i="37"/>
  <c r="F44" i="37"/>
  <c r="G57" i="44"/>
  <c r="G73" i="44"/>
  <c r="M74" i="44"/>
  <c r="G60" i="44" s="1"/>
  <c r="L75" i="44"/>
  <c r="M75" i="44" s="1"/>
  <c r="G61" i="44" s="1"/>
  <c r="E74" i="44"/>
  <c r="F73" i="44"/>
  <c r="G81" i="37"/>
  <c r="G53" i="37"/>
  <c r="G42" i="36"/>
  <c r="G30" i="36"/>
  <c r="L83" i="37"/>
  <c r="M82" i="37"/>
  <c r="G82" i="37" s="1"/>
  <c r="L57" i="37"/>
  <c r="M56" i="37"/>
  <c r="G56" i="37" s="1"/>
  <c r="G82" i="36"/>
  <c r="E83" i="36"/>
  <c r="F82" i="36"/>
  <c r="E57" i="36"/>
  <c r="F56" i="36"/>
  <c r="L58" i="36"/>
  <c r="M57" i="36"/>
  <c r="L84" i="36"/>
  <c r="M83" i="36"/>
  <c r="L3" i="29"/>
  <c r="G38" i="32"/>
  <c r="L47" i="32"/>
  <c r="M46" i="32"/>
  <c r="G46" i="32" s="1"/>
  <c r="K107" i="16"/>
  <c r="K20" i="16"/>
  <c r="K12" i="16"/>
  <c r="K13" i="16"/>
  <c r="K37" i="16"/>
  <c r="K5" i="16"/>
  <c r="K69" i="16"/>
  <c r="K6" i="16"/>
  <c r="K8" i="16"/>
  <c r="K9" i="16"/>
  <c r="AS36" i="29"/>
  <c r="AS74" i="29"/>
  <c r="AQ36" i="29"/>
  <c r="AW36" i="29" s="1"/>
  <c r="AS49" i="29"/>
  <c r="AQ85" i="29"/>
  <c r="AS6" i="29"/>
  <c r="AQ41" i="29"/>
  <c r="AW41" i="29" s="1"/>
  <c r="AS41" i="29"/>
  <c r="AS33" i="29"/>
  <c r="AF97" i="28"/>
  <c r="AF40" i="28"/>
  <c r="AF32" i="28"/>
  <c r="AD21" i="28"/>
  <c r="R21" i="28"/>
  <c r="AD24" i="28"/>
  <c r="R24" i="28"/>
  <c r="AF95" i="28"/>
  <c r="AD14" i="28"/>
  <c r="R14" i="28"/>
  <c r="AF64" i="28"/>
  <c r="U97" i="28"/>
  <c r="U82" i="28"/>
  <c r="AD82" i="28" s="1"/>
  <c r="AD63" i="28"/>
  <c r="X45" i="28"/>
  <c r="U34" i="28"/>
  <c r="U22" i="28"/>
  <c r="U13" i="28"/>
  <c r="U4" i="28"/>
  <c r="R94" i="28"/>
  <c r="AA94" i="28"/>
  <c r="U81" i="28"/>
  <c r="AD81" i="28" s="1"/>
  <c r="X79" i="28"/>
  <c r="AA70" i="28"/>
  <c r="U67" i="28"/>
  <c r="AD67" i="28" s="1"/>
  <c r="U61" i="28"/>
  <c r="X58" i="28"/>
  <c r="AA57" i="28"/>
  <c r="AA56" i="28"/>
  <c r="U55" i="28"/>
  <c r="AA53" i="28"/>
  <c r="AA42" i="28"/>
  <c r="AA37" i="28"/>
  <c r="U26" i="28"/>
  <c r="AD23" i="28"/>
  <c r="AA14" i="28"/>
  <c r="AA9" i="28"/>
  <c r="AA6" i="28"/>
  <c r="X117" i="28"/>
  <c r="X112" i="28"/>
  <c r="U103" i="28"/>
  <c r="X90" i="28"/>
  <c r="X85" i="28"/>
  <c r="AA78" i="28"/>
  <c r="AA31" i="28"/>
  <c r="AA15" i="28"/>
  <c r="AF115" i="28"/>
  <c r="X89" i="28"/>
  <c r="U80" i="28"/>
  <c r="X64" i="28"/>
  <c r="U45" i="28"/>
  <c r="AD45" i="28" s="1"/>
  <c r="AF41" i="28"/>
  <c r="AA35" i="28"/>
  <c r="U102" i="28"/>
  <c r="AA105" i="28"/>
  <c r="AF7" i="28"/>
  <c r="U68" i="28"/>
  <c r="R68" i="28" s="1"/>
  <c r="X60" i="28"/>
  <c r="AA43" i="28"/>
  <c r="AA38" i="28"/>
  <c r="U27" i="28"/>
  <c r="X16" i="28"/>
  <c r="U25" i="28"/>
  <c r="AA23" i="28"/>
  <c r="U11" i="28"/>
  <c r="R11" i="28" s="1"/>
  <c r="U7" i="28"/>
  <c r="AF25" i="28"/>
  <c r="X73" i="28"/>
  <c r="AF96" i="28"/>
  <c r="AF82" i="28"/>
  <c r="AF81" i="28"/>
  <c r="U71" i="28"/>
  <c r="R71" i="28" s="1"/>
  <c r="AA68" i="28"/>
  <c r="AF47" i="28"/>
  <c r="U43" i="28"/>
  <c r="X36" i="28"/>
  <c r="AF17" i="28"/>
  <c r="AF65" i="28"/>
  <c r="AF48" i="28"/>
  <c r="AF39" i="28"/>
  <c r="R28" i="28"/>
  <c r="AA71" i="28"/>
  <c r="X66" i="28"/>
  <c r="AA58" i="28"/>
  <c r="U47" i="28"/>
  <c r="AA24" i="28"/>
  <c r="AA10" i="28"/>
  <c r="R17" i="28"/>
  <c r="X92" i="28"/>
  <c r="X76" i="28"/>
  <c r="AA74" i="28"/>
  <c r="AA61" i="28"/>
  <c r="AA55" i="28"/>
  <c r="U41" i="28"/>
  <c r="AD41" i="28" s="1"/>
  <c r="AD39" i="28"/>
  <c r="X22" i="28"/>
  <c r="AA21" i="28"/>
  <c r="X18" i="28"/>
  <c r="X8" i="28"/>
  <c r="U6" i="28"/>
  <c r="AA102" i="28"/>
  <c r="X87" i="28"/>
  <c r="U84" i="28"/>
  <c r="R84" i="28" s="1"/>
  <c r="AA72" i="28"/>
  <c r="U69" i="28"/>
  <c r="AF66" i="28"/>
  <c r="AA59" i="28"/>
  <c r="AF49" i="28"/>
  <c r="X46" i="28"/>
  <c r="X26" i="28"/>
  <c r="AF16" i="28"/>
  <c r="AS17" i="29"/>
  <c r="AS69" i="29"/>
  <c r="AQ19" i="29"/>
  <c r="AW19" i="29" s="1"/>
  <c r="AS22" i="29"/>
  <c r="AQ68" i="29"/>
  <c r="AW68" i="29" s="1"/>
  <c r="AS39" i="29"/>
  <c r="AQ44" i="29"/>
  <c r="AS95" i="29"/>
  <c r="AS44" i="29"/>
  <c r="AD3" i="29"/>
  <c r="AD105" i="29" s="1"/>
  <c r="AS11" i="29"/>
  <c r="AS34" i="29"/>
  <c r="AQ60" i="29"/>
  <c r="AQ24" i="29"/>
  <c r="AW24" i="29" s="1"/>
  <c r="AQ48" i="29"/>
  <c r="AB113" i="29"/>
  <c r="AS13" i="29"/>
  <c r="AQ13" i="29"/>
  <c r="AS21" i="29"/>
  <c r="AQ21" i="29"/>
  <c r="AW21" i="29" s="1"/>
  <c r="AS5" i="29"/>
  <c r="AQ5" i="29"/>
  <c r="AQ32" i="29"/>
  <c r="AW32" i="29" s="1"/>
  <c r="AS32" i="29"/>
  <c r="AS4" i="29"/>
  <c r="AQ4" i="29"/>
  <c r="AQ9" i="29"/>
  <c r="AS16" i="29"/>
  <c r="AQ16" i="29"/>
  <c r="AQ10" i="29"/>
  <c r="AQ7" i="29"/>
  <c r="AS7" i="29"/>
  <c r="AS9" i="29"/>
  <c r="AT9" i="29"/>
  <c r="AQ6" i="29"/>
  <c r="AT8" i="29"/>
  <c r="AU8" i="29"/>
  <c r="AU9" i="29"/>
  <c r="AQ27" i="29"/>
  <c r="E28" i="29"/>
  <c r="L28" i="29" s="1"/>
  <c r="E11" i="29"/>
  <c r="L11" i="29" s="1"/>
  <c r="AQ17" i="29"/>
  <c r="AT18" i="29"/>
  <c r="AS19" i="29"/>
  <c r="AS24" i="29"/>
  <c r="AT32" i="29"/>
  <c r="AU32" i="29"/>
  <c r="AU35" i="29"/>
  <c r="AT35" i="29"/>
  <c r="AS3" i="29"/>
  <c r="AU3" i="29"/>
  <c r="AA3" i="29"/>
  <c r="AS25" i="29"/>
  <c r="AQ14" i="29"/>
  <c r="AT16" i="29"/>
  <c r="AU16" i="29"/>
  <c r="AS20" i="29"/>
  <c r="AQ20" i="29"/>
  <c r="AB3" i="29"/>
  <c r="X3" i="29"/>
  <c r="X105" i="29" s="1"/>
  <c r="AS14" i="29"/>
  <c r="AU15" i="29"/>
  <c r="AT20" i="29"/>
  <c r="AT25" i="29"/>
  <c r="AS30" i="29"/>
  <c r="AQ33" i="29"/>
  <c r="AS10" i="29"/>
  <c r="AQ11" i="29"/>
  <c r="AU20" i="29"/>
  <c r="AQ25" i="29"/>
  <c r="AU25" i="29"/>
  <c r="AU26" i="29"/>
  <c r="AT26" i="29"/>
  <c r="AS27" i="29"/>
  <c r="AN30" i="29"/>
  <c r="AQ23" i="29"/>
  <c r="AW23" i="29" s="1"/>
  <c r="AS23" i="29"/>
  <c r="AS28" i="29"/>
  <c r="E20" i="29"/>
  <c r="L20" i="29" s="1"/>
  <c r="AS38" i="29"/>
  <c r="AQ38" i="29"/>
  <c r="AW38" i="29" s="1"/>
  <c r="AT40" i="29"/>
  <c r="E21" i="29"/>
  <c r="L21" i="29" s="1"/>
  <c r="AN21" i="29"/>
  <c r="AQ28" i="29"/>
  <c r="AR104" i="29"/>
  <c r="E19" i="29"/>
  <c r="L19" i="29" s="1"/>
  <c r="AU24" i="29"/>
  <c r="E29" i="29"/>
  <c r="L29" i="29" s="1"/>
  <c r="AT34" i="29"/>
  <c r="E38" i="29"/>
  <c r="L38" i="29" s="1"/>
  <c r="AN38" i="29"/>
  <c r="AU42" i="29"/>
  <c r="AU28" i="29"/>
  <c r="AT28" i="29"/>
  <c r="AQ31" i="29"/>
  <c r="AU33" i="29"/>
  <c r="AT33" i="29"/>
  <c r="AS47" i="29"/>
  <c r="AQ47" i="29"/>
  <c r="AQ52" i="29"/>
  <c r="AW52" i="29" s="1"/>
  <c r="AS52" i="29"/>
  <c r="AQ22" i="29"/>
  <c r="AN36" i="29"/>
  <c r="AT51" i="29"/>
  <c r="AT53" i="29"/>
  <c r="AU53" i="29"/>
  <c r="AS58" i="29"/>
  <c r="AQ58" i="29"/>
  <c r="AS46" i="29"/>
  <c r="AQ46" i="29"/>
  <c r="AW46" i="29" s="1"/>
  <c r="AU56" i="29"/>
  <c r="AT56" i="29"/>
  <c r="AQ59" i="29"/>
  <c r="AW59" i="29" s="1"/>
  <c r="AS59" i="29"/>
  <c r="AU43" i="29"/>
  <c r="AT43" i="29"/>
  <c r="AN46" i="29"/>
  <c r="E58" i="29"/>
  <c r="L58" i="29" s="1"/>
  <c r="AS29" i="29"/>
  <c r="AQ29" i="29"/>
  <c r="AS31" i="29"/>
  <c r="AS37" i="29"/>
  <c r="AQ37" i="29"/>
  <c r="AQ39" i="29"/>
  <c r="E50" i="29"/>
  <c r="L50" i="29" s="1"/>
  <c r="AU55" i="29"/>
  <c r="AT55" i="29"/>
  <c r="E66" i="29"/>
  <c r="L66" i="29" s="1"/>
  <c r="AS73" i="29"/>
  <c r="AQ73" i="29"/>
  <c r="E64" i="29"/>
  <c r="L64" i="29" s="1"/>
  <c r="E73" i="29"/>
  <c r="L73" i="29" s="1"/>
  <c r="AS57" i="29"/>
  <c r="AS67" i="29"/>
  <c r="AQ67" i="29"/>
  <c r="AT38" i="29"/>
  <c r="AT46" i="29"/>
  <c r="AN57" i="29"/>
  <c r="AQ57" i="29"/>
  <c r="AW57" i="29" s="1"/>
  <c r="AT50" i="29"/>
  <c r="AU54" i="29"/>
  <c r="AT54" i="29"/>
  <c r="AQ54" i="29"/>
  <c r="AQ66" i="29"/>
  <c r="AW66" i="29" s="1"/>
  <c r="AS66" i="29"/>
  <c r="AS60" i="29"/>
  <c r="AS65" i="29"/>
  <c r="AQ65" i="29"/>
  <c r="AW65" i="29" s="1"/>
  <c r="AS72" i="29"/>
  <c r="AQ72" i="29"/>
  <c r="AS75" i="29"/>
  <c r="AQ75" i="29"/>
  <c r="AS48" i="29"/>
  <c r="AS54" i="29"/>
  <c r="E60" i="29"/>
  <c r="L60" i="29" s="1"/>
  <c r="AU61" i="29"/>
  <c r="AS63" i="29"/>
  <c r="AQ63" i="29"/>
  <c r="AW63" i="29" s="1"/>
  <c r="E65" i="29"/>
  <c r="L65" i="29" s="1"/>
  <c r="AN66" i="29"/>
  <c r="E59" i="29"/>
  <c r="L59" i="29" s="1"/>
  <c r="AQ86" i="29"/>
  <c r="AW86" i="29" s="1"/>
  <c r="AS86" i="29"/>
  <c r="AN63" i="29"/>
  <c r="AN65" i="29"/>
  <c r="AN67" i="29"/>
  <c r="AU71" i="29"/>
  <c r="AN73" i="29"/>
  <c r="AU77" i="29"/>
  <c r="AT77" i="29"/>
  <c r="AT87" i="29"/>
  <c r="AU87" i="29"/>
  <c r="AS68" i="29"/>
  <c r="AS76" i="29"/>
  <c r="AU82" i="29"/>
  <c r="AT82" i="29"/>
  <c r="AU60" i="29"/>
  <c r="AS80" i="29"/>
  <c r="AQ80" i="29"/>
  <c r="AT67" i="29"/>
  <c r="AU75" i="29"/>
  <c r="AT76" i="29"/>
  <c r="AS85" i="29"/>
  <c r="AQ88" i="29"/>
  <c r="AT63" i="29"/>
  <c r="AT65" i="29"/>
  <c r="AU70" i="29"/>
  <c r="AT70" i="29"/>
  <c r="AQ74" i="29"/>
  <c r="AT83" i="29"/>
  <c r="AU83" i="29"/>
  <c r="E85" i="29"/>
  <c r="L85" i="29" s="1"/>
  <c r="AQ69" i="29"/>
  <c r="AW69" i="29" s="1"/>
  <c r="AQ76" i="29"/>
  <c r="AU78" i="29"/>
  <c r="S113" i="29"/>
  <c r="AU107" i="29"/>
  <c r="AT107" i="29"/>
  <c r="AT91" i="29"/>
  <c r="AN80" i="29"/>
  <c r="AU89" i="29"/>
  <c r="AT89" i="29"/>
  <c r="AT79" i="29"/>
  <c r="AU79" i="29"/>
  <c r="AS88" i="29"/>
  <c r="AT84" i="29"/>
  <c r="E86" i="29"/>
  <c r="L86" i="29" s="1"/>
  <c r="AN88" i="29"/>
  <c r="AN89" i="29"/>
  <c r="AQ92" i="29"/>
  <c r="AW92" i="29" s="1"/>
  <c r="AS92" i="29"/>
  <c r="AQ95" i="29"/>
  <c r="AW95" i="29" s="1"/>
  <c r="AT109" i="29"/>
  <c r="AN79" i="29"/>
  <c r="AQ81" i="29"/>
  <c r="AS81" i="29"/>
  <c r="E97" i="29"/>
  <c r="L97" i="29" s="1"/>
  <c r="AU115" i="29"/>
  <c r="S124" i="29"/>
  <c r="AU119" i="29"/>
  <c r="AT119" i="29"/>
  <c r="AS120" i="29"/>
  <c r="AU86" i="29"/>
  <c r="AT98" i="29"/>
  <c r="V113" i="29"/>
  <c r="J14" i="3" s="1"/>
  <c r="AE113" i="29"/>
  <c r="R14" i="3" s="1"/>
  <c r="AS111" i="29"/>
  <c r="AQ111" i="29"/>
  <c r="AW111" i="29" s="1"/>
  <c r="E98" i="29"/>
  <c r="L98" i="29" s="1"/>
  <c r="W113" i="29"/>
  <c r="K14" i="3" s="1"/>
  <c r="AA113" i="29"/>
  <c r="AN111" i="29"/>
  <c r="L115" i="29"/>
  <c r="L124" i="29" s="1"/>
  <c r="E124" i="29"/>
  <c r="AR123" i="29"/>
  <c r="AQ120" i="29"/>
  <c r="AW120" i="29" s="1"/>
  <c r="AU97" i="29"/>
  <c r="AG113" i="29"/>
  <c r="Q14" i="3" s="1"/>
  <c r="AU108" i="29"/>
  <c r="W124" i="29"/>
  <c r="AT115" i="29"/>
  <c r="AS116" i="29"/>
  <c r="AS117" i="29"/>
  <c r="AQ117" i="29"/>
  <c r="AW117" i="29" s="1"/>
  <c r="AT90" i="29"/>
  <c r="Y113" i="29"/>
  <c r="M14" i="3" s="1"/>
  <c r="O14" i="3" s="1"/>
  <c r="AM113" i="29"/>
  <c r="U14" i="3" s="1"/>
  <c r="N124" i="29"/>
  <c r="Y124" i="29"/>
  <c r="AN91" i="29"/>
  <c r="AT97" i="29"/>
  <c r="E108" i="29"/>
  <c r="L108" i="29" s="1"/>
  <c r="L113" i="29" s="1"/>
  <c r="AT108" i="29"/>
  <c r="Z124" i="29"/>
  <c r="AU124" i="29"/>
  <c r="N113" i="29"/>
  <c r="AA124" i="29"/>
  <c r="AF124" i="29" s="1"/>
  <c r="AQ116" i="29"/>
  <c r="AW116" i="29" s="1"/>
  <c r="AQ122" i="29"/>
  <c r="AW122" i="29" s="1"/>
  <c r="AS122" i="29"/>
  <c r="AU109" i="29"/>
  <c r="AQ121" i="29"/>
  <c r="AT122" i="29"/>
  <c r="AU122" i="29"/>
  <c r="AT116" i="29"/>
  <c r="AS121" i="29"/>
  <c r="AB92" i="28"/>
  <c r="Q92" i="28"/>
  <c r="Q76" i="28"/>
  <c r="AB76" i="28"/>
  <c r="AB97" i="28"/>
  <c r="AB81" i="28"/>
  <c r="AB65" i="28"/>
  <c r="AB49" i="28"/>
  <c r="AB41" i="28"/>
  <c r="R80" i="28"/>
  <c r="AD80" i="28"/>
  <c r="AD16" i="28"/>
  <c r="R16" i="28"/>
  <c r="AB94" i="28"/>
  <c r="AB86" i="28"/>
  <c r="AB78" i="28"/>
  <c r="AB62" i="28"/>
  <c r="AB54" i="28"/>
  <c r="AB46" i="28"/>
  <c r="R72" i="28"/>
  <c r="AD72" i="28"/>
  <c r="AD65" i="28"/>
  <c r="R65" i="28"/>
  <c r="R64" i="28"/>
  <c r="AD64" i="28"/>
  <c r="AD32" i="28"/>
  <c r="R32" i="28"/>
  <c r="AD25" i="28"/>
  <c r="R25" i="28"/>
  <c r="R53" i="28"/>
  <c r="AD53" i="28"/>
  <c r="AD38" i="28"/>
  <c r="R38" i="28"/>
  <c r="R37" i="28"/>
  <c r="AD37" i="28"/>
  <c r="AD30" i="28"/>
  <c r="R30" i="28"/>
  <c r="AD93" i="28"/>
  <c r="R93" i="28"/>
  <c r="AD77" i="28"/>
  <c r="R77" i="28"/>
  <c r="AD6" i="28"/>
  <c r="R6" i="28"/>
  <c r="AD69" i="28"/>
  <c r="R69" i="28"/>
  <c r="AD29" i="28"/>
  <c r="R29" i="28"/>
  <c r="AD5" i="28"/>
  <c r="R5" i="28"/>
  <c r="R105" i="28"/>
  <c r="AD105" i="28"/>
  <c r="Q98" i="28"/>
  <c r="AB98" i="28"/>
  <c r="AB90" i="28"/>
  <c r="Q90" i="28"/>
  <c r="Q82" i="28"/>
  <c r="AB82" i="28"/>
  <c r="AB74" i="28"/>
  <c r="Q74" i="28"/>
  <c r="Q66" i="28"/>
  <c r="AB66" i="28"/>
  <c r="Q58" i="28"/>
  <c r="AB58" i="28"/>
  <c r="Q50" i="28"/>
  <c r="AB50" i="28"/>
  <c r="Q42" i="28"/>
  <c r="AB42" i="28"/>
  <c r="AB95" i="28"/>
  <c r="Q95" i="28"/>
  <c r="AB87" i="28"/>
  <c r="Q87" i="28"/>
  <c r="Q79" i="28"/>
  <c r="AB79" i="28"/>
  <c r="Q71" i="28"/>
  <c r="AB71" i="28"/>
  <c r="AB63" i="28"/>
  <c r="Q63" i="28"/>
  <c r="Q55" i="28"/>
  <c r="AB55" i="28"/>
  <c r="Q47" i="28"/>
  <c r="AB47" i="28"/>
  <c r="Q39" i="28"/>
  <c r="AB39" i="28"/>
  <c r="AD46" i="28"/>
  <c r="R46" i="28"/>
  <c r="AD22" i="28"/>
  <c r="R22" i="28"/>
  <c r="R13" i="28"/>
  <c r="AD13" i="28"/>
  <c r="AB84" i="28"/>
  <c r="Q84" i="28"/>
  <c r="AB68" i="28"/>
  <c r="Q68" i="28"/>
  <c r="Q60" i="28"/>
  <c r="AB60" i="28"/>
  <c r="AB52" i="28"/>
  <c r="Q52" i="28"/>
  <c r="Q44" i="28"/>
  <c r="AB44" i="28"/>
  <c r="R81" i="28"/>
  <c r="AD73" i="28"/>
  <c r="R73" i="28"/>
  <c r="AD61" i="28"/>
  <c r="R61" i="28"/>
  <c r="Q88" i="28"/>
  <c r="AB110" i="28"/>
  <c r="Q94" i="28"/>
  <c r="Q81" i="28"/>
  <c r="R62" i="28"/>
  <c r="R56" i="28"/>
  <c r="Q46" i="28"/>
  <c r="R40" i="28"/>
  <c r="Q36" i="28"/>
  <c r="Q26" i="28"/>
  <c r="Q6" i="28"/>
  <c r="Q116" i="28"/>
  <c r="AA92" i="28"/>
  <c r="U89" i="28"/>
  <c r="U87" i="28"/>
  <c r="AA86" i="28"/>
  <c r="AB77" i="28"/>
  <c r="X65" i="28"/>
  <c r="U50" i="28"/>
  <c r="X49" i="28"/>
  <c r="AB37" i="28"/>
  <c r="AB35" i="28"/>
  <c r="U35" i="28"/>
  <c r="AA29" i="28"/>
  <c r="AA22" i="28"/>
  <c r="AB18" i="28"/>
  <c r="AB15" i="28"/>
  <c r="X9" i="28"/>
  <c r="AD8" i="28"/>
  <c r="X102" i="28"/>
  <c r="AD115" i="28"/>
  <c r="AA114" i="28"/>
  <c r="AA112" i="28"/>
  <c r="X106" i="28"/>
  <c r="AB105" i="28"/>
  <c r="AB103" i="28"/>
  <c r="Q86" i="28"/>
  <c r="Q80" i="28"/>
  <c r="Q67" i="28"/>
  <c r="Q62" i="28"/>
  <c r="Q56" i="28"/>
  <c r="Q51" i="28"/>
  <c r="Q40" i="28"/>
  <c r="Q30" i="28"/>
  <c r="Q21" i="28"/>
  <c r="Q16" i="28"/>
  <c r="Q11" i="28"/>
  <c r="Q115" i="28"/>
  <c r="AB93" i="28"/>
  <c r="AB91" i="28"/>
  <c r="AB85" i="28"/>
  <c r="AA75" i="28"/>
  <c r="AB73" i="28"/>
  <c r="AB64" i="28"/>
  <c r="X59" i="28"/>
  <c r="AB48" i="28"/>
  <c r="AB20" i="28"/>
  <c r="AB8" i="28"/>
  <c r="AB113" i="28"/>
  <c r="AB111" i="28"/>
  <c r="U106" i="28"/>
  <c r="R85" i="28"/>
  <c r="Q45" i="28"/>
  <c r="R20" i="28"/>
  <c r="Q5" i="28"/>
  <c r="Q114" i="28"/>
  <c r="Q104" i="28"/>
  <c r="AB96" i="28"/>
  <c r="AB89" i="28"/>
  <c r="AB43" i="28"/>
  <c r="AB33" i="28"/>
  <c r="AB23" i="28"/>
  <c r="AB13" i="28"/>
  <c r="AF8" i="28"/>
  <c r="Q78" i="28"/>
  <c r="Q72" i="28"/>
  <c r="Q61" i="28"/>
  <c r="R54" i="28"/>
  <c r="Q34" i="28"/>
  <c r="Q29" i="28"/>
  <c r="Q9" i="28"/>
  <c r="R113" i="28"/>
  <c r="X97" i="28"/>
  <c r="AB83" i="28"/>
  <c r="U76" i="28"/>
  <c r="R76" i="28" s="1"/>
  <c r="AA73" i="28"/>
  <c r="X63" i="28"/>
  <c r="AB53" i="28"/>
  <c r="U51" i="28"/>
  <c r="X44" i="28"/>
  <c r="AB38" i="28"/>
  <c r="U36" i="28"/>
  <c r="X32" i="28"/>
  <c r="U31" i="28"/>
  <c r="AA30" i="28"/>
  <c r="AB28" i="28"/>
  <c r="X25" i="28"/>
  <c r="AA20" i="28"/>
  <c r="U19" i="28"/>
  <c r="R19" i="28" s="1"/>
  <c r="AF14" i="28"/>
  <c r="X12" i="28"/>
  <c r="X4" i="28"/>
  <c r="AA113" i="28"/>
  <c r="AA111" i="28"/>
  <c r="Q97" i="28"/>
  <c r="Q65" i="28"/>
  <c r="Q54" i="28"/>
  <c r="Q49" i="28"/>
  <c r="Q24" i="28"/>
  <c r="Q19" i="28"/>
  <c r="Q14" i="28"/>
  <c r="X93" i="28"/>
  <c r="U92" i="28"/>
  <c r="AA89" i="28"/>
  <c r="AA80" i="28"/>
  <c r="U74" i="28"/>
  <c r="AD74" i="28" s="1"/>
  <c r="X68" i="28"/>
  <c r="AA67" i="28"/>
  <c r="AA62" i="28"/>
  <c r="U59" i="28"/>
  <c r="U57" i="28"/>
  <c r="X52" i="28"/>
  <c r="AA46" i="28"/>
  <c r="AA45" i="28"/>
  <c r="U44" i="28"/>
  <c r="X39" i="28"/>
  <c r="AA33" i="28"/>
  <c r="X30" i="28"/>
  <c r="AA13" i="28"/>
  <c r="X7" i="28"/>
  <c r="AA5" i="28"/>
  <c r="AB102" i="28"/>
  <c r="U112" i="28"/>
  <c r="X111" i="28"/>
  <c r="X105" i="28"/>
  <c r="X103" i="28"/>
  <c r="Q59" i="28"/>
  <c r="Q112" i="28"/>
  <c r="X91" i="28"/>
  <c r="U70" i="28"/>
  <c r="AD70" i="28" s="1"/>
  <c r="X62" i="28"/>
  <c r="AA54" i="28"/>
  <c r="U52" i="28"/>
  <c r="AA19" i="28"/>
  <c r="AA116" i="28"/>
  <c r="AA106" i="28"/>
  <c r="Q32" i="28"/>
  <c r="Q27" i="28"/>
  <c r="AA90" i="28"/>
  <c r="AA88" i="28"/>
  <c r="X83" i="28"/>
  <c r="X67" i="28"/>
  <c r="X38" i="28"/>
  <c r="AD106" i="28"/>
  <c r="R106" i="28"/>
  <c r="AF105" i="28"/>
  <c r="AD104" i="28"/>
  <c r="R104" i="28"/>
  <c r="AF103" i="28"/>
  <c r="AF104" i="28"/>
  <c r="AD103" i="28"/>
  <c r="R103" i="28"/>
  <c r="AD114" i="28"/>
  <c r="R114" i="28"/>
  <c r="AF113" i="28"/>
  <c r="AF111" i="28"/>
  <c r="AF112" i="28"/>
  <c r="AD112" i="28"/>
  <c r="R112" i="28"/>
  <c r="AF114" i="28"/>
  <c r="AF116" i="28"/>
  <c r="AD117" i="28"/>
  <c r="R117" i="28"/>
  <c r="R111" i="28"/>
  <c r="AD111" i="28"/>
  <c r="AF117" i="28"/>
  <c r="R116" i="28"/>
  <c r="AF110" i="28"/>
  <c r="R110" i="28"/>
  <c r="AD110" i="28"/>
  <c r="AF102" i="28"/>
  <c r="R102" i="28"/>
  <c r="AD102" i="28"/>
  <c r="AF90" i="28"/>
  <c r="AD33" i="28"/>
  <c r="R33" i="28"/>
  <c r="AF92" i="28"/>
  <c r="AD89" i="28"/>
  <c r="R89" i="28"/>
  <c r="R87" i="28"/>
  <c r="AD87" i="28"/>
  <c r="AD98" i="28"/>
  <c r="R98" i="28"/>
  <c r="AD96" i="28"/>
  <c r="R96" i="28"/>
  <c r="AF76" i="28"/>
  <c r="AF27" i="28"/>
  <c r="AF89" i="28"/>
  <c r="AF67" i="28"/>
  <c r="AD57" i="28"/>
  <c r="R57" i="28"/>
  <c r="AD97" i="28"/>
  <c r="R97" i="28"/>
  <c r="AF83" i="28"/>
  <c r="AF19" i="28"/>
  <c r="R90" i="28"/>
  <c r="R86" i="28"/>
  <c r="R78" i="28"/>
  <c r="R48" i="28"/>
  <c r="AF87" i="28"/>
  <c r="AD84" i="28"/>
  <c r="AD79" i="28"/>
  <c r="AD71" i="28"/>
  <c r="AF50" i="28"/>
  <c r="R35" i="28"/>
  <c r="AD35" i="28"/>
  <c r="AF12" i="28"/>
  <c r="AD68" i="28"/>
  <c r="R51" i="28"/>
  <c r="AD51" i="28"/>
  <c r="U42" i="28"/>
  <c r="AA28" i="28"/>
  <c r="X15" i="28"/>
  <c r="AF11" i="28"/>
  <c r="R60" i="28"/>
  <c r="X96" i="28"/>
  <c r="AD88" i="28"/>
  <c r="U66" i="28"/>
  <c r="X55" i="28"/>
  <c r="AF51" i="28"/>
  <c r="AF42" i="28"/>
  <c r="R27" i="28"/>
  <c r="AD27" i="28"/>
  <c r="AF21" i="28"/>
  <c r="U18" i="28"/>
  <c r="AA4" i="28"/>
  <c r="AF35" i="28"/>
  <c r="AF26" i="28"/>
  <c r="AD76" i="28"/>
  <c r="R41" i="28"/>
  <c r="R9" i="28"/>
  <c r="AD95" i="28"/>
  <c r="AA85" i="28"/>
  <c r="AA44" i="28"/>
  <c r="X31" i="28"/>
  <c r="AF18" i="28"/>
  <c r="AF70" i="28"/>
  <c r="AF68" i="28"/>
  <c r="AF63" i="28"/>
  <c r="R43" i="28"/>
  <c r="AD43" i="28"/>
  <c r="AF37" i="28"/>
  <c r="AF20" i="28"/>
  <c r="AF91" i="28"/>
  <c r="AF59" i="28"/>
  <c r="R83" i="28"/>
  <c r="R67" i="28"/>
  <c r="R58" i="28"/>
  <c r="R49" i="28"/>
  <c r="AA93" i="28"/>
  <c r="AF88" i="28"/>
  <c r="AF84" i="28"/>
  <c r="AF79" i="28"/>
  <c r="U75" i="28"/>
  <c r="AF71" i="28"/>
  <c r="X47" i="28"/>
  <c r="AF43" i="28"/>
  <c r="AF34" i="28"/>
  <c r="AF13" i="28"/>
  <c r="U10" i="28"/>
  <c r="AF52" i="28"/>
  <c r="AF98" i="28"/>
  <c r="U91" i="28"/>
  <c r="X80" i="28"/>
  <c r="AA77" i="28"/>
  <c r="X72" i="28"/>
  <c r="AA69" i="28"/>
  <c r="AF62" i="28"/>
  <c r="AA60" i="28"/>
  <c r="R59" i="28"/>
  <c r="AD59" i="28"/>
  <c r="AF38" i="28"/>
  <c r="AA36" i="28"/>
  <c r="X23" i="28"/>
  <c r="AF10" i="28"/>
  <c r="H119" i="28"/>
  <c r="H108" i="28"/>
  <c r="K77" i="16"/>
  <c r="K54" i="16"/>
  <c r="K50" i="16"/>
  <c r="K52" i="16"/>
  <c r="K82" i="16"/>
  <c r="K84" i="16"/>
  <c r="K16" i="16"/>
  <c r="K45" i="16"/>
  <c r="K90" i="16"/>
  <c r="C100" i="16"/>
  <c r="D42" i="16" s="1"/>
  <c r="K11" i="16"/>
  <c r="K14" i="16"/>
  <c r="K31" i="16"/>
  <c r="K33" i="16"/>
  <c r="K46" i="16"/>
  <c r="K63" i="16"/>
  <c r="K78" i="16"/>
  <c r="K80" i="16"/>
  <c r="K95" i="16"/>
  <c r="K60" i="16"/>
  <c r="K22" i="16"/>
  <c r="K41" i="16"/>
  <c r="K71" i="16"/>
  <c r="K10" i="16"/>
  <c r="K29" i="16"/>
  <c r="K42" i="16"/>
  <c r="K44" i="16"/>
  <c r="K74" i="16"/>
  <c r="K76" i="16"/>
  <c r="K93" i="16"/>
  <c r="C109" i="16"/>
  <c r="D105" i="16" s="1"/>
  <c r="K58" i="16"/>
  <c r="K4" i="16"/>
  <c r="K86" i="16"/>
  <c r="K17" i="16"/>
  <c r="K61" i="16"/>
  <c r="K19" i="16"/>
  <c r="K23" i="16"/>
  <c r="K25" i="16"/>
  <c r="K38" i="16"/>
  <c r="K55" i="16"/>
  <c r="K57" i="16"/>
  <c r="K70" i="16"/>
  <c r="K72" i="16"/>
  <c r="K83" i="16"/>
  <c r="K87" i="16"/>
  <c r="K89" i="16"/>
  <c r="K26" i="16"/>
  <c r="K73" i="16"/>
  <c r="K21" i="16"/>
  <c r="K66" i="16"/>
  <c r="K68" i="16"/>
  <c r="K98" i="16"/>
  <c r="K97" i="16"/>
  <c r="K81" i="16"/>
  <c r="K65" i="16"/>
  <c r="K96" i="16"/>
  <c r="K64" i="16"/>
  <c r="K56" i="16"/>
  <c r="K48" i="16"/>
  <c r="K40" i="16"/>
  <c r="K32" i="16"/>
  <c r="K24" i="16"/>
  <c r="K15" i="16"/>
  <c r="K91" i="16"/>
  <c r="K59" i="16"/>
  <c r="K51" i="16"/>
  <c r="K43" i="16"/>
  <c r="K35" i="16"/>
  <c r="K27" i="16"/>
  <c r="K18" i="16"/>
  <c r="K28" i="16"/>
  <c r="K92" i="16"/>
  <c r="K39" i="16"/>
  <c r="K67" i="16"/>
  <c r="K88" i="16"/>
  <c r="K99" i="16"/>
  <c r="K7" i="16"/>
  <c r="K34" i="16"/>
  <c r="K36" i="16"/>
  <c r="K53" i="16"/>
  <c r="K30" i="16"/>
  <c r="K47" i="16"/>
  <c r="K49" i="16"/>
  <c r="K62" i="16"/>
  <c r="K75" i="16"/>
  <c r="K79" i="16"/>
  <c r="K94" i="16"/>
  <c r="K106" i="16"/>
  <c r="K105" i="16"/>
  <c r="K104" i="16"/>
  <c r="F45" i="37" l="1"/>
  <c r="E46" i="37"/>
  <c r="G59" i="44"/>
  <c r="G75" i="44"/>
  <c r="G58" i="44"/>
  <c r="G74" i="44"/>
  <c r="E75" i="44"/>
  <c r="F75" i="44" s="1"/>
  <c r="F74" i="44"/>
  <c r="G45" i="36"/>
  <c r="G31" i="36"/>
  <c r="D104" i="16"/>
  <c r="D43" i="16"/>
  <c r="D99" i="16"/>
  <c r="L58" i="37"/>
  <c r="M57" i="37"/>
  <c r="G57" i="37" s="1"/>
  <c r="L84" i="37"/>
  <c r="M83" i="37"/>
  <c r="L85" i="36"/>
  <c r="M84" i="36"/>
  <c r="G84" i="36" s="1"/>
  <c r="M58" i="36"/>
  <c r="L59" i="36"/>
  <c r="E58" i="36"/>
  <c r="F57" i="36"/>
  <c r="E84" i="36"/>
  <c r="F83" i="36"/>
  <c r="E113" i="29"/>
  <c r="E105" i="29"/>
  <c r="L105" i="29"/>
  <c r="D22" i="16"/>
  <c r="D11" i="16"/>
  <c r="D86" i="16"/>
  <c r="D92" i="16"/>
  <c r="D60" i="16"/>
  <c r="D54" i="16"/>
  <c r="D39" i="16"/>
  <c r="D108" i="16"/>
  <c r="D106" i="16"/>
  <c r="D107" i="16"/>
  <c r="D28" i="16"/>
  <c r="D14" i="16"/>
  <c r="D78" i="16"/>
  <c r="D75" i="16"/>
  <c r="D68" i="16"/>
  <c r="D77" i="16"/>
  <c r="D31" i="16"/>
  <c r="D71" i="16"/>
  <c r="L48" i="32"/>
  <c r="M47" i="32"/>
  <c r="D30" i="16"/>
  <c r="D36" i="16"/>
  <c r="D63" i="16"/>
  <c r="D17" i="16"/>
  <c r="D52" i="16"/>
  <c r="D72" i="16"/>
  <c r="D5" i="16"/>
  <c r="D85" i="16"/>
  <c r="D19" i="16"/>
  <c r="D34" i="16"/>
  <c r="D46" i="16"/>
  <c r="D83" i="16"/>
  <c r="D35" i="16"/>
  <c r="D90" i="16"/>
  <c r="D67" i="16"/>
  <c r="D62" i="16"/>
  <c r="D15" i="16"/>
  <c r="D79" i="16"/>
  <c r="D70" i="16"/>
  <c r="D27" i="16"/>
  <c r="D98" i="16"/>
  <c r="D91" i="16"/>
  <c r="D50" i="16"/>
  <c r="D64" i="16"/>
  <c r="D87" i="16"/>
  <c r="D84" i="16"/>
  <c r="D51" i="16"/>
  <c r="D69" i="16"/>
  <c r="D38" i="16"/>
  <c r="D80" i="16"/>
  <c r="L14" i="3"/>
  <c r="AK14" i="3"/>
  <c r="AQ3" i="29"/>
  <c r="AA105" i="29"/>
  <c r="AU113" i="29"/>
  <c r="H14" i="3"/>
  <c r="AF80" i="28"/>
  <c r="R74" i="28"/>
  <c r="AF106" i="28"/>
  <c r="R45" i="28"/>
  <c r="AF72" i="28"/>
  <c r="AF23" i="28"/>
  <c r="AF78" i="28"/>
  <c r="AF57" i="28"/>
  <c r="AF46" i="28"/>
  <c r="AF74" i="28"/>
  <c r="AF31" i="28"/>
  <c r="AF61" i="28"/>
  <c r="R82" i="28"/>
  <c r="AF22" i="28"/>
  <c r="AD4" i="28"/>
  <c r="R4" i="28"/>
  <c r="AF29" i="28"/>
  <c r="AF86" i="28"/>
  <c r="AD26" i="28"/>
  <c r="R26" i="28"/>
  <c r="AF45" i="28"/>
  <c r="AF6" i="28"/>
  <c r="AF5" i="28"/>
  <c r="AF9" i="28"/>
  <c r="AF15" i="28"/>
  <c r="AF94" i="28"/>
  <c r="AF33" i="28"/>
  <c r="AF30" i="28"/>
  <c r="R7" i="28"/>
  <c r="AD7" i="28"/>
  <c r="AD11" i="28"/>
  <c r="AD19" i="28"/>
  <c r="AF54" i="28"/>
  <c r="AF73" i="28"/>
  <c r="AF24" i="28"/>
  <c r="AD34" i="28"/>
  <c r="R34" i="28"/>
  <c r="AF75" i="28"/>
  <c r="AF58" i="28"/>
  <c r="R55" i="28"/>
  <c r="AD55" i="28"/>
  <c r="AF56" i="28"/>
  <c r="AF55" i="28"/>
  <c r="R47" i="28"/>
  <c r="AD47" i="28"/>
  <c r="AF53" i="28"/>
  <c r="AT112" i="29"/>
  <c r="AU104" i="29"/>
  <c r="AT104" i="29"/>
  <c r="AB124" i="29"/>
  <c r="AQ82" i="29"/>
  <c r="AW82" i="29" s="1"/>
  <c r="AS82" i="29"/>
  <c r="AS94" i="29"/>
  <c r="AQ94" i="29"/>
  <c r="AW94" i="29" s="1"/>
  <c r="AQ62" i="29"/>
  <c r="AW62" i="29" s="1"/>
  <c r="AS62" i="29"/>
  <c r="AQ83" i="29"/>
  <c r="AW83" i="29" s="1"/>
  <c r="AS83" i="29"/>
  <c r="AS87" i="29"/>
  <c r="AQ87" i="29"/>
  <c r="AQ30" i="29"/>
  <c r="AS51" i="29"/>
  <c r="AQ51" i="29"/>
  <c r="AT123" i="29"/>
  <c r="AS79" i="29"/>
  <c r="AQ79" i="29"/>
  <c r="AW79" i="29" s="1"/>
  <c r="AS78" i="29"/>
  <c r="AQ78" i="29"/>
  <c r="AW78" i="29" s="1"/>
  <c r="AS61" i="29"/>
  <c r="AQ61" i="29"/>
  <c r="AW61" i="29" s="1"/>
  <c r="AS43" i="29"/>
  <c r="AQ43" i="29"/>
  <c r="AS26" i="29"/>
  <c r="AQ26" i="29"/>
  <c r="AU112" i="29"/>
  <c r="AQ93" i="29"/>
  <c r="AW93" i="29" s="1"/>
  <c r="AS93" i="29"/>
  <c r="AS97" i="29"/>
  <c r="AQ97" i="29"/>
  <c r="AW97" i="29" s="1"/>
  <c r="AS98" i="29"/>
  <c r="AQ98" i="29"/>
  <c r="AS115" i="29"/>
  <c r="AQ115" i="29"/>
  <c r="U124" i="29"/>
  <c r="AS70" i="29"/>
  <c r="AQ70" i="29"/>
  <c r="AW70" i="29" s="1"/>
  <c r="AS71" i="29"/>
  <c r="AQ71" i="29"/>
  <c r="AQ50" i="29"/>
  <c r="AS50" i="29"/>
  <c r="AS56" i="29"/>
  <c r="AQ56" i="29"/>
  <c r="AQ53" i="29"/>
  <c r="AS53" i="29"/>
  <c r="AQ42" i="29"/>
  <c r="AW42" i="29" s="1"/>
  <c r="AS42" i="29"/>
  <c r="AS8" i="29"/>
  <c r="AQ8" i="29"/>
  <c r="AS18" i="29"/>
  <c r="AQ18" i="29"/>
  <c r="AS109" i="29"/>
  <c r="AQ109" i="29"/>
  <c r="AW109" i="29" s="1"/>
  <c r="AS91" i="29"/>
  <c r="AQ91" i="29"/>
  <c r="X124" i="29"/>
  <c r="AN115" i="29"/>
  <c r="AN124" i="29" s="1"/>
  <c r="AS90" i="29"/>
  <c r="AQ90" i="29"/>
  <c r="AW90" i="29" s="1"/>
  <c r="AU123" i="29"/>
  <c r="U113" i="29"/>
  <c r="AS107" i="29"/>
  <c r="AQ107" i="29"/>
  <c r="AS77" i="29"/>
  <c r="AQ77" i="29"/>
  <c r="AW77" i="29" s="1"/>
  <c r="AQ55" i="29"/>
  <c r="AW55" i="29" s="1"/>
  <c r="AS55" i="29"/>
  <c r="AS45" i="29"/>
  <c r="AQ45" i="29"/>
  <c r="AQ119" i="29"/>
  <c r="AW119" i="29" s="1"/>
  <c r="AS119" i="29"/>
  <c r="AF3" i="29"/>
  <c r="AS35" i="29"/>
  <c r="AQ35" i="29"/>
  <c r="AW35" i="29" s="1"/>
  <c r="AN109" i="29"/>
  <c r="AN113" i="29" s="1"/>
  <c r="X113" i="29"/>
  <c r="AS110" i="29"/>
  <c r="AQ110" i="29"/>
  <c r="AW110" i="29" s="1"/>
  <c r="AF113" i="29"/>
  <c r="AS64" i="29"/>
  <c r="AQ64" i="29"/>
  <c r="AW64" i="29" s="1"/>
  <c r="AN3" i="29"/>
  <c r="AN105" i="29" s="1"/>
  <c r="AQ118" i="29"/>
  <c r="AW118" i="29" s="1"/>
  <c r="AS118" i="29"/>
  <c r="AS96" i="29"/>
  <c r="AQ96" i="29"/>
  <c r="AW96" i="29" s="1"/>
  <c r="AS84" i="29"/>
  <c r="AQ84" i="29"/>
  <c r="AW84" i="29" s="1"/>
  <c r="AS108" i="29"/>
  <c r="AQ108" i="29"/>
  <c r="AW108" i="29" s="1"/>
  <c r="AQ89" i="29"/>
  <c r="AS89" i="29"/>
  <c r="AQ49" i="29"/>
  <c r="AS40" i="29"/>
  <c r="AQ40" i="29"/>
  <c r="AW40" i="29" s="1"/>
  <c r="AS12" i="29"/>
  <c r="AQ12" i="29"/>
  <c r="AQ15" i="29"/>
  <c r="AS15" i="29"/>
  <c r="R92" i="28"/>
  <c r="AD92" i="28"/>
  <c r="R70" i="28"/>
  <c r="AD52" i="28"/>
  <c r="R52" i="28"/>
  <c r="R31" i="28"/>
  <c r="AD31" i="28"/>
  <c r="AD44" i="28"/>
  <c r="R44" i="28"/>
  <c r="AD36" i="28"/>
  <c r="R36" i="28"/>
  <c r="AD50" i="28"/>
  <c r="R50" i="28"/>
  <c r="AF36" i="28"/>
  <c r="AF60" i="28"/>
  <c r="AF69" i="28"/>
  <c r="AD75" i="28"/>
  <c r="R75" i="28"/>
  <c r="AF85" i="28"/>
  <c r="AD66" i="28"/>
  <c r="R66" i="28"/>
  <c r="AF44" i="28"/>
  <c r="AF77" i="28"/>
  <c r="AD10" i="28"/>
  <c r="R10" i="28"/>
  <c r="AF4" i="28"/>
  <c r="AF28" i="28"/>
  <c r="AD91" i="28"/>
  <c r="R91" i="28"/>
  <c r="AF93" i="28"/>
  <c r="AD18" i="28"/>
  <c r="R18" i="28"/>
  <c r="AD42" i="28"/>
  <c r="R42" i="28"/>
  <c r="K109" i="16"/>
  <c r="L104" i="16"/>
  <c r="M104" i="16" s="1"/>
  <c r="G104" i="16" s="1"/>
  <c r="K100" i="16"/>
  <c r="L4" i="16"/>
  <c r="D18" i="16"/>
  <c r="D23" i="16"/>
  <c r="D66" i="16"/>
  <c r="D82" i="16"/>
  <c r="D76" i="16"/>
  <c r="D7" i="16"/>
  <c r="D94" i="16"/>
  <c r="D93" i="16"/>
  <c r="D61" i="16"/>
  <c r="D53" i="16"/>
  <c r="D45" i="16"/>
  <c r="D37" i="16"/>
  <c r="D29" i="16"/>
  <c r="D21" i="16"/>
  <c r="D12" i="16"/>
  <c r="D88" i="16"/>
  <c r="D56" i="16"/>
  <c r="D48" i="16"/>
  <c r="D40" i="16"/>
  <c r="D32" i="16"/>
  <c r="D24" i="16"/>
  <c r="D73" i="16"/>
  <c r="D41" i="16"/>
  <c r="D6" i="16"/>
  <c r="D10" i="16"/>
  <c r="D9" i="16"/>
  <c r="D65" i="16"/>
  <c r="D8" i="16"/>
  <c r="D81" i="16"/>
  <c r="D49" i="16"/>
  <c r="D16" i="16"/>
  <c r="D13" i="16"/>
  <c r="D4" i="16"/>
  <c r="D89" i="16"/>
  <c r="D57" i="16"/>
  <c r="D25" i="16"/>
  <c r="D33" i="16"/>
  <c r="D97" i="16"/>
  <c r="D20" i="16"/>
  <c r="D59" i="16"/>
  <c r="D74" i="16"/>
  <c r="D58" i="16"/>
  <c r="E104" i="16"/>
  <c r="F104" i="16" s="1"/>
  <c r="D96" i="16"/>
  <c r="D47" i="16"/>
  <c r="D95" i="16"/>
  <c r="D44" i="16"/>
  <c r="D55" i="16"/>
  <c r="D26" i="16"/>
  <c r="D109" i="16" l="1"/>
  <c r="F46" i="37"/>
  <c r="E47" i="37"/>
  <c r="G35" i="36"/>
  <c r="G32" i="36"/>
  <c r="L85" i="37"/>
  <c r="M84" i="37"/>
  <c r="G84" i="37" s="1"/>
  <c r="L59" i="37"/>
  <c r="M58" i="37"/>
  <c r="G58" i="37" s="1"/>
  <c r="E85" i="36"/>
  <c r="F84" i="36"/>
  <c r="E59" i="36"/>
  <c r="F58" i="36"/>
  <c r="L60" i="36"/>
  <c r="M59" i="36"/>
  <c r="M85" i="36"/>
  <c r="G76" i="36" s="1"/>
  <c r="L86" i="36"/>
  <c r="G29" i="32"/>
  <c r="L105" i="16"/>
  <c r="M105" i="16" s="1"/>
  <c r="G105" i="16" s="1"/>
  <c r="L49" i="32"/>
  <c r="M48" i="32"/>
  <c r="AS112" i="29"/>
  <c r="AQ104" i="29"/>
  <c r="AS104" i="29"/>
  <c r="AD124" i="29"/>
  <c r="AW115" i="29"/>
  <c r="AQ123" i="29"/>
  <c r="AS123" i="29"/>
  <c r="AQ112" i="29"/>
  <c r="AW107" i="29"/>
  <c r="AW112" i="29" s="1"/>
  <c r="AD113" i="29"/>
  <c r="P14" i="3" s="1"/>
  <c r="E105" i="16"/>
  <c r="L5" i="16"/>
  <c r="M4" i="16"/>
  <c r="G4" i="16" s="1"/>
  <c r="L106" i="16"/>
  <c r="D100" i="16"/>
  <c r="E4" i="16"/>
  <c r="E48" i="37" l="1"/>
  <c r="F47" i="37"/>
  <c r="G51" i="36"/>
  <c r="G33" i="36"/>
  <c r="L60" i="37"/>
  <c r="M59" i="37"/>
  <c r="G59" i="37" s="1"/>
  <c r="L86" i="37"/>
  <c r="M85" i="37"/>
  <c r="M86" i="36"/>
  <c r="L87" i="36"/>
  <c r="L61" i="36"/>
  <c r="M60" i="36"/>
  <c r="E60" i="36"/>
  <c r="F59" i="36"/>
  <c r="F85" i="36"/>
  <c r="E86" i="36"/>
  <c r="G39" i="32"/>
  <c r="M49" i="32"/>
  <c r="L50" i="32"/>
  <c r="L76" i="32"/>
  <c r="AH14" i="3"/>
  <c r="AW20" i="29"/>
  <c r="M106" i="16"/>
  <c r="G106" i="16" s="1"/>
  <c r="L107" i="16"/>
  <c r="M5" i="16"/>
  <c r="L6" i="16"/>
  <c r="E5" i="16"/>
  <c r="F4" i="16"/>
  <c r="F105" i="16"/>
  <c r="E106" i="16"/>
  <c r="F48" i="37" l="1"/>
  <c r="E49" i="37"/>
  <c r="G52" i="36"/>
  <c r="G36" i="36"/>
  <c r="L87" i="37"/>
  <c r="M86" i="37"/>
  <c r="L61" i="37"/>
  <c r="M60" i="37"/>
  <c r="G60" i="37" s="1"/>
  <c r="F86" i="36"/>
  <c r="E87" i="36"/>
  <c r="M87" i="36"/>
  <c r="G83" i="36" s="1"/>
  <c r="L88" i="36"/>
  <c r="F60" i="36"/>
  <c r="E61" i="36"/>
  <c r="L62" i="36"/>
  <c r="M61" i="36"/>
  <c r="G37" i="36" s="1"/>
  <c r="G48" i="32"/>
  <c r="M76" i="32"/>
  <c r="L77" i="32"/>
  <c r="M50" i="32"/>
  <c r="G50" i="32" s="1"/>
  <c r="L51" i="32"/>
  <c r="L7" i="16"/>
  <c r="M6" i="16"/>
  <c r="G5" i="16" s="1"/>
  <c r="E6" i="16"/>
  <c r="F5" i="16"/>
  <c r="M107" i="16"/>
  <c r="G107" i="16" s="1"/>
  <c r="L108" i="16"/>
  <c r="M108" i="16" s="1"/>
  <c r="G108" i="16" s="1"/>
  <c r="F106" i="16"/>
  <c r="E107" i="16"/>
  <c r="E50" i="37" l="1"/>
  <c r="F49" i="37"/>
  <c r="E76" i="37"/>
  <c r="L62" i="37"/>
  <c r="M61" i="37"/>
  <c r="G61" i="37" s="1"/>
  <c r="L88" i="37"/>
  <c r="M87" i="37"/>
  <c r="G87" i="37" s="1"/>
  <c r="L63" i="36"/>
  <c r="M62" i="36"/>
  <c r="G39" i="36" s="1"/>
  <c r="M88" i="36"/>
  <c r="G79" i="36" s="1"/>
  <c r="L89" i="36"/>
  <c r="F87" i="36"/>
  <c r="E88" i="36"/>
  <c r="E62" i="36"/>
  <c r="F61" i="36"/>
  <c r="M77" i="32"/>
  <c r="L78" i="32"/>
  <c r="M51" i="32"/>
  <c r="L52" i="32"/>
  <c r="F107" i="16"/>
  <c r="E108" i="16"/>
  <c r="F108" i="16" s="1"/>
  <c r="F6" i="16"/>
  <c r="E7" i="16"/>
  <c r="M7" i="16"/>
  <c r="G7" i="16" s="1"/>
  <c r="L8" i="16"/>
  <c r="F76" i="37" l="1"/>
  <c r="E77" i="37"/>
  <c r="F50" i="37"/>
  <c r="E51" i="37"/>
  <c r="L89" i="37"/>
  <c r="M88" i="37"/>
  <c r="G88" i="37" s="1"/>
  <c r="L63" i="37"/>
  <c r="M62" i="37"/>
  <c r="G88" i="36"/>
  <c r="E63" i="36"/>
  <c r="F62" i="36"/>
  <c r="E89" i="36"/>
  <c r="F88" i="36"/>
  <c r="M89" i="36"/>
  <c r="L90" i="36"/>
  <c r="L64" i="36"/>
  <c r="M63" i="36"/>
  <c r="G41" i="36" s="1"/>
  <c r="G49" i="32"/>
  <c r="G6" i="16"/>
  <c r="M52" i="32"/>
  <c r="L53" i="32"/>
  <c r="M78" i="32"/>
  <c r="L79" i="32"/>
  <c r="L9" i="16"/>
  <c r="M8" i="16"/>
  <c r="G8" i="16" s="1"/>
  <c r="E8" i="16"/>
  <c r="F7" i="16"/>
  <c r="F51" i="37" l="1"/>
  <c r="E52" i="37"/>
  <c r="E78" i="37"/>
  <c r="F77" i="37"/>
  <c r="G62" i="37"/>
  <c r="G33" i="37"/>
  <c r="G89" i="36"/>
  <c r="G86" i="36"/>
  <c r="M63" i="37"/>
  <c r="L64" i="37"/>
  <c r="L90" i="37"/>
  <c r="M89" i="37"/>
  <c r="G89" i="37" s="1"/>
  <c r="M90" i="36"/>
  <c r="G80" i="36" s="1"/>
  <c r="L91" i="36"/>
  <c r="E90" i="36"/>
  <c r="F89" i="36"/>
  <c r="M64" i="36"/>
  <c r="G43" i="36" s="1"/>
  <c r="L65" i="36"/>
  <c r="E64" i="36"/>
  <c r="F63" i="36"/>
  <c r="G44" i="32"/>
  <c r="L80" i="32"/>
  <c r="M79" i="32"/>
  <c r="L54" i="32"/>
  <c r="M53" i="32"/>
  <c r="F8" i="16"/>
  <c r="E9" i="16"/>
  <c r="M9" i="16"/>
  <c r="L10" i="16"/>
  <c r="F78" i="37" l="1"/>
  <c r="E79" i="37"/>
  <c r="F52" i="37"/>
  <c r="E53" i="37"/>
  <c r="G63" i="37"/>
  <c r="G42" i="37"/>
  <c r="L65" i="37"/>
  <c r="M64" i="37"/>
  <c r="G64" i="37" s="1"/>
  <c r="L91" i="37"/>
  <c r="M90" i="37"/>
  <c r="G90" i="37" s="1"/>
  <c r="G55" i="36"/>
  <c r="E65" i="36"/>
  <c r="F64" i="36"/>
  <c r="M65" i="36"/>
  <c r="L66" i="36"/>
  <c r="F90" i="36"/>
  <c r="E91" i="36"/>
  <c r="L92" i="36"/>
  <c r="M91" i="36"/>
  <c r="M54" i="32"/>
  <c r="L55" i="32"/>
  <c r="L81" i="32"/>
  <c r="M80" i="32"/>
  <c r="M10" i="16"/>
  <c r="L11" i="16"/>
  <c r="E10" i="16"/>
  <c r="F9" i="16"/>
  <c r="E54" i="37" l="1"/>
  <c r="F53" i="37"/>
  <c r="E80" i="37"/>
  <c r="F79" i="37"/>
  <c r="G47" i="36"/>
  <c r="M91" i="37"/>
  <c r="L92" i="37"/>
  <c r="L66" i="37"/>
  <c r="M65" i="37"/>
  <c r="G78" i="36"/>
  <c r="G91" i="36"/>
  <c r="L93" i="36"/>
  <c r="M92" i="36"/>
  <c r="M66" i="36"/>
  <c r="L67" i="36"/>
  <c r="F91" i="36"/>
  <c r="E92" i="36"/>
  <c r="E66" i="36"/>
  <c r="F65" i="36"/>
  <c r="G47" i="32"/>
  <c r="L56" i="32"/>
  <c r="M55" i="32"/>
  <c r="M81" i="32"/>
  <c r="L82" i="32"/>
  <c r="F10" i="16"/>
  <c r="E11" i="16"/>
  <c r="M11" i="16"/>
  <c r="L12" i="16"/>
  <c r="E81" i="37" l="1"/>
  <c r="F80" i="37"/>
  <c r="E55" i="37"/>
  <c r="F54" i="37"/>
  <c r="G65" i="37"/>
  <c r="G76" i="37"/>
  <c r="G57" i="36"/>
  <c r="G53" i="36"/>
  <c r="L67" i="37"/>
  <c r="M66" i="37"/>
  <c r="L93" i="37"/>
  <c r="M92" i="37"/>
  <c r="G92" i="37" s="1"/>
  <c r="G81" i="36"/>
  <c r="G92" i="36"/>
  <c r="E67" i="36"/>
  <c r="F66" i="36"/>
  <c r="F92" i="36"/>
  <c r="E93" i="36"/>
  <c r="L68" i="36"/>
  <c r="M67" i="36"/>
  <c r="G54" i="36" s="1"/>
  <c r="L99" i="36"/>
  <c r="M99" i="36" s="1"/>
  <c r="M93" i="36"/>
  <c r="L94" i="36"/>
  <c r="M82" i="32"/>
  <c r="G82" i="32" s="1"/>
  <c r="L83" i="32"/>
  <c r="L57" i="32"/>
  <c r="M56" i="32"/>
  <c r="L13" i="16"/>
  <c r="M12" i="16"/>
  <c r="G9" i="16" s="1"/>
  <c r="E12" i="16"/>
  <c r="F11" i="16"/>
  <c r="F55" i="37" l="1"/>
  <c r="E56" i="37"/>
  <c r="E82" i="37"/>
  <c r="F81" i="37"/>
  <c r="G66" i="37"/>
  <c r="G77" i="37"/>
  <c r="L99" i="37"/>
  <c r="M99" i="37" s="1"/>
  <c r="G99" i="37" s="1"/>
  <c r="M93" i="37"/>
  <c r="L94" i="37"/>
  <c r="M67" i="37"/>
  <c r="L68" i="37"/>
  <c r="G90" i="36"/>
  <c r="G93" i="36"/>
  <c r="G68" i="36"/>
  <c r="E99" i="36"/>
  <c r="F99" i="36" s="1"/>
  <c r="F93" i="36"/>
  <c r="E94" i="36"/>
  <c r="L69" i="36"/>
  <c r="M68" i="36"/>
  <c r="L100" i="36"/>
  <c r="M100" i="36" s="1"/>
  <c r="M94" i="36"/>
  <c r="G87" i="36" s="1"/>
  <c r="L95" i="36"/>
  <c r="E68" i="36"/>
  <c r="F67" i="36"/>
  <c r="G42" i="32"/>
  <c r="M57" i="32"/>
  <c r="L58" i="32"/>
  <c r="M83" i="32"/>
  <c r="G83" i="32" s="1"/>
  <c r="L84" i="32"/>
  <c r="G12" i="16"/>
  <c r="E13" i="16"/>
  <c r="F12" i="16"/>
  <c r="L14" i="16"/>
  <c r="M13" i="16"/>
  <c r="E83" i="37" l="1"/>
  <c r="F82" i="37"/>
  <c r="E57" i="37"/>
  <c r="F56" i="37"/>
  <c r="G78" i="37"/>
  <c r="G67" i="37"/>
  <c r="G80" i="37"/>
  <c r="G56" i="36"/>
  <c r="L95" i="37"/>
  <c r="M94" i="37"/>
  <c r="L100" i="37"/>
  <c r="M100" i="37" s="1"/>
  <c r="L69" i="37"/>
  <c r="M68" i="37"/>
  <c r="G69" i="36"/>
  <c r="G100" i="36"/>
  <c r="M69" i="36"/>
  <c r="L70" i="36"/>
  <c r="E100" i="36"/>
  <c r="F100" i="36" s="1"/>
  <c r="F94" i="36"/>
  <c r="E95" i="36"/>
  <c r="L101" i="36"/>
  <c r="M101" i="36" s="1"/>
  <c r="L96" i="36"/>
  <c r="M95" i="36"/>
  <c r="E69" i="36"/>
  <c r="F68" i="36"/>
  <c r="G45" i="32"/>
  <c r="M84" i="32"/>
  <c r="G84" i="32" s="1"/>
  <c r="L85" i="32"/>
  <c r="M58" i="32"/>
  <c r="L59" i="32"/>
  <c r="E14" i="16"/>
  <c r="F13" i="16"/>
  <c r="M14" i="16"/>
  <c r="L15" i="16"/>
  <c r="F57" i="37" l="1"/>
  <c r="E58" i="37"/>
  <c r="F83" i="37"/>
  <c r="E84" i="37"/>
  <c r="G100" i="37"/>
  <c r="G85" i="37"/>
  <c r="G68" i="37"/>
  <c r="G83" i="37"/>
  <c r="L70" i="37"/>
  <c r="M69" i="37"/>
  <c r="G69" i="37" s="1"/>
  <c r="L101" i="37"/>
  <c r="M101" i="37" s="1"/>
  <c r="L96" i="37"/>
  <c r="M95" i="37"/>
  <c r="L102" i="36"/>
  <c r="M102" i="36" s="1"/>
  <c r="L97" i="36"/>
  <c r="M96" i="36"/>
  <c r="E101" i="36"/>
  <c r="F101" i="36" s="1"/>
  <c r="F95" i="36"/>
  <c r="E96" i="36"/>
  <c r="F69" i="36"/>
  <c r="E70" i="36"/>
  <c r="M70" i="36"/>
  <c r="G85" i="36" s="1"/>
  <c r="L71" i="36"/>
  <c r="G35" i="32"/>
  <c r="M59" i="32"/>
  <c r="L60" i="32"/>
  <c r="M85" i="32"/>
  <c r="L86" i="32"/>
  <c r="L16" i="16"/>
  <c r="M15" i="16"/>
  <c r="E15" i="16"/>
  <c r="F14" i="16"/>
  <c r="E85" i="37" l="1"/>
  <c r="F84" i="37"/>
  <c r="E59" i="37"/>
  <c r="F58" i="37"/>
  <c r="G101" i="37"/>
  <c r="G95" i="37"/>
  <c r="G86" i="37"/>
  <c r="L71" i="37"/>
  <c r="M70" i="37"/>
  <c r="G70" i="37" s="1"/>
  <c r="L97" i="37"/>
  <c r="M96" i="37"/>
  <c r="L102" i="37"/>
  <c r="M102" i="37" s="1"/>
  <c r="G102" i="37" s="1"/>
  <c r="G66" i="36"/>
  <c r="G96" i="36"/>
  <c r="G94" i="36"/>
  <c r="G102" i="36"/>
  <c r="G70" i="36"/>
  <c r="E97" i="36"/>
  <c r="F96" i="36"/>
  <c r="E102" i="36"/>
  <c r="F102" i="36" s="1"/>
  <c r="F70" i="36"/>
  <c r="E71" i="36"/>
  <c r="M71" i="36"/>
  <c r="G61" i="36" s="1"/>
  <c r="L72" i="36"/>
  <c r="L103" i="36"/>
  <c r="M103" i="36" s="1"/>
  <c r="M97" i="36"/>
  <c r="L98" i="36"/>
  <c r="G51" i="32"/>
  <c r="G76" i="32"/>
  <c r="L87" i="32"/>
  <c r="M86" i="32"/>
  <c r="G86" i="32" s="1"/>
  <c r="M60" i="32"/>
  <c r="L61" i="32"/>
  <c r="F15" i="16"/>
  <c r="E16" i="16"/>
  <c r="L17" i="16"/>
  <c r="M16" i="16"/>
  <c r="F59" i="37" l="1"/>
  <c r="E60" i="37"/>
  <c r="E86" i="37"/>
  <c r="F85" i="37"/>
  <c r="G96" i="37"/>
  <c r="G91" i="37"/>
  <c r="L98" i="37"/>
  <c r="M97" i="37"/>
  <c r="L103" i="37"/>
  <c r="M103" i="37" s="1"/>
  <c r="G103" i="37" s="1"/>
  <c r="L72" i="37"/>
  <c r="M71" i="37"/>
  <c r="G67" i="36"/>
  <c r="G97" i="36"/>
  <c r="G58" i="36"/>
  <c r="G71" i="36"/>
  <c r="G95" i="36"/>
  <c r="G103" i="36"/>
  <c r="M72" i="36"/>
  <c r="G62" i="36" s="1"/>
  <c r="L73" i="36"/>
  <c r="F71" i="36"/>
  <c r="E72" i="36"/>
  <c r="L104" i="36"/>
  <c r="M104" i="36" s="1"/>
  <c r="G77" i="36" s="1"/>
  <c r="M98" i="36"/>
  <c r="G99" i="36" s="1"/>
  <c r="E98" i="36"/>
  <c r="F97" i="36"/>
  <c r="E103" i="36"/>
  <c r="F103" i="36" s="1"/>
  <c r="G52" i="32"/>
  <c r="L88" i="32"/>
  <c r="M87" i="32"/>
  <c r="M61" i="32"/>
  <c r="G61" i="32" s="1"/>
  <c r="L62" i="32"/>
  <c r="M17" i="16"/>
  <c r="L18" i="16"/>
  <c r="F16" i="16"/>
  <c r="E17" i="16"/>
  <c r="E87" i="37" l="1"/>
  <c r="F86" i="37"/>
  <c r="F60" i="37"/>
  <c r="E61" i="37"/>
  <c r="G97" i="37"/>
  <c r="G93" i="37"/>
  <c r="G71" i="37"/>
  <c r="G20" i="37"/>
  <c r="G98" i="36"/>
  <c r="L73" i="37"/>
  <c r="M72" i="37"/>
  <c r="M98" i="37"/>
  <c r="L104" i="37"/>
  <c r="M104" i="37" s="1"/>
  <c r="G104" i="37" s="1"/>
  <c r="G101" i="36"/>
  <c r="G104" i="36"/>
  <c r="E104" i="36"/>
  <c r="F104" i="36" s="1"/>
  <c r="F98" i="36"/>
  <c r="E73" i="36"/>
  <c r="F72" i="36"/>
  <c r="L74" i="36"/>
  <c r="M73" i="36"/>
  <c r="G63" i="36" s="1"/>
  <c r="G11" i="16"/>
  <c r="G10" i="16"/>
  <c r="L63" i="32"/>
  <c r="M62" i="32"/>
  <c r="M88" i="32"/>
  <c r="L89" i="32"/>
  <c r="E18" i="16"/>
  <c r="F17" i="16"/>
  <c r="L19" i="16"/>
  <c r="M18" i="16"/>
  <c r="F61" i="37" l="1"/>
  <c r="E62" i="37"/>
  <c r="F87" i="37"/>
  <c r="E88" i="37"/>
  <c r="G72" i="37"/>
  <c r="G21" i="37"/>
  <c r="G98" i="37"/>
  <c r="G94" i="37"/>
  <c r="L74" i="37"/>
  <c r="M73" i="37"/>
  <c r="G72" i="36"/>
  <c r="G73" i="36"/>
  <c r="L75" i="36"/>
  <c r="M75" i="36" s="1"/>
  <c r="G65" i="36" s="1"/>
  <c r="M74" i="36"/>
  <c r="G64" i="36" s="1"/>
  <c r="E74" i="36"/>
  <c r="F73" i="36"/>
  <c r="G62" i="32"/>
  <c r="G53" i="32"/>
  <c r="G88" i="32"/>
  <c r="G79" i="32"/>
  <c r="M89" i="32"/>
  <c r="G89" i="32" s="1"/>
  <c r="L90" i="32"/>
  <c r="L64" i="32"/>
  <c r="M63" i="32"/>
  <c r="M19" i="16"/>
  <c r="L20" i="16"/>
  <c r="E19" i="16"/>
  <c r="F18" i="16"/>
  <c r="AH122" i="28"/>
  <c r="R121" i="28"/>
  <c r="Q121" i="28"/>
  <c r="P121" i="28"/>
  <c r="O121" i="28"/>
  <c r="M121" i="28"/>
  <c r="K121" i="28"/>
  <c r="AM119" i="28"/>
  <c r="AK119" i="28"/>
  <c r="AJ119" i="28"/>
  <c r="AI119" i="28"/>
  <c r="AH119" i="28"/>
  <c r="AG119" i="28"/>
  <c r="AE119" i="28"/>
  <c r="Z119" i="28"/>
  <c r="Y119" i="28"/>
  <c r="W119" i="28"/>
  <c r="V119" i="28"/>
  <c r="T119" i="28"/>
  <c r="S119" i="28"/>
  <c r="N119" i="28"/>
  <c r="J119" i="28"/>
  <c r="I119" i="28"/>
  <c r="G119" i="28"/>
  <c r="F119" i="28"/>
  <c r="AU117" i="28"/>
  <c r="AT117" i="28"/>
  <c r="AR117" i="28"/>
  <c r="AQ117" i="28"/>
  <c r="AW117" i="28" s="1"/>
  <c r="E117" i="28"/>
  <c r="L117" i="28" s="1"/>
  <c r="AU116" i="28"/>
  <c r="AT116" i="28"/>
  <c r="AR116" i="28"/>
  <c r="AQ116" i="28"/>
  <c r="AW116" i="28" s="1"/>
  <c r="E116" i="28"/>
  <c r="L116" i="28" s="1"/>
  <c r="AU115" i="28"/>
  <c r="AT115" i="28"/>
  <c r="AS115" i="28"/>
  <c r="AR115" i="28"/>
  <c r="AQ115" i="28"/>
  <c r="AW115" i="28" s="1"/>
  <c r="E115" i="28"/>
  <c r="L115" i="28" s="1"/>
  <c r="AU114" i="28"/>
  <c r="AT114" i="28"/>
  <c r="AR114" i="28"/>
  <c r="AQ114" i="28"/>
  <c r="AW114" i="28" s="1"/>
  <c r="E114" i="28"/>
  <c r="L114" i="28" s="1"/>
  <c r="AU113" i="28"/>
  <c r="AT113" i="28"/>
  <c r="AS113" i="28"/>
  <c r="AR113" i="28"/>
  <c r="AQ113" i="28"/>
  <c r="AW113" i="28" s="1"/>
  <c r="E113" i="28"/>
  <c r="L113" i="28" s="1"/>
  <c r="AU112" i="28"/>
  <c r="AT112" i="28"/>
  <c r="AS112" i="28"/>
  <c r="AR112" i="28"/>
  <c r="AQ112" i="28"/>
  <c r="AW112" i="28" s="1"/>
  <c r="E112" i="28"/>
  <c r="L112" i="28" s="1"/>
  <c r="AU111" i="28"/>
  <c r="AT111" i="28"/>
  <c r="AR111" i="28"/>
  <c r="AQ111" i="28"/>
  <c r="AW111" i="28" s="1"/>
  <c r="E111" i="28"/>
  <c r="L111" i="28" s="1"/>
  <c r="AU110" i="28"/>
  <c r="AT110" i="28"/>
  <c r="AS110" i="28"/>
  <c r="AR110" i="28"/>
  <c r="AN119" i="28"/>
  <c r="AQ110" i="28"/>
  <c r="E110" i="28"/>
  <c r="L110" i="28" s="1"/>
  <c r="AM108" i="28"/>
  <c r="AK108" i="28"/>
  <c r="AJ108" i="28"/>
  <c r="AI108" i="28"/>
  <c r="AH108" i="28"/>
  <c r="AG108" i="28"/>
  <c r="AE108" i="28"/>
  <c r="Z108" i="28"/>
  <c r="Y108" i="28"/>
  <c r="W108" i="28"/>
  <c r="V108" i="28"/>
  <c r="T108" i="28"/>
  <c r="S108" i="28"/>
  <c r="N108" i="28"/>
  <c r="J108" i="28"/>
  <c r="I108" i="28"/>
  <c r="G108" i="28"/>
  <c r="F108" i="28"/>
  <c r="AU106" i="28"/>
  <c r="AT106" i="28"/>
  <c r="AR106" i="28"/>
  <c r="AQ106" i="28"/>
  <c r="AW106" i="28" s="1"/>
  <c r="E106" i="28"/>
  <c r="L106" i="28" s="1"/>
  <c r="AU105" i="28"/>
  <c r="AT105" i="28"/>
  <c r="AR105" i="28"/>
  <c r="AR107" i="28" s="1"/>
  <c r="AQ105" i="28"/>
  <c r="AW105" i="28" s="1"/>
  <c r="E105" i="28"/>
  <c r="L105" i="28" s="1"/>
  <c r="AU104" i="28"/>
  <c r="AT104" i="28"/>
  <c r="AR104" i="28"/>
  <c r="E104" i="28"/>
  <c r="L104" i="28" s="1"/>
  <c r="AU103" i="28"/>
  <c r="AT103" i="28"/>
  <c r="AR103" i="28"/>
  <c r="AQ103" i="28"/>
  <c r="AW103" i="28" s="1"/>
  <c r="E103" i="28"/>
  <c r="L103" i="28" s="1"/>
  <c r="AU102" i="28"/>
  <c r="AU107" i="28" s="1"/>
  <c r="AT102" i="28"/>
  <c r="AR102" i="28"/>
  <c r="AQ102" i="28"/>
  <c r="E102" i="28"/>
  <c r="L102" i="28" s="1"/>
  <c r="AM100" i="28"/>
  <c r="U4" i="3" s="1"/>
  <c r="AK100" i="28"/>
  <c r="AJ100" i="28"/>
  <c r="AH100" i="28"/>
  <c r="AH121" i="28" s="1"/>
  <c r="AG100" i="28"/>
  <c r="Q4" i="3" s="1"/>
  <c r="AE100" i="28"/>
  <c r="R4" i="3" s="1"/>
  <c r="Z100" i="28"/>
  <c r="N4" i="3" s="1"/>
  <c r="Y100" i="28"/>
  <c r="M4" i="3" s="1"/>
  <c r="W100" i="28"/>
  <c r="K4" i="3" s="1"/>
  <c r="V100" i="28"/>
  <c r="J4" i="3" s="1"/>
  <c r="T100" i="28"/>
  <c r="I4" i="3" s="1"/>
  <c r="S100" i="28"/>
  <c r="N100" i="28"/>
  <c r="J100" i="28"/>
  <c r="J121" i="28" s="1"/>
  <c r="I100" i="28"/>
  <c r="I121" i="28" s="1"/>
  <c r="H100" i="28"/>
  <c r="H121" i="28" s="1"/>
  <c r="G100" i="28"/>
  <c r="G121" i="28" s="1"/>
  <c r="F100" i="28"/>
  <c r="F121" i="28" s="1"/>
  <c r="AU98" i="28"/>
  <c r="AT98" i="28"/>
  <c r="AR98" i="28"/>
  <c r="AS98" i="28"/>
  <c r="E98" i="28"/>
  <c r="L98" i="28" s="1"/>
  <c r="AU97" i="28"/>
  <c r="AT97" i="28"/>
  <c r="AR97" i="28"/>
  <c r="AS97" i="28"/>
  <c r="E97" i="28"/>
  <c r="L97" i="28" s="1"/>
  <c r="AU96" i="28"/>
  <c r="AT96" i="28"/>
  <c r="AR96" i="28"/>
  <c r="AS96" i="28"/>
  <c r="E96" i="28"/>
  <c r="L96" i="28" s="1"/>
  <c r="AU95" i="28"/>
  <c r="AT95" i="28"/>
  <c r="AR95" i="28"/>
  <c r="AS95" i="28"/>
  <c r="E95" i="28"/>
  <c r="L95" i="28" s="1"/>
  <c r="AU94" i="28"/>
  <c r="AT94" i="28"/>
  <c r="AR94" i="28"/>
  <c r="AS94" i="28"/>
  <c r="E94" i="28"/>
  <c r="L94" i="28" s="1"/>
  <c r="AU93" i="28"/>
  <c r="AT93" i="28"/>
  <c r="AR93" i="28"/>
  <c r="AS93" i="28"/>
  <c r="E93" i="28"/>
  <c r="L93" i="28" s="1"/>
  <c r="AU92" i="28"/>
  <c r="AT92" i="28"/>
  <c r="AR92" i="28"/>
  <c r="AS92" i="28"/>
  <c r="E92" i="28"/>
  <c r="L92" i="28" s="1"/>
  <c r="AU91" i="28"/>
  <c r="AT91" i="28"/>
  <c r="AR91" i="28"/>
  <c r="AS91" i="28"/>
  <c r="E91" i="28"/>
  <c r="L91" i="28" s="1"/>
  <c r="AU90" i="28"/>
  <c r="AT90" i="28"/>
  <c r="AR90" i="28"/>
  <c r="AS90" i="28"/>
  <c r="E90" i="28"/>
  <c r="L90" i="28" s="1"/>
  <c r="AU89" i="28"/>
  <c r="AT89" i="28"/>
  <c r="AR89" i="28"/>
  <c r="AS89" i="28"/>
  <c r="E89" i="28"/>
  <c r="L89" i="28" s="1"/>
  <c r="AU88" i="28"/>
  <c r="AT88" i="28"/>
  <c r="AS88" i="28"/>
  <c r="AR88" i="28"/>
  <c r="E88" i="28"/>
  <c r="L88" i="28" s="1"/>
  <c r="AU87" i="28"/>
  <c r="AT87" i="28"/>
  <c r="AR87" i="28"/>
  <c r="AQ87" i="28"/>
  <c r="AW87" i="28" s="1"/>
  <c r="E87" i="28"/>
  <c r="L87" i="28" s="1"/>
  <c r="AU86" i="28"/>
  <c r="AT86" i="28"/>
  <c r="AR86" i="28"/>
  <c r="AQ86" i="28"/>
  <c r="AW86" i="28" s="1"/>
  <c r="AS86" i="28"/>
  <c r="E86" i="28"/>
  <c r="L86" i="28" s="1"/>
  <c r="AU85" i="28"/>
  <c r="AT85" i="28"/>
  <c r="AR85" i="28"/>
  <c r="AQ85" i="28"/>
  <c r="AW85" i="28" s="1"/>
  <c r="AS85" i="28"/>
  <c r="E85" i="28"/>
  <c r="L85" i="28" s="1"/>
  <c r="AU84" i="28"/>
  <c r="AT84" i="28"/>
  <c r="AR84" i="28"/>
  <c r="AS84" i="28"/>
  <c r="E84" i="28"/>
  <c r="L84" i="28" s="1"/>
  <c r="AU83" i="28"/>
  <c r="AT83" i="28"/>
  <c r="AR83" i="28"/>
  <c r="AS83" i="28"/>
  <c r="E83" i="28"/>
  <c r="L83" i="28" s="1"/>
  <c r="AU82" i="28"/>
  <c r="AT82" i="28"/>
  <c r="AR82" i="28"/>
  <c r="AQ82" i="28"/>
  <c r="AW82" i="28" s="1"/>
  <c r="AS82" i="28"/>
  <c r="E82" i="28"/>
  <c r="L82" i="28" s="1"/>
  <c r="AU81" i="28"/>
  <c r="AT81" i="28"/>
  <c r="AS81" i="28"/>
  <c r="AR81" i="28"/>
  <c r="E81" i="28"/>
  <c r="L81" i="28" s="1"/>
  <c r="AU80" i="28"/>
  <c r="AT80" i="28"/>
  <c r="AR80" i="28"/>
  <c r="AQ80" i="28"/>
  <c r="AW80" i="28" s="1"/>
  <c r="E80" i="28"/>
  <c r="L80" i="28" s="1"/>
  <c r="AU79" i="28"/>
  <c r="AT79" i="28"/>
  <c r="AR79" i="28"/>
  <c r="AQ79" i="28"/>
  <c r="AW79" i="28" s="1"/>
  <c r="E79" i="28"/>
  <c r="L79" i="28" s="1"/>
  <c r="AU78" i="28"/>
  <c r="AT78" i="28"/>
  <c r="AR78" i="28"/>
  <c r="AQ78" i="28"/>
  <c r="AW78" i="28" s="1"/>
  <c r="AS78" i="28"/>
  <c r="E78" i="28"/>
  <c r="L78" i="28" s="1"/>
  <c r="AU77" i="28"/>
  <c r="AT77" i="28"/>
  <c r="AR77" i="28"/>
  <c r="AQ77" i="28"/>
  <c r="AW77" i="28" s="1"/>
  <c r="AS77" i="28"/>
  <c r="E77" i="28"/>
  <c r="L77" i="28" s="1"/>
  <c r="AU76" i="28"/>
  <c r="AT76" i="28"/>
  <c r="AR76" i="28"/>
  <c r="AS76" i="28"/>
  <c r="E76" i="28"/>
  <c r="L76" i="28" s="1"/>
  <c r="AU75" i="28"/>
  <c r="AT75" i="28"/>
  <c r="AR75" i="28"/>
  <c r="AQ75" i="28"/>
  <c r="AS75" i="28"/>
  <c r="E75" i="28"/>
  <c r="L75" i="28" s="1"/>
  <c r="AU74" i="28"/>
  <c r="AT74" i="28"/>
  <c r="AS74" i="28"/>
  <c r="AR74" i="28"/>
  <c r="AQ74" i="28"/>
  <c r="AW74" i="28" s="1"/>
  <c r="E74" i="28"/>
  <c r="L74" i="28" s="1"/>
  <c r="AU73" i="28"/>
  <c r="AT73" i="28"/>
  <c r="AR73" i="28"/>
  <c r="AQ73" i="28"/>
  <c r="AW73" i="28" s="1"/>
  <c r="AS73" i="28"/>
  <c r="E73" i="28"/>
  <c r="L73" i="28" s="1"/>
  <c r="AU72" i="28"/>
  <c r="AT72" i="28"/>
  <c r="AR72" i="28"/>
  <c r="AS72" i="28"/>
  <c r="E72" i="28"/>
  <c r="L72" i="28" s="1"/>
  <c r="AU71" i="28"/>
  <c r="AT71" i="28"/>
  <c r="AR71" i="28"/>
  <c r="AQ71" i="28"/>
  <c r="AW71" i="28" s="1"/>
  <c r="AS71" i="28"/>
  <c r="E71" i="28"/>
  <c r="L71" i="28" s="1"/>
  <c r="AU70" i="28"/>
  <c r="AT70" i="28"/>
  <c r="AS70" i="28"/>
  <c r="AR70" i="28"/>
  <c r="AQ70" i="28"/>
  <c r="AW70" i="28" s="1"/>
  <c r="E70" i="28"/>
  <c r="L70" i="28" s="1"/>
  <c r="AU69" i="28"/>
  <c r="AT69" i="28"/>
  <c r="AR69" i="28"/>
  <c r="AQ69" i="28"/>
  <c r="AW69" i="28" s="1"/>
  <c r="E69" i="28"/>
  <c r="L69" i="28" s="1"/>
  <c r="AU68" i="28"/>
  <c r="AT68" i="28"/>
  <c r="AS68" i="28"/>
  <c r="AR68" i="28"/>
  <c r="AQ68" i="28"/>
  <c r="AW68" i="28" s="1"/>
  <c r="E68" i="28"/>
  <c r="L68" i="28" s="1"/>
  <c r="AU67" i="28"/>
  <c r="AT67" i="28"/>
  <c r="AR67" i="28"/>
  <c r="AQ67" i="28"/>
  <c r="AW67" i="28" s="1"/>
  <c r="E67" i="28"/>
  <c r="L67" i="28" s="1"/>
  <c r="AU66" i="28"/>
  <c r="AT66" i="28"/>
  <c r="AS66" i="28"/>
  <c r="AR66" i="28"/>
  <c r="AQ66" i="28"/>
  <c r="AW66" i="28" s="1"/>
  <c r="E66" i="28"/>
  <c r="L66" i="28" s="1"/>
  <c r="AU65" i="28"/>
  <c r="AT65" i="28"/>
  <c r="AR65" i="28"/>
  <c r="AQ65" i="28"/>
  <c r="AW65" i="28" s="1"/>
  <c r="E65" i="28"/>
  <c r="L65" i="28" s="1"/>
  <c r="AU64" i="28"/>
  <c r="AT64" i="28"/>
  <c r="AR64" i="28"/>
  <c r="AQ64" i="28"/>
  <c r="AW64" i="28" s="1"/>
  <c r="E64" i="28"/>
  <c r="L64" i="28" s="1"/>
  <c r="AU63" i="28"/>
  <c r="AT63" i="28"/>
  <c r="AR63" i="28"/>
  <c r="AQ63" i="28"/>
  <c r="AW63" i="28" s="1"/>
  <c r="E63" i="28"/>
  <c r="L63" i="28" s="1"/>
  <c r="AU62" i="28"/>
  <c r="AT62" i="28"/>
  <c r="AR62" i="28"/>
  <c r="AQ62" i="28"/>
  <c r="AW62" i="28" s="1"/>
  <c r="E62" i="28"/>
  <c r="L62" i="28" s="1"/>
  <c r="AU61" i="28"/>
  <c r="AT61" i="28"/>
  <c r="AS61" i="28"/>
  <c r="AR61" i="28"/>
  <c r="AQ61" i="28"/>
  <c r="AW61" i="28" s="1"/>
  <c r="E61" i="28"/>
  <c r="L61" i="28" s="1"/>
  <c r="AU60" i="28"/>
  <c r="AT60" i="28"/>
  <c r="AS60" i="28"/>
  <c r="AR60" i="28"/>
  <c r="AQ60" i="28"/>
  <c r="AW60" i="28" s="1"/>
  <c r="E60" i="28"/>
  <c r="L60" i="28" s="1"/>
  <c r="AU59" i="28"/>
  <c r="AT59" i="28"/>
  <c r="AS59" i="28"/>
  <c r="AR59" i="28"/>
  <c r="AQ59" i="28"/>
  <c r="AW59" i="28" s="1"/>
  <c r="E59" i="28"/>
  <c r="L59" i="28" s="1"/>
  <c r="AU58" i="28"/>
  <c r="AT58" i="28"/>
  <c r="AS58" i="28"/>
  <c r="AR58" i="28"/>
  <c r="AQ58" i="28"/>
  <c r="AW58" i="28" s="1"/>
  <c r="E58" i="28"/>
  <c r="L58" i="28" s="1"/>
  <c r="AU57" i="28"/>
  <c r="AT57" i="28"/>
  <c r="AS57" i="28"/>
  <c r="AR57" i="28"/>
  <c r="AQ57" i="28"/>
  <c r="AW57" i="28" s="1"/>
  <c r="E57" i="28"/>
  <c r="L57" i="28" s="1"/>
  <c r="AU56" i="28"/>
  <c r="AT56" i="28"/>
  <c r="AR56" i="28"/>
  <c r="AQ56" i="28"/>
  <c r="AW56" i="28" s="1"/>
  <c r="E56" i="28"/>
  <c r="L56" i="28" s="1"/>
  <c r="AU55" i="28"/>
  <c r="AT55" i="28"/>
  <c r="AR55" i="28"/>
  <c r="AQ55" i="28"/>
  <c r="AW55" i="28" s="1"/>
  <c r="E55" i="28"/>
  <c r="L55" i="28" s="1"/>
  <c r="AU54" i="28"/>
  <c r="AT54" i="28"/>
  <c r="AS54" i="28"/>
  <c r="AR54" i="28"/>
  <c r="AQ54" i="28"/>
  <c r="AW54" i="28" s="1"/>
  <c r="E54" i="28"/>
  <c r="L54" i="28" s="1"/>
  <c r="AU53" i="28"/>
  <c r="AT53" i="28"/>
  <c r="AS53" i="28"/>
  <c r="AR53" i="28"/>
  <c r="AQ53" i="28"/>
  <c r="AW53" i="28" s="1"/>
  <c r="E53" i="28"/>
  <c r="L53" i="28" s="1"/>
  <c r="AU52" i="28"/>
  <c r="AT52" i="28"/>
  <c r="AR52" i="28"/>
  <c r="E52" i="28"/>
  <c r="L52" i="28" s="1"/>
  <c r="AU51" i="28"/>
  <c r="AT51" i="28"/>
  <c r="AR51" i="28"/>
  <c r="E51" i="28"/>
  <c r="L51" i="28" s="1"/>
  <c r="AU50" i="28"/>
  <c r="AT50" i="28"/>
  <c r="AR50" i="28"/>
  <c r="E50" i="28"/>
  <c r="L50" i="28" s="1"/>
  <c r="AU49" i="28"/>
  <c r="AT49" i="28"/>
  <c r="AR49" i="28"/>
  <c r="AQ49" i="28"/>
  <c r="E49" i="28"/>
  <c r="L49" i="28" s="1"/>
  <c r="AU48" i="28"/>
  <c r="AT48" i="28"/>
  <c r="AR48" i="28"/>
  <c r="AQ48" i="28"/>
  <c r="E48" i="28"/>
  <c r="L48" i="28" s="1"/>
  <c r="AU47" i="28"/>
  <c r="AT47" i="28"/>
  <c r="AR47" i="28"/>
  <c r="E47" i="28"/>
  <c r="L47" i="28" s="1"/>
  <c r="AU46" i="28"/>
  <c r="AT46" i="28"/>
  <c r="AR46" i="28"/>
  <c r="E46" i="28"/>
  <c r="L46" i="28" s="1"/>
  <c r="AU45" i="28"/>
  <c r="AT45" i="28"/>
  <c r="AR45" i="28"/>
  <c r="E45" i="28"/>
  <c r="L45" i="28" s="1"/>
  <c r="AU44" i="28"/>
  <c r="AT44" i="28"/>
  <c r="AR44" i="28"/>
  <c r="E44" i="28"/>
  <c r="L44" i="28" s="1"/>
  <c r="AU43" i="28"/>
  <c r="AT43" i="28"/>
  <c r="AR43" i="28"/>
  <c r="E43" i="28"/>
  <c r="L43" i="28" s="1"/>
  <c r="AU42" i="28"/>
  <c r="AT42" i="28"/>
  <c r="AR42" i="28"/>
  <c r="E42" i="28"/>
  <c r="L42" i="28" s="1"/>
  <c r="AU41" i="28"/>
  <c r="AT41" i="28"/>
  <c r="AR41" i="28"/>
  <c r="E41" i="28"/>
  <c r="L41" i="28" s="1"/>
  <c r="AU40" i="28"/>
  <c r="AT40" i="28"/>
  <c r="AR40" i="28"/>
  <c r="E40" i="28"/>
  <c r="L40" i="28" s="1"/>
  <c r="AU39" i="28"/>
  <c r="AT39" i="28"/>
  <c r="AR39" i="28"/>
  <c r="E39" i="28"/>
  <c r="L39" i="28" s="1"/>
  <c r="AU38" i="28"/>
  <c r="AT38" i="28"/>
  <c r="AR38" i="28"/>
  <c r="E38" i="28"/>
  <c r="L38" i="28" s="1"/>
  <c r="AU37" i="28"/>
  <c r="AT37" i="28"/>
  <c r="AR37" i="28"/>
  <c r="E37" i="28"/>
  <c r="L37" i="28" s="1"/>
  <c r="AU36" i="28"/>
  <c r="AT36" i="28"/>
  <c r="AR36" i="28"/>
  <c r="E36" i="28"/>
  <c r="L36" i="28" s="1"/>
  <c r="AU35" i="28"/>
  <c r="AT35" i="28"/>
  <c r="AR35" i="28"/>
  <c r="E35" i="28"/>
  <c r="L35" i="28" s="1"/>
  <c r="AU34" i="28"/>
  <c r="AT34" i="28"/>
  <c r="AR34" i="28"/>
  <c r="E34" i="28"/>
  <c r="L34" i="28" s="1"/>
  <c r="AU33" i="28"/>
  <c r="AT33" i="28"/>
  <c r="AR33" i="28"/>
  <c r="E33" i="28"/>
  <c r="L33" i="28" s="1"/>
  <c r="AU32" i="28"/>
  <c r="AT32" i="28"/>
  <c r="AR32" i="28"/>
  <c r="E32" i="28"/>
  <c r="L32" i="28" s="1"/>
  <c r="AU31" i="28"/>
  <c r="AT31" i="28"/>
  <c r="AR31" i="28"/>
  <c r="E31" i="28"/>
  <c r="L31" i="28" s="1"/>
  <c r="AU30" i="28"/>
  <c r="AT30" i="28"/>
  <c r="AR30" i="28"/>
  <c r="E30" i="28"/>
  <c r="L30" i="28" s="1"/>
  <c r="AU29" i="28"/>
  <c r="AT29" i="28"/>
  <c r="AR29" i="28"/>
  <c r="L29" i="28"/>
  <c r="E29" i="28"/>
  <c r="AU28" i="28"/>
  <c r="AT28" i="28"/>
  <c r="AR28" i="28"/>
  <c r="E28" i="28"/>
  <c r="L28" i="28" s="1"/>
  <c r="AU27" i="28"/>
  <c r="AT27" i="28"/>
  <c r="AR27" i="28"/>
  <c r="E27" i="28"/>
  <c r="L27" i="28" s="1"/>
  <c r="AU26" i="28"/>
  <c r="AT26" i="28"/>
  <c r="AR26" i="28"/>
  <c r="AQ26" i="28"/>
  <c r="AW26" i="28" s="1"/>
  <c r="E26" i="28"/>
  <c r="L26" i="28" s="1"/>
  <c r="AU25" i="28"/>
  <c r="AT25" i="28"/>
  <c r="AR25" i="28"/>
  <c r="E25" i="28"/>
  <c r="L25" i="28" s="1"/>
  <c r="AU24" i="28"/>
  <c r="AT24" i="28"/>
  <c r="AR24" i="28"/>
  <c r="AQ24" i="28"/>
  <c r="AW24" i="28" s="1"/>
  <c r="E24" i="28"/>
  <c r="L24" i="28" s="1"/>
  <c r="AU23" i="28"/>
  <c r="AT23" i="28"/>
  <c r="AR23" i="28"/>
  <c r="E23" i="28"/>
  <c r="L23" i="28" s="1"/>
  <c r="AU22" i="28"/>
  <c r="AT22" i="28"/>
  <c r="AR22" i="28"/>
  <c r="AQ22" i="28"/>
  <c r="AW22" i="28" s="1"/>
  <c r="E22" i="28"/>
  <c r="L22" i="28" s="1"/>
  <c r="AU21" i="28"/>
  <c r="AT21" i="28"/>
  <c r="AR21" i="28"/>
  <c r="E21" i="28"/>
  <c r="L21" i="28" s="1"/>
  <c r="AU20" i="28"/>
  <c r="AT20" i="28"/>
  <c r="AR20" i="28"/>
  <c r="AQ20" i="28"/>
  <c r="E20" i="28"/>
  <c r="L20" i="28" s="1"/>
  <c r="AU19" i="28"/>
  <c r="AT19" i="28"/>
  <c r="AR19" i="28"/>
  <c r="AQ19" i="28"/>
  <c r="AW19" i="28" s="1"/>
  <c r="E19" i="28"/>
  <c r="L19" i="28" s="1"/>
  <c r="AU18" i="28"/>
  <c r="AT18" i="28"/>
  <c r="AS18" i="28"/>
  <c r="AR18" i="28"/>
  <c r="E18" i="28"/>
  <c r="L18" i="28" s="1"/>
  <c r="AU17" i="28"/>
  <c r="AT17" i="28"/>
  <c r="AR17" i="28"/>
  <c r="AQ17" i="28"/>
  <c r="E17" i="28"/>
  <c r="L17" i="28" s="1"/>
  <c r="AU16" i="28"/>
  <c r="AT16" i="28"/>
  <c r="AR16" i="28"/>
  <c r="E16" i="28"/>
  <c r="L16" i="28" s="1"/>
  <c r="AU15" i="28"/>
  <c r="AT15" i="28"/>
  <c r="AR15" i="28"/>
  <c r="E15" i="28"/>
  <c r="L15" i="28" s="1"/>
  <c r="AU14" i="28"/>
  <c r="AT14" i="28"/>
  <c r="AR14" i="28"/>
  <c r="AQ14" i="28"/>
  <c r="E14" i="28"/>
  <c r="L14" i="28" s="1"/>
  <c r="AU13" i="28"/>
  <c r="AT13" i="28"/>
  <c r="AR13" i="28"/>
  <c r="AQ13" i="28"/>
  <c r="AS13" i="28"/>
  <c r="E13" i="28"/>
  <c r="L13" i="28" s="1"/>
  <c r="AU12" i="28"/>
  <c r="AT12" i="28"/>
  <c r="AS12" i="28"/>
  <c r="AR12" i="28"/>
  <c r="AQ12" i="28"/>
  <c r="E12" i="28"/>
  <c r="L12" i="28" s="1"/>
  <c r="AU11" i="28"/>
  <c r="AT11" i="28"/>
  <c r="AR11" i="28"/>
  <c r="AS11" i="28"/>
  <c r="E11" i="28"/>
  <c r="L11" i="28" s="1"/>
  <c r="AU10" i="28"/>
  <c r="AT10" i="28"/>
  <c r="AR10" i="28"/>
  <c r="E10" i="28"/>
  <c r="L10" i="28" s="1"/>
  <c r="AU9" i="28"/>
  <c r="AT9" i="28"/>
  <c r="AS9" i="28"/>
  <c r="AR9" i="28"/>
  <c r="E9" i="28"/>
  <c r="L9" i="28" s="1"/>
  <c r="AU8" i="28"/>
  <c r="AT8" i="28"/>
  <c r="AR8" i="28"/>
  <c r="AS8" i="28"/>
  <c r="E8" i="28"/>
  <c r="L8" i="28" s="1"/>
  <c r="AU7" i="28"/>
  <c r="AT7" i="28"/>
  <c r="AS7" i="28"/>
  <c r="AR7" i="28"/>
  <c r="E7" i="28"/>
  <c r="L7" i="28" s="1"/>
  <c r="AT6" i="28"/>
  <c r="AR6" i="28"/>
  <c r="AI100" i="28"/>
  <c r="AI121" i="28" s="1"/>
  <c r="E6" i="28"/>
  <c r="L6" i="28" s="1"/>
  <c r="AU5" i="28"/>
  <c r="AT5" i="28"/>
  <c r="AR5" i="28"/>
  <c r="E5" i="28"/>
  <c r="L5" i="28" s="1"/>
  <c r="AU4" i="28"/>
  <c r="AT4" i="28"/>
  <c r="AR4" i="28"/>
  <c r="E4" i="28"/>
  <c r="L4" i="28" s="1"/>
  <c r="AU3" i="28"/>
  <c r="AT3" i="28"/>
  <c r="AR3" i="28"/>
  <c r="AB3" i="28"/>
  <c r="AA3" i="28"/>
  <c r="X3" i="28"/>
  <c r="U3" i="28"/>
  <c r="E3" i="28"/>
  <c r="L3" i="28" s="1"/>
  <c r="F88" i="37" l="1"/>
  <c r="E89" i="37"/>
  <c r="E63" i="37"/>
  <c r="F62" i="37"/>
  <c r="G73" i="37"/>
  <c r="G22" i="37"/>
  <c r="O4" i="3"/>
  <c r="AK4" i="3" s="1"/>
  <c r="L75" i="37"/>
  <c r="M75" i="37" s="1"/>
  <c r="M74" i="37"/>
  <c r="G59" i="36"/>
  <c r="G74" i="36"/>
  <c r="G60" i="36"/>
  <c r="G75" i="36"/>
  <c r="F74" i="36"/>
  <c r="E75" i="36"/>
  <c r="F75" i="36" s="1"/>
  <c r="G63" i="32"/>
  <c r="G54" i="32"/>
  <c r="L65" i="32"/>
  <c r="M64" i="32"/>
  <c r="M90" i="32"/>
  <c r="L91" i="32"/>
  <c r="L4" i="3"/>
  <c r="S121" i="28"/>
  <c r="H4" i="3"/>
  <c r="AL91" i="28"/>
  <c r="AO91" i="28" s="1"/>
  <c r="AV91" i="28" s="1" a="1"/>
  <c r="AV91" i="28" s="1"/>
  <c r="AZ91" i="28" s="1"/>
  <c r="AL32" i="28"/>
  <c r="AO32" i="28" s="1"/>
  <c r="AL33" i="28"/>
  <c r="AO33" i="28" s="1"/>
  <c r="AL63" i="28"/>
  <c r="AO63" i="28" s="1"/>
  <c r="AL46" i="28"/>
  <c r="AO46" i="28" s="1"/>
  <c r="AL45" i="28"/>
  <c r="AO45" i="28" s="1"/>
  <c r="AL28" i="28"/>
  <c r="AL115" i="28"/>
  <c r="AO115" i="28" s="1"/>
  <c r="AL27" i="28"/>
  <c r="AO27" i="28" s="1"/>
  <c r="AV27" i="28" s="1" a="1"/>
  <c r="AV27" i="28" s="1"/>
  <c r="AL42" i="28"/>
  <c r="AO42" i="28" s="1"/>
  <c r="AL49" i="28"/>
  <c r="AO49" i="28" s="1"/>
  <c r="AL52" i="28"/>
  <c r="AO52" i="28" s="1"/>
  <c r="AL65" i="28"/>
  <c r="AO65" i="28" s="1"/>
  <c r="AL83" i="28"/>
  <c r="AO83" i="28" s="1"/>
  <c r="AL24" i="28"/>
  <c r="AL25" i="28"/>
  <c r="AO25" i="28" s="1"/>
  <c r="AL55" i="28"/>
  <c r="AO55" i="28" s="1"/>
  <c r="AV55" i="28" s="1" a="1"/>
  <c r="AV55" i="28" s="1"/>
  <c r="AZ55" i="28" s="1"/>
  <c r="AL38" i="28"/>
  <c r="AO38" i="28" s="1"/>
  <c r="AL37" i="28"/>
  <c r="AO37" i="28" s="1"/>
  <c r="AL20" i="28"/>
  <c r="AO20" i="28" s="1"/>
  <c r="AL98" i="28"/>
  <c r="AO98" i="28" s="1"/>
  <c r="AL34" i="28"/>
  <c r="AO34" i="28" s="1"/>
  <c r="AL106" i="28"/>
  <c r="AO106" i="28" s="1"/>
  <c r="AL44" i="28"/>
  <c r="AO44" i="28" s="1"/>
  <c r="AL59" i="28"/>
  <c r="AO59" i="28" s="1"/>
  <c r="AL105" i="28"/>
  <c r="AO105" i="28" s="1"/>
  <c r="AL75" i="28"/>
  <c r="AO75" i="28" s="1"/>
  <c r="AL16" i="28"/>
  <c r="AO16" i="28" s="1"/>
  <c r="AL17" i="28"/>
  <c r="AO17" i="28" s="1"/>
  <c r="AV17" i="28" s="1" a="1"/>
  <c r="AV17" i="28" s="1"/>
  <c r="AL47" i="28"/>
  <c r="AO47" i="28" s="1"/>
  <c r="AL94" i="28"/>
  <c r="AL30" i="28"/>
  <c r="AO30" i="28" s="1"/>
  <c r="AL93" i="28"/>
  <c r="AO93" i="28" s="1"/>
  <c r="AL29" i="28"/>
  <c r="AO29" i="28" s="1"/>
  <c r="AL12" i="28"/>
  <c r="AO12" i="28" s="1"/>
  <c r="AL90" i="28"/>
  <c r="AO90" i="28" s="1"/>
  <c r="AL26" i="28"/>
  <c r="AO26" i="28" s="1"/>
  <c r="AL113" i="28"/>
  <c r="AO113" i="28" s="1"/>
  <c r="AL112" i="28"/>
  <c r="AL51" i="28"/>
  <c r="AO51" i="28" s="1"/>
  <c r="AL95" i="28"/>
  <c r="AO95" i="28" s="1"/>
  <c r="AL67" i="28"/>
  <c r="AO67" i="28" s="1"/>
  <c r="AL8" i="28"/>
  <c r="AO8" i="28" s="1"/>
  <c r="AL9" i="28"/>
  <c r="AO9" i="28" s="1"/>
  <c r="AL39" i="28"/>
  <c r="AO39" i="28" s="1"/>
  <c r="AL86" i="28"/>
  <c r="AO86" i="28" s="1"/>
  <c r="AL22" i="28"/>
  <c r="AL85" i="28"/>
  <c r="AO85" i="28" s="1"/>
  <c r="AL21" i="28"/>
  <c r="AO21" i="28" s="1"/>
  <c r="AV21" i="28" s="1" a="1"/>
  <c r="AV21" i="28" s="1"/>
  <c r="AL4" i="28"/>
  <c r="AO4" i="28" s="1"/>
  <c r="AL82" i="28"/>
  <c r="AO82" i="28" s="1"/>
  <c r="AL18" i="28"/>
  <c r="AO18" i="28" s="1"/>
  <c r="AL92" i="28"/>
  <c r="AO92" i="28" s="1"/>
  <c r="AL43" i="28"/>
  <c r="AO43" i="28" s="1"/>
  <c r="AL87" i="28"/>
  <c r="AL64" i="28"/>
  <c r="AO64" i="28" s="1"/>
  <c r="AL23" i="28"/>
  <c r="AO23" i="28" s="1"/>
  <c r="AV23" i="28" s="1" a="1"/>
  <c r="AV23" i="28" s="1"/>
  <c r="AL96" i="28"/>
  <c r="AO96" i="28" s="1"/>
  <c r="AL31" i="28"/>
  <c r="AO31" i="28" s="1"/>
  <c r="AL78" i="28"/>
  <c r="AO78" i="28" s="1"/>
  <c r="AL14" i="28"/>
  <c r="AO14" i="28" s="1"/>
  <c r="AV14" i="28" s="1" a="1"/>
  <c r="AV14" i="28" s="1"/>
  <c r="AW14" i="28" s="1"/>
  <c r="AL77" i="28"/>
  <c r="AO77" i="28" s="1"/>
  <c r="AL13" i="28"/>
  <c r="AL116" i="28"/>
  <c r="AO116" i="28" s="1"/>
  <c r="AV116" i="28" s="1" a="1"/>
  <c r="AV116" i="28" s="1"/>
  <c r="AZ116" i="28" s="1"/>
  <c r="AL74" i="28"/>
  <c r="AO74" i="28" s="1"/>
  <c r="AV74" i="28" s="1" a="1"/>
  <c r="AV74" i="28" s="1"/>
  <c r="AZ74" i="28" s="1"/>
  <c r="AL10" i="28"/>
  <c r="AO10" i="28" s="1"/>
  <c r="AL84" i="28"/>
  <c r="AO84" i="28" s="1"/>
  <c r="AL97" i="28"/>
  <c r="AO97" i="28" s="1"/>
  <c r="AL79" i="28"/>
  <c r="AO79" i="28" s="1"/>
  <c r="AL56" i="28"/>
  <c r="AO56" i="28" s="1"/>
  <c r="AL15" i="28"/>
  <c r="AL88" i="28"/>
  <c r="AO88" i="28" s="1"/>
  <c r="AL104" i="28"/>
  <c r="AO104" i="28" s="1"/>
  <c r="AV104" i="28" s="1" a="1"/>
  <c r="AV104" i="28" s="1"/>
  <c r="AL70" i="28"/>
  <c r="AO70" i="28" s="1"/>
  <c r="AL6" i="28"/>
  <c r="AO6" i="28" s="1"/>
  <c r="AL69" i="28"/>
  <c r="AO69" i="28" s="1"/>
  <c r="AL5" i="28"/>
  <c r="AO5" i="28" s="1"/>
  <c r="AL19" i="28"/>
  <c r="AO19" i="28" s="1"/>
  <c r="AL66" i="28"/>
  <c r="AL110" i="28"/>
  <c r="AO110" i="28" s="1"/>
  <c r="AL76" i="28"/>
  <c r="AO76" i="28" s="1"/>
  <c r="AV76" i="28" s="1" a="1"/>
  <c r="AV76" i="28" s="1"/>
  <c r="AL89" i="28"/>
  <c r="AO89" i="28" s="1"/>
  <c r="AL71" i="28"/>
  <c r="AO71" i="28" s="1"/>
  <c r="AL48" i="28"/>
  <c r="AO48" i="28" s="1"/>
  <c r="AL7" i="28"/>
  <c r="AO7" i="28" s="1"/>
  <c r="AV7" i="28" s="1" a="1"/>
  <c r="AV7" i="28" s="1"/>
  <c r="AL80" i="28"/>
  <c r="AO80" i="28" s="1"/>
  <c r="AL62" i="28"/>
  <c r="AL103" i="28"/>
  <c r="AO103" i="28" s="1"/>
  <c r="AL61" i="28"/>
  <c r="AO61" i="28" s="1"/>
  <c r="AV61" i="28" s="1" a="1"/>
  <c r="AV61" i="28" s="1"/>
  <c r="AZ61" i="28" s="1"/>
  <c r="AL117" i="28"/>
  <c r="AO117" i="28" s="1"/>
  <c r="AL11" i="28"/>
  <c r="AO11" i="28" s="1"/>
  <c r="AL58" i="28"/>
  <c r="AO58" i="28" s="1"/>
  <c r="AL114" i="28"/>
  <c r="AO114" i="28" s="1"/>
  <c r="AL68" i="28"/>
  <c r="AO68" i="28" s="1"/>
  <c r="AL81" i="28"/>
  <c r="AL111" i="28"/>
  <c r="AO111" i="28" s="1"/>
  <c r="AL40" i="28"/>
  <c r="AO40" i="28" s="1"/>
  <c r="AL41" i="28"/>
  <c r="AO41" i="28" s="1"/>
  <c r="AL72" i="28"/>
  <c r="AO72" i="28" s="1"/>
  <c r="AL54" i="28"/>
  <c r="AO54" i="28" s="1"/>
  <c r="AL53" i="28"/>
  <c r="AO53" i="28" s="1"/>
  <c r="AV53" i="28" s="1" a="1"/>
  <c r="AV53" i="28" s="1"/>
  <c r="AZ53" i="28" s="1"/>
  <c r="AL36" i="28"/>
  <c r="AO36" i="28" s="1"/>
  <c r="AL102" i="28"/>
  <c r="AO102" i="28" s="1"/>
  <c r="AL35" i="28"/>
  <c r="AO35" i="28" s="1"/>
  <c r="AL50" i="28"/>
  <c r="AO50" i="28" s="1"/>
  <c r="AV50" i="28" s="1" a="1"/>
  <c r="AV50" i="28" s="1"/>
  <c r="AL57" i="28"/>
  <c r="AO57" i="28" s="1"/>
  <c r="AL60" i="28"/>
  <c r="AO60" i="28" s="1"/>
  <c r="AL73" i="28"/>
  <c r="AO73" i="28" s="1"/>
  <c r="Z121" i="28"/>
  <c r="AU119" i="28"/>
  <c r="AK121" i="28"/>
  <c r="AJ121" i="28"/>
  <c r="AG121" i="28"/>
  <c r="W121" i="28"/>
  <c r="AS3" i="28"/>
  <c r="R3" i="28"/>
  <c r="AD3" i="28"/>
  <c r="AB108" i="28"/>
  <c r="E20" i="16"/>
  <c r="F19" i="16"/>
  <c r="L21" i="16"/>
  <c r="M20" i="16"/>
  <c r="AM121" i="28"/>
  <c r="AT118" i="28"/>
  <c r="AA119" i="28"/>
  <c r="AF119" i="28" s="1"/>
  <c r="Y121" i="28"/>
  <c r="AA100" i="28"/>
  <c r="AF100" i="28" s="1"/>
  <c r="X108" i="28"/>
  <c r="AS111" i="28"/>
  <c r="AS114" i="28"/>
  <c r="AS117" i="28"/>
  <c r="AQ118" i="28"/>
  <c r="AS116" i="28"/>
  <c r="AU118" i="28"/>
  <c r="AU108" i="28"/>
  <c r="AQ11" i="28"/>
  <c r="AS79" i="28"/>
  <c r="AS87" i="28"/>
  <c r="AS14" i="28"/>
  <c r="AS56" i="28"/>
  <c r="AS63" i="28"/>
  <c r="AQ72" i="28"/>
  <c r="AW72" i="28" s="1"/>
  <c r="AQ76" i="28"/>
  <c r="AW76" i="28" s="1"/>
  <c r="AQ84" i="28"/>
  <c r="AW84" i="28" s="1"/>
  <c r="AS15" i="28"/>
  <c r="AQ16" i="28"/>
  <c r="AS17" i="28"/>
  <c r="AQ21" i="28"/>
  <c r="AW21" i="28" s="1"/>
  <c r="AS65" i="28"/>
  <c r="AQ83" i="28"/>
  <c r="AW83" i="28" s="1"/>
  <c r="T121" i="28"/>
  <c r="AT99" i="28"/>
  <c r="AS80" i="28"/>
  <c r="AS10" i="28"/>
  <c r="AS19" i="28"/>
  <c r="AQ23" i="28"/>
  <c r="AW23" i="28" s="1"/>
  <c r="AQ25" i="28"/>
  <c r="AW25" i="28" s="1"/>
  <c r="AS16" i="28"/>
  <c r="AQ27" i="28"/>
  <c r="AW27" i="28" s="1"/>
  <c r="AS67" i="28"/>
  <c r="AS69" i="28"/>
  <c r="AQ81" i="28"/>
  <c r="AW81" i="28" s="1"/>
  <c r="AQ15" i="28"/>
  <c r="AS49" i="28"/>
  <c r="AS55" i="28"/>
  <c r="AS62" i="28"/>
  <c r="AS64" i="28"/>
  <c r="N121" i="28"/>
  <c r="AB119" i="28"/>
  <c r="AV9" i="28" a="1"/>
  <c r="AV9" i="28" s="1"/>
  <c r="AV30" i="28" a="1"/>
  <c r="AV30" i="28" s="1"/>
  <c r="AZ30" i="28" s="1"/>
  <c r="AV12" i="28" a="1"/>
  <c r="AV12" i="28" s="1"/>
  <c r="AX12" i="28" s="1"/>
  <c r="AV25" i="28" a="1"/>
  <c r="AV25" i="28" s="1"/>
  <c r="AV19" i="28" a="1"/>
  <c r="AV19" i="28" s="1"/>
  <c r="AV29" i="28" a="1"/>
  <c r="AV29" i="28" s="1"/>
  <c r="AZ29" i="28" s="1"/>
  <c r="AV52" i="28" a="1"/>
  <c r="AV52" i="28" s="1"/>
  <c r="AZ52" i="28" s="1"/>
  <c r="AV10" i="28" a="1"/>
  <c r="AV10" i="28" s="1"/>
  <c r="AZ10" i="28" s="1"/>
  <c r="AV18" i="28" a="1"/>
  <c r="AV18" i="28" s="1"/>
  <c r="AV58" i="28" a="1"/>
  <c r="AV58" i="28" s="1"/>
  <c r="AZ58" i="28" s="1"/>
  <c r="AL3" i="28"/>
  <c r="AV26" i="28" a="1"/>
  <c r="AV26" i="28" s="1"/>
  <c r="AV54" i="28" a="1"/>
  <c r="AV54" i="28" s="1"/>
  <c r="AZ54" i="28" s="1"/>
  <c r="AV57" i="28" a="1"/>
  <c r="AV57" i="28" s="1"/>
  <c r="AZ57" i="28" s="1"/>
  <c r="AV60" i="28" a="1"/>
  <c r="AV60" i="28" s="1"/>
  <c r="AZ60" i="28" s="1"/>
  <c r="AV56" i="28" a="1"/>
  <c r="AV56" i="28" s="1"/>
  <c r="AZ56" i="28" s="1"/>
  <c r="AV20" i="28" a="1"/>
  <c r="AV20" i="28" s="1"/>
  <c r="AW20" i="28" s="1"/>
  <c r="AV34" i="28" a="1"/>
  <c r="AV34" i="28" s="1"/>
  <c r="AV16" i="28" a="1"/>
  <c r="AV16" i="28" s="1"/>
  <c r="AV77" i="28" a="1"/>
  <c r="AV77" i="28" s="1"/>
  <c r="AZ77" i="28" s="1"/>
  <c r="AV78" i="28" a="1"/>
  <c r="AV78" i="28" s="1"/>
  <c r="AZ78" i="28" s="1"/>
  <c r="E108" i="28"/>
  <c r="L108" i="28"/>
  <c r="AV63" i="28" a="1"/>
  <c r="AV63" i="28" s="1"/>
  <c r="AV72" i="28" a="1"/>
  <c r="AV72" i="28" s="1"/>
  <c r="AZ72" i="28" s="1"/>
  <c r="AV73" i="28" a="1"/>
  <c r="AV73" i="28" s="1"/>
  <c r="AV11" i="28" a="1"/>
  <c r="AV11" i="28" s="1"/>
  <c r="AV5" i="28" a="1"/>
  <c r="AV5" i="28" s="1"/>
  <c r="X100" i="28"/>
  <c r="AQ4" i="28"/>
  <c r="AQ5" i="28"/>
  <c r="AV8" i="28" a="1"/>
  <c r="AV8" i="28" s="1"/>
  <c r="AQ10" i="28"/>
  <c r="AQ7" i="28"/>
  <c r="AQ3" i="28"/>
  <c r="AQ6" i="28"/>
  <c r="AQ9" i="28"/>
  <c r="AS5" i="28"/>
  <c r="AB100" i="28"/>
  <c r="AS4" i="28"/>
  <c r="AR99" i="28"/>
  <c r="E100" i="28"/>
  <c r="AS6" i="28"/>
  <c r="AQ8" i="28"/>
  <c r="L100" i="28"/>
  <c r="AF3" i="28"/>
  <c r="AU6" i="28"/>
  <c r="AU99" i="28"/>
  <c r="AV51" i="28" a="1"/>
  <c r="AV51" i="28" s="1"/>
  <c r="U100" i="28"/>
  <c r="AN100" i="28"/>
  <c r="AC4" i="3" s="1"/>
  <c r="AQ29" i="28"/>
  <c r="AQ30" i="28"/>
  <c r="AQ31" i="28"/>
  <c r="AW31" i="28" s="1"/>
  <c r="AQ32" i="28"/>
  <c r="AQ33" i="28"/>
  <c r="AW33" i="28" s="1"/>
  <c r="AQ34" i="28"/>
  <c r="AW34" i="28" s="1"/>
  <c r="AQ35" i="28"/>
  <c r="AW35" i="28" s="1"/>
  <c r="AQ36" i="28"/>
  <c r="AW36" i="28" s="1"/>
  <c r="AQ37" i="28"/>
  <c r="AW37" i="28" s="1"/>
  <c r="AQ38" i="28"/>
  <c r="AW38" i="28" s="1"/>
  <c r="AQ39" i="28"/>
  <c r="AW39" i="28" s="1"/>
  <c r="AQ40" i="28"/>
  <c r="AW40" i="28" s="1"/>
  <c r="AQ41" i="28"/>
  <c r="AW41" i="28" s="1"/>
  <c r="AQ42" i="28"/>
  <c r="AW42" i="28" s="1"/>
  <c r="AQ43" i="28"/>
  <c r="AW43" i="28" s="1"/>
  <c r="AQ44" i="28"/>
  <c r="AW44" i="28" s="1"/>
  <c r="AQ45" i="28"/>
  <c r="AQ46" i="28"/>
  <c r="AW46" i="28" s="1"/>
  <c r="AQ47" i="28"/>
  <c r="AS51" i="28"/>
  <c r="AQ18" i="28"/>
  <c r="AQ28" i="28"/>
  <c r="AS48" i="28"/>
  <c r="AQ50" i="28"/>
  <c r="AQ52" i="28"/>
  <c r="AW52" i="28" s="1"/>
  <c r="AS29" i="28"/>
  <c r="AS30" i="28"/>
  <c r="AS31" i="28"/>
  <c r="AS32" i="28"/>
  <c r="AS33" i="28"/>
  <c r="AS34" i="28"/>
  <c r="AS35" i="28"/>
  <c r="AS36" i="28"/>
  <c r="AS37" i="28"/>
  <c r="AS38" i="28"/>
  <c r="AS39" i="28"/>
  <c r="AS40" i="28"/>
  <c r="AS41" i="28"/>
  <c r="AS42" i="28"/>
  <c r="AS43" i="28"/>
  <c r="AS44" i="28"/>
  <c r="AS45" i="28"/>
  <c r="AS46" i="28"/>
  <c r="AS47" i="28"/>
  <c r="AU121" i="28"/>
  <c r="AS20" i="28"/>
  <c r="AS21" i="28"/>
  <c r="AS22" i="28"/>
  <c r="AS23" i="28"/>
  <c r="AS24" i="28"/>
  <c r="AS25" i="28"/>
  <c r="AS26" i="28"/>
  <c r="AS27" i="28"/>
  <c r="AS28" i="28"/>
  <c r="AV36" i="28" a="1"/>
  <c r="AV36" i="28" s="1"/>
  <c r="AV37" i="28" a="1"/>
  <c r="AV37" i="28" s="1"/>
  <c r="AV44" i="28" a="1"/>
  <c r="AV44" i="28" s="1"/>
  <c r="AV45" i="28" a="1"/>
  <c r="AV45" i="28" s="1"/>
  <c r="AV48" i="28" a="1"/>
  <c r="AV48" i="28" s="1"/>
  <c r="AW48" i="28" s="1"/>
  <c r="AS50" i="28"/>
  <c r="AS52" i="28"/>
  <c r="AQ51" i="28"/>
  <c r="AV64" i="28" a="1"/>
  <c r="AV64" i="28" s="1"/>
  <c r="AV65" i="28" a="1"/>
  <c r="AV65" i="28" s="1"/>
  <c r="AV68" i="28" a="1"/>
  <c r="AV68" i="28" s="1"/>
  <c r="AZ68" i="28" s="1"/>
  <c r="AV69" i="28" a="1"/>
  <c r="AV69" i="28" s="1"/>
  <c r="AZ69" i="28" s="1"/>
  <c r="AV70" i="28" a="1"/>
  <c r="AV70" i="28" s="1"/>
  <c r="AV71" i="28" a="1"/>
  <c r="AV71" i="28" s="1"/>
  <c r="AV75" i="28" a="1"/>
  <c r="AV75" i="28" s="1"/>
  <c r="AV79" i="28" a="1"/>
  <c r="AV79" i="28" s="1"/>
  <c r="AZ79" i="28" s="1"/>
  <c r="AN108" i="28"/>
  <c r="AC5" i="3" s="1"/>
  <c r="AF5" i="3" s="1"/>
  <c r="AS105" i="28"/>
  <c r="AV115" i="28" a="1"/>
  <c r="AV115" i="28" s="1"/>
  <c r="AZ115" i="28" s="1"/>
  <c r="V121" i="28"/>
  <c r="AW102" i="28"/>
  <c r="AS104" i="28"/>
  <c r="AV97" i="28" a="1"/>
  <c r="AV97" i="28" s="1"/>
  <c r="AZ97" i="28" s="1"/>
  <c r="AV96" i="28" a="1"/>
  <c r="AV96" i="28" s="1"/>
  <c r="AZ96" i="28" s="1"/>
  <c r="AV95" i="28" a="1"/>
  <c r="AV95" i="28" s="1"/>
  <c r="AZ95" i="28" s="1"/>
  <c r="AV92" i="28" a="1"/>
  <c r="AV92" i="28" s="1"/>
  <c r="AZ92" i="28" s="1"/>
  <c r="AV90" i="28" a="1"/>
  <c r="AV90" i="28" s="1"/>
  <c r="AZ90" i="28" s="1"/>
  <c r="AV89" i="28" a="1"/>
  <c r="AV89" i="28" s="1"/>
  <c r="AZ89" i="28" s="1"/>
  <c r="AV88" i="28" a="1"/>
  <c r="AV88" i="28" s="1"/>
  <c r="AZ88" i="28" s="1"/>
  <c r="AV86" i="28" a="1"/>
  <c r="AV86" i="28" s="1"/>
  <c r="AZ86" i="28" s="1"/>
  <c r="AV85" i="28" a="1"/>
  <c r="AV85" i="28" s="1"/>
  <c r="AZ85" i="28" s="1"/>
  <c r="AV84" i="28" a="1"/>
  <c r="AV84" i="28" s="1"/>
  <c r="AZ84" i="28" s="1"/>
  <c r="AV83" i="28" a="1"/>
  <c r="AV83" i="28" s="1"/>
  <c r="AZ83" i="28" s="1"/>
  <c r="AV82" i="28" a="1"/>
  <c r="AV82" i="28" s="1"/>
  <c r="AZ82" i="28" s="1"/>
  <c r="AS103" i="28"/>
  <c r="L119" i="28"/>
  <c r="AW110" i="28"/>
  <c r="AW118" i="28" s="1"/>
  <c r="AV117" i="28" a="1"/>
  <c r="AV117" i="28" s="1"/>
  <c r="AZ117" i="28" s="1"/>
  <c r="AV80" i="28" a="1"/>
  <c r="AV80" i="28" s="1"/>
  <c r="AZ80" i="28" s="1"/>
  <c r="U108" i="28"/>
  <c r="AS102" i="28"/>
  <c r="AT107" i="28"/>
  <c r="AV111" i="28" a="1"/>
  <c r="AV111" i="28" s="1"/>
  <c r="AZ111" i="28" s="1"/>
  <c r="AA108" i="28"/>
  <c r="AD108" i="28"/>
  <c r="AS106" i="28"/>
  <c r="AV113" i="28" a="1"/>
  <c r="AV113" i="28" s="1"/>
  <c r="AZ113" i="28" s="1"/>
  <c r="X119" i="28"/>
  <c r="AU100" i="28"/>
  <c r="AQ104" i="28"/>
  <c r="AW104" i="28" s="1"/>
  <c r="AV114" i="28" a="1"/>
  <c r="AV114" i="28" s="1"/>
  <c r="AZ114" i="28" s="1"/>
  <c r="AE121" i="28"/>
  <c r="E119" i="28"/>
  <c r="AR118" i="28"/>
  <c r="U119" i="28"/>
  <c r="AQ88" i="28"/>
  <c r="AQ89" i="28"/>
  <c r="AW89" i="28" s="1"/>
  <c r="AQ90" i="28"/>
  <c r="AW90" i="28" s="1"/>
  <c r="AQ91" i="28"/>
  <c r="AW91" i="28" s="1"/>
  <c r="AQ92" i="28"/>
  <c r="AW92" i="28" s="1"/>
  <c r="AQ93" i="28"/>
  <c r="AQ94" i="28"/>
  <c r="AW94" i="28" s="1"/>
  <c r="AQ95" i="28"/>
  <c r="AW95" i="28" s="1"/>
  <c r="AQ96" i="28"/>
  <c r="AW96" i="28" s="1"/>
  <c r="AQ97" i="28"/>
  <c r="AW97" i="28" s="1"/>
  <c r="AQ98" i="28"/>
  <c r="AW98" i="28" s="1"/>
  <c r="E64" i="37" l="1"/>
  <c r="F63" i="37"/>
  <c r="E90" i="37"/>
  <c r="F89" i="37"/>
  <c r="G74" i="37"/>
  <c r="G24" i="37"/>
  <c r="G75" i="37"/>
  <c r="G25" i="37"/>
  <c r="AI5" i="3"/>
  <c r="AJ5" i="3"/>
  <c r="G64" i="32"/>
  <c r="G55" i="32"/>
  <c r="G80" i="32"/>
  <c r="M91" i="32"/>
  <c r="L92" i="32"/>
  <c r="M65" i="32"/>
  <c r="L66" i="32"/>
  <c r="AO81" i="28"/>
  <c r="AV81" i="28" s="1" a="1"/>
  <c r="AV81" i="28" s="1"/>
  <c r="AO62" i="28"/>
  <c r="AV62" i="28" s="1" a="1"/>
  <c r="AV62" i="28" s="1"/>
  <c r="AO66" i="28"/>
  <c r="AV66" i="28" s="1" a="1"/>
  <c r="AV66" i="28" s="1"/>
  <c r="AO15" i="28"/>
  <c r="AV15" i="28" s="1" a="1"/>
  <c r="AV15" i="28" s="1"/>
  <c r="AZ15" i="28" s="1"/>
  <c r="AO13" i="28"/>
  <c r="AV13" i="28" s="1" a="1"/>
  <c r="AV13" i="28" s="1"/>
  <c r="AO87" i="28"/>
  <c r="AV87" i="28" s="1" a="1"/>
  <c r="AV87" i="28" s="1"/>
  <c r="AO22" i="28"/>
  <c r="AV22" i="28" s="1" a="1"/>
  <c r="AV22" i="28" s="1"/>
  <c r="AO112" i="28"/>
  <c r="AV112" i="28" s="1" a="1"/>
  <c r="AV112" i="28" s="1"/>
  <c r="AZ112" i="28" s="1"/>
  <c r="AO94" i="28"/>
  <c r="AV94" i="28" s="1" a="1"/>
  <c r="AV94" i="28" s="1"/>
  <c r="AO24" i="28"/>
  <c r="AV24" i="28" s="1" a="1"/>
  <c r="AV24" i="28" s="1"/>
  <c r="AO28" i="28"/>
  <c r="AV28" i="28" s="1"/>
  <c r="AW12" i="28"/>
  <c r="AW30" i="28"/>
  <c r="AW16" i="28"/>
  <c r="AQ107" i="28"/>
  <c r="AA121" i="28"/>
  <c r="AB121" i="28"/>
  <c r="AV35" i="28" a="1"/>
  <c r="AV35" i="28" s="1"/>
  <c r="AX35" i="28" s="1"/>
  <c r="AV33" i="28" a="1"/>
  <c r="AV33" i="28" s="1"/>
  <c r="AZ33" i="28" s="1"/>
  <c r="AV47" i="28" a="1"/>
  <c r="AV47" i="28" s="1"/>
  <c r="AZ47" i="28" s="1"/>
  <c r="AV39" i="28" a="1"/>
  <c r="AV39" i="28" s="1"/>
  <c r="AV6" i="28" a="1"/>
  <c r="AV6" i="28" s="1"/>
  <c r="AX6" i="28" s="1"/>
  <c r="AV46" i="28" a="1"/>
  <c r="AV46" i="28" s="1"/>
  <c r="AZ46" i="28" s="1"/>
  <c r="AV38" i="28" a="1"/>
  <c r="AV38" i="28" s="1"/>
  <c r="AX38" i="28" s="1"/>
  <c r="AV43" i="28" a="1"/>
  <c r="AV43" i="28" s="1"/>
  <c r="AX43" i="28" s="1"/>
  <c r="AV49" i="28" a="1"/>
  <c r="AV49" i="28" s="1"/>
  <c r="AZ49" i="28" s="1"/>
  <c r="AV42" i="28" a="1"/>
  <c r="AV42" i="28" s="1"/>
  <c r="AZ42" i="28" s="1"/>
  <c r="AV40" i="28" a="1"/>
  <c r="AV40" i="28" s="1"/>
  <c r="AZ40" i="28" s="1"/>
  <c r="L22" i="16"/>
  <c r="M21" i="16"/>
  <c r="E21" i="16"/>
  <c r="F20" i="16"/>
  <c r="AV41" i="28" a="1"/>
  <c r="AV41" i="28" s="1"/>
  <c r="AX41" i="28" s="1"/>
  <c r="AS118" i="28"/>
  <c r="AX78" i="28"/>
  <c r="AF108" i="28"/>
  <c r="AZ12" i="28"/>
  <c r="AW11" i="28"/>
  <c r="AX116" i="28"/>
  <c r="AD119" i="28"/>
  <c r="AV105" i="28" a="1"/>
  <c r="AV105" i="28" s="1"/>
  <c r="AZ105" i="28" s="1"/>
  <c r="AV67" i="28" a="1"/>
  <c r="AV67" i="28" s="1"/>
  <c r="AZ67" i="28" s="1"/>
  <c r="AV59" i="28" a="1"/>
  <c r="AV59" i="28" s="1"/>
  <c r="AZ59" i="28" s="1"/>
  <c r="AS99" i="28"/>
  <c r="AV93" i="28" a="1"/>
  <c r="AV93" i="28" s="1"/>
  <c r="AZ93" i="28" s="1"/>
  <c r="AZ76" i="28"/>
  <c r="AX76" i="28"/>
  <c r="AZ50" i="28"/>
  <c r="AX50" i="28"/>
  <c r="AV31" i="28" a="1"/>
  <c r="AV31" i="28" s="1"/>
  <c r="AX31" i="28" s="1"/>
  <c r="AX111" i="28"/>
  <c r="AV4" i="28" a="1"/>
  <c r="AV4" i="28" s="1"/>
  <c r="AW4" i="28" s="1"/>
  <c r="AV32" i="28" a="1"/>
  <c r="AV32" i="28" s="1"/>
  <c r="AZ32" i="28" s="1"/>
  <c r="AW18" i="28"/>
  <c r="AW10" i="28"/>
  <c r="AV106" i="28" a="1"/>
  <c r="AV106" i="28" s="1"/>
  <c r="AZ106" i="28" s="1"/>
  <c r="AX10" i="28"/>
  <c r="AW50" i="28"/>
  <c r="AZ63" i="28"/>
  <c r="AX63" i="28"/>
  <c r="AW93" i="28"/>
  <c r="AX114" i="28"/>
  <c r="E121" i="28"/>
  <c r="AX74" i="28"/>
  <c r="AX92" i="28"/>
  <c r="AV103" i="28" a="1"/>
  <c r="AV103" i="28" s="1"/>
  <c r="AZ103" i="28" s="1"/>
  <c r="AX57" i="28"/>
  <c r="AZ73" i="28"/>
  <c r="AX73" i="28"/>
  <c r="AW9" i="28"/>
  <c r="AX115" i="28"/>
  <c r="AX113" i="28"/>
  <c r="AX79" i="28"/>
  <c r="AX77" i="28"/>
  <c r="AW8" i="28"/>
  <c r="AX54" i="28"/>
  <c r="AX11" i="28"/>
  <c r="AX117" i="28"/>
  <c r="AZ11" i="28"/>
  <c r="AW88" i="28"/>
  <c r="AX80" i="28"/>
  <c r="AX83" i="28"/>
  <c r="AX96" i="28"/>
  <c r="AX56" i="28"/>
  <c r="AX61" i="28"/>
  <c r="AW29" i="28"/>
  <c r="AZ104" i="28"/>
  <c r="AX104" i="28"/>
  <c r="AZ75" i="28"/>
  <c r="AX75" i="28"/>
  <c r="AW75" i="28"/>
  <c r="AZ51" i="28"/>
  <c r="AX51" i="28"/>
  <c r="AX71" i="28"/>
  <c r="AZ71" i="28"/>
  <c r="AZ37" i="28"/>
  <c r="AX37" i="28"/>
  <c r="AZ44" i="28"/>
  <c r="AX44" i="28"/>
  <c r="AZ36" i="28"/>
  <c r="AX36" i="28"/>
  <c r="AZ64" i="28"/>
  <c r="AX64" i="28"/>
  <c r="AZ70" i="28"/>
  <c r="AX70" i="28"/>
  <c r="AZ45" i="28"/>
  <c r="AX45" i="28"/>
  <c r="AZ5" i="28"/>
  <c r="AX5" i="28"/>
  <c r="AC3" i="28"/>
  <c r="AZ48" i="28"/>
  <c r="AX48" i="28"/>
  <c r="AZ34" i="28"/>
  <c r="AX34" i="28"/>
  <c r="AZ65" i="28"/>
  <c r="AX65" i="28"/>
  <c r="AZ39" i="28"/>
  <c r="AX39" i="28"/>
  <c r="AZ25" i="28"/>
  <c r="AX25" i="28"/>
  <c r="AX30" i="28"/>
  <c r="AX97" i="28"/>
  <c r="AX89" i="28"/>
  <c r="AX84" i="28"/>
  <c r="AX60" i="28"/>
  <c r="AX58" i="28"/>
  <c r="AD100" i="28"/>
  <c r="AZ7" i="28"/>
  <c r="AX7" i="28"/>
  <c r="AZ21" i="28"/>
  <c r="AX21" i="28"/>
  <c r="AX95" i="28"/>
  <c r="AX52" i="28"/>
  <c r="AZ20" i="28"/>
  <c r="AX20" i="28"/>
  <c r="U121" i="28"/>
  <c r="AX82" i="28"/>
  <c r="AW45" i="28"/>
  <c r="AN121" i="28"/>
  <c r="AZ27" i="28"/>
  <c r="AX27" i="28"/>
  <c r="AZ19" i="28"/>
  <c r="AX19" i="28"/>
  <c r="AZ16" i="28"/>
  <c r="AX16" i="28"/>
  <c r="AL100" i="28"/>
  <c r="S4" i="3" s="1"/>
  <c r="AX72" i="28"/>
  <c r="AZ17" i="28"/>
  <c r="AX17" i="28"/>
  <c r="L121" i="28"/>
  <c r="AW5" i="28"/>
  <c r="AX86" i="28"/>
  <c r="AV98" i="28" a="1"/>
  <c r="AV98" i="28" s="1"/>
  <c r="AS107" i="28"/>
  <c r="AX68" i="28"/>
  <c r="AX53" i="28"/>
  <c r="AZ26" i="28"/>
  <c r="AX26" i="28"/>
  <c r="AZ18" i="28"/>
  <c r="AX18" i="28"/>
  <c r="X121" i="28"/>
  <c r="AQ99" i="28"/>
  <c r="AW7" i="28"/>
  <c r="AW107" i="28"/>
  <c r="AX91" i="28"/>
  <c r="AW32" i="28"/>
  <c r="AX69" i="28"/>
  <c r="AX29" i="28"/>
  <c r="AX9" i="28"/>
  <c r="AZ9" i="28"/>
  <c r="AF121" i="28"/>
  <c r="AX85" i="28"/>
  <c r="AL119" i="28"/>
  <c r="AV102" i="28" a="1"/>
  <c r="AV102" i="28" s="1"/>
  <c r="AX90" i="28"/>
  <c r="AX88" i="28"/>
  <c r="AW51" i="28"/>
  <c r="AX55" i="28"/>
  <c r="AZ23" i="28"/>
  <c r="AX23" i="28"/>
  <c r="AZ14" i="28"/>
  <c r="AX14" i="28"/>
  <c r="AW17" i="28"/>
  <c r="AX8" i="28"/>
  <c r="AZ8" i="28"/>
  <c r="F90" i="37" l="1"/>
  <c r="E91" i="37"/>
  <c r="F64" i="37"/>
  <c r="E65" i="37"/>
  <c r="F4" i="3"/>
  <c r="G56" i="32"/>
  <c r="G91" i="32"/>
  <c r="G78" i="32"/>
  <c r="M66" i="32"/>
  <c r="L67" i="32"/>
  <c r="M92" i="32"/>
  <c r="L93" i="32"/>
  <c r="L99" i="32" s="1"/>
  <c r="M99" i="32" s="1"/>
  <c r="AZ22" i="28"/>
  <c r="AX22" i="28"/>
  <c r="AW13" i="28"/>
  <c r="AZ13" i="28"/>
  <c r="AX13" i="28"/>
  <c r="AZ28" i="28"/>
  <c r="AX28" i="28"/>
  <c r="AW28" i="28"/>
  <c r="AZ24" i="28"/>
  <c r="AX24" i="28"/>
  <c r="AZ87" i="28"/>
  <c r="AX87" i="28"/>
  <c r="AZ94" i="28"/>
  <c r="AX94" i="28"/>
  <c r="AZ66" i="28"/>
  <c r="AX66" i="28"/>
  <c r="AZ62" i="28"/>
  <c r="AX62" i="28"/>
  <c r="AZ81" i="28"/>
  <c r="AX81" i="28"/>
  <c r="AX112" i="28"/>
  <c r="AX15" i="28"/>
  <c r="AW15" i="28"/>
  <c r="AD121" i="28"/>
  <c r="P4" i="3"/>
  <c r="AX46" i="28"/>
  <c r="AW49" i="28"/>
  <c r="AZ35" i="28"/>
  <c r="AZ41" i="28"/>
  <c r="AW47" i="28"/>
  <c r="AC106" i="28"/>
  <c r="AC108" i="28" s="1"/>
  <c r="AC105" i="28"/>
  <c r="AC104" i="28"/>
  <c r="AC103" i="28"/>
  <c r="AC115" i="28"/>
  <c r="AC117" i="28"/>
  <c r="AC111" i="28"/>
  <c r="AC113" i="28"/>
  <c r="AC114" i="28"/>
  <c r="AC112" i="28"/>
  <c r="AC116" i="28"/>
  <c r="AC102" i="28"/>
  <c r="AC110" i="28"/>
  <c r="AW6" i="28"/>
  <c r="AX33" i="28"/>
  <c r="AC16" i="28"/>
  <c r="AC25" i="28"/>
  <c r="AC40" i="28"/>
  <c r="AC48" i="28"/>
  <c r="AC9" i="28"/>
  <c r="AC24" i="28"/>
  <c r="AC80" i="28"/>
  <c r="AC33" i="28"/>
  <c r="AC57" i="28"/>
  <c r="AC72" i="28"/>
  <c r="AC17" i="28"/>
  <c r="AC32" i="28"/>
  <c r="AC65" i="28"/>
  <c r="AC95" i="28"/>
  <c r="AC8" i="28"/>
  <c r="AC90" i="28"/>
  <c r="AC75" i="28"/>
  <c r="AC87" i="28"/>
  <c r="AC19" i="28"/>
  <c r="AC51" i="28"/>
  <c r="AC84" i="28"/>
  <c r="AC14" i="28"/>
  <c r="AC22" i="28"/>
  <c r="AC58" i="28"/>
  <c r="AC97" i="28"/>
  <c r="AC10" i="28"/>
  <c r="AC15" i="28"/>
  <c r="AC7" i="28"/>
  <c r="AC62" i="28"/>
  <c r="AC18" i="28"/>
  <c r="AC27" i="28"/>
  <c r="AC21" i="28"/>
  <c r="AC37" i="28"/>
  <c r="AC13" i="28"/>
  <c r="AC54" i="28"/>
  <c r="AC29" i="28"/>
  <c r="AC26" i="28"/>
  <c r="AC88" i="28"/>
  <c r="AC12" i="28"/>
  <c r="AC42" i="28"/>
  <c r="AC53" i="28"/>
  <c r="AC68" i="28"/>
  <c r="AC20" i="28"/>
  <c r="AC86" i="28"/>
  <c r="AC43" i="28"/>
  <c r="AC46" i="28"/>
  <c r="AC6" i="28"/>
  <c r="AC82" i="28"/>
  <c r="AC70" i="28"/>
  <c r="AC49" i="28"/>
  <c r="AC45" i="28"/>
  <c r="AC55" i="28"/>
  <c r="AC30" i="28"/>
  <c r="AC76" i="28"/>
  <c r="AC89" i="28"/>
  <c r="AC56" i="28"/>
  <c r="AC79" i="28"/>
  <c r="AC11" i="28"/>
  <c r="AC81" i="28"/>
  <c r="AC38" i="28"/>
  <c r="AC35" i="28"/>
  <c r="AC91" i="28"/>
  <c r="AC34" i="28"/>
  <c r="AC5" i="28"/>
  <c r="AC41" i="28"/>
  <c r="AC47" i="28"/>
  <c r="AC61" i="28"/>
  <c r="AC31" i="28"/>
  <c r="AC92" i="28"/>
  <c r="AC83" i="28"/>
  <c r="AC50" i="28"/>
  <c r="AC63" i="28"/>
  <c r="AC52" i="28"/>
  <c r="AC39" i="28"/>
  <c r="AC78" i="28"/>
  <c r="AC59" i="28"/>
  <c r="AC98" i="28"/>
  <c r="AC67" i="28"/>
  <c r="AC74" i="28"/>
  <c r="AC94" i="28"/>
  <c r="AC71" i="28"/>
  <c r="AC66" i="28"/>
  <c r="AC96" i="28"/>
  <c r="AC64" i="28"/>
  <c r="AC23" i="28"/>
  <c r="AC73" i="28"/>
  <c r="AC36" i="28"/>
  <c r="AC93" i="28"/>
  <c r="AC85" i="28"/>
  <c r="AC60" i="28"/>
  <c r="AC4" i="28"/>
  <c r="AC77" i="28"/>
  <c r="AC69" i="28"/>
  <c r="AC44" i="28"/>
  <c r="AC28" i="28"/>
  <c r="AX40" i="28"/>
  <c r="AZ38" i="28"/>
  <c r="AX47" i="28"/>
  <c r="AZ43" i="28"/>
  <c r="AZ6" i="28"/>
  <c r="AX42" i="28"/>
  <c r="AX49" i="28"/>
  <c r="E22" i="16"/>
  <c r="F21" i="16"/>
  <c r="L23" i="16"/>
  <c r="M22" i="16"/>
  <c r="AX93" i="28"/>
  <c r="AX32" i="28"/>
  <c r="AX105" i="28"/>
  <c r="AZ31" i="28"/>
  <c r="AX67" i="28"/>
  <c r="AX59" i="28"/>
  <c r="AV99" i="28"/>
  <c r="AX4" i="28"/>
  <c r="AZ4" i="28"/>
  <c r="AX106" i="28"/>
  <c r="AO108" i="28"/>
  <c r="AX103" i="28"/>
  <c r="AZ102" i="28"/>
  <c r="AZ108" i="28" s="1"/>
  <c r="AV107" i="28"/>
  <c r="AX102" i="28"/>
  <c r="AO119" i="28"/>
  <c r="AV110" i="28" a="1"/>
  <c r="AV110" i="28" s="1"/>
  <c r="AO100" i="28"/>
  <c r="AV3" i="28"/>
  <c r="AZ98" i="28"/>
  <c r="AX98" i="28"/>
  <c r="AW99" i="28" l="1"/>
  <c r="F65" i="37"/>
  <c r="E66" i="37"/>
  <c r="F91" i="37"/>
  <c r="E92" i="37"/>
  <c r="G92" i="32"/>
  <c r="G81" i="32"/>
  <c r="G57" i="32"/>
  <c r="M93" i="32"/>
  <c r="L94" i="32"/>
  <c r="L100" i="32" s="1"/>
  <c r="M100" i="32" s="1"/>
  <c r="G100" i="32" s="1"/>
  <c r="M67" i="32"/>
  <c r="L68" i="32"/>
  <c r="AE4" i="3"/>
  <c r="AF4" i="3"/>
  <c r="AH4" i="3"/>
  <c r="AC119" i="28"/>
  <c r="AC100" i="28"/>
  <c r="AC121" i="28" s="1"/>
  <c r="AX99" i="28"/>
  <c r="L24" i="16"/>
  <c r="M23" i="16"/>
  <c r="E23" i="16"/>
  <c r="F22" i="16"/>
  <c r="AO121" i="28"/>
  <c r="AX107" i="28"/>
  <c r="AZ110" i="28"/>
  <c r="AZ119" i="28" s="1"/>
  <c r="AV118" i="28"/>
  <c r="AX110" i="28"/>
  <c r="AX118" i="28" s="1"/>
  <c r="AZ3" i="28"/>
  <c r="AZ100" i="28" s="1"/>
  <c r="AX3" i="28"/>
  <c r="AW3" i="28"/>
  <c r="E93" i="37" l="1"/>
  <c r="F92" i="37"/>
  <c r="F66" i="37"/>
  <c r="E67" i="37"/>
  <c r="AG4" i="3"/>
  <c r="G93" i="32"/>
  <c r="G90" i="32"/>
  <c r="M68" i="32"/>
  <c r="L69" i="32"/>
  <c r="L95" i="32"/>
  <c r="L101" i="32" s="1"/>
  <c r="M101" i="32" s="1"/>
  <c r="M94" i="32"/>
  <c r="AJ4" i="3"/>
  <c r="AI4" i="3"/>
  <c r="E24" i="16"/>
  <c r="F23" i="16"/>
  <c r="L25" i="16"/>
  <c r="M24" i="16"/>
  <c r="AZ121" i="28"/>
  <c r="F67" i="37" l="1"/>
  <c r="E68" i="37"/>
  <c r="E94" i="37"/>
  <c r="F93" i="37"/>
  <c r="E99" i="37"/>
  <c r="F99" i="37" s="1"/>
  <c r="G68" i="32"/>
  <c r="G99" i="32"/>
  <c r="G87" i="32"/>
  <c r="L96" i="32"/>
  <c r="L102" i="32" s="1"/>
  <c r="M102" i="32" s="1"/>
  <c r="G102" i="32" s="1"/>
  <c r="M95" i="32"/>
  <c r="M69" i="32"/>
  <c r="L70" i="32"/>
  <c r="L26" i="16"/>
  <c r="M25" i="16"/>
  <c r="E25" i="16"/>
  <c r="F24" i="16"/>
  <c r="E95" i="37" l="1"/>
  <c r="E100" i="37"/>
  <c r="F100" i="37" s="1"/>
  <c r="F94" i="37"/>
  <c r="E69" i="37"/>
  <c r="F68" i="37"/>
  <c r="G65" i="32"/>
  <c r="G94" i="32"/>
  <c r="G69" i="32"/>
  <c r="G77" i="32"/>
  <c r="L71" i="32"/>
  <c r="M70" i="32"/>
  <c r="M96" i="32"/>
  <c r="L97" i="32"/>
  <c r="L103" i="32" s="1"/>
  <c r="M103" i="32" s="1"/>
  <c r="G103" i="32" s="1"/>
  <c r="E26" i="16"/>
  <c r="F25" i="16"/>
  <c r="L27" i="16"/>
  <c r="M26" i="16"/>
  <c r="E70" i="37" l="1"/>
  <c r="F69" i="37"/>
  <c r="E96" i="37"/>
  <c r="F95" i="37"/>
  <c r="E101" i="37"/>
  <c r="F101" i="37" s="1"/>
  <c r="G95" i="32"/>
  <c r="G96" i="32"/>
  <c r="G66" i="32"/>
  <c r="G70" i="32"/>
  <c r="G85" i="32"/>
  <c r="M97" i="32"/>
  <c r="L98" i="32"/>
  <c r="L104" i="32" s="1"/>
  <c r="M104" i="32" s="1"/>
  <c r="L72" i="32"/>
  <c r="M71" i="32"/>
  <c r="L28" i="16"/>
  <c r="M27" i="16"/>
  <c r="E27" i="16"/>
  <c r="F26" i="16"/>
  <c r="F96" i="37" l="1"/>
  <c r="E97" i="37"/>
  <c r="E102" i="37"/>
  <c r="F102" i="37" s="1"/>
  <c r="E71" i="37"/>
  <c r="F70" i="37"/>
  <c r="G97" i="32"/>
  <c r="G67" i="32"/>
  <c r="G104" i="32"/>
  <c r="G101" i="32"/>
  <c r="G71" i="32"/>
  <c r="G58" i="32"/>
  <c r="L73" i="32"/>
  <c r="M72" i="32"/>
  <c r="M98" i="32"/>
  <c r="G98" i="32" s="1"/>
  <c r="E28" i="16"/>
  <c r="F27" i="16"/>
  <c r="L29" i="16"/>
  <c r="M28" i="16"/>
  <c r="G25" i="16" s="1"/>
  <c r="E72" i="37" l="1"/>
  <c r="F71" i="37"/>
  <c r="E98" i="37"/>
  <c r="F97" i="37"/>
  <c r="E103" i="37"/>
  <c r="F103" i="37" s="1"/>
  <c r="G72" i="32"/>
  <c r="M73" i="32"/>
  <c r="G73" i="32" s="1"/>
  <c r="L74" i="32"/>
  <c r="L30" i="16"/>
  <c r="M29" i="16"/>
  <c r="E29" i="16"/>
  <c r="F28" i="16"/>
  <c r="E104" i="37" l="1"/>
  <c r="F104" i="37" s="1"/>
  <c r="F98" i="37"/>
  <c r="E73" i="37"/>
  <c r="F72" i="37"/>
  <c r="G20" i="16"/>
  <c r="G13" i="16"/>
  <c r="M74" i="32"/>
  <c r="L75" i="32"/>
  <c r="M75" i="32" s="1"/>
  <c r="E30" i="16"/>
  <c r="F29" i="16"/>
  <c r="L31" i="16"/>
  <c r="M30" i="16"/>
  <c r="G18" i="16" s="1"/>
  <c r="E74" i="37" l="1"/>
  <c r="F73" i="37"/>
  <c r="G75" i="32"/>
  <c r="G60" i="32"/>
  <c r="G74" i="32"/>
  <c r="G59" i="32"/>
  <c r="L32" i="16"/>
  <c r="M31" i="16"/>
  <c r="E31" i="16"/>
  <c r="F30" i="16"/>
  <c r="F74" i="37" l="1"/>
  <c r="E75" i="37"/>
  <c r="F75" i="37" s="1"/>
  <c r="G17" i="16"/>
  <c r="E32" i="16"/>
  <c r="F31" i="16"/>
  <c r="L33" i="16"/>
  <c r="M32" i="16"/>
  <c r="G15" i="16" l="1"/>
  <c r="L34" i="16"/>
  <c r="M33" i="16"/>
  <c r="F32" i="16"/>
  <c r="E33" i="16"/>
  <c r="E34" i="16" l="1"/>
  <c r="F33" i="16"/>
  <c r="M34" i="16"/>
  <c r="G14" i="16" s="1"/>
  <c r="L35" i="16"/>
  <c r="L39" i="16" l="1"/>
  <c r="L36" i="16"/>
  <c r="M35" i="16"/>
  <c r="E35" i="16"/>
  <c r="F34" i="16"/>
  <c r="G16" i="16" l="1"/>
  <c r="E36" i="16"/>
  <c r="F35" i="16"/>
  <c r="E39" i="16"/>
  <c r="L37" i="16"/>
  <c r="M36" i="16"/>
  <c r="L40" i="16"/>
  <c r="M39" i="16"/>
  <c r="G24" i="16" s="1"/>
  <c r="L41" i="16" l="1"/>
  <c r="M40" i="16"/>
  <c r="G23" i="16" s="1"/>
  <c r="L38" i="16"/>
  <c r="M38" i="16" s="1"/>
  <c r="M37" i="16"/>
  <c r="G22" i="16" s="1"/>
  <c r="F39" i="16"/>
  <c r="E40" i="16"/>
  <c r="E37" i="16"/>
  <c r="F36" i="16"/>
  <c r="E38" i="16" l="1"/>
  <c r="F38" i="16" s="1"/>
  <c r="F37" i="16"/>
  <c r="F40" i="16"/>
  <c r="E41" i="16"/>
  <c r="L42" i="16"/>
  <c r="M41" i="16"/>
  <c r="L43" i="16" l="1"/>
  <c r="M42" i="16"/>
  <c r="G19" i="16" s="1"/>
  <c r="E42" i="16"/>
  <c r="F41" i="16"/>
  <c r="E43" i="16" l="1"/>
  <c r="F42" i="16"/>
  <c r="M43" i="16"/>
  <c r="G21" i="16" s="1"/>
  <c r="L44" i="16"/>
  <c r="L45" i="16" l="1"/>
  <c r="M44" i="16"/>
  <c r="E44" i="16"/>
  <c r="F43" i="16"/>
  <c r="G29" i="16" l="1"/>
  <c r="E45" i="16"/>
  <c r="F44" i="16"/>
  <c r="L46" i="16"/>
  <c r="M45" i="16"/>
  <c r="G30" i="16" s="1"/>
  <c r="L47" i="16" l="1"/>
  <c r="M46" i="16"/>
  <c r="E46" i="16"/>
  <c r="F45" i="16"/>
  <c r="L48" i="16" l="1"/>
  <c r="M47" i="16"/>
  <c r="G28" i="16" s="1"/>
  <c r="E47" i="16"/>
  <c r="F46" i="16"/>
  <c r="L49" i="16" l="1"/>
  <c r="M48" i="16"/>
  <c r="E48" i="16"/>
  <c r="F47" i="16"/>
  <c r="E49" i="16" l="1"/>
  <c r="F48" i="16"/>
  <c r="L50" i="16"/>
  <c r="M49" i="16"/>
  <c r="L76" i="16"/>
  <c r="L77" i="16" l="1"/>
  <c r="M76" i="16"/>
  <c r="L51" i="16"/>
  <c r="M50" i="16"/>
  <c r="E76" i="16"/>
  <c r="E50" i="16"/>
  <c r="F49" i="16"/>
  <c r="E51" i="16" l="1"/>
  <c r="F50" i="16"/>
  <c r="E77" i="16"/>
  <c r="F76" i="16"/>
  <c r="M51" i="16"/>
  <c r="L52" i="16"/>
  <c r="L78" i="16"/>
  <c r="M77" i="16"/>
  <c r="G46" i="16" s="1"/>
  <c r="L79" i="16" l="1"/>
  <c r="M78" i="16"/>
  <c r="L53" i="16"/>
  <c r="M52" i="16"/>
  <c r="G27" i="16" s="1"/>
  <c r="E78" i="16"/>
  <c r="F77" i="16"/>
  <c r="E52" i="16"/>
  <c r="F51" i="16"/>
  <c r="E53" i="16" l="1"/>
  <c r="F52" i="16"/>
  <c r="E79" i="16"/>
  <c r="F78" i="16"/>
  <c r="L54" i="16"/>
  <c r="M53" i="16"/>
  <c r="L80" i="16"/>
  <c r="M79" i="16"/>
  <c r="L55" i="16" l="1"/>
  <c r="M54" i="16"/>
  <c r="L81" i="16"/>
  <c r="M80" i="16"/>
  <c r="F79" i="16"/>
  <c r="E80" i="16"/>
  <c r="E54" i="16"/>
  <c r="F53" i="16"/>
  <c r="G31" i="16" l="1"/>
  <c r="E55" i="16"/>
  <c r="F54" i="16"/>
  <c r="E81" i="16"/>
  <c r="F80" i="16"/>
  <c r="L82" i="16"/>
  <c r="M81" i="16"/>
  <c r="G48" i="16" s="1"/>
  <c r="L56" i="16"/>
  <c r="M55" i="16"/>
  <c r="G26" i="16" s="1"/>
  <c r="G55" i="16" l="1"/>
  <c r="L57" i="16"/>
  <c r="M56" i="16"/>
  <c r="L83" i="16"/>
  <c r="M82" i="16"/>
  <c r="E82" i="16"/>
  <c r="F81" i="16"/>
  <c r="E56" i="16"/>
  <c r="F55" i="16"/>
  <c r="G53" i="16" l="1"/>
  <c r="E57" i="16"/>
  <c r="F56" i="16"/>
  <c r="E83" i="16"/>
  <c r="F82" i="16"/>
  <c r="M83" i="16"/>
  <c r="L84" i="16"/>
  <c r="L58" i="16"/>
  <c r="M57" i="16"/>
  <c r="L59" i="16" l="1"/>
  <c r="M58" i="16"/>
  <c r="G38" i="16" s="1"/>
  <c r="L85" i="16"/>
  <c r="M84" i="16"/>
  <c r="E84" i="16"/>
  <c r="F83" i="16"/>
  <c r="E58" i="16"/>
  <c r="F57" i="16"/>
  <c r="G84" i="16" l="1"/>
  <c r="E59" i="16"/>
  <c r="F58" i="16"/>
  <c r="E85" i="16"/>
  <c r="F84" i="16"/>
  <c r="L86" i="16"/>
  <c r="M85" i="16"/>
  <c r="M59" i="16"/>
  <c r="L60" i="16"/>
  <c r="G85" i="16" l="1"/>
  <c r="L87" i="16"/>
  <c r="M86" i="16"/>
  <c r="E86" i="16"/>
  <c r="F85" i="16"/>
  <c r="L61" i="16"/>
  <c r="M60" i="16"/>
  <c r="E60" i="16"/>
  <c r="F59" i="16"/>
  <c r="G86" i="16" l="1"/>
  <c r="G45" i="16"/>
  <c r="E61" i="16"/>
  <c r="F60" i="16"/>
  <c r="L62" i="16"/>
  <c r="M61" i="16"/>
  <c r="E87" i="16"/>
  <c r="F86" i="16"/>
  <c r="L88" i="16"/>
  <c r="M87" i="16"/>
  <c r="G77" i="16" s="1"/>
  <c r="G32" i="16" l="1"/>
  <c r="G39" i="16"/>
  <c r="E88" i="16"/>
  <c r="F87" i="16"/>
  <c r="L89" i="16"/>
  <c r="M88" i="16"/>
  <c r="L63" i="16"/>
  <c r="M62" i="16"/>
  <c r="E62" i="16"/>
  <c r="F61" i="16"/>
  <c r="G62" i="16" l="1"/>
  <c r="E63" i="16"/>
  <c r="F62" i="16"/>
  <c r="L64" i="16"/>
  <c r="M63" i="16"/>
  <c r="G33" i="16" s="1"/>
  <c r="L90" i="16"/>
  <c r="M89" i="16"/>
  <c r="E89" i="16"/>
  <c r="F88" i="16"/>
  <c r="G89" i="16" l="1"/>
  <c r="E90" i="16"/>
  <c r="F89" i="16"/>
  <c r="M90" i="16"/>
  <c r="G81" i="16" s="1"/>
  <c r="L91" i="16"/>
  <c r="L65" i="16"/>
  <c r="M64" i="16"/>
  <c r="G60" i="16" s="1"/>
  <c r="E64" i="16"/>
  <c r="F63" i="16"/>
  <c r="G59" i="16" l="1"/>
  <c r="G64" i="16"/>
  <c r="G90" i="16"/>
  <c r="F64" i="16"/>
  <c r="E65" i="16"/>
  <c r="L66" i="16"/>
  <c r="M65" i="16"/>
  <c r="L92" i="16"/>
  <c r="M91" i="16"/>
  <c r="E91" i="16"/>
  <c r="F90" i="16"/>
  <c r="G63" i="16" l="1"/>
  <c r="G91" i="16"/>
  <c r="G87" i="16"/>
  <c r="G65" i="16"/>
  <c r="E92" i="16"/>
  <c r="F91" i="16"/>
  <c r="L93" i="16"/>
  <c r="M92" i="16"/>
  <c r="M66" i="16"/>
  <c r="L67" i="16"/>
  <c r="E66" i="16"/>
  <c r="F65" i="16"/>
  <c r="G34" i="16" l="1"/>
  <c r="G66" i="16"/>
  <c r="G83" i="16"/>
  <c r="G92" i="16"/>
  <c r="E67" i="16"/>
  <c r="F66" i="16"/>
  <c r="L68" i="16"/>
  <c r="M67" i="16"/>
  <c r="G76" i="16" s="1"/>
  <c r="L94" i="16"/>
  <c r="M93" i="16"/>
  <c r="G58" i="16" s="1"/>
  <c r="E93" i="16"/>
  <c r="F92" i="16"/>
  <c r="G35" i="16" l="1"/>
  <c r="G67" i="16"/>
  <c r="G61" i="16"/>
  <c r="G93" i="16"/>
  <c r="L95" i="16"/>
  <c r="M94" i="16"/>
  <c r="E94" i="16"/>
  <c r="F93" i="16"/>
  <c r="L69" i="16"/>
  <c r="M68" i="16"/>
  <c r="E68" i="16"/>
  <c r="F67" i="16"/>
  <c r="G36" i="16" l="1"/>
  <c r="G68" i="16"/>
  <c r="G94" i="16"/>
  <c r="E69" i="16"/>
  <c r="F68" i="16"/>
  <c r="L70" i="16"/>
  <c r="M69" i="16"/>
  <c r="G78" i="16" s="1"/>
  <c r="E95" i="16"/>
  <c r="F94" i="16"/>
  <c r="L96" i="16"/>
  <c r="M95" i="16"/>
  <c r="G40" i="16" l="1"/>
  <c r="G69" i="16"/>
  <c r="G95" i="16"/>
  <c r="L97" i="16"/>
  <c r="M96" i="16"/>
  <c r="E96" i="16"/>
  <c r="F95" i="16"/>
  <c r="L71" i="16"/>
  <c r="M70" i="16"/>
  <c r="E70" i="16"/>
  <c r="F69" i="16"/>
  <c r="G88" i="16" l="1"/>
  <c r="G70" i="16"/>
  <c r="G41" i="16"/>
  <c r="G96" i="16"/>
  <c r="E71" i="16"/>
  <c r="F70" i="16"/>
  <c r="L72" i="16"/>
  <c r="M71" i="16"/>
  <c r="G80" i="16" s="1"/>
  <c r="F96" i="16"/>
  <c r="E97" i="16"/>
  <c r="L98" i="16"/>
  <c r="M97" i="16"/>
  <c r="G50" i="16" s="1"/>
  <c r="G42" i="16" l="1"/>
  <c r="G97" i="16"/>
  <c r="G51" i="16"/>
  <c r="G71" i="16"/>
  <c r="M98" i="16"/>
  <c r="L99" i="16"/>
  <c r="M99" i="16" s="1"/>
  <c r="G54" i="16" s="1"/>
  <c r="E98" i="16"/>
  <c r="F97" i="16"/>
  <c r="L73" i="16"/>
  <c r="M72" i="16"/>
  <c r="G43" i="16" s="1"/>
  <c r="F71" i="16"/>
  <c r="E72" i="16"/>
  <c r="G56" i="16" l="1"/>
  <c r="G99" i="16"/>
  <c r="G47" i="16"/>
  <c r="G98" i="16"/>
  <c r="G37" i="16"/>
  <c r="G72" i="16"/>
  <c r="E73" i="16"/>
  <c r="F72" i="16"/>
  <c r="L74" i="16"/>
  <c r="M73" i="16"/>
  <c r="G44" i="16" s="1"/>
  <c r="E99" i="16"/>
  <c r="F99" i="16" s="1"/>
  <c r="F98" i="16"/>
  <c r="G52" i="16" l="1"/>
  <c r="G73" i="16"/>
  <c r="M74" i="16"/>
  <c r="G79" i="16" s="1"/>
  <c r="L75" i="16"/>
  <c r="M75" i="16" s="1"/>
  <c r="G82" i="16" s="1"/>
  <c r="E74" i="16"/>
  <c r="F73" i="16"/>
  <c r="G57" i="16" l="1"/>
  <c r="G75" i="16"/>
  <c r="G49" i="16"/>
  <c r="G74" i="16"/>
  <c r="E75" i="16"/>
  <c r="F75" i="16" s="1"/>
  <c r="F74" i="16"/>
  <c r="AW121" i="29" l="1"/>
  <c r="AW123" i="29"/>
  <c r="AN126" i="29"/>
  <c r="AK126" i="29"/>
  <c r="N126" i="29"/>
  <c r="AH126" i="29"/>
  <c r="Z126" i="29"/>
  <c r="E126" i="29"/>
  <c r="V126" i="29"/>
  <c r="AF105" i="29"/>
  <c r="L126" i="29"/>
  <c r="S126" i="29"/>
  <c r="AD126" i="29"/>
  <c r="T126" i="29"/>
  <c r="AE126" i="29"/>
  <c r="X126" i="29"/>
  <c r="W126" i="29"/>
  <c r="AI126" i="29"/>
  <c r="AB126" i="29"/>
  <c r="Y126" i="29"/>
  <c r="AG126" i="29"/>
  <c r="U126" i="29"/>
  <c r="AA126" i="29"/>
  <c r="AC19" i="29" s="1"/>
  <c r="AJ126" i="29"/>
  <c r="AL107" i="29"/>
  <c r="AM126" i="29"/>
  <c r="AC41" i="29" l="1"/>
  <c r="AC108" i="29"/>
  <c r="AC5" i="29"/>
  <c r="AC67" i="29"/>
  <c r="AC58" i="29"/>
  <c r="AC118" i="29"/>
  <c r="AU126" i="29"/>
  <c r="AC62" i="29"/>
  <c r="AC98" i="29"/>
  <c r="AC121" i="29"/>
  <c r="AC97" i="29"/>
  <c r="AC53" i="29"/>
  <c r="AC99" i="29"/>
  <c r="AC94" i="29"/>
  <c r="AC4" i="29"/>
  <c r="AC79" i="29"/>
  <c r="AC84" i="29"/>
  <c r="AC120" i="29"/>
  <c r="AC70" i="29"/>
  <c r="AC37" i="29"/>
  <c r="AC25" i="29"/>
  <c r="AC63" i="29"/>
  <c r="AC88" i="29"/>
  <c r="AC30" i="29"/>
  <c r="AC109" i="29"/>
  <c r="AC43" i="29"/>
  <c r="AC75" i="29"/>
  <c r="AC33" i="29"/>
  <c r="AC103" i="29"/>
  <c r="AC26" i="29"/>
  <c r="AC29" i="29"/>
  <c r="AC45" i="29"/>
  <c r="AC117" i="29"/>
  <c r="AC48" i="29"/>
  <c r="AC69" i="29"/>
  <c r="AC54" i="29"/>
  <c r="AC100" i="29"/>
  <c r="AC44" i="29"/>
  <c r="AC82" i="29"/>
  <c r="AC101" i="29"/>
  <c r="AC35" i="29"/>
  <c r="AC34" i="29"/>
  <c r="AC73" i="29"/>
  <c r="AC17" i="29"/>
  <c r="AC92" i="29"/>
  <c r="AC86" i="29"/>
  <c r="AC39" i="29"/>
  <c r="AC71" i="29"/>
  <c r="AC50" i="29"/>
  <c r="AC16" i="29"/>
  <c r="AC81" i="29"/>
  <c r="AC12" i="29"/>
  <c r="AC21" i="29"/>
  <c r="AC49" i="29"/>
  <c r="AC31" i="29"/>
  <c r="AC22" i="29"/>
  <c r="AC78" i="29"/>
  <c r="AC46" i="29"/>
  <c r="AO107" i="29"/>
  <c r="AL73" i="29"/>
  <c r="AO73" i="29" s="1"/>
  <c r="AL103" i="29"/>
  <c r="AO103" i="29" s="1"/>
  <c r="AL117" i="29"/>
  <c r="AO117" i="29" s="1"/>
  <c r="AV117" i="29" s="1" a="1"/>
  <c r="AV117" i="29" s="1"/>
  <c r="AC11" i="29"/>
  <c r="AC6" i="29"/>
  <c r="AC64" i="29"/>
  <c r="AC93" i="29"/>
  <c r="AC8" i="29"/>
  <c r="AC116" i="29"/>
  <c r="AC52" i="29"/>
  <c r="AC47" i="29"/>
  <c r="AC36" i="29"/>
  <c r="AC102" i="29"/>
  <c r="AC15" i="29"/>
  <c r="AC83" i="29"/>
  <c r="AC85" i="29"/>
  <c r="AL92" i="29"/>
  <c r="AO92" i="29" s="1"/>
  <c r="AL85" i="29"/>
  <c r="AO85" i="29" s="1"/>
  <c r="AL68" i="29"/>
  <c r="AO68" i="29" s="1"/>
  <c r="AL31" i="29"/>
  <c r="AO31" i="29" s="1"/>
  <c r="AL97" i="29"/>
  <c r="AO97" i="29" s="1"/>
  <c r="AL55" i="29"/>
  <c r="AO55" i="29" s="1"/>
  <c r="AL111" i="29"/>
  <c r="AO111" i="29" s="1"/>
  <c r="AL121" i="29"/>
  <c r="AO121" i="29" s="1"/>
  <c r="AV121" i="29" s="1" a="1"/>
  <c r="AV121" i="29" s="1"/>
  <c r="AL122" i="29"/>
  <c r="AO122" i="29" s="1"/>
  <c r="AV122" i="29" s="1" a="1"/>
  <c r="AV122" i="29" s="1"/>
  <c r="AC107" i="29"/>
  <c r="AC115" i="29"/>
  <c r="AC3" i="29"/>
  <c r="AC55" i="29"/>
  <c r="AC80" i="29"/>
  <c r="AC32" i="29"/>
  <c r="AC7" i="29"/>
  <c r="AC27" i="29"/>
  <c r="AC66" i="29"/>
  <c r="AC89" i="29"/>
  <c r="AC95" i="29"/>
  <c r="AC60" i="29"/>
  <c r="AC56" i="29"/>
  <c r="AC91" i="29"/>
  <c r="AC57" i="29"/>
  <c r="AC111" i="29"/>
  <c r="AL56" i="29"/>
  <c r="AO56" i="29" s="1"/>
  <c r="AL83" i="29"/>
  <c r="AO83" i="29" s="1"/>
  <c r="AL82" i="29"/>
  <c r="AO82" i="29" s="1"/>
  <c r="AL50" i="29"/>
  <c r="AO50" i="29" s="1"/>
  <c r="AL20" i="29"/>
  <c r="AO20" i="29" s="1"/>
  <c r="AL12" i="29"/>
  <c r="AO12" i="29" s="1"/>
  <c r="AL80" i="29"/>
  <c r="AO80" i="29" s="1"/>
  <c r="AC28" i="29"/>
  <c r="AC40" i="29"/>
  <c r="AC38" i="29"/>
  <c r="AC74" i="29"/>
  <c r="AC23" i="29"/>
  <c r="AC10" i="29"/>
  <c r="AC14" i="29"/>
  <c r="AC90" i="29"/>
  <c r="AC65" i="29"/>
  <c r="AC72" i="29"/>
  <c r="AC61" i="29"/>
  <c r="AC42" i="29"/>
  <c r="AC51" i="29"/>
  <c r="AL98" i="29"/>
  <c r="AO98" i="29" s="1"/>
  <c r="L13" i="3"/>
  <c r="L39" i="3" s="1"/>
  <c r="AL87" i="29"/>
  <c r="AO87" i="29" s="1"/>
  <c r="AL77" i="29"/>
  <c r="AO77" i="29" s="1"/>
  <c r="AL109" i="29"/>
  <c r="AO109" i="29" s="1"/>
  <c r="AL57" i="29"/>
  <c r="AO57" i="29" s="1"/>
  <c r="AL101" i="29"/>
  <c r="AO101" i="29" s="1"/>
  <c r="AL18" i="29"/>
  <c r="AO18" i="29" s="1"/>
  <c r="AL5" i="29"/>
  <c r="AO5" i="29" s="1"/>
  <c r="AL62" i="29"/>
  <c r="AO62" i="29" s="1"/>
  <c r="AL32" i="29"/>
  <c r="AO32" i="29" s="1"/>
  <c r="AL49" i="29"/>
  <c r="AO49" i="29" s="1"/>
  <c r="AL30" i="29"/>
  <c r="AO30" i="29" s="1"/>
  <c r="AL36" i="29"/>
  <c r="AO36" i="29" s="1"/>
  <c r="AL99" i="29"/>
  <c r="AO99" i="29" s="1"/>
  <c r="AL116" i="29"/>
  <c r="AO116" i="29" s="1"/>
  <c r="AV116" i="29" s="1" a="1"/>
  <c r="AV116" i="29" s="1"/>
  <c r="AL47" i="29"/>
  <c r="AO47" i="29" s="1"/>
  <c r="AL75" i="29"/>
  <c r="AO75" i="29" s="1"/>
  <c r="AL10" i="29"/>
  <c r="AO10" i="29" s="1"/>
  <c r="AL51" i="29"/>
  <c r="AO51" i="29" s="1"/>
  <c r="AL89" i="29"/>
  <c r="AO89" i="29" s="1"/>
  <c r="AL34" i="29"/>
  <c r="AO34" i="29" s="1"/>
  <c r="AL61" i="29"/>
  <c r="AO61" i="29" s="1"/>
  <c r="AL86" i="29"/>
  <c r="AO86" i="29" s="1"/>
  <c r="AL59" i="29"/>
  <c r="AO59" i="29" s="1"/>
  <c r="AL70" i="29"/>
  <c r="AO70" i="29" s="1"/>
  <c r="AL54" i="29"/>
  <c r="AO54" i="29" s="1"/>
  <c r="AL88" i="29"/>
  <c r="AO88" i="29" s="1"/>
  <c r="AL119" i="29"/>
  <c r="AO119" i="29" s="1"/>
  <c r="AV119" i="29" s="1" a="1"/>
  <c r="AV119" i="29" s="1"/>
  <c r="AL27" i="29"/>
  <c r="AO27" i="29" s="1"/>
  <c r="AL118" i="29"/>
  <c r="AO118" i="29" s="1"/>
  <c r="AV118" i="29" s="1" a="1"/>
  <c r="AV118" i="29" s="1"/>
  <c r="AL41" i="29"/>
  <c r="AO41" i="29" s="1"/>
  <c r="AL46" i="29"/>
  <c r="AO46" i="29" s="1"/>
  <c r="AL40" i="29"/>
  <c r="AO40" i="29" s="1"/>
  <c r="AL4" i="29"/>
  <c r="AO4" i="29" s="1"/>
  <c r="AL29" i="29"/>
  <c r="AO29" i="29" s="1"/>
  <c r="AL42" i="29"/>
  <c r="AO42" i="29" s="1"/>
  <c r="AL90" i="29"/>
  <c r="AO90" i="29" s="1"/>
  <c r="AL16" i="29"/>
  <c r="AO16" i="29" s="1"/>
  <c r="AL94" i="29"/>
  <c r="AO94" i="29" s="1"/>
  <c r="AL93" i="29"/>
  <c r="AO93" i="29" s="1"/>
  <c r="AL17" i="29"/>
  <c r="AO17" i="29" s="1"/>
  <c r="AL69" i="29"/>
  <c r="AO69" i="29" s="1"/>
  <c r="AL120" i="29"/>
  <c r="AO120" i="29" s="1"/>
  <c r="AV120" i="29" s="1" a="1"/>
  <c r="AV120" i="29" s="1"/>
  <c r="AL52" i="29"/>
  <c r="AO52" i="29" s="1"/>
  <c r="AL21" i="29"/>
  <c r="AO21" i="29" s="1"/>
  <c r="AL84" i="29"/>
  <c r="AO84" i="29" s="1"/>
  <c r="AL78" i="29"/>
  <c r="AO78" i="29" s="1"/>
  <c r="AL39" i="29"/>
  <c r="AO39" i="29" s="1"/>
  <c r="AL28" i="29"/>
  <c r="AO28" i="29" s="1"/>
  <c r="AL64" i="29"/>
  <c r="AO64" i="29" s="1"/>
  <c r="AL74" i="29"/>
  <c r="AO74" i="29" s="1"/>
  <c r="AL44" i="29"/>
  <c r="AO44" i="29" s="1"/>
  <c r="AL25" i="29"/>
  <c r="AO25" i="29" s="1"/>
  <c r="AL9" i="29"/>
  <c r="AO9" i="29" s="1"/>
  <c r="AL14" i="29"/>
  <c r="AO14" i="29" s="1"/>
  <c r="AL76" i="29"/>
  <c r="AO76" i="29" s="1"/>
  <c r="AL58" i="29"/>
  <c r="AO58" i="29" s="1"/>
  <c r="AL60" i="29"/>
  <c r="AO60" i="29" s="1"/>
  <c r="AL48" i="29"/>
  <c r="AO48" i="29" s="1"/>
  <c r="AL81" i="29"/>
  <c r="AO81" i="29" s="1"/>
  <c r="AL72" i="29"/>
  <c r="AO72" i="29" s="1"/>
  <c r="AL63" i="29"/>
  <c r="AO63" i="29" s="1"/>
  <c r="AL23" i="29"/>
  <c r="AO23" i="29" s="1"/>
  <c r="AL100" i="29"/>
  <c r="AO100" i="29" s="1"/>
  <c r="AL7" i="29"/>
  <c r="AO7" i="29" s="1"/>
  <c r="AL66" i="29"/>
  <c r="AO66" i="29" s="1"/>
  <c r="AL65" i="29"/>
  <c r="AO65" i="29" s="1"/>
  <c r="AL53" i="29"/>
  <c r="AO53" i="29" s="1"/>
  <c r="AL91" i="29"/>
  <c r="AO91" i="29" s="1"/>
  <c r="AL19" i="29"/>
  <c r="AO19" i="29" s="1"/>
  <c r="AL6" i="29"/>
  <c r="AO6" i="29" s="1"/>
  <c r="AL15" i="29"/>
  <c r="AO15" i="29" s="1"/>
  <c r="AL22" i="29"/>
  <c r="AO22" i="29" s="1"/>
  <c r="AL95" i="29"/>
  <c r="AO95" i="29" s="1"/>
  <c r="AL13" i="29"/>
  <c r="AO13" i="29" s="1"/>
  <c r="AL37" i="29"/>
  <c r="AO37" i="29" s="1"/>
  <c r="AL71" i="29"/>
  <c r="AO71" i="29" s="1"/>
  <c r="AL79" i="29"/>
  <c r="AO79" i="29" s="1"/>
  <c r="AL11" i="29"/>
  <c r="AO11" i="29" s="1"/>
  <c r="AL45" i="29"/>
  <c r="AO45" i="29" s="1"/>
  <c r="AL38" i="29"/>
  <c r="AO38" i="29" s="1"/>
  <c r="AL108" i="29"/>
  <c r="AO108" i="29" s="1"/>
  <c r="AL35" i="29"/>
  <c r="AO35" i="29" s="1"/>
  <c r="AL26" i="29"/>
  <c r="AO26" i="29" s="1"/>
  <c r="AL3" i="29"/>
  <c r="AL96" i="29"/>
  <c r="AO96" i="29" s="1"/>
  <c r="O13" i="3"/>
  <c r="AL24" i="29"/>
  <c r="AO24" i="29" s="1"/>
  <c r="AF126" i="29"/>
  <c r="AL33" i="29"/>
  <c r="AO33" i="29" s="1"/>
  <c r="AL8" i="29"/>
  <c r="AO8" i="29" s="1"/>
  <c r="AL102" i="29"/>
  <c r="AO102" i="29" s="1"/>
  <c r="AL67" i="29"/>
  <c r="AO67" i="29" s="1"/>
  <c r="AC24" i="29"/>
  <c r="AC96" i="29"/>
  <c r="AC76" i="29"/>
  <c r="AC20" i="29"/>
  <c r="AC122" i="29"/>
  <c r="AC119" i="29"/>
  <c r="AC87" i="29"/>
  <c r="AC9" i="29"/>
  <c r="AC68" i="29"/>
  <c r="AC110" i="29"/>
  <c r="AC13" i="29"/>
  <c r="AC18" i="29"/>
  <c r="AC77" i="29"/>
  <c r="AC59" i="29"/>
  <c r="AL115" i="29"/>
  <c r="AL43" i="29"/>
  <c r="AO43" i="29" s="1"/>
  <c r="AL110" i="29"/>
  <c r="AO110" i="29" s="1"/>
  <c r="AC13" i="3" l="1"/>
  <c r="AC16" i="3"/>
  <c r="AC15" i="3"/>
  <c r="AC11" i="3"/>
  <c r="AC9" i="3"/>
  <c r="AC10" i="3"/>
  <c r="AF10" i="3" s="1"/>
  <c r="AC12" i="3"/>
  <c r="AC14" i="3"/>
  <c r="AF16" i="3"/>
  <c r="AF12" i="3"/>
  <c r="O39" i="3"/>
  <c r="S40" i="3" s="1"/>
  <c r="AV53" i="29" a="1"/>
  <c r="AV53" i="29" s="1"/>
  <c r="C44" i="32"/>
  <c r="AV11" i="29" a="1"/>
  <c r="AV11" i="29" s="1"/>
  <c r="C15" i="32"/>
  <c r="AV61" i="29" a="1"/>
  <c r="AV61" i="29" s="1"/>
  <c r="C92" i="32"/>
  <c r="AV99" i="29" a="1"/>
  <c r="AV99" i="29" s="1"/>
  <c r="C68" i="32"/>
  <c r="AV101" i="29" a="1"/>
  <c r="AV101" i="29" s="1"/>
  <c r="AW101" i="29" s="1"/>
  <c r="C29" i="32"/>
  <c r="AV82" i="29" a="1"/>
  <c r="AV82" i="29" s="1"/>
  <c r="C79" i="32"/>
  <c r="AV31" i="29" a="1"/>
  <c r="AV31" i="29" s="1"/>
  <c r="C43" i="32"/>
  <c r="AV6" i="29" a="1"/>
  <c r="AV6" i="29" s="1"/>
  <c r="C9" i="32"/>
  <c r="AV14" i="29" a="1"/>
  <c r="AV14" i="29" s="1"/>
  <c r="C17" i="32"/>
  <c r="AV78" i="29" a="1"/>
  <c r="AV78" i="29" s="1"/>
  <c r="C86" i="32"/>
  <c r="AV94" i="29" a="1"/>
  <c r="AV94" i="29" s="1"/>
  <c r="C65" i="32"/>
  <c r="AV41" i="29" a="1"/>
  <c r="AV41" i="29" s="1"/>
  <c r="C77" i="32"/>
  <c r="AV86" i="29" a="1"/>
  <c r="AV86" i="29" s="1"/>
  <c r="C78" i="32"/>
  <c r="AV110" i="29" a="1"/>
  <c r="AV110" i="29" s="1"/>
  <c r="AV96" i="29" a="1"/>
  <c r="AV96" i="29" s="1"/>
  <c r="C67" i="32"/>
  <c r="AV79" i="29" a="1"/>
  <c r="AV79" i="29" s="1"/>
  <c r="C88" i="32"/>
  <c r="AV19" i="29" a="1"/>
  <c r="AV19" i="29" s="1"/>
  <c r="C51" i="32"/>
  <c r="AV63" i="29" a="1"/>
  <c r="AV63" i="29" s="1"/>
  <c r="C62" i="32"/>
  <c r="AV9" i="29" a="1"/>
  <c r="AV9" i="29" s="1"/>
  <c r="C6" i="32"/>
  <c r="AV84" i="29" a="1"/>
  <c r="AV84" i="29" s="1"/>
  <c r="C80" i="32"/>
  <c r="AV16" i="29" a="1"/>
  <c r="AV16" i="29" s="1"/>
  <c r="C10" i="32"/>
  <c r="AV43" i="29" a="1"/>
  <c r="AV43" i="29" s="1"/>
  <c r="C36" i="32"/>
  <c r="AV67" i="29" a="1"/>
  <c r="AV67" i="29" s="1"/>
  <c r="C27" i="32"/>
  <c r="AV71" i="29" a="1"/>
  <c r="AV71" i="29" s="1"/>
  <c r="C97" i="32"/>
  <c r="AV91" i="29" a="1"/>
  <c r="AV91" i="29" s="1"/>
  <c r="C38" i="32"/>
  <c r="AV72" i="29" a="1"/>
  <c r="AV72" i="29" s="1"/>
  <c r="C33" i="32"/>
  <c r="AV25" i="29" a="1"/>
  <c r="AV25" i="29" s="1"/>
  <c r="C26" i="32"/>
  <c r="AV21" i="29" a="1"/>
  <c r="AV21" i="29" s="1"/>
  <c r="C71" i="32"/>
  <c r="AV90" i="29" a="1"/>
  <c r="AV90" i="29" s="1"/>
  <c r="C81" i="32"/>
  <c r="AV27" i="29" a="1"/>
  <c r="AV27" i="29" s="1"/>
  <c r="C100" i="32"/>
  <c r="AV34" i="29" a="1"/>
  <c r="AV34" i="29" s="1"/>
  <c r="C37" i="32"/>
  <c r="AV36" i="29" a="1"/>
  <c r="AV36" i="29" s="1"/>
  <c r="C57" i="32"/>
  <c r="AV57" i="29" a="1"/>
  <c r="AV57" i="29" s="1"/>
  <c r="C59" i="32"/>
  <c r="AV83" i="29" a="1"/>
  <c r="AV83" i="29" s="1"/>
  <c r="C89" i="32"/>
  <c r="AV68" i="29" a="1"/>
  <c r="AV68" i="29" s="1"/>
  <c r="C64" i="32"/>
  <c r="AV37" i="29" a="1"/>
  <c r="AV37" i="29" s="1"/>
  <c r="C49" i="32"/>
  <c r="AV89" i="29" a="1"/>
  <c r="AV89" i="29" s="1"/>
  <c r="C24" i="32"/>
  <c r="AV56" i="29" a="1"/>
  <c r="AV56" i="29" s="1"/>
  <c r="C47" i="32"/>
  <c r="AV102" i="29" a="1"/>
  <c r="AV102" i="29" s="1"/>
  <c r="C70" i="32"/>
  <c r="AV44" i="29" a="1"/>
  <c r="AV44" i="29" s="1"/>
  <c r="C41" i="32"/>
  <c r="AV8" i="29" a="1"/>
  <c r="AV8" i="29" s="1"/>
  <c r="C14" i="32"/>
  <c r="AV85" i="29" a="1"/>
  <c r="AV85" i="29" s="1"/>
  <c r="C101" i="32"/>
  <c r="AV103" i="29" a="1"/>
  <c r="AV103" i="29" s="1"/>
  <c r="C94" i="32"/>
  <c r="AV81" i="29" a="1"/>
  <c r="AV81" i="29" s="1"/>
  <c r="C91" i="32"/>
  <c r="AV30" i="29" a="1"/>
  <c r="AV30" i="29" s="1"/>
  <c r="C50" i="32"/>
  <c r="AV92" i="29" a="1"/>
  <c r="AV92" i="29" s="1"/>
  <c r="C90" i="32"/>
  <c r="AV73" i="29" a="1"/>
  <c r="AV73" i="29" s="1"/>
  <c r="C40" i="32"/>
  <c r="AV88" i="29" a="1"/>
  <c r="AV88" i="29" s="1"/>
  <c r="C28" i="32"/>
  <c r="AV49" i="29" a="1"/>
  <c r="AV49" i="29" s="1"/>
  <c r="C22" i="32"/>
  <c r="AV33" i="29" a="1"/>
  <c r="AV33" i="29" s="1"/>
  <c r="C34" i="32"/>
  <c r="AV95" i="29" a="1"/>
  <c r="AV95" i="29" s="1"/>
  <c r="C66" i="32"/>
  <c r="AV60" i="29" a="1"/>
  <c r="AV60" i="29" s="1"/>
  <c r="C30" i="32"/>
  <c r="AV69" i="29" a="1"/>
  <c r="AV69" i="29" s="1"/>
  <c r="C75" i="32"/>
  <c r="AV54" i="29" a="1"/>
  <c r="AV54" i="29" s="1"/>
  <c r="C82" i="32"/>
  <c r="AV32" i="29" a="1"/>
  <c r="AV32" i="29" s="1"/>
  <c r="C55" i="32"/>
  <c r="AV80" i="29" a="1"/>
  <c r="AV80" i="29" s="1"/>
  <c r="AW80" i="29" s="1"/>
  <c r="C45" i="32"/>
  <c r="AV22" i="29" a="1"/>
  <c r="AV22" i="29" s="1"/>
  <c r="AW22" i="29" s="1"/>
  <c r="C39" i="32"/>
  <c r="AV7" i="29" a="1"/>
  <c r="AV7" i="29" s="1"/>
  <c r="AX7" i="29" s="1"/>
  <c r="C5" i="32"/>
  <c r="AV58" i="29" a="1"/>
  <c r="AV58" i="29" s="1"/>
  <c r="AX58" i="29" s="1"/>
  <c r="C102" i="32"/>
  <c r="AV28" i="29"/>
  <c r="AZ28" i="29" s="1"/>
  <c r="C12" i="32"/>
  <c r="AV17" i="29" a="1"/>
  <c r="AV17" i="29" s="1"/>
  <c r="AW17" i="29" s="1"/>
  <c r="C16" i="32"/>
  <c r="AV40" i="29" a="1"/>
  <c r="AV40" i="29" s="1"/>
  <c r="AX40" i="29" s="1"/>
  <c r="C99" i="32"/>
  <c r="AV70" i="29" a="1"/>
  <c r="AV70" i="29" s="1"/>
  <c r="AZ70" i="29" s="1"/>
  <c r="C84" i="32"/>
  <c r="AV75" i="29" a="1"/>
  <c r="AV75" i="29" s="1"/>
  <c r="AW75" i="29" s="1"/>
  <c r="C95" i="32"/>
  <c r="AV62" i="29" a="1"/>
  <c r="AV62" i="29" s="1"/>
  <c r="AZ62" i="29" s="1"/>
  <c r="C61" i="32"/>
  <c r="AV12" i="29" a="1"/>
  <c r="AV12" i="29" s="1"/>
  <c r="AZ12" i="29" s="1"/>
  <c r="C13" i="32"/>
  <c r="AV111" i="29" a="1"/>
  <c r="AV111" i="29" s="1"/>
  <c r="AV26" i="29" a="1"/>
  <c r="AV26" i="29" s="1"/>
  <c r="C104" i="32"/>
  <c r="AV52" i="29" a="1"/>
  <c r="AV52" i="29" s="1"/>
  <c r="C98" i="32"/>
  <c r="AV109" i="29" a="1"/>
  <c r="AV109" i="29" s="1"/>
  <c r="AV35" i="29" a="1"/>
  <c r="AV35" i="29" s="1"/>
  <c r="C56" i="32"/>
  <c r="AV13" i="29" a="1"/>
  <c r="AV13" i="29" s="1"/>
  <c r="C11" i="32"/>
  <c r="AV65" i="29" a="1"/>
  <c r="AV65" i="29" s="1"/>
  <c r="C83" i="32"/>
  <c r="AV48" i="29" a="1"/>
  <c r="AV48" i="29" s="1"/>
  <c r="C18" i="32"/>
  <c r="AV74" i="29" a="1"/>
  <c r="AV74" i="29" s="1"/>
  <c r="C42" i="32"/>
  <c r="AV29" i="29" a="1"/>
  <c r="AV29" i="29" s="1"/>
  <c r="C48" i="32"/>
  <c r="AV51" i="29" a="1"/>
  <c r="AV51" i="29" s="1"/>
  <c r="C31" i="32"/>
  <c r="AV77" i="29" a="1"/>
  <c r="AV77" i="29" s="1"/>
  <c r="C76" i="32"/>
  <c r="AV108" i="29" a="1"/>
  <c r="AV108" i="29" s="1"/>
  <c r="AV66" i="29" a="1"/>
  <c r="AV66" i="29" s="1"/>
  <c r="C73" i="32"/>
  <c r="AV64" i="29" a="1"/>
  <c r="AV64" i="29" s="1"/>
  <c r="C63" i="32"/>
  <c r="AV4" i="29" a="1"/>
  <c r="AV4" i="29" s="1"/>
  <c r="C4" i="32"/>
  <c r="AV10" i="29" a="1"/>
  <c r="AV10" i="29" s="1"/>
  <c r="C8" i="32"/>
  <c r="AV87" i="29" a="1"/>
  <c r="AV87" i="29" s="1"/>
  <c r="C35" i="32"/>
  <c r="AV38" i="29" a="1"/>
  <c r="AV38" i="29" s="1"/>
  <c r="AZ38" i="29" s="1"/>
  <c r="C96" i="32"/>
  <c r="AV24" i="29" a="1"/>
  <c r="AV24" i="29" s="1"/>
  <c r="AZ24" i="29" s="1"/>
  <c r="C54" i="32"/>
  <c r="AV45" i="29" a="1"/>
  <c r="AV45" i="29" s="1"/>
  <c r="AX45" i="29" s="1"/>
  <c r="C19" i="32"/>
  <c r="AV15" i="29" a="1"/>
  <c r="AV15" i="29" s="1"/>
  <c r="AW15" i="29" s="1"/>
  <c r="C21" i="32"/>
  <c r="AV100" i="29" a="1"/>
  <c r="AV100" i="29" s="1"/>
  <c r="AX100" i="29" s="1"/>
  <c r="C69" i="32"/>
  <c r="AV76" i="29" a="1"/>
  <c r="AV76" i="29" s="1"/>
  <c r="AX76" i="29" s="1"/>
  <c r="C25" i="32"/>
  <c r="AV39" i="29" a="1"/>
  <c r="AV39" i="29" s="1"/>
  <c r="AX39" i="29" s="1"/>
  <c r="C32" i="32"/>
  <c r="AV93" i="29" a="1"/>
  <c r="AV93" i="29" s="1"/>
  <c r="AZ93" i="29" s="1"/>
  <c r="C87" i="32"/>
  <c r="AV46" i="29" a="1"/>
  <c r="AV46" i="29" s="1"/>
  <c r="AX46" i="29" s="1"/>
  <c r="C58" i="32"/>
  <c r="AV59" i="29" a="1"/>
  <c r="AV59" i="29" s="1"/>
  <c r="AZ59" i="29" s="1"/>
  <c r="C60" i="32"/>
  <c r="AV47" i="29" a="1"/>
  <c r="AV47" i="29" s="1"/>
  <c r="AZ47" i="29" s="1"/>
  <c r="C23" i="32"/>
  <c r="AV5" i="29" a="1"/>
  <c r="AV5" i="29" s="1"/>
  <c r="AW5" i="29" s="1"/>
  <c r="C7" i="32"/>
  <c r="AV98" i="29" a="1"/>
  <c r="AV98" i="29" s="1"/>
  <c r="AW98" i="29" s="1"/>
  <c r="C46" i="32"/>
  <c r="AV20" i="29" a="1"/>
  <c r="AV20" i="29" s="1"/>
  <c r="AZ20" i="29" s="1"/>
  <c r="C52" i="32"/>
  <c r="AV55" i="29" a="1"/>
  <c r="AV55" i="29" s="1"/>
  <c r="C72" i="32"/>
  <c r="AV42" i="29" a="1"/>
  <c r="AV42" i="29" s="1"/>
  <c r="AZ42" i="29" s="1"/>
  <c r="C85" i="32"/>
  <c r="AV23" i="29" a="1"/>
  <c r="AV23" i="29" s="1"/>
  <c r="AX23" i="29" s="1"/>
  <c r="C53" i="32"/>
  <c r="AV18" i="29" a="1"/>
  <c r="AV18" i="29" s="1"/>
  <c r="AX18" i="29" s="1"/>
  <c r="C20" i="32"/>
  <c r="AV50" i="29" a="1"/>
  <c r="AV50" i="29" s="1"/>
  <c r="AX50" i="29" s="1"/>
  <c r="C93" i="32"/>
  <c r="AV97" i="29" a="1"/>
  <c r="AV97" i="29" s="1"/>
  <c r="AZ97" i="29" s="1"/>
  <c r="C74" i="32"/>
  <c r="AX43" i="29"/>
  <c r="AW43" i="29"/>
  <c r="AZ43" i="29"/>
  <c r="AL105" i="29"/>
  <c r="AF13" i="3" s="1"/>
  <c r="AO3" i="29"/>
  <c r="C103" i="32" s="1"/>
  <c r="AX22" i="29"/>
  <c r="AZ22" i="29"/>
  <c r="AW7" i="29"/>
  <c r="AW58" i="29"/>
  <c r="AZ58" i="29"/>
  <c r="AW28" i="29"/>
  <c r="AX17" i="29"/>
  <c r="AZ17" i="29"/>
  <c r="AZ40" i="29"/>
  <c r="AX70" i="29"/>
  <c r="AX75" i="29"/>
  <c r="AX62" i="29"/>
  <c r="AC124" i="29"/>
  <c r="AX97" i="29"/>
  <c r="AX24" i="29"/>
  <c r="AZ45" i="29"/>
  <c r="AX15" i="29"/>
  <c r="AZ15" i="29"/>
  <c r="AZ100" i="29"/>
  <c r="AW76" i="29"/>
  <c r="AW39" i="29"/>
  <c r="AZ39" i="29"/>
  <c r="AX93" i="29"/>
  <c r="AX59" i="29"/>
  <c r="AX47" i="29"/>
  <c r="AW47" i="29"/>
  <c r="AX5" i="29"/>
  <c r="AZ80" i="29"/>
  <c r="AX80" i="29"/>
  <c r="AW56" i="29"/>
  <c r="AX56" i="29"/>
  <c r="AZ56" i="29"/>
  <c r="AC113" i="29"/>
  <c r="AZ31" i="29"/>
  <c r="AW31" i="29"/>
  <c r="AX31" i="29"/>
  <c r="AX110" i="29"/>
  <c r="AZ110" i="29"/>
  <c r="F13" i="3"/>
  <c r="AH13" i="3"/>
  <c r="AX11" i="29"/>
  <c r="AZ11" i="29"/>
  <c r="AW11" i="29"/>
  <c r="AZ6" i="29"/>
  <c r="AX6" i="29"/>
  <c r="AW6" i="29"/>
  <c r="AZ14" i="29"/>
  <c r="AX14" i="29"/>
  <c r="AW14" i="29"/>
  <c r="AX78" i="29"/>
  <c r="AZ78" i="29"/>
  <c r="AX94" i="29"/>
  <c r="AZ94" i="29"/>
  <c r="AZ41" i="29"/>
  <c r="AX41" i="29"/>
  <c r="AX86" i="29"/>
  <c r="AZ86" i="29"/>
  <c r="AZ116" i="29"/>
  <c r="AX116" i="29"/>
  <c r="AZ18" i="29"/>
  <c r="AW12" i="29"/>
  <c r="AX12" i="29"/>
  <c r="AX122" i="29"/>
  <c r="AZ122" i="29"/>
  <c r="AZ68" i="29"/>
  <c r="AX68" i="29"/>
  <c r="AZ96" i="29"/>
  <c r="AX96" i="29"/>
  <c r="AZ79" i="29"/>
  <c r="AX79" i="29"/>
  <c r="AZ19" i="29"/>
  <c r="AX19" i="29"/>
  <c r="AZ63" i="29"/>
  <c r="AX63" i="29"/>
  <c r="AZ9" i="29"/>
  <c r="AX9" i="29"/>
  <c r="AW9" i="29"/>
  <c r="AX84" i="29"/>
  <c r="AZ84" i="29"/>
  <c r="AW16" i="29"/>
  <c r="AZ16" i="29"/>
  <c r="AX16" i="29"/>
  <c r="AZ118" i="29"/>
  <c r="AX118" i="29"/>
  <c r="AX61" i="29"/>
  <c r="AZ61" i="29"/>
  <c r="AX99" i="29"/>
  <c r="AZ99" i="29"/>
  <c r="AZ101" i="29"/>
  <c r="AX101" i="29"/>
  <c r="AX98" i="29"/>
  <c r="AX20" i="29"/>
  <c r="AZ121" i="29"/>
  <c r="AX121" i="29"/>
  <c r="AX117" i="29"/>
  <c r="AZ117" i="29"/>
  <c r="AL124" i="29"/>
  <c r="AO115" i="29"/>
  <c r="AX71" i="29"/>
  <c r="AW71" i="29"/>
  <c r="AZ71" i="29"/>
  <c r="AW91" i="29"/>
  <c r="AZ91" i="29"/>
  <c r="AX91" i="29"/>
  <c r="AZ72" i="29"/>
  <c r="AW72" i="29"/>
  <c r="AX72" i="29"/>
  <c r="AX25" i="29"/>
  <c r="AZ25" i="29"/>
  <c r="AW25" i="29"/>
  <c r="AX21" i="29"/>
  <c r="AZ21" i="29"/>
  <c r="AZ90" i="29"/>
  <c r="AX90" i="29"/>
  <c r="AX27" i="29"/>
  <c r="AW27" i="29"/>
  <c r="AZ27" i="29"/>
  <c r="AZ34" i="29"/>
  <c r="AX34" i="29"/>
  <c r="AW34" i="29"/>
  <c r="AZ36" i="29"/>
  <c r="AX36" i="29"/>
  <c r="AX57" i="29"/>
  <c r="AZ57" i="29"/>
  <c r="AW50" i="29"/>
  <c r="AZ50" i="29"/>
  <c r="AZ111" i="29"/>
  <c r="AX111" i="29"/>
  <c r="AX85" i="29"/>
  <c r="AZ85" i="29"/>
  <c r="AW85" i="29"/>
  <c r="AX103" i="29"/>
  <c r="AZ103" i="29"/>
  <c r="AZ26" i="29"/>
  <c r="AW26" i="29"/>
  <c r="AX26" i="29"/>
  <c r="AX37" i="29"/>
  <c r="AZ37" i="29"/>
  <c r="AW37" i="29"/>
  <c r="AX53" i="29"/>
  <c r="AW53" i="29"/>
  <c r="AZ53" i="29"/>
  <c r="AZ81" i="29"/>
  <c r="AW81" i="29"/>
  <c r="AX81" i="29"/>
  <c r="AW44" i="29"/>
  <c r="AZ44" i="29"/>
  <c r="AX44" i="29"/>
  <c r="AX52" i="29"/>
  <c r="AZ52" i="29"/>
  <c r="AX42" i="29"/>
  <c r="AX119" i="29"/>
  <c r="AZ119" i="29"/>
  <c r="AW89" i="29"/>
  <c r="AX89" i="29"/>
  <c r="AZ89" i="29"/>
  <c r="AX30" i="29"/>
  <c r="AZ30" i="29"/>
  <c r="AW30" i="29"/>
  <c r="AZ109" i="29"/>
  <c r="AX109" i="29"/>
  <c r="AZ82" i="29"/>
  <c r="AX82" i="29"/>
  <c r="AZ92" i="29"/>
  <c r="AX92" i="29"/>
  <c r="AZ73" i="29"/>
  <c r="AX73" i="29"/>
  <c r="AW73" i="29"/>
  <c r="AZ102" i="29"/>
  <c r="AX102" i="29"/>
  <c r="AZ8" i="29"/>
  <c r="AX8" i="29"/>
  <c r="AW8" i="29"/>
  <c r="AZ35" i="29"/>
  <c r="AX35" i="29"/>
  <c r="AW13" i="29"/>
  <c r="AX13" i="29"/>
  <c r="AZ13" i="29"/>
  <c r="AZ65" i="29"/>
  <c r="AX65" i="29"/>
  <c r="AX48" i="29"/>
  <c r="AZ48" i="29"/>
  <c r="AW48" i="29"/>
  <c r="AW74" i="29"/>
  <c r="AX74" i="29"/>
  <c r="AZ74" i="29"/>
  <c r="AX120" i="29"/>
  <c r="AZ120" i="29"/>
  <c r="AX29" i="29"/>
  <c r="AW29" i="29"/>
  <c r="AZ29" i="29"/>
  <c r="AW88" i="29"/>
  <c r="AX88" i="29"/>
  <c r="AZ88" i="29"/>
  <c r="AW51" i="29"/>
  <c r="AZ51" i="29"/>
  <c r="AX51" i="29"/>
  <c r="AW49" i="29"/>
  <c r="AZ49" i="29"/>
  <c r="AX49" i="29"/>
  <c r="AX77" i="29"/>
  <c r="AZ77" i="29"/>
  <c r="AZ83" i="29"/>
  <c r="AX83" i="29"/>
  <c r="AV107" i="29" a="1"/>
  <c r="AV107" i="29" s="1"/>
  <c r="AO113" i="29"/>
  <c r="AX67" i="29"/>
  <c r="AW67" i="29"/>
  <c r="AZ67" i="29"/>
  <c r="AX33" i="29"/>
  <c r="AW33" i="29"/>
  <c r="AZ33" i="29"/>
  <c r="AZ108" i="29"/>
  <c r="AX108" i="29"/>
  <c r="AZ95" i="29"/>
  <c r="AX95" i="29"/>
  <c r="AZ66" i="29"/>
  <c r="AX66" i="29"/>
  <c r="AX60" i="29"/>
  <c r="AW60" i="29"/>
  <c r="AZ60" i="29"/>
  <c r="AX64" i="29"/>
  <c r="AZ64" i="29"/>
  <c r="AZ69" i="29"/>
  <c r="AX69" i="29"/>
  <c r="AW4" i="29"/>
  <c r="AZ4" i="29"/>
  <c r="AX4" i="29"/>
  <c r="AZ54" i="29"/>
  <c r="AW54" i="29"/>
  <c r="AX54" i="29"/>
  <c r="AW10" i="29"/>
  <c r="AX10" i="29"/>
  <c r="AZ10" i="29"/>
  <c r="AX32" i="29"/>
  <c r="AZ32" i="29"/>
  <c r="AZ87" i="29"/>
  <c r="AX87" i="29"/>
  <c r="AW87" i="29"/>
  <c r="AK13" i="3"/>
  <c r="AC105" i="29"/>
  <c r="AC126" i="29" s="1"/>
  <c r="AX55" i="29"/>
  <c r="AZ55" i="29"/>
  <c r="AL113" i="29"/>
  <c r="S14" i="3" s="1"/>
  <c r="S28" i="3" l="1"/>
  <c r="AL128" i="38" s="1"/>
  <c r="W40" i="3"/>
  <c r="AD40" i="3"/>
  <c r="Q40" i="3"/>
  <c r="Z40" i="3"/>
  <c r="R40" i="3"/>
  <c r="AI12" i="3"/>
  <c r="AJ12" i="3"/>
  <c r="AI16" i="3"/>
  <c r="AJ16" i="3"/>
  <c r="AC39" i="3"/>
  <c r="AC40" i="3" s="1"/>
  <c r="AF9" i="3"/>
  <c r="AC42" i="3"/>
  <c r="AF15" i="3"/>
  <c r="AG43" i="3" s="1"/>
  <c r="AC36" i="3"/>
  <c r="AF11" i="3"/>
  <c r="AG37" i="3" s="1"/>
  <c r="V40" i="3"/>
  <c r="P40" i="3"/>
  <c r="AJ10" i="3"/>
  <c r="AI10" i="3"/>
  <c r="X40" i="3"/>
  <c r="T40" i="3"/>
  <c r="U40" i="3"/>
  <c r="AE13" i="3"/>
  <c r="AE39" i="3" s="1"/>
  <c r="AX28" i="29"/>
  <c r="AZ98" i="29"/>
  <c r="AZ76" i="29"/>
  <c r="AW45" i="29"/>
  <c r="AX38" i="29"/>
  <c r="AW18" i="29"/>
  <c r="AZ5" i="29"/>
  <c r="AZ46" i="29"/>
  <c r="AZ75" i="29"/>
  <c r="AZ7" i="29"/>
  <c r="AV104" i="29"/>
  <c r="AZ23" i="29"/>
  <c r="F14" i="3"/>
  <c r="AE14" i="3"/>
  <c r="AF14" i="3"/>
  <c r="C105" i="32"/>
  <c r="D101" i="32" s="1"/>
  <c r="AX107" i="29"/>
  <c r="AX112" i="29" s="1"/>
  <c r="AV112" i="29"/>
  <c r="AZ107" i="29"/>
  <c r="AZ113" i="29" s="1"/>
  <c r="AJ13" i="3"/>
  <c r="AI13" i="3"/>
  <c r="AO105" i="29"/>
  <c r="AV3" i="29"/>
  <c r="AW104" i="29"/>
  <c r="AX104" i="29"/>
  <c r="AO124" i="29"/>
  <c r="AV115" i="29" a="1"/>
  <c r="AV115" i="29" s="1"/>
  <c r="AJ9" i="3" l="1"/>
  <c r="AI9" i="3"/>
  <c r="AF39" i="3"/>
  <c r="AG36" i="3"/>
  <c r="AI11" i="3"/>
  <c r="AJ11" i="3"/>
  <c r="AG42" i="3"/>
  <c r="AI15" i="3"/>
  <c r="AJ15" i="3"/>
  <c r="AG9" i="3"/>
  <c r="D74" i="32"/>
  <c r="D11" i="32"/>
  <c r="D10" i="32"/>
  <c r="D85" i="32"/>
  <c r="D62" i="32"/>
  <c r="D82" i="32"/>
  <c r="D104" i="32"/>
  <c r="D17" i="32"/>
  <c r="D38" i="32"/>
  <c r="AO126" i="29"/>
  <c r="D35" i="32"/>
  <c r="D39" i="32"/>
  <c r="D48" i="32"/>
  <c r="D21" i="32"/>
  <c r="D69" i="32"/>
  <c r="D75" i="32"/>
  <c r="D96" i="32"/>
  <c r="D34" i="32"/>
  <c r="D4" i="32"/>
  <c r="D37" i="32"/>
  <c r="D84" i="32"/>
  <c r="D32" i="32"/>
  <c r="D9" i="32"/>
  <c r="D41" i="32"/>
  <c r="D92" i="32"/>
  <c r="D64" i="32"/>
  <c r="D103" i="32"/>
  <c r="D23" i="32"/>
  <c r="D77" i="32"/>
  <c r="D91" i="32"/>
  <c r="D81" i="32"/>
  <c r="D16" i="32"/>
  <c r="D58" i="32"/>
  <c r="D36" i="32"/>
  <c r="D5" i="32"/>
  <c r="D54" i="32"/>
  <c r="D43" i="32"/>
  <c r="D70" i="32"/>
  <c r="D56" i="32"/>
  <c r="D72" i="32"/>
  <c r="D88" i="32"/>
  <c r="D28" i="32"/>
  <c r="D73" i="32"/>
  <c r="D44" i="32"/>
  <c r="D59" i="32"/>
  <c r="D61" i="32"/>
  <c r="D46" i="32"/>
  <c r="D33" i="32"/>
  <c r="D99" i="32"/>
  <c r="D25" i="32"/>
  <c r="D65" i="32"/>
  <c r="D94" i="32"/>
  <c r="D42" i="32"/>
  <c r="D93" i="32"/>
  <c r="D80" i="32"/>
  <c r="D30" i="32"/>
  <c r="D29" i="32"/>
  <c r="D24" i="32"/>
  <c r="D98" i="32"/>
  <c r="D53" i="32"/>
  <c r="D100" i="32"/>
  <c r="D13" i="32"/>
  <c r="D60" i="32"/>
  <c r="D67" i="32"/>
  <c r="D40" i="32"/>
  <c r="AI14" i="3"/>
  <c r="AJ14" i="3"/>
  <c r="D97" i="32"/>
  <c r="D45" i="32"/>
  <c r="D14" i="32"/>
  <c r="D83" i="32"/>
  <c r="D15" i="32"/>
  <c r="D89" i="32"/>
  <c r="D52" i="32"/>
  <c r="D6" i="32"/>
  <c r="D66" i="32"/>
  <c r="D71" i="32"/>
  <c r="D12" i="32"/>
  <c r="D87" i="32"/>
  <c r="D78" i="32"/>
  <c r="D50" i="32"/>
  <c r="D31" i="32"/>
  <c r="D79" i="32"/>
  <c r="D47" i="32"/>
  <c r="D18" i="32"/>
  <c r="D20" i="32"/>
  <c r="D27" i="32"/>
  <c r="D55" i="32"/>
  <c r="D8" i="32"/>
  <c r="D57" i="32"/>
  <c r="D95" i="32"/>
  <c r="D7" i="32"/>
  <c r="D51" i="32"/>
  <c r="D22" i="32"/>
  <c r="D63" i="32"/>
  <c r="D86" i="32"/>
  <c r="D90" i="32"/>
  <c r="D76" i="32"/>
  <c r="D26" i="32"/>
  <c r="D102" i="32"/>
  <c r="D19" i="32"/>
  <c r="D68" i="32"/>
  <c r="D49" i="32"/>
  <c r="AZ3" i="29"/>
  <c r="AZ105" i="29" s="1"/>
  <c r="AX3" i="29"/>
  <c r="AW3" i="29"/>
  <c r="AX115" i="29"/>
  <c r="AX123" i="29" s="1"/>
  <c r="AZ115" i="29"/>
  <c r="AZ124" i="29" s="1"/>
  <c r="AV123" i="29"/>
  <c r="AG40" i="3" l="1"/>
  <c r="AG39" i="3"/>
  <c r="AF40" i="3"/>
  <c r="AO128" i="35"/>
  <c r="E4" i="32"/>
  <c r="D105" i="32"/>
  <c r="AZ126" i="29"/>
  <c r="E5" i="32" l="1"/>
  <c r="F4" i="32"/>
  <c r="F5" i="32" l="1"/>
  <c r="E6" i="32"/>
  <c r="F6" i="32" l="1"/>
  <c r="E7" i="32"/>
  <c r="E8" i="32" l="1"/>
  <c r="F7" i="32"/>
  <c r="F8" i="32" l="1"/>
  <c r="E9" i="32"/>
  <c r="E10" i="32" l="1"/>
  <c r="F9" i="32"/>
  <c r="E11" i="32" l="1"/>
  <c r="F10" i="32"/>
  <c r="F11" i="32" l="1"/>
  <c r="E12" i="32"/>
  <c r="F12" i="32" l="1"/>
  <c r="E13" i="32"/>
  <c r="E14" i="32" l="1"/>
  <c r="F13" i="32"/>
  <c r="F14" i="32" l="1"/>
  <c r="E15" i="32"/>
  <c r="F15" i="32" l="1"/>
  <c r="E16" i="32"/>
  <c r="F16" i="32" l="1"/>
  <c r="E17" i="32"/>
  <c r="F17" i="32" l="1"/>
  <c r="E18" i="32"/>
  <c r="E19" i="32" l="1"/>
  <c r="F18" i="32"/>
  <c r="F19" i="32" l="1"/>
  <c r="E20" i="32"/>
  <c r="E21" i="32" l="1"/>
  <c r="F20" i="32"/>
  <c r="F21" i="32" l="1"/>
  <c r="E22" i="32"/>
  <c r="F22" i="32" l="1"/>
  <c r="E23" i="32"/>
  <c r="E24" i="32" l="1"/>
  <c r="F23" i="32"/>
  <c r="F24" i="32" l="1"/>
  <c r="E25" i="32"/>
  <c r="E26" i="32" l="1"/>
  <c r="F25" i="32"/>
  <c r="E27" i="32" l="1"/>
  <c r="F26" i="32"/>
  <c r="F27" i="32" l="1"/>
  <c r="E28" i="32"/>
  <c r="F28" i="32" l="1"/>
  <c r="E29" i="32"/>
  <c r="E30" i="32" l="1"/>
  <c r="F29" i="32"/>
  <c r="F30" i="32" l="1"/>
  <c r="E31" i="32"/>
  <c r="F31" i="32" l="1"/>
  <c r="E32" i="32"/>
  <c r="F32" i="32" l="1"/>
  <c r="E33" i="32"/>
  <c r="F33" i="32" l="1"/>
  <c r="E34" i="32"/>
  <c r="F34" i="32" l="1"/>
  <c r="E35" i="32"/>
  <c r="E36" i="32" l="1"/>
  <c r="E39" i="32"/>
  <c r="F35" i="32"/>
  <c r="F39" i="32" l="1"/>
  <c r="E40" i="32"/>
  <c r="F36" i="32"/>
  <c r="E37" i="32"/>
  <c r="F37" i="32" l="1"/>
  <c r="E38" i="32"/>
  <c r="F38" i="32" s="1"/>
  <c r="F40" i="32"/>
  <c r="E41" i="32"/>
  <c r="F41" i="32" l="1"/>
  <c r="E42" i="32"/>
  <c r="F42" i="32" l="1"/>
  <c r="E43" i="32"/>
  <c r="E44" i="32" l="1"/>
  <c r="F43" i="32"/>
  <c r="F44" i="32" l="1"/>
  <c r="E45" i="32"/>
  <c r="F45" i="32" l="1"/>
  <c r="E46" i="32"/>
  <c r="F46" i="32" l="1"/>
  <c r="E47" i="32"/>
  <c r="E48" i="32" l="1"/>
  <c r="F47" i="32"/>
  <c r="E49" i="32" l="1"/>
  <c r="F48" i="32"/>
  <c r="F49" i="32" l="1"/>
  <c r="E76" i="32"/>
  <c r="E50" i="32"/>
  <c r="E51" i="32" l="1"/>
  <c r="F50" i="32"/>
  <c r="F76" i="32"/>
  <c r="E77" i="32"/>
  <c r="F77" i="32" l="1"/>
  <c r="E78" i="32"/>
  <c r="E52" i="32"/>
  <c r="F51" i="32"/>
  <c r="E53" i="32" l="1"/>
  <c r="F52" i="32"/>
  <c r="E79" i="32"/>
  <c r="F78" i="32"/>
  <c r="F79" i="32" l="1"/>
  <c r="E80" i="32"/>
  <c r="E54" i="32"/>
  <c r="F53" i="32"/>
  <c r="F54" i="32" l="1"/>
  <c r="E55" i="32"/>
  <c r="F80" i="32"/>
  <c r="E81" i="32"/>
  <c r="E82" i="32" l="1"/>
  <c r="F81" i="32"/>
  <c r="F55" i="32"/>
  <c r="E56" i="32"/>
  <c r="E57" i="32" l="1"/>
  <c r="F56" i="32"/>
  <c r="F82" i="32"/>
  <c r="E83" i="32"/>
  <c r="F83" i="32" l="1"/>
  <c r="E84" i="32"/>
  <c r="F57" i="32"/>
  <c r="E58" i="32"/>
  <c r="F58" i="32" l="1"/>
  <c r="E59" i="32"/>
  <c r="E85" i="32"/>
  <c r="F84" i="32"/>
  <c r="F85" i="32" l="1"/>
  <c r="E86" i="32"/>
  <c r="F59" i="32"/>
  <c r="E60" i="32"/>
  <c r="F60" i="32" l="1"/>
  <c r="E61" i="32"/>
  <c r="E87" i="32"/>
  <c r="F86" i="32"/>
  <c r="E88" i="32" l="1"/>
  <c r="F87" i="32"/>
  <c r="F61" i="32"/>
  <c r="E62" i="32"/>
  <c r="F62" i="32" l="1"/>
  <c r="E63" i="32"/>
  <c r="E89" i="32"/>
  <c r="F88" i="32"/>
  <c r="E90" i="32" l="1"/>
  <c r="F89" i="32"/>
  <c r="F63" i="32"/>
  <c r="E64" i="32"/>
  <c r="F64" i="32" l="1"/>
  <c r="E65" i="32"/>
  <c r="E91" i="32"/>
  <c r="F90" i="32"/>
  <c r="E92" i="32" l="1"/>
  <c r="F91" i="32"/>
  <c r="E66" i="32"/>
  <c r="F65" i="32"/>
  <c r="E67" i="32" l="1"/>
  <c r="F66" i="32"/>
  <c r="F92" i="32"/>
  <c r="E93" i="32"/>
  <c r="F93" i="32" l="1"/>
  <c r="E94" i="32"/>
  <c r="E99" i="32"/>
  <c r="F99" i="32" s="1"/>
  <c r="E68" i="32"/>
  <c r="F67" i="32"/>
  <c r="F68" i="32" l="1"/>
  <c r="E69" i="32"/>
  <c r="E95" i="32"/>
  <c r="E100" i="32"/>
  <c r="F100" i="32" s="1"/>
  <c r="F94" i="32"/>
  <c r="F95" i="32" l="1"/>
  <c r="E96" i="32"/>
  <c r="E101" i="32"/>
  <c r="F101" i="32" s="1"/>
  <c r="E70" i="32"/>
  <c r="F69" i="32"/>
  <c r="F96" i="32" l="1"/>
  <c r="E102" i="32"/>
  <c r="F102" i="32" s="1"/>
  <c r="E97" i="32"/>
  <c r="F70" i="32"/>
  <c r="E71" i="32"/>
  <c r="F97" i="32" l="1"/>
  <c r="E98" i="32"/>
  <c r="E103" i="32"/>
  <c r="F103" i="32" s="1"/>
  <c r="E72" i="32"/>
  <c r="F71" i="32"/>
  <c r="E73" i="32" l="1"/>
  <c r="F72" i="32"/>
  <c r="F98" i="32"/>
  <c r="E104" i="32"/>
  <c r="F104" i="32" s="1"/>
  <c r="E74" i="32" l="1"/>
  <c r="F73" i="32"/>
  <c r="F74" i="32" l="1"/>
  <c r="E75" i="32"/>
  <c r="F75" i="32" s="1"/>
  <c r="AO119" i="38"/>
  <c r="AV119" i="38" s="1" a="1"/>
  <c r="AV119" i="38" s="1"/>
  <c r="AO116" i="38"/>
  <c r="AV116" i="38" s="1" a="1"/>
  <c r="AV116" i="38" s="1"/>
  <c r="AO110" i="38"/>
  <c r="AV110" i="38" s="1" a="1"/>
  <c r="AV110" i="38" s="1"/>
  <c r="AO118" i="38"/>
  <c r="AV118" i="38" s="1" a="1"/>
  <c r="AV118" i="38" s="1"/>
  <c r="AO122" i="38"/>
  <c r="AV122" i="38" s="1" a="1"/>
  <c r="AV122" i="38" s="1"/>
  <c r="AO109" i="38"/>
  <c r="AV109" i="38" s="1" a="1"/>
  <c r="AV109" i="38" s="1"/>
  <c r="AO120" i="38"/>
  <c r="AV120" i="38" s="1" a="1"/>
  <c r="AV120" i="38" s="1"/>
  <c r="AO121" i="38"/>
  <c r="AV121" i="38" s="1" a="1"/>
  <c r="AV121" i="38" s="1"/>
  <c r="AO108" i="38"/>
  <c r="AV108" i="38" s="1" a="1"/>
  <c r="AV108" i="38" s="1"/>
  <c r="AO117" i="38"/>
  <c r="AV117" i="38" s="1" a="1"/>
  <c r="AV117" i="38" s="1"/>
  <c r="AO111" i="38"/>
  <c r="AV111" i="38" s="1" a="1"/>
  <c r="AV111" i="38" s="1"/>
  <c r="AO107" i="38"/>
  <c r="AO115" i="38"/>
  <c r="AZ120" i="38" l="1"/>
  <c r="AX120" i="38"/>
  <c r="AZ109" i="38"/>
  <c r="AX109" i="38"/>
  <c r="AO124" i="38"/>
  <c r="AV115" i="38" a="1"/>
  <c r="AV115" i="38" s="1"/>
  <c r="AX116" i="38"/>
  <c r="AZ116" i="38"/>
  <c r="AV107" i="38" a="1"/>
  <c r="AV107" i="38" s="1"/>
  <c r="AO113" i="38"/>
  <c r="AZ119" i="38"/>
  <c r="AX119" i="38"/>
  <c r="AX122" i="38"/>
  <c r="AZ122" i="38"/>
  <c r="AX111" i="38"/>
  <c r="AZ111" i="38"/>
  <c r="AX118" i="38"/>
  <c r="AZ118" i="38"/>
  <c r="AW108" i="38"/>
  <c r="AW112" i="38" s="1"/>
  <c r="AX108" i="38"/>
  <c r="AZ108" i="38"/>
  <c r="AZ117" i="38"/>
  <c r="AX117" i="38"/>
  <c r="AX121" i="38"/>
  <c r="AZ121" i="38"/>
  <c r="AX110" i="38"/>
  <c r="AZ110" i="38"/>
  <c r="AL113" i="38"/>
  <c r="AX115" i="38" l="1"/>
  <c r="AX123" i="38" s="1"/>
  <c r="AV123" i="38"/>
  <c r="AZ115" i="38"/>
  <c r="AZ124" i="38" s="1"/>
  <c r="AV112" i="38"/>
  <c r="AZ107" i="38"/>
  <c r="AZ113" i="38" s="1"/>
  <c r="AX107" i="38"/>
  <c r="AX112" i="38" s="1"/>
  <c r="T99" i="43" l="1"/>
  <c r="T99" i="38" s="1"/>
  <c r="W99" i="43"/>
  <c r="W99" i="38" s="1"/>
  <c r="Z99" i="43"/>
  <c r="Z99" i="38" s="1"/>
  <c r="AE99" i="43"/>
  <c r="AE99" i="38" s="1"/>
  <c r="AG99" i="43"/>
  <c r="AG99" i="38" s="1"/>
  <c r="AM99" i="43"/>
  <c r="AM99" i="38" s="1"/>
  <c r="T100" i="43"/>
  <c r="T100" i="38" s="1"/>
  <c r="W100" i="43"/>
  <c r="W100" i="38" s="1"/>
  <c r="Z100" i="43"/>
  <c r="Z100" i="38" s="1"/>
  <c r="AE100" i="43"/>
  <c r="AE100" i="38" s="1"/>
  <c r="AG100" i="43"/>
  <c r="AG100" i="38" s="1"/>
  <c r="AM100" i="43"/>
  <c r="AM100" i="38" s="1"/>
  <c r="T101" i="43"/>
  <c r="T101" i="38" s="1"/>
  <c r="W101" i="43"/>
  <c r="W101" i="38" s="1"/>
  <c r="Z101" i="43"/>
  <c r="Z101" i="38" s="1"/>
  <c r="AE101" i="43"/>
  <c r="AE101" i="38" s="1"/>
  <c r="AG101" i="43"/>
  <c r="AG101" i="38" s="1"/>
  <c r="AM101" i="43"/>
  <c r="AM101" i="38" s="1"/>
  <c r="T102" i="43"/>
  <c r="T102" i="38" s="1"/>
  <c r="W102" i="43"/>
  <c r="W102" i="38" s="1"/>
  <c r="Z102" i="43"/>
  <c r="Z102" i="38" s="1"/>
  <c r="AE102" i="43"/>
  <c r="AE102" i="38" s="1"/>
  <c r="AG102" i="43"/>
  <c r="AG102" i="38" s="1"/>
  <c r="AM102" i="43"/>
  <c r="AM102" i="38" s="1"/>
  <c r="T103" i="43"/>
  <c r="T103" i="38" s="1"/>
  <c r="W103" i="43"/>
  <c r="W103" i="38" s="1"/>
  <c r="Z103" i="43"/>
  <c r="Z103" i="38" s="1"/>
  <c r="AE103" i="43"/>
  <c r="AE103" i="38" s="1"/>
  <c r="AG103" i="43"/>
  <c r="AG103" i="38" s="1"/>
  <c r="AM103" i="43"/>
  <c r="AM103" i="38" s="1"/>
  <c r="X103" i="42" l="1"/>
  <c r="AN103" i="42" s="1"/>
  <c r="V103" i="43"/>
  <c r="AA102" i="42"/>
  <c r="Y102" i="43"/>
  <c r="U100" i="42"/>
  <c r="S100" i="43"/>
  <c r="AU100" i="42"/>
  <c r="AT100" i="42"/>
  <c r="X99" i="42"/>
  <c r="AN99" i="42" s="1"/>
  <c r="V99" i="43"/>
  <c r="U103" i="42"/>
  <c r="AU103" i="42"/>
  <c r="AT103" i="42"/>
  <c r="S103" i="43"/>
  <c r="AA101" i="42"/>
  <c r="Y101" i="43"/>
  <c r="U99" i="42"/>
  <c r="AU99" i="42"/>
  <c r="AT99" i="42"/>
  <c r="S99" i="43"/>
  <c r="X102" i="42"/>
  <c r="AN102" i="42" s="1"/>
  <c r="V102" i="43"/>
  <c r="U102" i="42"/>
  <c r="AU102" i="42"/>
  <c r="AT102" i="42"/>
  <c r="S102" i="43"/>
  <c r="X101" i="42"/>
  <c r="AN101" i="42" s="1"/>
  <c r="V101" i="43"/>
  <c r="AA100" i="42"/>
  <c r="Y100" i="43"/>
  <c r="AA103" i="42"/>
  <c r="Y103" i="43"/>
  <c r="U101" i="42"/>
  <c r="S101" i="43"/>
  <c r="AU101" i="42"/>
  <c r="AT101" i="42"/>
  <c r="X100" i="42"/>
  <c r="AN100" i="42" s="1"/>
  <c r="V100" i="43"/>
  <c r="AA99" i="42"/>
  <c r="Y99" i="43"/>
  <c r="AD103" i="42" l="1"/>
  <c r="AO103" i="42" s="1"/>
  <c r="AV103" i="42" s="1" a="1"/>
  <c r="AV103" i="42" s="1"/>
  <c r="R103" i="42"/>
  <c r="AS103" i="42"/>
  <c r="AQ103" i="42"/>
  <c r="AW103" i="42" s="1"/>
  <c r="AF102" i="42"/>
  <c r="S101" i="38"/>
  <c r="AU101" i="43"/>
  <c r="AT101" i="43"/>
  <c r="U101" i="43"/>
  <c r="S102" i="38"/>
  <c r="AT102" i="43"/>
  <c r="AU102" i="43"/>
  <c r="U102" i="43"/>
  <c r="V99" i="38"/>
  <c r="X99" i="38" s="1"/>
  <c r="X99" i="43"/>
  <c r="AN99" i="38" s="1"/>
  <c r="V103" i="38"/>
  <c r="X103" i="38" s="1"/>
  <c r="X103" i="43"/>
  <c r="AN103" i="38" s="1"/>
  <c r="AD101" i="42"/>
  <c r="AO101" i="42" s="1"/>
  <c r="AV101" i="42" s="1" a="1"/>
  <c r="AV101" i="42" s="1"/>
  <c r="AS101" i="42"/>
  <c r="R101" i="42"/>
  <c r="AQ101" i="42"/>
  <c r="AW101" i="42" s="1"/>
  <c r="AD99" i="42"/>
  <c r="AO99" i="42" s="1"/>
  <c r="AV99" i="42" s="1" a="1"/>
  <c r="AV99" i="42" s="1"/>
  <c r="AS99" i="42"/>
  <c r="R99" i="42"/>
  <c r="AQ99" i="42"/>
  <c r="AW99" i="42" s="1"/>
  <c r="Y99" i="38"/>
  <c r="AA99" i="38" s="1"/>
  <c r="AA99" i="43"/>
  <c r="Y103" i="38"/>
  <c r="AA103" i="38" s="1"/>
  <c r="AA103" i="43"/>
  <c r="Y101" i="38"/>
  <c r="AA101" i="38" s="1"/>
  <c r="AA101" i="43"/>
  <c r="AF99" i="42"/>
  <c r="AF103" i="42"/>
  <c r="AD102" i="42"/>
  <c r="AO102" i="42" s="1"/>
  <c r="AV102" i="42" s="1" a="1"/>
  <c r="AV102" i="42" s="1"/>
  <c r="AS102" i="42"/>
  <c r="R102" i="42"/>
  <c r="AQ102" i="42"/>
  <c r="AF101" i="42"/>
  <c r="V100" i="38"/>
  <c r="X100" i="38" s="1"/>
  <c r="X100" i="43"/>
  <c r="AN100" i="38" s="1"/>
  <c r="Y100" i="38"/>
  <c r="AA100" i="38" s="1"/>
  <c r="AA100" i="43"/>
  <c r="V102" i="38"/>
  <c r="X102" i="38" s="1"/>
  <c r="X102" i="43"/>
  <c r="AN102" i="38" s="1"/>
  <c r="S103" i="38"/>
  <c r="AU103" i="43"/>
  <c r="U103" i="43"/>
  <c r="AT103" i="43"/>
  <c r="S100" i="38"/>
  <c r="AU100" i="43"/>
  <c r="U100" i="43"/>
  <c r="AT100" i="43"/>
  <c r="AF100" i="42"/>
  <c r="AD100" i="42"/>
  <c r="AO100" i="42" s="1"/>
  <c r="AV100" i="42" s="1" a="1"/>
  <c r="AV100" i="42" s="1"/>
  <c r="AS100" i="42"/>
  <c r="R100" i="42"/>
  <c r="AQ100" i="42"/>
  <c r="V101" i="38"/>
  <c r="X101" i="38" s="1"/>
  <c r="X101" i="43"/>
  <c r="AN101" i="38" s="1"/>
  <c r="S99" i="38"/>
  <c r="AT99" i="43"/>
  <c r="AU99" i="43"/>
  <c r="U99" i="43"/>
  <c r="AA102" i="43"/>
  <c r="Y102" i="38"/>
  <c r="AA102" i="38" s="1"/>
  <c r="AZ99" i="42" l="1"/>
  <c r="AX99" i="42"/>
  <c r="AZ103" i="42"/>
  <c r="AX103" i="42"/>
  <c r="AZ102" i="42"/>
  <c r="AX102" i="42"/>
  <c r="U99" i="38"/>
  <c r="AU99" i="38"/>
  <c r="AT99" i="38"/>
  <c r="AF102" i="38"/>
  <c r="AW100" i="42"/>
  <c r="AD100" i="43"/>
  <c r="AO100" i="43" s="1"/>
  <c r="R100" i="43"/>
  <c r="AQ100" i="43"/>
  <c r="AS100" i="43"/>
  <c r="AW102" i="42"/>
  <c r="AS101" i="43"/>
  <c r="AQ101" i="43"/>
  <c r="AW101" i="43" s="1"/>
  <c r="AD101" i="43"/>
  <c r="AO101" i="43" s="1"/>
  <c r="R101" i="43"/>
  <c r="AF102" i="43"/>
  <c r="AF100" i="43"/>
  <c r="R99" i="43"/>
  <c r="AD99" i="43"/>
  <c r="AS99" i="43"/>
  <c r="AQ99" i="43"/>
  <c r="AW99" i="43" s="1"/>
  <c r="AT100" i="38"/>
  <c r="U100" i="38"/>
  <c r="AU100" i="38"/>
  <c r="AF100" i="38"/>
  <c r="AF101" i="43"/>
  <c r="AF101" i="38"/>
  <c r="AT101" i="38"/>
  <c r="U101" i="38"/>
  <c r="AU101" i="38"/>
  <c r="AX100" i="42"/>
  <c r="AZ100" i="42"/>
  <c r="AS103" i="43"/>
  <c r="AD103" i="43"/>
  <c r="AO103" i="43" s="1"/>
  <c r="R103" i="43"/>
  <c r="AQ103" i="43"/>
  <c r="AW103" i="43" s="1"/>
  <c r="AF103" i="43"/>
  <c r="R102" i="43"/>
  <c r="AS102" i="43"/>
  <c r="AQ102" i="43"/>
  <c r="AD102" i="43"/>
  <c r="AO102" i="43" s="1"/>
  <c r="AZ101" i="42"/>
  <c r="AX101" i="42"/>
  <c r="AF103" i="38"/>
  <c r="U103" i="38"/>
  <c r="AU103" i="38"/>
  <c r="AT103" i="38"/>
  <c r="AF99" i="43"/>
  <c r="AO99" i="43"/>
  <c r="AF99" i="38"/>
  <c r="AU102" i="38"/>
  <c r="AT102" i="38"/>
  <c r="U102" i="38"/>
  <c r="AV99" i="43" l="1" a="1"/>
  <c r="AV99" i="43" s="1"/>
  <c r="AZ99" i="43" s="1"/>
  <c r="C73" i="50"/>
  <c r="AV102" i="43" a="1"/>
  <c r="AV102" i="43" s="1"/>
  <c r="AX102" i="43" s="1"/>
  <c r="C34" i="50"/>
  <c r="AV100" i="43" a="1"/>
  <c r="AV100" i="43" s="1"/>
  <c r="AX100" i="43" s="1"/>
  <c r="C46" i="50"/>
  <c r="AV103" i="43" a="1"/>
  <c r="AV103" i="43" s="1"/>
  <c r="AZ103" i="43" s="1"/>
  <c r="C75" i="50"/>
  <c r="AV101" i="43" a="1"/>
  <c r="AV101" i="43" s="1"/>
  <c r="AX101" i="43" s="1"/>
  <c r="C74" i="50"/>
  <c r="AS99" i="38"/>
  <c r="AQ99" i="38"/>
  <c r="AW99" i="38" s="1"/>
  <c r="AD99" i="38"/>
  <c r="AO99" i="38" s="1"/>
  <c r="AV99" i="38" s="1" a="1"/>
  <c r="AV99" i="38" s="1"/>
  <c r="AQ103" i="38"/>
  <c r="AW103" i="38" s="1"/>
  <c r="AS103" i="38"/>
  <c r="AD103" i="38"/>
  <c r="AO103" i="38" s="1"/>
  <c r="AV103" i="38" s="1" a="1"/>
  <c r="AV103" i="38" s="1"/>
  <c r="AD100" i="38"/>
  <c r="AO100" i="38" s="1"/>
  <c r="AV100" i="38" s="1" a="1"/>
  <c r="AV100" i="38" s="1"/>
  <c r="AS100" i="38"/>
  <c r="AQ100" i="38"/>
  <c r="AW100" i="43"/>
  <c r="AS101" i="38"/>
  <c r="AD101" i="38"/>
  <c r="AO101" i="38" s="1"/>
  <c r="AV101" i="38" s="1" a="1"/>
  <c r="AV101" i="38" s="1"/>
  <c r="AQ101" i="38"/>
  <c r="AD102" i="38"/>
  <c r="AO102" i="38" s="1"/>
  <c r="AV102" i="38" s="1" a="1"/>
  <c r="AV102" i="38" s="1"/>
  <c r="AS102" i="38"/>
  <c r="AQ102" i="38"/>
  <c r="T49" i="43"/>
  <c r="T49" i="38" s="1"/>
  <c r="W49" i="43"/>
  <c r="W49" i="38" s="1"/>
  <c r="Z49" i="43"/>
  <c r="Z49" i="38" s="1"/>
  <c r="AE49" i="43"/>
  <c r="AE49" i="38" s="1"/>
  <c r="AG49" i="43"/>
  <c r="AG49" i="38" s="1"/>
  <c r="AM49" i="43"/>
  <c r="AM49" i="38" s="1"/>
  <c r="T50" i="43"/>
  <c r="T50" i="38" s="1"/>
  <c r="W50" i="43"/>
  <c r="W50" i="38" s="1"/>
  <c r="Z50" i="43"/>
  <c r="Z50" i="38" s="1"/>
  <c r="AE50" i="43"/>
  <c r="AE50" i="38" s="1"/>
  <c r="AG50" i="43"/>
  <c r="AG50" i="38" s="1"/>
  <c r="AM50" i="43"/>
  <c r="AM50" i="38" s="1"/>
  <c r="T51" i="43"/>
  <c r="T51" i="38" s="1"/>
  <c r="V51" i="43"/>
  <c r="Z51" i="43"/>
  <c r="Z51" i="38" s="1"/>
  <c r="AE51" i="43"/>
  <c r="AE51" i="38" s="1"/>
  <c r="AG51" i="43"/>
  <c r="AG51" i="38" s="1"/>
  <c r="AM51" i="43"/>
  <c r="AM51" i="38" s="1"/>
  <c r="T52" i="43"/>
  <c r="T52" i="38" s="1"/>
  <c r="W52" i="43"/>
  <c r="W52" i="38" s="1"/>
  <c r="Z52" i="43"/>
  <c r="Z52" i="38" s="1"/>
  <c r="AE52" i="43"/>
  <c r="AE52" i="38" s="1"/>
  <c r="AG52" i="43"/>
  <c r="AG52" i="38" s="1"/>
  <c r="AM52" i="43"/>
  <c r="AM52" i="38" s="1"/>
  <c r="T53" i="43"/>
  <c r="T53" i="38" s="1"/>
  <c r="W53" i="43"/>
  <c r="W53" i="38" s="1"/>
  <c r="Z53" i="43"/>
  <c r="Z53" i="38" s="1"/>
  <c r="AE53" i="43"/>
  <c r="AE53" i="38" s="1"/>
  <c r="AG53" i="43"/>
  <c r="AG53" i="38" s="1"/>
  <c r="AM53" i="43"/>
  <c r="AM53" i="38" s="1"/>
  <c r="T54" i="43"/>
  <c r="T54" i="38" s="1"/>
  <c r="W54" i="43"/>
  <c r="W54" i="38" s="1"/>
  <c r="Z54" i="43"/>
  <c r="Z54" i="38" s="1"/>
  <c r="AE54" i="43"/>
  <c r="AE54" i="38" s="1"/>
  <c r="AG54" i="43"/>
  <c r="AG54" i="38" s="1"/>
  <c r="AM54" i="43"/>
  <c r="AM54" i="38" s="1"/>
  <c r="T55" i="43"/>
  <c r="T55" i="38" s="1"/>
  <c r="W55" i="43"/>
  <c r="W55" i="38" s="1"/>
  <c r="Z55" i="43"/>
  <c r="Z55" i="38" s="1"/>
  <c r="AE55" i="43"/>
  <c r="AE55" i="38" s="1"/>
  <c r="AG55" i="43"/>
  <c r="AG55" i="38" s="1"/>
  <c r="AM55" i="43"/>
  <c r="AM55" i="38" s="1"/>
  <c r="T56" i="43"/>
  <c r="T56" i="38" s="1"/>
  <c r="W56" i="43"/>
  <c r="W56" i="38" s="1"/>
  <c r="Z56" i="43"/>
  <c r="Z56" i="38" s="1"/>
  <c r="AE56" i="43"/>
  <c r="AE56" i="38" s="1"/>
  <c r="AG56" i="43"/>
  <c r="AG56" i="38" s="1"/>
  <c r="AM56" i="43"/>
  <c r="AM56" i="38" s="1"/>
  <c r="T57" i="43"/>
  <c r="T57" i="38" s="1"/>
  <c r="W57" i="43"/>
  <c r="W57" i="38" s="1"/>
  <c r="Z57" i="43"/>
  <c r="Z57" i="38" s="1"/>
  <c r="AE57" i="43"/>
  <c r="AE57" i="38" s="1"/>
  <c r="AG57" i="43"/>
  <c r="AG57" i="38" s="1"/>
  <c r="AM57" i="43"/>
  <c r="AM57" i="38" s="1"/>
  <c r="T58" i="43"/>
  <c r="T58" i="38" s="1"/>
  <c r="W58" i="43"/>
  <c r="W58" i="38" s="1"/>
  <c r="Z58" i="43"/>
  <c r="Z58" i="38" s="1"/>
  <c r="AE58" i="43"/>
  <c r="AE58" i="38" s="1"/>
  <c r="AG58" i="43"/>
  <c r="AG58" i="38" s="1"/>
  <c r="AM58" i="43"/>
  <c r="AM58" i="38" s="1"/>
  <c r="T59" i="43"/>
  <c r="T59" i="38" s="1"/>
  <c r="W59" i="43"/>
  <c r="W59" i="38" s="1"/>
  <c r="Z59" i="43"/>
  <c r="Z59" i="38" s="1"/>
  <c r="AE59" i="43"/>
  <c r="AE59" i="38" s="1"/>
  <c r="AG59" i="43"/>
  <c r="AG59" i="38" s="1"/>
  <c r="AM59" i="43"/>
  <c r="AM59" i="38" s="1"/>
  <c r="T60" i="43"/>
  <c r="T60" i="38" s="1"/>
  <c r="W60" i="43"/>
  <c r="W60" i="38" s="1"/>
  <c r="Z60" i="43"/>
  <c r="Z60" i="38" s="1"/>
  <c r="AE60" i="43"/>
  <c r="AE60" i="38" s="1"/>
  <c r="AG60" i="43"/>
  <c r="AG60" i="38" s="1"/>
  <c r="AM60" i="43"/>
  <c r="AM60" i="38" s="1"/>
  <c r="T61" i="43"/>
  <c r="T61" i="38" s="1"/>
  <c r="W61" i="43"/>
  <c r="W61" i="38" s="1"/>
  <c r="Z61" i="43"/>
  <c r="Z61" i="38" s="1"/>
  <c r="AE61" i="43"/>
  <c r="AE61" i="38" s="1"/>
  <c r="AG61" i="43"/>
  <c r="AG61" i="38" s="1"/>
  <c r="AM61" i="43"/>
  <c r="AM61" i="38" s="1"/>
  <c r="T62" i="43"/>
  <c r="T62" i="38" s="1"/>
  <c r="W62" i="43"/>
  <c r="W62" i="38" s="1"/>
  <c r="Z62" i="43"/>
  <c r="Z62" i="38" s="1"/>
  <c r="AE62" i="43"/>
  <c r="AE62" i="38" s="1"/>
  <c r="AG62" i="43"/>
  <c r="AG62" i="38" s="1"/>
  <c r="AM62" i="43"/>
  <c r="AM62" i="38" s="1"/>
  <c r="T63" i="43"/>
  <c r="T63" i="38" s="1"/>
  <c r="W63" i="43"/>
  <c r="W63" i="38" s="1"/>
  <c r="Z63" i="43"/>
  <c r="Z63" i="38" s="1"/>
  <c r="AE63" i="43"/>
  <c r="AE63" i="38" s="1"/>
  <c r="AG63" i="43"/>
  <c r="AG63" i="38" s="1"/>
  <c r="AM63" i="43"/>
  <c r="AM63" i="38" s="1"/>
  <c r="T64" i="43"/>
  <c r="T64" i="38" s="1"/>
  <c r="W64" i="43"/>
  <c r="W64" i="38" s="1"/>
  <c r="Z64" i="43"/>
  <c r="Z64" i="38" s="1"/>
  <c r="AE64" i="43"/>
  <c r="AE64" i="38" s="1"/>
  <c r="AG64" i="43"/>
  <c r="AG64" i="38" s="1"/>
  <c r="AM64" i="43"/>
  <c r="AM64" i="38" s="1"/>
  <c r="T65" i="43"/>
  <c r="T65" i="38" s="1"/>
  <c r="W65" i="43"/>
  <c r="W65" i="38" s="1"/>
  <c r="Z65" i="43"/>
  <c r="Z65" i="38" s="1"/>
  <c r="AE65" i="43"/>
  <c r="AE65" i="38" s="1"/>
  <c r="AG65" i="43"/>
  <c r="AG65" i="38" s="1"/>
  <c r="AM65" i="43"/>
  <c r="AM65" i="38" s="1"/>
  <c r="T66" i="43"/>
  <c r="T66" i="38" s="1"/>
  <c r="W66" i="43"/>
  <c r="W66" i="38" s="1"/>
  <c r="Z66" i="43"/>
  <c r="Z66" i="38" s="1"/>
  <c r="AE66" i="43"/>
  <c r="AE66" i="38" s="1"/>
  <c r="AG66" i="43"/>
  <c r="AG66" i="38" s="1"/>
  <c r="AM66" i="43"/>
  <c r="AM66" i="38" s="1"/>
  <c r="T67" i="43"/>
  <c r="T67" i="38" s="1"/>
  <c r="W67" i="43"/>
  <c r="W67" i="38" s="1"/>
  <c r="Z67" i="43"/>
  <c r="Z67" i="38" s="1"/>
  <c r="AE67" i="43"/>
  <c r="AE67" i="38" s="1"/>
  <c r="AG67" i="43"/>
  <c r="AG67" i="38" s="1"/>
  <c r="AM67" i="43"/>
  <c r="AM67" i="38" s="1"/>
  <c r="T68" i="43"/>
  <c r="T68" i="38" s="1"/>
  <c r="W68" i="43"/>
  <c r="W68" i="38" s="1"/>
  <c r="Z68" i="43"/>
  <c r="Z68" i="38" s="1"/>
  <c r="AE68" i="43"/>
  <c r="AE68" i="38" s="1"/>
  <c r="AG68" i="43"/>
  <c r="AG68" i="38" s="1"/>
  <c r="AM68" i="43"/>
  <c r="AM68" i="38" s="1"/>
  <c r="T69" i="43"/>
  <c r="T69" i="38" s="1"/>
  <c r="W69" i="43"/>
  <c r="W69" i="38" s="1"/>
  <c r="Z69" i="43"/>
  <c r="Z69" i="38" s="1"/>
  <c r="AE69" i="43"/>
  <c r="AE69" i="38" s="1"/>
  <c r="AG69" i="43"/>
  <c r="AG69" i="38" s="1"/>
  <c r="AM69" i="43"/>
  <c r="AM69" i="38" s="1"/>
  <c r="T70" i="43"/>
  <c r="T70" i="38" s="1"/>
  <c r="W70" i="43"/>
  <c r="W70" i="38" s="1"/>
  <c r="Z70" i="43"/>
  <c r="Z70" i="38" s="1"/>
  <c r="AE70" i="43"/>
  <c r="AE70" i="38" s="1"/>
  <c r="AG70" i="43"/>
  <c r="AG70" i="38" s="1"/>
  <c r="AM70" i="43"/>
  <c r="AM70" i="38" s="1"/>
  <c r="T71" i="43"/>
  <c r="T71" i="38" s="1"/>
  <c r="W71" i="43"/>
  <c r="W71" i="38" s="1"/>
  <c r="Z71" i="43"/>
  <c r="Z71" i="38" s="1"/>
  <c r="AE71" i="43"/>
  <c r="AE71" i="38" s="1"/>
  <c r="AG71" i="43"/>
  <c r="AG71" i="38" s="1"/>
  <c r="AM71" i="43"/>
  <c r="AM71" i="38" s="1"/>
  <c r="T72" i="43"/>
  <c r="T72" i="38" s="1"/>
  <c r="W72" i="43"/>
  <c r="W72" i="38" s="1"/>
  <c r="Z72" i="43"/>
  <c r="Z72" i="38" s="1"/>
  <c r="AE72" i="43"/>
  <c r="AE72" i="38" s="1"/>
  <c r="AG72" i="43"/>
  <c r="AG72" i="38" s="1"/>
  <c r="AM72" i="43"/>
  <c r="AM72" i="38" s="1"/>
  <c r="T73" i="43"/>
  <c r="T73" i="38" s="1"/>
  <c r="W73" i="43"/>
  <c r="W73" i="38" s="1"/>
  <c r="Z73" i="43"/>
  <c r="Z73" i="38" s="1"/>
  <c r="AE73" i="43"/>
  <c r="AE73" i="38" s="1"/>
  <c r="AG73" i="43"/>
  <c r="AG73" i="38" s="1"/>
  <c r="AM73" i="43"/>
  <c r="AM73" i="38" s="1"/>
  <c r="T74" i="43"/>
  <c r="T74" i="38" s="1"/>
  <c r="W74" i="43"/>
  <c r="W74" i="38" s="1"/>
  <c r="Z74" i="43"/>
  <c r="Z74" i="38" s="1"/>
  <c r="AE74" i="43"/>
  <c r="AE74" i="38" s="1"/>
  <c r="AG74" i="43"/>
  <c r="AG74" i="38" s="1"/>
  <c r="AM74" i="43"/>
  <c r="AM74" i="38" s="1"/>
  <c r="AX99" i="43" l="1"/>
  <c r="AZ102" i="43"/>
  <c r="AW102" i="43"/>
  <c r="AX103" i="43"/>
  <c r="AZ100" i="43"/>
  <c r="AZ101" i="43"/>
  <c r="AZ103" i="38"/>
  <c r="AX103" i="38"/>
  <c r="U73" i="42"/>
  <c r="S73" i="43"/>
  <c r="AU73" i="42"/>
  <c r="AT73" i="42"/>
  <c r="X72" i="42"/>
  <c r="AN72" i="42" s="1"/>
  <c r="V72" i="43"/>
  <c r="AA71" i="42"/>
  <c r="Y71" i="43"/>
  <c r="U69" i="42"/>
  <c r="S69" i="43"/>
  <c r="AU69" i="42"/>
  <c r="AT69" i="42"/>
  <c r="X68" i="42"/>
  <c r="AN68" i="42" s="1"/>
  <c r="V68" i="43"/>
  <c r="AA67" i="42"/>
  <c r="Y67" i="43"/>
  <c r="U65" i="42"/>
  <c r="S65" i="43"/>
  <c r="AU65" i="42"/>
  <c r="AT65" i="42"/>
  <c r="X64" i="42"/>
  <c r="AN64" i="42" s="1"/>
  <c r="V64" i="43"/>
  <c r="AA63" i="42"/>
  <c r="Y63" i="43"/>
  <c r="U61" i="42"/>
  <c r="S61" i="43"/>
  <c r="AU61" i="42"/>
  <c r="AT61" i="42"/>
  <c r="X60" i="42"/>
  <c r="AN60" i="42" s="1"/>
  <c r="V60" i="43"/>
  <c r="AA59" i="42"/>
  <c r="Y59" i="43"/>
  <c r="U57" i="42"/>
  <c r="S57" i="43"/>
  <c r="AU57" i="42"/>
  <c r="AT57" i="42"/>
  <c r="X56" i="42"/>
  <c r="AN56" i="42" s="1"/>
  <c r="V56" i="43"/>
  <c r="AA55" i="42"/>
  <c r="Y55" i="43"/>
  <c r="U53" i="42"/>
  <c r="S53" i="43"/>
  <c r="AT53" i="42"/>
  <c r="AU53" i="42"/>
  <c r="X52" i="42"/>
  <c r="AN52" i="42" s="1"/>
  <c r="V52" i="43"/>
  <c r="AA51" i="42"/>
  <c r="Y51" i="43"/>
  <c r="U49" i="42"/>
  <c r="S49" i="43"/>
  <c r="AU49" i="42"/>
  <c r="AT49" i="42"/>
  <c r="X51" i="42"/>
  <c r="AN51" i="42" s="1"/>
  <c r="W51" i="43"/>
  <c r="W51" i="38" s="1"/>
  <c r="AW102" i="38"/>
  <c r="AW100" i="38"/>
  <c r="AA74" i="42"/>
  <c r="Y74" i="43"/>
  <c r="U72" i="42"/>
  <c r="S72" i="43"/>
  <c r="AU72" i="42"/>
  <c r="AT72" i="42"/>
  <c r="X71" i="42"/>
  <c r="AN71" i="42" s="1"/>
  <c r="V71" i="43"/>
  <c r="AA70" i="42"/>
  <c r="Y70" i="43"/>
  <c r="U68" i="42"/>
  <c r="S68" i="43"/>
  <c r="AU68" i="42"/>
  <c r="AT68" i="42"/>
  <c r="X67" i="42"/>
  <c r="AN67" i="42" s="1"/>
  <c r="V67" i="43"/>
  <c r="AA66" i="42"/>
  <c r="Y66" i="43"/>
  <c r="U64" i="42"/>
  <c r="S64" i="43"/>
  <c r="AT64" i="42"/>
  <c r="AU64" i="42"/>
  <c r="X63" i="42"/>
  <c r="AN63" i="42" s="1"/>
  <c r="V63" i="43"/>
  <c r="AA62" i="42"/>
  <c r="Y62" i="43"/>
  <c r="U60" i="42"/>
  <c r="S60" i="43"/>
  <c r="AU60" i="42"/>
  <c r="AT60" i="42"/>
  <c r="X59" i="42"/>
  <c r="AN59" i="42" s="1"/>
  <c r="V59" i="43"/>
  <c r="AA58" i="42"/>
  <c r="Y58" i="43"/>
  <c r="U56" i="42"/>
  <c r="S56" i="43"/>
  <c r="AU56" i="42"/>
  <c r="AT56" i="42"/>
  <c r="X55" i="42"/>
  <c r="AN55" i="42" s="1"/>
  <c r="V55" i="43"/>
  <c r="AA54" i="42"/>
  <c r="Y54" i="43"/>
  <c r="U52" i="42"/>
  <c r="S52" i="43"/>
  <c r="AU52" i="42"/>
  <c r="AT52" i="42"/>
  <c r="V51" i="38"/>
  <c r="AA50" i="42"/>
  <c r="Y50" i="43"/>
  <c r="AX99" i="38"/>
  <c r="AZ99" i="38"/>
  <c r="AZ102" i="38"/>
  <c r="AX102" i="38"/>
  <c r="AZ100" i="38"/>
  <c r="AX100" i="38"/>
  <c r="X74" i="42"/>
  <c r="AN74" i="42" s="1"/>
  <c r="V74" i="43"/>
  <c r="AA73" i="42"/>
  <c r="Y73" i="43"/>
  <c r="U71" i="42"/>
  <c r="S71" i="43"/>
  <c r="AT71" i="42"/>
  <c r="AU71" i="42"/>
  <c r="X70" i="42"/>
  <c r="AN70" i="42" s="1"/>
  <c r="V70" i="43"/>
  <c r="AA69" i="42"/>
  <c r="Y69" i="43"/>
  <c r="U67" i="42"/>
  <c r="S67" i="43"/>
  <c r="AU67" i="42"/>
  <c r="AT67" i="42"/>
  <c r="X66" i="42"/>
  <c r="AN66" i="42" s="1"/>
  <c r="V66" i="43"/>
  <c r="AA65" i="42"/>
  <c r="Y65" i="43"/>
  <c r="U63" i="42"/>
  <c r="AT63" i="42"/>
  <c r="S63" i="43"/>
  <c r="AU63" i="42"/>
  <c r="X62" i="42"/>
  <c r="AN62" i="42" s="1"/>
  <c r="V62" i="43"/>
  <c r="AA61" i="42"/>
  <c r="Y61" i="43"/>
  <c r="U59" i="42"/>
  <c r="S59" i="43"/>
  <c r="AU59" i="42"/>
  <c r="AT59" i="42"/>
  <c r="X58" i="42"/>
  <c r="AN58" i="42" s="1"/>
  <c r="V58" i="43"/>
  <c r="AA57" i="42"/>
  <c r="Y57" i="43"/>
  <c r="U55" i="42"/>
  <c r="AT55" i="42"/>
  <c r="S55" i="43"/>
  <c r="AU55" i="42"/>
  <c r="X54" i="42"/>
  <c r="AN54" i="42" s="1"/>
  <c r="V54" i="43"/>
  <c r="AA53" i="42"/>
  <c r="Y53" i="43"/>
  <c r="U51" i="42"/>
  <c r="S51" i="43"/>
  <c r="AU51" i="42"/>
  <c r="AT51" i="42"/>
  <c r="X50" i="42"/>
  <c r="AN50" i="42" s="1"/>
  <c r="V50" i="43"/>
  <c r="AA49" i="42"/>
  <c r="Y49" i="43"/>
  <c r="AX101" i="38"/>
  <c r="AZ101" i="38"/>
  <c r="AW101" i="38"/>
  <c r="U74" i="42"/>
  <c r="S74" i="43"/>
  <c r="AU74" i="42"/>
  <c r="AT74" i="42"/>
  <c r="X73" i="42"/>
  <c r="AN73" i="42" s="1"/>
  <c r="V73" i="43"/>
  <c r="AA72" i="42"/>
  <c r="Y72" i="43"/>
  <c r="U70" i="42"/>
  <c r="AT70" i="42"/>
  <c r="AU70" i="42"/>
  <c r="S70" i="43"/>
  <c r="X69" i="42"/>
  <c r="AN69" i="42" s="1"/>
  <c r="V69" i="43"/>
  <c r="AA68" i="42"/>
  <c r="Y68" i="43"/>
  <c r="U66" i="42"/>
  <c r="S66" i="43"/>
  <c r="AU66" i="42"/>
  <c r="AT66" i="42"/>
  <c r="X65" i="42"/>
  <c r="AN65" i="42" s="1"/>
  <c r="V65" i="43"/>
  <c r="AA64" i="42"/>
  <c r="Y64" i="43"/>
  <c r="U62" i="42"/>
  <c r="AU62" i="42"/>
  <c r="AT62" i="42"/>
  <c r="S62" i="43"/>
  <c r="X61" i="42"/>
  <c r="AN61" i="42" s="1"/>
  <c r="V61" i="43"/>
  <c r="AA60" i="42"/>
  <c r="Y60" i="43"/>
  <c r="U58" i="42"/>
  <c r="S58" i="43"/>
  <c r="AU58" i="42"/>
  <c r="AT58" i="42"/>
  <c r="X57" i="42"/>
  <c r="AN57" i="42" s="1"/>
  <c r="V57" i="43"/>
  <c r="AA56" i="42"/>
  <c r="Y56" i="43"/>
  <c r="U54" i="42"/>
  <c r="S54" i="43"/>
  <c r="AU54" i="42"/>
  <c r="AT54" i="42"/>
  <c r="X53" i="42"/>
  <c r="AN53" i="42" s="1"/>
  <c r="V53" i="43"/>
  <c r="AA52" i="42"/>
  <c r="Y52" i="43"/>
  <c r="U50" i="42"/>
  <c r="S50" i="43"/>
  <c r="AU50" i="42"/>
  <c r="AT50" i="42"/>
  <c r="X49" i="42"/>
  <c r="AN49" i="42" s="1"/>
  <c r="V49" i="43"/>
  <c r="T89" i="43"/>
  <c r="T89" i="38" s="1"/>
  <c r="W89" i="43"/>
  <c r="W89" i="38" s="1"/>
  <c r="Z89" i="43"/>
  <c r="Z89" i="38" s="1"/>
  <c r="AE89" i="43"/>
  <c r="AE89" i="38" s="1"/>
  <c r="AG89" i="43"/>
  <c r="AG89" i="38" s="1"/>
  <c r="AM89" i="43"/>
  <c r="AM89" i="38" s="1"/>
  <c r="T90" i="43"/>
  <c r="T90" i="38" s="1"/>
  <c r="W90" i="43"/>
  <c r="W90" i="38" s="1"/>
  <c r="Z90" i="43"/>
  <c r="Z90" i="38" s="1"/>
  <c r="AE90" i="43"/>
  <c r="AE90" i="38" s="1"/>
  <c r="AG90" i="43"/>
  <c r="AG90" i="38" s="1"/>
  <c r="AM90" i="43"/>
  <c r="AM90" i="38" s="1"/>
  <c r="T91" i="43"/>
  <c r="T91" i="38" s="1"/>
  <c r="W91" i="43"/>
  <c r="W91" i="38" s="1"/>
  <c r="Z91" i="43"/>
  <c r="Z91" i="38" s="1"/>
  <c r="AE91" i="43"/>
  <c r="AE91" i="38" s="1"/>
  <c r="AG91" i="43"/>
  <c r="AG91" i="38" s="1"/>
  <c r="AM91" i="43"/>
  <c r="AM91" i="38" s="1"/>
  <c r="T92" i="43"/>
  <c r="T92" i="38" s="1"/>
  <c r="W92" i="43"/>
  <c r="W92" i="38" s="1"/>
  <c r="Z92" i="43"/>
  <c r="Z92" i="38" s="1"/>
  <c r="AE92" i="43"/>
  <c r="AE92" i="38" s="1"/>
  <c r="AG92" i="43"/>
  <c r="AG92" i="38" s="1"/>
  <c r="AM92" i="43"/>
  <c r="AM92" i="38" s="1"/>
  <c r="T93" i="43"/>
  <c r="T93" i="38" s="1"/>
  <c r="W93" i="43"/>
  <c r="W93" i="38" s="1"/>
  <c r="Z93" i="43"/>
  <c r="Z93" i="38" s="1"/>
  <c r="AE93" i="43"/>
  <c r="AE93" i="38" s="1"/>
  <c r="AG93" i="43"/>
  <c r="AG93" i="38" s="1"/>
  <c r="AM93" i="43"/>
  <c r="AM93" i="38" s="1"/>
  <c r="T35" i="43"/>
  <c r="T35" i="38" s="1"/>
  <c r="W35" i="43"/>
  <c r="W35" i="38" s="1"/>
  <c r="Z35" i="43"/>
  <c r="Z35" i="38" s="1"/>
  <c r="AE35" i="43"/>
  <c r="AE35" i="38" s="1"/>
  <c r="AG35" i="43"/>
  <c r="AG35" i="38" s="1"/>
  <c r="AM35" i="43"/>
  <c r="AM35" i="38" s="1"/>
  <c r="T36" i="43"/>
  <c r="T36" i="38" s="1"/>
  <c r="W36" i="43"/>
  <c r="W36" i="38" s="1"/>
  <c r="Z36" i="43"/>
  <c r="Z36" i="38" s="1"/>
  <c r="AE36" i="43"/>
  <c r="AE36" i="38" s="1"/>
  <c r="AG36" i="43"/>
  <c r="AG36" i="38" s="1"/>
  <c r="AM36" i="43"/>
  <c r="AM36" i="38" s="1"/>
  <c r="T37" i="43"/>
  <c r="T37" i="38" s="1"/>
  <c r="V37" i="43"/>
  <c r="Z37" i="43"/>
  <c r="Z37" i="38" s="1"/>
  <c r="AE37" i="43"/>
  <c r="AE37" i="38" s="1"/>
  <c r="AG37" i="43"/>
  <c r="AG37" i="38" s="1"/>
  <c r="AM37" i="43"/>
  <c r="AM37" i="38" s="1"/>
  <c r="T38" i="43"/>
  <c r="T38" i="38" s="1"/>
  <c r="W38" i="43"/>
  <c r="W38" i="38" s="1"/>
  <c r="Z38" i="43"/>
  <c r="Z38" i="38" s="1"/>
  <c r="AE38" i="43"/>
  <c r="AE38" i="38" s="1"/>
  <c r="AG38" i="43"/>
  <c r="AG38" i="38" s="1"/>
  <c r="T39" i="43"/>
  <c r="T39" i="38" s="1"/>
  <c r="V39" i="43"/>
  <c r="Z39" i="43"/>
  <c r="Z39" i="38" s="1"/>
  <c r="AE39" i="43"/>
  <c r="AE39" i="38" s="1"/>
  <c r="AG39" i="43"/>
  <c r="AG39" i="38" s="1"/>
  <c r="T40" i="43"/>
  <c r="T40" i="38" s="1"/>
  <c r="W40" i="43"/>
  <c r="W40" i="38" s="1"/>
  <c r="Z40" i="43"/>
  <c r="Z40" i="38" s="1"/>
  <c r="AG40" i="43"/>
  <c r="AG40" i="38" s="1"/>
  <c r="X51" i="43" l="1"/>
  <c r="AN51" i="38" s="1"/>
  <c r="U39" i="42"/>
  <c r="S39" i="43"/>
  <c r="AU39" i="42"/>
  <c r="AT39" i="42"/>
  <c r="X37" i="42"/>
  <c r="AN37" i="42" s="1"/>
  <c r="W37" i="43"/>
  <c r="W37" i="38" s="1"/>
  <c r="AF52" i="42"/>
  <c r="AF56" i="42"/>
  <c r="AF60" i="42"/>
  <c r="AF64" i="42"/>
  <c r="AF68" i="42"/>
  <c r="AF72" i="42"/>
  <c r="S51" i="38"/>
  <c r="U51" i="43"/>
  <c r="AU51" i="43"/>
  <c r="AT51" i="43"/>
  <c r="S59" i="38"/>
  <c r="AU59" i="43"/>
  <c r="U59" i="43"/>
  <c r="AT59" i="43"/>
  <c r="S67" i="38"/>
  <c r="U67" i="43"/>
  <c r="AU67" i="43"/>
  <c r="AT67" i="43"/>
  <c r="S71" i="38"/>
  <c r="AU71" i="43"/>
  <c r="AT71" i="43"/>
  <c r="U71" i="43"/>
  <c r="V52" i="38"/>
  <c r="X52" i="38" s="1"/>
  <c r="X52" i="43"/>
  <c r="AN52" i="38" s="1"/>
  <c r="V56" i="38"/>
  <c r="X56" i="38" s="1"/>
  <c r="X56" i="43"/>
  <c r="V60" i="38"/>
  <c r="X60" i="38" s="1"/>
  <c r="X60" i="43"/>
  <c r="AN60" i="38" s="1"/>
  <c r="V64" i="38"/>
  <c r="X64" i="38" s="1"/>
  <c r="X64" i="43"/>
  <c r="AN64" i="38" s="1"/>
  <c r="V68" i="38"/>
  <c r="X68" i="38" s="1"/>
  <c r="X68" i="43"/>
  <c r="AN68" i="38" s="1"/>
  <c r="V72" i="38"/>
  <c r="X72" i="38" s="1"/>
  <c r="X72" i="43"/>
  <c r="AN72" i="38" s="1"/>
  <c r="U38" i="42"/>
  <c r="S38" i="43"/>
  <c r="AU38" i="42"/>
  <c r="AT38" i="42"/>
  <c r="V37" i="38"/>
  <c r="X37" i="38" s="1"/>
  <c r="X37" i="43"/>
  <c r="AN37" i="38" s="1"/>
  <c r="AA36" i="42"/>
  <c r="Y36" i="43"/>
  <c r="U93" i="42"/>
  <c r="S93" i="43"/>
  <c r="AU93" i="42"/>
  <c r="AT93" i="42"/>
  <c r="X92" i="42"/>
  <c r="AN92" i="42" s="1"/>
  <c r="V92" i="43"/>
  <c r="AA91" i="42"/>
  <c r="Y91" i="43"/>
  <c r="U89" i="42"/>
  <c r="S89" i="43"/>
  <c r="AU89" i="42"/>
  <c r="AT89" i="42"/>
  <c r="V49" i="38"/>
  <c r="X49" i="38" s="1"/>
  <c r="X49" i="43"/>
  <c r="AN49" i="38" s="1"/>
  <c r="V53" i="38"/>
  <c r="X53" i="38" s="1"/>
  <c r="X53" i="43"/>
  <c r="AN53" i="38" s="1"/>
  <c r="V57" i="38"/>
  <c r="X57" i="38" s="1"/>
  <c r="X57" i="43"/>
  <c r="AN57" i="38" s="1"/>
  <c r="V61" i="38"/>
  <c r="X61" i="38" s="1"/>
  <c r="X61" i="43"/>
  <c r="AN61" i="38" s="1"/>
  <c r="V65" i="38"/>
  <c r="X65" i="38" s="1"/>
  <c r="X65" i="43"/>
  <c r="AN65" i="38" s="1"/>
  <c r="V69" i="38"/>
  <c r="X69" i="38" s="1"/>
  <c r="X69" i="43"/>
  <c r="AN69" i="38" s="1"/>
  <c r="V73" i="38"/>
  <c r="X73" i="38" s="1"/>
  <c r="X73" i="43"/>
  <c r="AN73" i="38" s="1"/>
  <c r="AD51" i="42"/>
  <c r="AS51" i="42"/>
  <c r="AQ51" i="42"/>
  <c r="R51" i="42"/>
  <c r="AD55" i="42"/>
  <c r="AO55" i="42" s="1"/>
  <c r="AV55" i="42" s="1" a="1"/>
  <c r="AV55" i="42" s="1"/>
  <c r="AS55" i="42"/>
  <c r="AQ55" i="42"/>
  <c r="AW55" i="42" s="1"/>
  <c r="R55" i="42"/>
  <c r="AD59" i="42"/>
  <c r="R59" i="42"/>
  <c r="AS59" i="42"/>
  <c r="AQ59" i="42"/>
  <c r="AW59" i="42" s="1"/>
  <c r="AD63" i="42"/>
  <c r="AS63" i="42"/>
  <c r="AQ63" i="42"/>
  <c r="AW63" i="42" s="1"/>
  <c r="R63" i="42"/>
  <c r="AD67" i="42"/>
  <c r="R67" i="42"/>
  <c r="AS67" i="42"/>
  <c r="AQ67" i="42"/>
  <c r="AD71" i="42"/>
  <c r="AO71" i="42" s="1"/>
  <c r="AV71" i="42" s="1" a="1"/>
  <c r="AV71" i="42" s="1"/>
  <c r="AS71" i="42"/>
  <c r="AQ71" i="42"/>
  <c r="R71" i="42"/>
  <c r="Y49" i="38"/>
  <c r="AA49" i="38" s="1"/>
  <c r="AA49" i="43"/>
  <c r="Y53" i="38"/>
  <c r="AA53" i="38" s="1"/>
  <c r="AA53" i="43"/>
  <c r="Y57" i="38"/>
  <c r="AA57" i="38" s="1"/>
  <c r="AA57" i="43"/>
  <c r="Y61" i="38"/>
  <c r="AA61" i="38" s="1"/>
  <c r="AA61" i="43"/>
  <c r="Y65" i="38"/>
  <c r="AA65" i="38" s="1"/>
  <c r="AA65" i="43"/>
  <c r="Y69" i="38"/>
  <c r="AA69" i="38" s="1"/>
  <c r="AA69" i="43"/>
  <c r="Y73" i="38"/>
  <c r="AA73" i="38" s="1"/>
  <c r="AA73" i="43"/>
  <c r="S52" i="38"/>
  <c r="AU52" i="43"/>
  <c r="U52" i="43"/>
  <c r="AT52" i="43"/>
  <c r="S56" i="38"/>
  <c r="AT56" i="43"/>
  <c r="AU56" i="43"/>
  <c r="U56" i="43"/>
  <c r="S60" i="38"/>
  <c r="AU60" i="43"/>
  <c r="U60" i="43"/>
  <c r="AT60" i="43"/>
  <c r="U64" i="43"/>
  <c r="AU64" i="43"/>
  <c r="AT64" i="43"/>
  <c r="S64" i="38"/>
  <c r="S68" i="38"/>
  <c r="U68" i="43"/>
  <c r="AU68" i="43"/>
  <c r="AT68" i="43"/>
  <c r="S72" i="38"/>
  <c r="AU72" i="43"/>
  <c r="AT72" i="43"/>
  <c r="U72" i="43"/>
  <c r="AA40" i="42"/>
  <c r="AF40" i="42" s="1"/>
  <c r="Y40" i="43"/>
  <c r="U37" i="42"/>
  <c r="S37" i="43"/>
  <c r="AU37" i="42"/>
  <c r="AT37" i="42"/>
  <c r="X36" i="42"/>
  <c r="AN36" i="42" s="1"/>
  <c r="V36" i="43"/>
  <c r="AA35" i="42"/>
  <c r="Y35" i="43"/>
  <c r="U92" i="42"/>
  <c r="S92" i="43"/>
  <c r="AU92" i="42"/>
  <c r="AT92" i="42"/>
  <c r="X91" i="42"/>
  <c r="AN91" i="42" s="1"/>
  <c r="V91" i="43"/>
  <c r="AA90" i="42"/>
  <c r="Y90" i="43"/>
  <c r="S62" i="38"/>
  <c r="AU62" i="43"/>
  <c r="AT62" i="43"/>
  <c r="U62" i="43"/>
  <c r="S70" i="38"/>
  <c r="AT70" i="43"/>
  <c r="AU70" i="43"/>
  <c r="U70" i="43"/>
  <c r="AF49" i="42"/>
  <c r="AF53" i="42"/>
  <c r="AF57" i="42"/>
  <c r="AF61" i="42"/>
  <c r="AF65" i="42"/>
  <c r="AF69" i="42"/>
  <c r="AF73" i="42"/>
  <c r="AD52" i="42"/>
  <c r="AO52" i="42" s="1"/>
  <c r="AV52" i="42" s="1" a="1"/>
  <c r="AV52" i="42" s="1"/>
  <c r="AS52" i="42"/>
  <c r="AQ52" i="42"/>
  <c r="R52" i="42"/>
  <c r="AD56" i="42"/>
  <c r="AO56" i="42" s="1"/>
  <c r="AV56" i="42" s="1" a="1"/>
  <c r="AV56" i="42" s="1"/>
  <c r="AQ56" i="42"/>
  <c r="AW56" i="42" s="1"/>
  <c r="R56" i="42"/>
  <c r="AS56" i="42"/>
  <c r="AD60" i="42"/>
  <c r="AO60" i="42" s="1"/>
  <c r="AV60" i="42" s="1" a="1"/>
  <c r="AV60" i="42" s="1"/>
  <c r="AS60" i="42"/>
  <c r="AQ60" i="42"/>
  <c r="R60" i="42"/>
  <c r="AD64" i="42"/>
  <c r="AO64" i="42" s="1"/>
  <c r="AV64" i="42" s="1" a="1"/>
  <c r="AV64" i="42" s="1"/>
  <c r="AS64" i="42"/>
  <c r="AQ64" i="42"/>
  <c r="AW64" i="42" s="1"/>
  <c r="R64" i="42"/>
  <c r="AD68" i="42"/>
  <c r="AO68" i="42" s="1"/>
  <c r="AV68" i="42" s="1" a="1"/>
  <c r="AV68" i="42" s="1"/>
  <c r="AS68" i="42"/>
  <c r="AQ68" i="42"/>
  <c r="AW68" i="42" s="1"/>
  <c r="R68" i="42"/>
  <c r="AD72" i="42"/>
  <c r="AO72" i="42" s="1"/>
  <c r="AV72" i="42" s="1" a="1"/>
  <c r="AV72" i="42" s="1"/>
  <c r="AQ72" i="42"/>
  <c r="AW72" i="42" s="1"/>
  <c r="R72" i="42"/>
  <c r="AS72" i="42"/>
  <c r="AA39" i="42"/>
  <c r="Y39" i="43"/>
  <c r="V50" i="38"/>
  <c r="X50" i="38" s="1"/>
  <c r="X50" i="43"/>
  <c r="AN50" i="38" s="1"/>
  <c r="V54" i="38"/>
  <c r="X54" i="38" s="1"/>
  <c r="X54" i="43"/>
  <c r="AN54" i="38" s="1"/>
  <c r="V58" i="38"/>
  <c r="X58" i="38" s="1"/>
  <c r="X58" i="43"/>
  <c r="AN58" i="38" s="1"/>
  <c r="V62" i="38"/>
  <c r="X62" i="38" s="1"/>
  <c r="X62" i="43"/>
  <c r="AN62" i="38" s="1"/>
  <c r="V66" i="38"/>
  <c r="X66" i="38" s="1"/>
  <c r="X66" i="43"/>
  <c r="AN66" i="38" s="1"/>
  <c r="V70" i="38"/>
  <c r="X70" i="38" s="1"/>
  <c r="X70" i="43"/>
  <c r="AN70" i="38" s="1"/>
  <c r="V74" i="38"/>
  <c r="X74" i="38" s="1"/>
  <c r="X74" i="43"/>
  <c r="AN74" i="38" s="1"/>
  <c r="Y50" i="38"/>
  <c r="AA50" i="38" s="1"/>
  <c r="AA50" i="43"/>
  <c r="AA54" i="43"/>
  <c r="Y54" i="38"/>
  <c r="AA54" i="38" s="1"/>
  <c r="Y58" i="38"/>
  <c r="AA58" i="38" s="1"/>
  <c r="AA58" i="43"/>
  <c r="AA62" i="43"/>
  <c r="Y62" i="38"/>
  <c r="AA62" i="38" s="1"/>
  <c r="Y66" i="38"/>
  <c r="AA66" i="38" s="1"/>
  <c r="AA66" i="43"/>
  <c r="AA70" i="43"/>
  <c r="Y70" i="38"/>
  <c r="AA70" i="38" s="1"/>
  <c r="Y74" i="38"/>
  <c r="AA74" i="38" s="1"/>
  <c r="AA74" i="43"/>
  <c r="S49" i="38"/>
  <c r="U49" i="43"/>
  <c r="AT49" i="43"/>
  <c r="AU49" i="43"/>
  <c r="S53" i="38"/>
  <c r="AU53" i="43"/>
  <c r="AT53" i="43"/>
  <c r="U53" i="43"/>
  <c r="S57" i="38"/>
  <c r="AU57" i="43"/>
  <c r="AT57" i="43"/>
  <c r="U57" i="43"/>
  <c r="S61" i="38"/>
  <c r="AT61" i="43"/>
  <c r="U61" i="43"/>
  <c r="AU61" i="43"/>
  <c r="S65" i="38"/>
  <c r="AU65" i="43"/>
  <c r="AT65" i="43"/>
  <c r="U65" i="43"/>
  <c r="S69" i="38"/>
  <c r="AU69" i="43"/>
  <c r="AT69" i="43"/>
  <c r="U69" i="43"/>
  <c r="S73" i="38"/>
  <c r="AT73" i="43"/>
  <c r="U73" i="43"/>
  <c r="AU73" i="43"/>
  <c r="AE40" i="43"/>
  <c r="AE40" i="38" s="1"/>
  <c r="X40" i="42"/>
  <c r="AN40" i="42" s="1"/>
  <c r="V40" i="43"/>
  <c r="X39" i="42"/>
  <c r="AN39" i="42" s="1"/>
  <c r="W39" i="43"/>
  <c r="W39" i="38" s="1"/>
  <c r="AA38" i="42"/>
  <c r="Y38" i="43"/>
  <c r="U36" i="42"/>
  <c r="S36" i="43"/>
  <c r="AU36" i="42"/>
  <c r="AT36" i="42"/>
  <c r="X35" i="42"/>
  <c r="AN35" i="42" s="1"/>
  <c r="V35" i="43"/>
  <c r="AA93" i="42"/>
  <c r="Y93" i="43"/>
  <c r="U91" i="42"/>
  <c r="S91" i="43"/>
  <c r="AU91" i="42"/>
  <c r="AT91" i="42"/>
  <c r="X90" i="42"/>
  <c r="AN90" i="42" s="1"/>
  <c r="V90" i="43"/>
  <c r="AA89" i="42"/>
  <c r="Y89" i="43"/>
  <c r="AT50" i="43"/>
  <c r="U50" i="43"/>
  <c r="AU50" i="43"/>
  <c r="S50" i="38"/>
  <c r="S54" i="38"/>
  <c r="AT54" i="43"/>
  <c r="U54" i="43"/>
  <c r="AU54" i="43"/>
  <c r="U58" i="43"/>
  <c r="S58" i="38"/>
  <c r="AU58" i="43"/>
  <c r="AT58" i="43"/>
  <c r="AU66" i="43"/>
  <c r="AT66" i="43"/>
  <c r="S66" i="38"/>
  <c r="U66" i="43"/>
  <c r="AT74" i="43"/>
  <c r="AU74" i="43"/>
  <c r="S74" i="38"/>
  <c r="U74" i="43"/>
  <c r="AF50" i="42"/>
  <c r="AF54" i="42"/>
  <c r="AF58" i="42"/>
  <c r="AF62" i="42"/>
  <c r="AF66" i="42"/>
  <c r="AF70" i="42"/>
  <c r="AF74" i="42"/>
  <c r="AD49" i="42"/>
  <c r="AO49" i="42" s="1"/>
  <c r="AV49" i="42" s="1" a="1"/>
  <c r="AV49" i="42" s="1"/>
  <c r="AS49" i="42"/>
  <c r="AQ49" i="42"/>
  <c r="R49" i="42"/>
  <c r="AD53" i="42"/>
  <c r="AO53" i="42" s="1"/>
  <c r="AV53" i="42" s="1" a="1"/>
  <c r="AV53" i="42" s="1"/>
  <c r="AS53" i="42"/>
  <c r="AQ53" i="42"/>
  <c r="R53" i="42"/>
  <c r="AD57" i="42"/>
  <c r="AO57" i="42" s="1"/>
  <c r="AV57" i="42" s="1" a="1"/>
  <c r="AV57" i="42" s="1"/>
  <c r="AQ57" i="42"/>
  <c r="AW57" i="42" s="1"/>
  <c r="R57" i="42"/>
  <c r="AS57" i="42"/>
  <c r="AD61" i="42"/>
  <c r="AO61" i="42" s="1"/>
  <c r="AV61" i="42" s="1" a="1"/>
  <c r="AV61" i="42" s="1"/>
  <c r="AS61" i="42"/>
  <c r="AQ61" i="42"/>
  <c r="AW61" i="42" s="1"/>
  <c r="R61" i="42"/>
  <c r="AD65" i="42"/>
  <c r="AO65" i="42" s="1"/>
  <c r="AV65" i="42" s="1" a="1"/>
  <c r="AV65" i="42" s="1"/>
  <c r="AQ65" i="42"/>
  <c r="AW65" i="42" s="1"/>
  <c r="R65" i="42"/>
  <c r="AS65" i="42"/>
  <c r="AD69" i="42"/>
  <c r="AO69" i="42" s="1"/>
  <c r="AV69" i="42" s="1" a="1"/>
  <c r="AV69" i="42" s="1"/>
  <c r="AS69" i="42"/>
  <c r="AQ69" i="42"/>
  <c r="AW69" i="42" s="1"/>
  <c r="R69" i="42"/>
  <c r="AD73" i="42"/>
  <c r="AO73" i="42" s="1"/>
  <c r="AV73" i="42" s="1" a="1"/>
  <c r="AV73" i="42" s="1"/>
  <c r="AQ73" i="42"/>
  <c r="R73" i="42"/>
  <c r="AS73" i="42"/>
  <c r="V39" i="38"/>
  <c r="X39" i="38" s="1"/>
  <c r="AD50" i="42"/>
  <c r="AO50" i="42" s="1"/>
  <c r="AV50" i="42" s="1" a="1"/>
  <c r="AV50" i="42" s="1"/>
  <c r="AS50" i="42"/>
  <c r="AQ50" i="42"/>
  <c r="R50" i="42"/>
  <c r="AD54" i="42"/>
  <c r="AO54" i="42" s="1"/>
  <c r="AV54" i="42" s="1" a="1"/>
  <c r="AV54" i="42" s="1"/>
  <c r="AS54" i="42"/>
  <c r="AQ54" i="42"/>
  <c r="R54" i="42"/>
  <c r="AD58" i="42"/>
  <c r="AO58" i="42" s="1"/>
  <c r="AV58" i="42" s="1" a="1"/>
  <c r="AV58" i="42" s="1"/>
  <c r="AQ58" i="42"/>
  <c r="R58" i="42"/>
  <c r="AS58" i="42"/>
  <c r="AD62" i="42"/>
  <c r="AO62" i="42" s="1"/>
  <c r="AV62" i="42" s="1" a="1"/>
  <c r="AV62" i="42" s="1"/>
  <c r="AS62" i="42"/>
  <c r="AQ62" i="42"/>
  <c r="AW62" i="42" s="1"/>
  <c r="R62" i="42"/>
  <c r="AD66" i="42"/>
  <c r="AO66" i="42" s="1"/>
  <c r="AV66" i="42" s="1" a="1"/>
  <c r="AV66" i="42" s="1"/>
  <c r="R66" i="42"/>
  <c r="AQ66" i="42"/>
  <c r="AW66" i="42" s="1"/>
  <c r="AS66" i="42"/>
  <c r="AD70" i="42"/>
  <c r="AO70" i="42" s="1"/>
  <c r="AV70" i="42" s="1" a="1"/>
  <c r="AV70" i="42" s="1"/>
  <c r="AS70" i="42"/>
  <c r="AQ70" i="42"/>
  <c r="R70" i="42"/>
  <c r="AD74" i="42"/>
  <c r="AO74" i="42" s="1"/>
  <c r="AV74" i="42" s="1" a="1"/>
  <c r="AV74" i="42" s="1"/>
  <c r="R74" i="42"/>
  <c r="AQ74" i="42"/>
  <c r="AW74" i="42" s="1"/>
  <c r="AS74" i="42"/>
  <c r="V55" i="38"/>
  <c r="X55" i="38" s="1"/>
  <c r="X55" i="43"/>
  <c r="AN55" i="38" s="1"/>
  <c r="V59" i="38"/>
  <c r="X59" i="38" s="1"/>
  <c r="X59" i="43"/>
  <c r="AN59" i="38" s="1"/>
  <c r="V63" i="38"/>
  <c r="X63" i="38" s="1"/>
  <c r="X63" i="43"/>
  <c r="AN63" i="38" s="1"/>
  <c r="V67" i="38"/>
  <c r="X67" i="38" s="1"/>
  <c r="X67" i="43"/>
  <c r="AN67" i="38" s="1"/>
  <c r="V71" i="38"/>
  <c r="X71" i="38" s="1"/>
  <c r="X71" i="43"/>
  <c r="AN71" i="38" s="1"/>
  <c r="Y51" i="38"/>
  <c r="AA51" i="38" s="1"/>
  <c r="AA51" i="43"/>
  <c r="Y55" i="38"/>
  <c r="AA55" i="38" s="1"/>
  <c r="AA55" i="43"/>
  <c r="Y59" i="38"/>
  <c r="AA59" i="38" s="1"/>
  <c r="AA59" i="43"/>
  <c r="Y63" i="38"/>
  <c r="AA63" i="38" s="1"/>
  <c r="AA63" i="43"/>
  <c r="Y67" i="38"/>
  <c r="AA67" i="38" s="1"/>
  <c r="AA67" i="43"/>
  <c r="Y71" i="38"/>
  <c r="AA71" i="38" s="1"/>
  <c r="AA71" i="43"/>
  <c r="U40" i="42"/>
  <c r="S40" i="43"/>
  <c r="AU40" i="42"/>
  <c r="AT40" i="42"/>
  <c r="X38" i="42"/>
  <c r="AN38" i="42" s="1"/>
  <c r="V38" i="43"/>
  <c r="AA37" i="42"/>
  <c r="Y37" i="43"/>
  <c r="U35" i="42"/>
  <c r="S35" i="43"/>
  <c r="AT35" i="42"/>
  <c r="AU35" i="42"/>
  <c r="X93" i="42"/>
  <c r="AN93" i="42" s="1"/>
  <c r="V93" i="43"/>
  <c r="AA92" i="42"/>
  <c r="Y92" i="43"/>
  <c r="U90" i="42"/>
  <c r="S90" i="43"/>
  <c r="AU90" i="42"/>
  <c r="AT90" i="42"/>
  <c r="X89" i="42"/>
  <c r="AN89" i="42" s="1"/>
  <c r="V89" i="43"/>
  <c r="Y52" i="38"/>
  <c r="AA52" i="38" s="1"/>
  <c r="AA52" i="43"/>
  <c r="Y56" i="38"/>
  <c r="AA56" i="38" s="1"/>
  <c r="AA56" i="43"/>
  <c r="Y60" i="38"/>
  <c r="AA60" i="38" s="1"/>
  <c r="AA60" i="43"/>
  <c r="Y64" i="38"/>
  <c r="AA64" i="38" s="1"/>
  <c r="AA64" i="43"/>
  <c r="Y68" i="38"/>
  <c r="AA68" i="38" s="1"/>
  <c r="AA68" i="43"/>
  <c r="Y72" i="38"/>
  <c r="AA72" i="38" s="1"/>
  <c r="AA72" i="43"/>
  <c r="S55" i="38"/>
  <c r="AT55" i="43"/>
  <c r="U55" i="43"/>
  <c r="AU55" i="43"/>
  <c r="S63" i="38"/>
  <c r="U63" i="43"/>
  <c r="AT63" i="43"/>
  <c r="AU63" i="43"/>
  <c r="X51" i="38"/>
  <c r="AF51" i="42"/>
  <c r="AO51" i="42"/>
  <c r="AV51" i="42" s="1" a="1"/>
  <c r="AV51" i="42" s="1"/>
  <c r="AF55" i="42"/>
  <c r="AF59" i="42"/>
  <c r="AO59" i="42"/>
  <c r="AV59" i="42" s="1" a="1"/>
  <c r="AV59" i="42" s="1"/>
  <c r="AF63" i="42"/>
  <c r="AO63" i="42"/>
  <c r="AV63" i="42" s="1" a="1"/>
  <c r="AV63" i="42" s="1"/>
  <c r="AF67" i="42"/>
  <c r="AO67" i="42"/>
  <c r="AV67" i="42" s="1" a="1"/>
  <c r="AV67" i="42" s="1"/>
  <c r="AF71" i="42"/>
  <c r="Z4" i="43"/>
  <c r="Z4" i="38" s="1"/>
  <c r="Z5" i="43"/>
  <c r="Z5" i="38" s="1"/>
  <c r="Z6" i="43"/>
  <c r="Z6" i="38" s="1"/>
  <c r="Z7" i="43"/>
  <c r="Z7" i="38" s="1"/>
  <c r="Z9" i="43"/>
  <c r="Z9" i="38" s="1"/>
  <c r="Z10" i="43"/>
  <c r="Z10" i="38" s="1"/>
  <c r="Z11" i="43"/>
  <c r="Z11" i="38" s="1"/>
  <c r="Z12" i="43"/>
  <c r="Z12" i="38" s="1"/>
  <c r="Z13" i="43"/>
  <c r="Z13" i="38" s="1"/>
  <c r="Z14" i="43"/>
  <c r="Z14" i="38" s="1"/>
  <c r="Z15" i="43"/>
  <c r="Z15" i="38" s="1"/>
  <c r="Z16" i="43"/>
  <c r="Z16" i="38" s="1"/>
  <c r="Z17" i="43"/>
  <c r="Z17" i="38" s="1"/>
  <c r="Z19" i="43"/>
  <c r="Z19" i="38" s="1"/>
  <c r="Z20" i="43"/>
  <c r="Z20" i="38" s="1"/>
  <c r="Z21" i="43"/>
  <c r="Z21" i="38" s="1"/>
  <c r="Z22" i="43"/>
  <c r="Z22" i="38" s="1"/>
  <c r="Z23" i="43"/>
  <c r="Z23" i="38" s="1"/>
  <c r="Z25" i="43"/>
  <c r="Z25" i="38" s="1"/>
  <c r="Z26" i="43"/>
  <c r="Z26" i="38" s="1"/>
  <c r="Z27" i="43"/>
  <c r="Z27" i="38" s="1"/>
  <c r="Z29" i="43"/>
  <c r="Z29" i="38" s="1"/>
  <c r="Z30" i="43"/>
  <c r="Z30" i="38" s="1"/>
  <c r="Z31" i="43"/>
  <c r="Z31" i="38" s="1"/>
  <c r="Z32" i="43"/>
  <c r="Z32" i="38" s="1"/>
  <c r="Z33" i="43"/>
  <c r="Z33" i="38" s="1"/>
  <c r="Z34" i="43"/>
  <c r="Z34" i="38" s="1"/>
  <c r="Z41" i="43"/>
  <c r="Z41" i="38" s="1"/>
  <c r="Z42" i="43"/>
  <c r="Z42" i="38" s="1"/>
  <c r="Z43" i="43"/>
  <c r="Z43" i="38" s="1"/>
  <c r="Z45" i="43"/>
  <c r="Z45" i="38" s="1"/>
  <c r="Z46" i="43"/>
  <c r="Z46" i="38" s="1"/>
  <c r="Z47" i="43"/>
  <c r="Z47" i="38" s="1"/>
  <c r="Z75" i="43"/>
  <c r="Z75" i="38" s="1"/>
  <c r="Z76" i="43"/>
  <c r="Z76" i="38" s="1"/>
  <c r="Z77" i="43"/>
  <c r="Z77" i="38" s="1"/>
  <c r="Z78" i="43"/>
  <c r="Z78" i="38" s="1"/>
  <c r="Z79" i="43"/>
  <c r="Z79" i="38" s="1"/>
  <c r="Z81" i="43"/>
  <c r="Z81" i="38" s="1"/>
  <c r="Z82" i="43"/>
  <c r="Z82" i="38" s="1"/>
  <c r="Z83" i="43"/>
  <c r="Z83" i="38" s="1"/>
  <c r="Z84" i="43"/>
  <c r="Z84" i="38" s="1"/>
  <c r="Z85" i="43"/>
  <c r="Z85" i="38" s="1"/>
  <c r="Z86" i="43"/>
  <c r="Z86" i="38" s="1"/>
  <c r="Z87" i="43"/>
  <c r="Z87" i="38" s="1"/>
  <c r="Z88" i="43"/>
  <c r="Z88" i="38" s="1"/>
  <c r="Z94" i="43"/>
  <c r="Z94" i="38" s="1"/>
  <c r="Z95" i="43"/>
  <c r="Z95" i="38" s="1"/>
  <c r="Z96" i="43"/>
  <c r="Z96" i="38" s="1"/>
  <c r="Z97" i="43"/>
  <c r="Z97" i="38" s="1"/>
  <c r="Z98" i="43"/>
  <c r="Z98" i="38" s="1"/>
  <c r="W4" i="43"/>
  <c r="W4" i="38" s="1"/>
  <c r="W5" i="43"/>
  <c r="W5" i="38" s="1"/>
  <c r="W6" i="43"/>
  <c r="W6" i="38" s="1"/>
  <c r="W7" i="43"/>
  <c r="W7" i="38" s="1"/>
  <c r="W8" i="43"/>
  <c r="W8" i="38" s="1"/>
  <c r="W10" i="43"/>
  <c r="W10" i="38" s="1"/>
  <c r="W12" i="43"/>
  <c r="W12" i="38" s="1"/>
  <c r="W13" i="43"/>
  <c r="W13" i="38" s="1"/>
  <c r="W14" i="43"/>
  <c r="W14" i="38" s="1"/>
  <c r="W15" i="43"/>
  <c r="W15" i="38" s="1"/>
  <c r="W16" i="43"/>
  <c r="W16" i="38" s="1"/>
  <c r="W18" i="43"/>
  <c r="W18" i="38" s="1"/>
  <c r="W19" i="43"/>
  <c r="W19" i="38" s="1"/>
  <c r="W20" i="43"/>
  <c r="W20" i="38" s="1"/>
  <c r="W22" i="43"/>
  <c r="W22" i="38" s="1"/>
  <c r="W23" i="43"/>
  <c r="W23" i="38" s="1"/>
  <c r="W24" i="43"/>
  <c r="W24" i="38" s="1"/>
  <c r="W25" i="43"/>
  <c r="W25" i="38" s="1"/>
  <c r="W26" i="43"/>
  <c r="W26" i="38" s="1"/>
  <c r="W28" i="43"/>
  <c r="W28" i="38" s="1"/>
  <c r="W29" i="43"/>
  <c r="W29" i="38" s="1"/>
  <c r="W30" i="43"/>
  <c r="W30" i="38" s="1"/>
  <c r="W32" i="43"/>
  <c r="W32" i="38" s="1"/>
  <c r="W33" i="43"/>
  <c r="W33" i="38" s="1"/>
  <c r="W34" i="43"/>
  <c r="W34" i="38" s="1"/>
  <c r="W41" i="43"/>
  <c r="W41" i="38" s="1"/>
  <c r="W42" i="43"/>
  <c r="W42" i="38" s="1"/>
  <c r="W43" i="43"/>
  <c r="W43" i="38" s="1"/>
  <c r="W44" i="43"/>
  <c r="W44" i="38" s="1"/>
  <c r="W46" i="43"/>
  <c r="W46" i="38" s="1"/>
  <c r="W48" i="43"/>
  <c r="W48" i="38" s="1"/>
  <c r="W76" i="43"/>
  <c r="W76" i="38" s="1"/>
  <c r="W77" i="43"/>
  <c r="W77" i="38" s="1"/>
  <c r="W78" i="43"/>
  <c r="W78" i="38" s="1"/>
  <c r="W79" i="43"/>
  <c r="W79" i="38" s="1"/>
  <c r="W80" i="43"/>
  <c r="W80" i="38" s="1"/>
  <c r="W81" i="43"/>
  <c r="W81" i="38" s="1"/>
  <c r="W82" i="43"/>
  <c r="W82" i="38" s="1"/>
  <c r="W83" i="43"/>
  <c r="W83" i="38" s="1"/>
  <c r="W84" i="43"/>
  <c r="W84" i="38" s="1"/>
  <c r="W85" i="43"/>
  <c r="W85" i="38" s="1"/>
  <c r="W86" i="43"/>
  <c r="W86" i="38" s="1"/>
  <c r="W87" i="43"/>
  <c r="W87" i="38" s="1"/>
  <c r="W88" i="43"/>
  <c r="W88" i="38" s="1"/>
  <c r="W94" i="43"/>
  <c r="W94" i="38" s="1"/>
  <c r="W95" i="43"/>
  <c r="W95" i="38" s="1"/>
  <c r="W96" i="43"/>
  <c r="W96" i="38" s="1"/>
  <c r="W97" i="43"/>
  <c r="W97" i="38" s="1"/>
  <c r="W98" i="43"/>
  <c r="W98" i="38" s="1"/>
  <c r="T4" i="43"/>
  <c r="T4" i="38" s="1"/>
  <c r="T5" i="43"/>
  <c r="T5" i="38" s="1"/>
  <c r="T7" i="43"/>
  <c r="T7" i="38" s="1"/>
  <c r="T8" i="43"/>
  <c r="T8" i="38" s="1"/>
  <c r="T9" i="43"/>
  <c r="T9" i="38" s="1"/>
  <c r="T10" i="43"/>
  <c r="T10" i="38" s="1"/>
  <c r="T11" i="43"/>
  <c r="T11" i="38" s="1"/>
  <c r="T13" i="43"/>
  <c r="T13" i="38" s="1"/>
  <c r="T14" i="43"/>
  <c r="T14" i="38" s="1"/>
  <c r="T15" i="43"/>
  <c r="T15" i="38" s="1"/>
  <c r="T16" i="43"/>
  <c r="T16" i="38" s="1"/>
  <c r="T17" i="43"/>
  <c r="T17" i="38" s="1"/>
  <c r="T18" i="43"/>
  <c r="T18" i="38" s="1"/>
  <c r="T19" i="43"/>
  <c r="T19" i="38" s="1"/>
  <c r="T20" i="43"/>
  <c r="T20" i="38" s="1"/>
  <c r="T21" i="43"/>
  <c r="T21" i="38" s="1"/>
  <c r="T22" i="43"/>
  <c r="T22" i="38" s="1"/>
  <c r="T23" i="43"/>
  <c r="T23" i="38" s="1"/>
  <c r="T24" i="43"/>
  <c r="T24" i="38" s="1"/>
  <c r="T25" i="43"/>
  <c r="T25" i="38" s="1"/>
  <c r="T27" i="43"/>
  <c r="T27" i="38" s="1"/>
  <c r="T28" i="43"/>
  <c r="T28" i="38" s="1"/>
  <c r="T29" i="43"/>
  <c r="T29" i="38" s="1"/>
  <c r="T30" i="43"/>
  <c r="T30" i="38" s="1"/>
  <c r="T31" i="43"/>
  <c r="T31" i="38" s="1"/>
  <c r="T32" i="43"/>
  <c r="T32" i="38" s="1"/>
  <c r="T33" i="43"/>
  <c r="T33" i="38" s="1"/>
  <c r="T34" i="43"/>
  <c r="T34" i="38" s="1"/>
  <c r="T41" i="43"/>
  <c r="T41" i="38" s="1"/>
  <c r="T43" i="43"/>
  <c r="T43" i="38" s="1"/>
  <c r="T44" i="43"/>
  <c r="T44" i="38" s="1"/>
  <c r="T45" i="43"/>
  <c r="T45" i="38" s="1"/>
  <c r="T46" i="43"/>
  <c r="T46" i="38" s="1"/>
  <c r="T47" i="43"/>
  <c r="T47" i="38" s="1"/>
  <c r="T75" i="43"/>
  <c r="T75" i="38" s="1"/>
  <c r="T76" i="43"/>
  <c r="T76" i="38" s="1"/>
  <c r="T77" i="43"/>
  <c r="T77" i="38" s="1"/>
  <c r="T78" i="43"/>
  <c r="T78" i="38" s="1"/>
  <c r="T79" i="43"/>
  <c r="T79" i="38" s="1"/>
  <c r="T80" i="43"/>
  <c r="T80" i="38" s="1"/>
  <c r="T81" i="43"/>
  <c r="T81" i="38" s="1"/>
  <c r="T82" i="43"/>
  <c r="T82" i="38" s="1"/>
  <c r="T83" i="43"/>
  <c r="T83" i="38" s="1"/>
  <c r="T84" i="43"/>
  <c r="T84" i="38" s="1"/>
  <c r="T85" i="43"/>
  <c r="T85" i="38" s="1"/>
  <c r="T86" i="43"/>
  <c r="T86" i="38" s="1"/>
  <c r="T87" i="43"/>
  <c r="T87" i="38" s="1"/>
  <c r="T88" i="43"/>
  <c r="T88" i="38" s="1"/>
  <c r="T94" i="43"/>
  <c r="T94" i="38" s="1"/>
  <c r="T95" i="43"/>
  <c r="T95" i="38" s="1"/>
  <c r="T97" i="43"/>
  <c r="T97" i="38" s="1"/>
  <c r="T98" i="43"/>
  <c r="T98" i="38" s="1"/>
  <c r="AZ65" i="42" l="1"/>
  <c r="AX65" i="42"/>
  <c r="AW73" i="42"/>
  <c r="AX73" i="42"/>
  <c r="AZ73" i="42"/>
  <c r="AZ74" i="42"/>
  <c r="AX74" i="42"/>
  <c r="AZ66" i="42"/>
  <c r="AX66" i="42"/>
  <c r="AW58" i="42"/>
  <c r="AZ58" i="42"/>
  <c r="AX58" i="42"/>
  <c r="AW50" i="42"/>
  <c r="AX50" i="42"/>
  <c r="AZ50" i="42"/>
  <c r="AZ61" i="42"/>
  <c r="AX61" i="42"/>
  <c r="AW53" i="42"/>
  <c r="AZ53" i="42"/>
  <c r="AX53" i="42"/>
  <c r="AW60" i="42"/>
  <c r="AX60" i="42"/>
  <c r="AZ60" i="42"/>
  <c r="AW52" i="42"/>
  <c r="AZ52" i="42"/>
  <c r="AX52" i="42"/>
  <c r="AW70" i="42"/>
  <c r="AZ70" i="42"/>
  <c r="AX70" i="42"/>
  <c r="AX62" i="42"/>
  <c r="AZ62" i="42"/>
  <c r="AW54" i="42"/>
  <c r="AZ54" i="42"/>
  <c r="AX54" i="42"/>
  <c r="AZ57" i="42"/>
  <c r="AX57" i="42"/>
  <c r="AZ72" i="42"/>
  <c r="AX72" i="42"/>
  <c r="AZ64" i="42"/>
  <c r="AX64" i="42"/>
  <c r="AZ56" i="42"/>
  <c r="AX56" i="42"/>
  <c r="W45" i="43"/>
  <c r="W45" i="38" s="1"/>
  <c r="W31" i="43"/>
  <c r="W31" i="38" s="1"/>
  <c r="AF72" i="43"/>
  <c r="AF56" i="43"/>
  <c r="AU90" i="43"/>
  <c r="S90" i="38"/>
  <c r="U90" i="43"/>
  <c r="AT90" i="43"/>
  <c r="S35" i="38"/>
  <c r="AT35" i="43"/>
  <c r="AU35" i="43"/>
  <c r="U35" i="43"/>
  <c r="S40" i="38"/>
  <c r="AU40" i="43"/>
  <c r="AT40" i="43"/>
  <c r="U40" i="43"/>
  <c r="AF59" i="43"/>
  <c r="AT74" i="38"/>
  <c r="U74" i="38"/>
  <c r="AU74" i="38"/>
  <c r="AS61" i="43"/>
  <c r="AD61" i="43"/>
  <c r="R61" i="43"/>
  <c r="AQ61" i="43"/>
  <c r="AF74" i="38"/>
  <c r="AF58" i="38"/>
  <c r="AZ69" i="42"/>
  <c r="AX69" i="42"/>
  <c r="S92" i="38"/>
  <c r="AU92" i="43"/>
  <c r="U92" i="43"/>
  <c r="AT92" i="43"/>
  <c r="S37" i="38"/>
  <c r="AT37" i="43"/>
  <c r="U37" i="43"/>
  <c r="AU37" i="43"/>
  <c r="AF65" i="43"/>
  <c r="AQ49" i="43"/>
  <c r="AF49" i="43"/>
  <c r="AD71" i="43"/>
  <c r="AS71" i="43"/>
  <c r="AQ71" i="43"/>
  <c r="R71" i="43"/>
  <c r="T105" i="42"/>
  <c r="T3" i="43"/>
  <c r="Z3" i="43"/>
  <c r="Z105" i="42"/>
  <c r="Z44" i="43"/>
  <c r="Z44" i="38" s="1"/>
  <c r="AW67" i="42"/>
  <c r="AZ67" i="42"/>
  <c r="AX67" i="42"/>
  <c r="AZ55" i="42"/>
  <c r="AX55" i="42"/>
  <c r="AF72" i="38"/>
  <c r="AF56" i="38"/>
  <c r="AD90" i="42"/>
  <c r="R90" i="42"/>
  <c r="AS90" i="42"/>
  <c r="AQ90" i="42"/>
  <c r="AW90" i="42" s="1"/>
  <c r="AD35" i="42"/>
  <c r="AS35" i="42"/>
  <c r="AQ35" i="42"/>
  <c r="AW35" i="42" s="1"/>
  <c r="R35" i="42"/>
  <c r="AD40" i="42"/>
  <c r="R40" i="42"/>
  <c r="AS40" i="42"/>
  <c r="AQ40" i="42"/>
  <c r="AF59" i="38"/>
  <c r="AU58" i="38"/>
  <c r="AT58" i="38"/>
  <c r="U58" i="38"/>
  <c r="R50" i="43"/>
  <c r="AD50" i="43"/>
  <c r="AS50" i="43"/>
  <c r="AQ50" i="43"/>
  <c r="S91" i="38"/>
  <c r="AU91" i="43"/>
  <c r="U91" i="43"/>
  <c r="AT91" i="43"/>
  <c r="S36" i="38"/>
  <c r="U36" i="43"/>
  <c r="AU36" i="43"/>
  <c r="AT36" i="43"/>
  <c r="AF70" i="38"/>
  <c r="AF54" i="38"/>
  <c r="AU62" i="38"/>
  <c r="AT62" i="38"/>
  <c r="U62" i="38"/>
  <c r="AD92" i="42"/>
  <c r="AS92" i="42"/>
  <c r="AQ92" i="42"/>
  <c r="AW92" i="42" s="1"/>
  <c r="R92" i="42"/>
  <c r="AD37" i="42"/>
  <c r="AQ37" i="42"/>
  <c r="AW37" i="42" s="1"/>
  <c r="R37" i="42"/>
  <c r="AS37" i="42"/>
  <c r="AD60" i="43"/>
  <c r="R60" i="43"/>
  <c r="AS60" i="43"/>
  <c r="AQ60" i="43"/>
  <c r="AD52" i="43"/>
  <c r="AS52" i="43"/>
  <c r="AQ52" i="43"/>
  <c r="R52" i="43"/>
  <c r="AF65" i="38"/>
  <c r="AF49" i="38"/>
  <c r="AD59" i="43"/>
  <c r="AO59" i="43" s="1"/>
  <c r="AS59" i="43"/>
  <c r="AQ59" i="43"/>
  <c r="AW59" i="43" s="1"/>
  <c r="R59" i="43"/>
  <c r="W3" i="43"/>
  <c r="W105" i="42"/>
  <c r="T6" i="43"/>
  <c r="T6" i="38" s="1"/>
  <c r="W21" i="43"/>
  <c r="W21" i="38" s="1"/>
  <c r="AS63" i="43"/>
  <c r="R63" i="43"/>
  <c r="AQ63" i="43"/>
  <c r="AW63" i="43" s="1"/>
  <c r="AD63" i="43"/>
  <c r="AF68" i="43"/>
  <c r="AF52" i="43"/>
  <c r="AO52" i="43"/>
  <c r="Y92" i="38"/>
  <c r="AA92" i="38" s="1"/>
  <c r="AA92" i="43"/>
  <c r="Y37" i="38"/>
  <c r="AA37" i="38" s="1"/>
  <c r="AA37" i="43"/>
  <c r="AF71" i="43"/>
  <c r="AO71" i="43"/>
  <c r="AF55" i="43"/>
  <c r="R58" i="43"/>
  <c r="AD58" i="43"/>
  <c r="AQ58" i="43"/>
  <c r="AS58" i="43"/>
  <c r="AD91" i="42"/>
  <c r="R91" i="42"/>
  <c r="AS91" i="42"/>
  <c r="AQ91" i="42"/>
  <c r="AD36" i="42"/>
  <c r="AS36" i="42"/>
  <c r="AQ36" i="42"/>
  <c r="AW36" i="42" s="1"/>
  <c r="R36" i="42"/>
  <c r="U69" i="38"/>
  <c r="AU69" i="38"/>
  <c r="AT69" i="38"/>
  <c r="AU61" i="38"/>
  <c r="U61" i="38"/>
  <c r="AT61" i="38"/>
  <c r="AU53" i="38"/>
  <c r="U53" i="38"/>
  <c r="AT53" i="38"/>
  <c r="AF70" i="43"/>
  <c r="AF54" i="43"/>
  <c r="AS70" i="43"/>
  <c r="AD70" i="43"/>
  <c r="AO70" i="43" s="1"/>
  <c r="R70" i="43"/>
  <c r="AQ70" i="43"/>
  <c r="Y90" i="38"/>
  <c r="AA90" i="38" s="1"/>
  <c r="AA90" i="43"/>
  <c r="Y35" i="38"/>
  <c r="AA35" i="38" s="1"/>
  <c r="AA35" i="43"/>
  <c r="Y40" i="38"/>
  <c r="AA40" i="38" s="1"/>
  <c r="AA40" i="43"/>
  <c r="AD68" i="43"/>
  <c r="AO68" i="43" s="1"/>
  <c r="AS68" i="43"/>
  <c r="AQ68" i="43"/>
  <c r="AW68" i="43" s="1"/>
  <c r="R68" i="43"/>
  <c r="AF61" i="43"/>
  <c r="AO61" i="43"/>
  <c r="S89" i="38"/>
  <c r="U89" i="43"/>
  <c r="AU89" i="43"/>
  <c r="AT89" i="43"/>
  <c r="S93" i="38"/>
  <c r="AT93" i="43"/>
  <c r="U93" i="43"/>
  <c r="AU93" i="43"/>
  <c r="S38" i="38"/>
  <c r="AT38" i="43"/>
  <c r="U38" i="43"/>
  <c r="AU38" i="43"/>
  <c r="Z28" i="43"/>
  <c r="Z28" i="38" s="1"/>
  <c r="AX63" i="42"/>
  <c r="AZ63" i="42"/>
  <c r="U63" i="38"/>
  <c r="AT63" i="38"/>
  <c r="AU63" i="38"/>
  <c r="AF68" i="38"/>
  <c r="AF52" i="38"/>
  <c r="AF92" i="42"/>
  <c r="AO92" i="42"/>
  <c r="AV92" i="42" s="1" a="1"/>
  <c r="AV92" i="42" s="1"/>
  <c r="AF37" i="42"/>
  <c r="AO37" i="42"/>
  <c r="AV37" i="42" s="1" a="1"/>
  <c r="AV37" i="42" s="1"/>
  <c r="AF71" i="38"/>
  <c r="AF55" i="38"/>
  <c r="AS66" i="43"/>
  <c r="AD66" i="43"/>
  <c r="AQ66" i="43"/>
  <c r="AW66" i="43" s="1"/>
  <c r="R66" i="43"/>
  <c r="Y89" i="38"/>
  <c r="AA89" i="38" s="1"/>
  <c r="AA89" i="43"/>
  <c r="Y93" i="38"/>
  <c r="AA93" i="38" s="1"/>
  <c r="AA93" i="43"/>
  <c r="AA38" i="43"/>
  <c r="Y38" i="38"/>
  <c r="AA38" i="38" s="1"/>
  <c r="AS65" i="43"/>
  <c r="AD65" i="43"/>
  <c r="AO65" i="43" s="1"/>
  <c r="AQ65" i="43"/>
  <c r="AW65" i="43" s="1"/>
  <c r="R65" i="43"/>
  <c r="AD57" i="43"/>
  <c r="AQ57" i="43"/>
  <c r="AW57" i="43" s="1"/>
  <c r="R57" i="43"/>
  <c r="AS57" i="43"/>
  <c r="AF66" i="43"/>
  <c r="AO66" i="43"/>
  <c r="AF50" i="43"/>
  <c r="AO50" i="43"/>
  <c r="Y39" i="38"/>
  <c r="AA39" i="38" s="1"/>
  <c r="AA39" i="43"/>
  <c r="AF90" i="42"/>
  <c r="AO90" i="42"/>
  <c r="AV90" i="42" s="1" a="1"/>
  <c r="AV90" i="42" s="1"/>
  <c r="AF35" i="42"/>
  <c r="AO35" i="42"/>
  <c r="AV35" i="42" s="1" a="1"/>
  <c r="AV35" i="42" s="1"/>
  <c r="AU68" i="38"/>
  <c r="U68" i="38"/>
  <c r="AT68" i="38"/>
  <c r="AU60" i="38"/>
  <c r="AT60" i="38"/>
  <c r="U60" i="38"/>
  <c r="AU52" i="38"/>
  <c r="AT52" i="38"/>
  <c r="U52" i="38"/>
  <c r="AF61" i="38"/>
  <c r="AD89" i="42"/>
  <c r="AO89" i="42" s="1"/>
  <c r="AV89" i="42" s="1" a="1"/>
  <c r="AV89" i="42" s="1"/>
  <c r="AQ89" i="42"/>
  <c r="R89" i="42"/>
  <c r="AS89" i="42"/>
  <c r="AD93" i="42"/>
  <c r="AS93" i="42"/>
  <c r="R93" i="42"/>
  <c r="AQ93" i="42"/>
  <c r="AD38" i="42"/>
  <c r="AQ38" i="42"/>
  <c r="R38" i="42"/>
  <c r="AS38" i="42"/>
  <c r="U71" i="38"/>
  <c r="AT71" i="38"/>
  <c r="AU71" i="38"/>
  <c r="AU59" i="38"/>
  <c r="AT59" i="38"/>
  <c r="U59" i="38"/>
  <c r="AZ68" i="42"/>
  <c r="AX68" i="42"/>
  <c r="T42" i="43"/>
  <c r="T42" i="38" s="1"/>
  <c r="T12" i="43"/>
  <c r="T12" i="38" s="1"/>
  <c r="W75" i="43"/>
  <c r="W75" i="38" s="1"/>
  <c r="W27" i="43"/>
  <c r="W27" i="38" s="1"/>
  <c r="W11" i="43"/>
  <c r="W11" i="38" s="1"/>
  <c r="AW51" i="42"/>
  <c r="AZ51" i="42"/>
  <c r="AX51" i="42"/>
  <c r="AF64" i="43"/>
  <c r="V89" i="38"/>
  <c r="X89" i="38" s="1"/>
  <c r="X89" i="43"/>
  <c r="AN89" i="38" s="1"/>
  <c r="V93" i="38"/>
  <c r="X93" i="38" s="1"/>
  <c r="X93" i="43"/>
  <c r="AN93" i="38" s="1"/>
  <c r="V38" i="38"/>
  <c r="X38" i="38" s="1"/>
  <c r="X38" i="43"/>
  <c r="AN38" i="38" s="1"/>
  <c r="AF67" i="43"/>
  <c r="AF51" i="43"/>
  <c r="X39" i="43"/>
  <c r="AN39" i="38" s="1"/>
  <c r="AT66" i="38"/>
  <c r="AU66" i="38"/>
  <c r="U66" i="38"/>
  <c r="R54" i="43"/>
  <c r="AS54" i="43"/>
  <c r="AQ54" i="43"/>
  <c r="AD54" i="43"/>
  <c r="AO54" i="43" s="1"/>
  <c r="AF89" i="42"/>
  <c r="AF93" i="42"/>
  <c r="AO93" i="42"/>
  <c r="AV93" i="42" s="1" a="1"/>
  <c r="AV93" i="42" s="1"/>
  <c r="AF38" i="42"/>
  <c r="AD73" i="43"/>
  <c r="R73" i="43"/>
  <c r="AS73" i="43"/>
  <c r="AQ73" i="43"/>
  <c r="AF66" i="38"/>
  <c r="AF50" i="38"/>
  <c r="AF39" i="42"/>
  <c r="V91" i="38"/>
  <c r="X91" i="38" s="1"/>
  <c r="X91" i="43"/>
  <c r="AN91" i="38" s="1"/>
  <c r="V36" i="38"/>
  <c r="X36" i="38" s="1"/>
  <c r="X36" i="43"/>
  <c r="AN36" i="38" s="1"/>
  <c r="AS72" i="43"/>
  <c r="R72" i="43"/>
  <c r="AQ72" i="43"/>
  <c r="AD72" i="43"/>
  <c r="AO72" i="43" s="1"/>
  <c r="AU64" i="38"/>
  <c r="AT64" i="38"/>
  <c r="U64" i="38"/>
  <c r="AS56" i="43"/>
  <c r="R56" i="43"/>
  <c r="AQ56" i="43"/>
  <c r="AW56" i="43" s="1"/>
  <c r="AD56" i="43"/>
  <c r="AF73" i="43"/>
  <c r="AO73" i="43"/>
  <c r="AF57" i="43"/>
  <c r="AO57" i="43"/>
  <c r="Y91" i="38"/>
  <c r="AA91" i="38" s="1"/>
  <c r="AA91" i="43"/>
  <c r="Y36" i="38"/>
  <c r="AA36" i="38" s="1"/>
  <c r="AA36" i="43"/>
  <c r="AO56" i="43"/>
  <c r="AN56" i="38"/>
  <c r="T96" i="43"/>
  <c r="T96" i="38" s="1"/>
  <c r="Z48" i="43"/>
  <c r="Z48" i="38" s="1"/>
  <c r="Z18" i="43"/>
  <c r="Z18" i="38" s="1"/>
  <c r="AW71" i="42"/>
  <c r="AZ71" i="42"/>
  <c r="AX71" i="42"/>
  <c r="R55" i="43"/>
  <c r="AQ55" i="43"/>
  <c r="AW55" i="43" s="1"/>
  <c r="AS55" i="43"/>
  <c r="AD55" i="43"/>
  <c r="AO55" i="43" s="1"/>
  <c r="AF64" i="38"/>
  <c r="AF67" i="38"/>
  <c r="AF51" i="38"/>
  <c r="V90" i="38"/>
  <c r="X90" i="38" s="1"/>
  <c r="X90" i="43"/>
  <c r="AN90" i="38" s="1"/>
  <c r="V35" i="38"/>
  <c r="X35" i="38" s="1"/>
  <c r="X35" i="43"/>
  <c r="AN35" i="38" s="1"/>
  <c r="R49" i="43"/>
  <c r="AD49" i="43"/>
  <c r="AO49" i="43" s="1"/>
  <c r="AS49" i="43"/>
  <c r="AF62" i="38"/>
  <c r="AU70" i="38"/>
  <c r="AT70" i="38"/>
  <c r="U70" i="38"/>
  <c r="AF73" i="38"/>
  <c r="AF57" i="38"/>
  <c r="AF91" i="42"/>
  <c r="AO91" i="42"/>
  <c r="AV91" i="42" s="1" a="1"/>
  <c r="AV91" i="42" s="1"/>
  <c r="AF36" i="42"/>
  <c r="AO36" i="42"/>
  <c r="AV36" i="42" s="1" a="1"/>
  <c r="AV36" i="42" s="1"/>
  <c r="T48" i="43"/>
  <c r="T48" i="38" s="1"/>
  <c r="T26" i="43"/>
  <c r="T26" i="38" s="1"/>
  <c r="W47" i="43"/>
  <c r="W47" i="38" s="1"/>
  <c r="W17" i="43"/>
  <c r="W17" i="38" s="1"/>
  <c r="W9" i="43"/>
  <c r="W9" i="38" s="1"/>
  <c r="AZ59" i="42"/>
  <c r="AX59" i="42"/>
  <c r="AF60" i="43"/>
  <c r="AO60" i="43"/>
  <c r="AF63" i="43"/>
  <c r="AO63" i="43"/>
  <c r="AU54" i="38"/>
  <c r="AT54" i="38"/>
  <c r="U54" i="38"/>
  <c r="AT73" i="38"/>
  <c r="AU73" i="38"/>
  <c r="U73" i="38"/>
  <c r="AU65" i="38"/>
  <c r="U65" i="38"/>
  <c r="AT65" i="38"/>
  <c r="AU57" i="38"/>
  <c r="U57" i="38"/>
  <c r="AT57" i="38"/>
  <c r="AT49" i="38"/>
  <c r="U49" i="38"/>
  <c r="AU49" i="38"/>
  <c r="AF62" i="43"/>
  <c r="AQ62" i="43"/>
  <c r="AW62" i="43" s="1"/>
  <c r="AD62" i="43"/>
  <c r="AO62" i="43" s="1"/>
  <c r="AS62" i="43"/>
  <c r="R62" i="43"/>
  <c r="AF69" i="43"/>
  <c r="AF53" i="43"/>
  <c r="V92" i="38"/>
  <c r="X92" i="38" s="1"/>
  <c r="X92" i="43"/>
  <c r="AN92" i="38" s="1"/>
  <c r="AS67" i="43"/>
  <c r="R67" i="43"/>
  <c r="AQ67" i="43"/>
  <c r="AD67" i="43"/>
  <c r="AO67" i="43" s="1"/>
  <c r="AQ51" i="43"/>
  <c r="AD51" i="43"/>
  <c r="AO51" i="43" s="1"/>
  <c r="AS51" i="43"/>
  <c r="R51" i="43"/>
  <c r="S39" i="38"/>
  <c r="U39" i="43"/>
  <c r="AU39" i="43"/>
  <c r="AT39" i="43"/>
  <c r="Z80" i="43"/>
  <c r="Z80" i="38" s="1"/>
  <c r="Z24" i="43"/>
  <c r="Z24" i="38" s="1"/>
  <c r="Z8" i="43"/>
  <c r="Z8" i="38" s="1"/>
  <c r="U55" i="38"/>
  <c r="AU55" i="38"/>
  <c r="AT55" i="38"/>
  <c r="AF60" i="38"/>
  <c r="AF63" i="38"/>
  <c r="AD74" i="43"/>
  <c r="R74" i="43"/>
  <c r="AS74" i="43"/>
  <c r="AQ74" i="43"/>
  <c r="AW74" i="43" s="1"/>
  <c r="U50" i="38"/>
  <c r="AU50" i="38"/>
  <c r="AT50" i="38"/>
  <c r="V40" i="38"/>
  <c r="X40" i="38" s="1"/>
  <c r="X40" i="43"/>
  <c r="AN40" i="38" s="1"/>
  <c r="AS69" i="43"/>
  <c r="AD69" i="43"/>
  <c r="AO69" i="43" s="1"/>
  <c r="R69" i="43"/>
  <c r="AQ69" i="43"/>
  <c r="AD53" i="43"/>
  <c r="AO53" i="43" s="1"/>
  <c r="AQ53" i="43"/>
  <c r="R53" i="43"/>
  <c r="AS53" i="43"/>
  <c r="AF74" i="43"/>
  <c r="AO74" i="43"/>
  <c r="AF58" i="43"/>
  <c r="AO58" i="43"/>
  <c r="AW49" i="42"/>
  <c r="AZ49" i="42"/>
  <c r="AX49" i="42"/>
  <c r="U72" i="38"/>
  <c r="AT72" i="38"/>
  <c r="AU72" i="38"/>
  <c r="AD64" i="43"/>
  <c r="AO64" i="43" s="1"/>
  <c r="AS64" i="43"/>
  <c r="AQ64" i="43"/>
  <c r="AW64" i="43" s="1"/>
  <c r="R64" i="43"/>
  <c r="AT56" i="38"/>
  <c r="U56" i="38"/>
  <c r="AU56" i="38"/>
  <c r="AF69" i="38"/>
  <c r="AF53" i="38"/>
  <c r="AU67" i="38"/>
  <c r="AT67" i="38"/>
  <c r="U67" i="38"/>
  <c r="AU51" i="38"/>
  <c r="AT51" i="38"/>
  <c r="U51" i="38"/>
  <c r="AD39" i="42"/>
  <c r="R39" i="42"/>
  <c r="AS39" i="42"/>
  <c r="AQ39" i="42"/>
  <c r="AE4" i="43"/>
  <c r="AE4" i="38" s="1"/>
  <c r="AG4" i="43"/>
  <c r="AG4" i="38" s="1"/>
  <c r="AM4" i="43"/>
  <c r="AM4" i="38" s="1"/>
  <c r="AE5" i="43"/>
  <c r="AE5" i="38" s="1"/>
  <c r="AG5" i="43"/>
  <c r="AG5" i="38" s="1"/>
  <c r="AM5" i="43"/>
  <c r="AM5" i="38" s="1"/>
  <c r="AE6" i="43"/>
  <c r="AE6" i="38" s="1"/>
  <c r="AG6" i="43"/>
  <c r="AG6" i="38" s="1"/>
  <c r="AM6" i="43"/>
  <c r="AM6" i="38" s="1"/>
  <c r="AE7" i="43"/>
  <c r="AE7" i="38" s="1"/>
  <c r="AG7" i="43"/>
  <c r="AG7" i="38" s="1"/>
  <c r="AM7" i="43"/>
  <c r="AM7" i="38" s="1"/>
  <c r="Y8" i="43"/>
  <c r="AE8" i="43"/>
  <c r="AE8" i="38" s="1"/>
  <c r="AG8" i="43"/>
  <c r="AG8" i="38" s="1"/>
  <c r="AM8" i="43"/>
  <c r="AM8" i="38" s="1"/>
  <c r="V9" i="43"/>
  <c r="AE9" i="43"/>
  <c r="AE9" i="38" s="1"/>
  <c r="AG9" i="43"/>
  <c r="AG9" i="38" s="1"/>
  <c r="AM9" i="43"/>
  <c r="AM9" i="38" s="1"/>
  <c r="AE10" i="43"/>
  <c r="AE10" i="38" s="1"/>
  <c r="AG10" i="43"/>
  <c r="AG10" i="38" s="1"/>
  <c r="AM10" i="43"/>
  <c r="AM10" i="38" s="1"/>
  <c r="V11" i="43"/>
  <c r="AE11" i="43"/>
  <c r="AE11" i="38" s="1"/>
  <c r="AG11" i="43"/>
  <c r="AG11" i="38" s="1"/>
  <c r="AM11" i="43"/>
  <c r="AM11" i="38" s="1"/>
  <c r="AE12" i="43"/>
  <c r="AE12" i="38" s="1"/>
  <c r="AG12" i="43"/>
  <c r="AG12" i="38" s="1"/>
  <c r="AM12" i="43"/>
  <c r="AM12" i="38" s="1"/>
  <c r="AE13" i="43"/>
  <c r="AE13" i="38" s="1"/>
  <c r="AG13" i="43"/>
  <c r="AG13" i="38" s="1"/>
  <c r="AM13" i="43"/>
  <c r="AM13" i="38" s="1"/>
  <c r="AE14" i="43"/>
  <c r="AE14" i="38" s="1"/>
  <c r="AG14" i="43"/>
  <c r="AG14" i="38" s="1"/>
  <c r="AM14" i="43"/>
  <c r="AM14" i="38" s="1"/>
  <c r="AE15" i="43"/>
  <c r="AE15" i="38" s="1"/>
  <c r="AG15" i="43"/>
  <c r="AG15" i="38" s="1"/>
  <c r="AM15" i="43"/>
  <c r="AM15" i="38" s="1"/>
  <c r="AE16" i="43"/>
  <c r="AE16" i="38" s="1"/>
  <c r="AG16" i="43"/>
  <c r="AG16" i="38" s="1"/>
  <c r="AM16" i="43"/>
  <c r="AM16" i="38" s="1"/>
  <c r="V17" i="43"/>
  <c r="AE17" i="43"/>
  <c r="AE17" i="38" s="1"/>
  <c r="AG17" i="43"/>
  <c r="AG17" i="38" s="1"/>
  <c r="AM17" i="43"/>
  <c r="AM17" i="38" s="1"/>
  <c r="Y18" i="43"/>
  <c r="AE18" i="43"/>
  <c r="AE18" i="38" s="1"/>
  <c r="AG18" i="43"/>
  <c r="AG18" i="38" s="1"/>
  <c r="AM18" i="43"/>
  <c r="AM18" i="38" s="1"/>
  <c r="AE19" i="43"/>
  <c r="AE19" i="38" s="1"/>
  <c r="AG19" i="43"/>
  <c r="AG19" i="38" s="1"/>
  <c r="AM19" i="43"/>
  <c r="AM19" i="38" s="1"/>
  <c r="AE20" i="43"/>
  <c r="AE20" i="38" s="1"/>
  <c r="AG20" i="43"/>
  <c r="AG20" i="38" s="1"/>
  <c r="AM20" i="43"/>
  <c r="AM20" i="38" s="1"/>
  <c r="V21" i="43"/>
  <c r="AE21" i="43"/>
  <c r="AE21" i="38" s="1"/>
  <c r="AG21" i="43"/>
  <c r="AG21" i="38" s="1"/>
  <c r="AM21" i="43"/>
  <c r="AM21" i="38" s="1"/>
  <c r="AE22" i="43"/>
  <c r="AE22" i="38" s="1"/>
  <c r="AG22" i="43"/>
  <c r="AG22" i="38" s="1"/>
  <c r="AM22" i="43"/>
  <c r="AM22" i="38" s="1"/>
  <c r="AE23" i="43"/>
  <c r="AE23" i="38" s="1"/>
  <c r="AG23" i="43"/>
  <c r="AG23" i="38" s="1"/>
  <c r="AM23" i="43"/>
  <c r="AM23" i="38" s="1"/>
  <c r="Y24" i="43"/>
  <c r="AE24" i="43"/>
  <c r="AE24" i="38" s="1"/>
  <c r="AG24" i="43"/>
  <c r="AG24" i="38" s="1"/>
  <c r="AM24" i="43"/>
  <c r="AM24" i="38" s="1"/>
  <c r="AE25" i="43"/>
  <c r="AE25" i="38" s="1"/>
  <c r="AG25" i="43"/>
  <c r="AG25" i="38" s="1"/>
  <c r="AM25" i="43"/>
  <c r="AM25" i="38" s="1"/>
  <c r="U26" i="42"/>
  <c r="AE26" i="43"/>
  <c r="AE26" i="38" s="1"/>
  <c r="AG26" i="43"/>
  <c r="AG26" i="38" s="1"/>
  <c r="AM26" i="43"/>
  <c r="AM26" i="38" s="1"/>
  <c r="V27" i="43"/>
  <c r="AE27" i="43"/>
  <c r="AE27" i="38" s="1"/>
  <c r="AG27" i="43"/>
  <c r="AG27" i="38" s="1"/>
  <c r="AM27" i="43"/>
  <c r="AM27" i="38" s="1"/>
  <c r="Y28" i="43"/>
  <c r="AE28" i="43"/>
  <c r="AE28" i="38" s="1"/>
  <c r="AG28" i="43"/>
  <c r="AG28" i="38" s="1"/>
  <c r="AM28" i="43"/>
  <c r="AM28" i="38" s="1"/>
  <c r="AE29" i="43"/>
  <c r="AE29" i="38" s="1"/>
  <c r="AG29" i="43"/>
  <c r="AG29" i="38" s="1"/>
  <c r="AM29" i="43"/>
  <c r="AM29" i="38" s="1"/>
  <c r="AE30" i="43"/>
  <c r="AE30" i="38" s="1"/>
  <c r="AG30" i="43"/>
  <c r="AG30" i="38" s="1"/>
  <c r="AM30" i="43"/>
  <c r="AM30" i="38" s="1"/>
  <c r="V31" i="43"/>
  <c r="AE31" i="43"/>
  <c r="AE31" i="38" s="1"/>
  <c r="AG31" i="43"/>
  <c r="AG31" i="38" s="1"/>
  <c r="AM31" i="43"/>
  <c r="AM31" i="38" s="1"/>
  <c r="AE32" i="43"/>
  <c r="AE32" i="38" s="1"/>
  <c r="AG32" i="43"/>
  <c r="AG32" i="38" s="1"/>
  <c r="AM32" i="43"/>
  <c r="AM32" i="38" s="1"/>
  <c r="AE33" i="43"/>
  <c r="AE33" i="38" s="1"/>
  <c r="AG33" i="43"/>
  <c r="AG33" i="38" s="1"/>
  <c r="AM33" i="43"/>
  <c r="AM33" i="38" s="1"/>
  <c r="AE34" i="43"/>
  <c r="AE34" i="38" s="1"/>
  <c r="AG34" i="43"/>
  <c r="AG34" i="38" s="1"/>
  <c r="AM34" i="43"/>
  <c r="AM34" i="38" s="1"/>
  <c r="AM38" i="43"/>
  <c r="AM38" i="38" s="1"/>
  <c r="AM39" i="43"/>
  <c r="AM39" i="38" s="1"/>
  <c r="AM40" i="43"/>
  <c r="AM40" i="38" s="1"/>
  <c r="AE41" i="43"/>
  <c r="AE41" i="38" s="1"/>
  <c r="AG41" i="43"/>
  <c r="AG41" i="38" s="1"/>
  <c r="AM41" i="43"/>
  <c r="AM41" i="38" s="1"/>
  <c r="U42" i="42"/>
  <c r="AE42" i="43"/>
  <c r="AE42" i="38" s="1"/>
  <c r="AG42" i="43"/>
  <c r="AG42" i="38" s="1"/>
  <c r="AM42" i="43"/>
  <c r="AM42" i="38" s="1"/>
  <c r="AE43" i="43"/>
  <c r="AE43" i="38" s="1"/>
  <c r="AG43" i="43"/>
  <c r="AG43" i="38" s="1"/>
  <c r="AM43" i="43"/>
  <c r="AM43" i="38" s="1"/>
  <c r="Y44" i="43"/>
  <c r="AE44" i="43"/>
  <c r="AE44" i="38" s="1"/>
  <c r="AG44" i="43"/>
  <c r="AG44" i="38" s="1"/>
  <c r="AM44" i="43"/>
  <c r="AM44" i="38" s="1"/>
  <c r="V45" i="43"/>
  <c r="AE45" i="43"/>
  <c r="AE45" i="38" s="1"/>
  <c r="AG45" i="43"/>
  <c r="AG45" i="38" s="1"/>
  <c r="AM45" i="43"/>
  <c r="AM45" i="38" s="1"/>
  <c r="AE46" i="43"/>
  <c r="AE46" i="38" s="1"/>
  <c r="AG46" i="43"/>
  <c r="AG46" i="38" s="1"/>
  <c r="AM46" i="43"/>
  <c r="AM46" i="38" s="1"/>
  <c r="V47" i="43"/>
  <c r="AE47" i="43"/>
  <c r="AE47" i="38" s="1"/>
  <c r="AG47" i="43"/>
  <c r="AG47" i="38" s="1"/>
  <c r="AM47" i="43"/>
  <c r="AM47" i="38" s="1"/>
  <c r="U48" i="42"/>
  <c r="Y48" i="43"/>
  <c r="AE48" i="43"/>
  <c r="AE48" i="38" s="1"/>
  <c r="AG48" i="43"/>
  <c r="AG48" i="38" s="1"/>
  <c r="AM48" i="43"/>
  <c r="AM48" i="38" s="1"/>
  <c r="V75" i="43"/>
  <c r="AE75" i="43"/>
  <c r="AE75" i="38" s="1"/>
  <c r="AG75" i="43"/>
  <c r="AG75" i="38" s="1"/>
  <c r="AM75" i="43"/>
  <c r="AM75" i="38" s="1"/>
  <c r="AE76" i="43"/>
  <c r="AE76" i="38" s="1"/>
  <c r="AG76" i="43"/>
  <c r="AG76" i="38" s="1"/>
  <c r="AM76" i="43"/>
  <c r="AM76" i="38" s="1"/>
  <c r="AE77" i="43"/>
  <c r="AE77" i="38" s="1"/>
  <c r="AG77" i="43"/>
  <c r="AG77" i="38" s="1"/>
  <c r="AM77" i="43"/>
  <c r="AM77" i="38" s="1"/>
  <c r="AE78" i="43"/>
  <c r="AE78" i="38" s="1"/>
  <c r="AG78" i="43"/>
  <c r="AG78" i="38" s="1"/>
  <c r="AM78" i="43"/>
  <c r="AM78" i="38" s="1"/>
  <c r="AE79" i="43"/>
  <c r="AE79" i="38" s="1"/>
  <c r="AG79" i="43"/>
  <c r="AG79" i="38" s="1"/>
  <c r="AM79" i="43"/>
  <c r="AM79" i="38" s="1"/>
  <c r="Y80" i="43"/>
  <c r="AE80" i="43"/>
  <c r="AE80" i="38" s="1"/>
  <c r="AG80" i="43"/>
  <c r="AG80" i="38" s="1"/>
  <c r="AM80" i="43"/>
  <c r="AM80" i="38" s="1"/>
  <c r="AE81" i="43"/>
  <c r="AE81" i="38" s="1"/>
  <c r="AG81" i="43"/>
  <c r="AG81" i="38" s="1"/>
  <c r="AM81" i="43"/>
  <c r="AM81" i="38" s="1"/>
  <c r="AE82" i="43"/>
  <c r="AE82" i="38" s="1"/>
  <c r="AG82" i="43"/>
  <c r="AG82" i="38" s="1"/>
  <c r="AM82" i="43"/>
  <c r="AM82" i="38" s="1"/>
  <c r="AE83" i="43"/>
  <c r="AE83" i="38" s="1"/>
  <c r="AG83" i="43"/>
  <c r="AG83" i="38" s="1"/>
  <c r="AM83" i="43"/>
  <c r="AM83" i="38" s="1"/>
  <c r="AE84" i="43"/>
  <c r="AE84" i="38" s="1"/>
  <c r="AG84" i="43"/>
  <c r="AG84" i="38" s="1"/>
  <c r="AM84" i="43"/>
  <c r="AM84" i="38" s="1"/>
  <c r="AE85" i="43"/>
  <c r="AE85" i="38" s="1"/>
  <c r="AG85" i="43"/>
  <c r="AG85" i="38" s="1"/>
  <c r="AM85" i="43"/>
  <c r="AM85" i="38" s="1"/>
  <c r="AE86" i="43"/>
  <c r="AE86" i="38" s="1"/>
  <c r="AG86" i="43"/>
  <c r="AG86" i="38" s="1"/>
  <c r="AM86" i="43"/>
  <c r="AM86" i="38" s="1"/>
  <c r="AE87" i="43"/>
  <c r="AE87" i="38" s="1"/>
  <c r="AG87" i="43"/>
  <c r="AG87" i="38" s="1"/>
  <c r="AM87" i="43"/>
  <c r="AM87" i="38" s="1"/>
  <c r="AE88" i="43"/>
  <c r="AE88" i="38" s="1"/>
  <c r="AG88" i="43"/>
  <c r="AG88" i="38" s="1"/>
  <c r="AM88" i="43"/>
  <c r="AM88" i="38" s="1"/>
  <c r="AE94" i="43"/>
  <c r="AE94" i="38" s="1"/>
  <c r="AG94" i="43"/>
  <c r="AG94" i="38" s="1"/>
  <c r="AM94" i="43"/>
  <c r="AM94" i="38" s="1"/>
  <c r="AE95" i="43"/>
  <c r="AE95" i="38" s="1"/>
  <c r="AG95" i="43"/>
  <c r="AG95" i="38" s="1"/>
  <c r="AM95" i="43"/>
  <c r="AM95" i="38" s="1"/>
  <c r="AE96" i="43"/>
  <c r="AE96" i="38" s="1"/>
  <c r="AG96" i="43"/>
  <c r="AG96" i="38" s="1"/>
  <c r="AM96" i="43"/>
  <c r="AM96" i="38" s="1"/>
  <c r="AE97" i="43"/>
  <c r="AE97" i="38" s="1"/>
  <c r="AG97" i="43"/>
  <c r="AG97" i="38" s="1"/>
  <c r="AM97" i="43"/>
  <c r="AM97" i="38" s="1"/>
  <c r="AE98" i="43"/>
  <c r="AE98" i="38" s="1"/>
  <c r="AG98" i="43"/>
  <c r="AG98" i="38" s="1"/>
  <c r="AM98" i="43"/>
  <c r="AM98" i="38" s="1"/>
  <c r="AV67" i="43" l="1" a="1"/>
  <c r="AV67" i="43" s="1"/>
  <c r="C43" i="50"/>
  <c r="AV66" i="43" a="1"/>
  <c r="AV66" i="43" s="1"/>
  <c r="C76" i="50"/>
  <c r="AV65" i="43" a="1"/>
  <c r="AV65" i="43" s="1"/>
  <c r="C77" i="50"/>
  <c r="AV54" i="43" a="1"/>
  <c r="AV54" i="43" s="1"/>
  <c r="AZ54" i="43" s="1"/>
  <c r="C31" i="50"/>
  <c r="AV53" i="43" a="1"/>
  <c r="AV53" i="43" s="1"/>
  <c r="C96" i="50"/>
  <c r="AV62" i="43" a="1"/>
  <c r="AV62" i="43" s="1"/>
  <c r="C67" i="50"/>
  <c r="AV49" i="43" a="1"/>
  <c r="AV49" i="43" s="1"/>
  <c r="AZ49" i="43" s="1"/>
  <c r="C21" i="50"/>
  <c r="AV59" i="43" a="1"/>
  <c r="AV59" i="43" s="1"/>
  <c r="AZ59" i="43" s="1"/>
  <c r="C66" i="50"/>
  <c r="AV58" i="43" a="1"/>
  <c r="AV58" i="43" s="1"/>
  <c r="C97" i="50"/>
  <c r="AV55" i="43" a="1"/>
  <c r="AV55" i="43" s="1"/>
  <c r="C63" i="50"/>
  <c r="AV57" i="43" a="1"/>
  <c r="AV57" i="43" s="1"/>
  <c r="C65" i="50"/>
  <c r="AV68" i="43" a="1"/>
  <c r="AV68" i="43" s="1"/>
  <c r="AX68" i="43" s="1"/>
  <c r="C70" i="50"/>
  <c r="AV64" i="43" a="1"/>
  <c r="AV64" i="43" s="1"/>
  <c r="C69" i="50"/>
  <c r="AV63" i="43" a="1"/>
  <c r="AV63" i="43" s="1"/>
  <c r="C68" i="50"/>
  <c r="AV70" i="43" a="1"/>
  <c r="AV70" i="43" s="1"/>
  <c r="AZ70" i="43" s="1"/>
  <c r="C39" i="50"/>
  <c r="AV52" i="43" a="1"/>
  <c r="AV52" i="43" s="1"/>
  <c r="C80" i="50"/>
  <c r="AV74" i="43" a="1"/>
  <c r="AV74" i="43" s="1"/>
  <c r="C81" i="50"/>
  <c r="AV69" i="43" a="1"/>
  <c r="AV69" i="43" s="1"/>
  <c r="C42" i="50"/>
  <c r="AV73" i="43" a="1"/>
  <c r="AV73" i="43" s="1"/>
  <c r="C88" i="50"/>
  <c r="AV51" i="43" a="1"/>
  <c r="AV51" i="43" s="1"/>
  <c r="AZ51" i="43" s="1"/>
  <c r="C41" i="50"/>
  <c r="AV60" i="43" a="1"/>
  <c r="AV60" i="43" s="1"/>
  <c r="C45" i="50"/>
  <c r="AV56" i="43" a="1"/>
  <c r="AV56" i="43" s="1"/>
  <c r="C64" i="50"/>
  <c r="AV72" i="43" a="1"/>
  <c r="AV72" i="43" s="1"/>
  <c r="AZ72" i="43" s="1"/>
  <c r="C37" i="50"/>
  <c r="AV50" i="43" a="1"/>
  <c r="AV50" i="43" s="1"/>
  <c r="AZ50" i="43" s="1"/>
  <c r="C23" i="50"/>
  <c r="AV61" i="43" a="1"/>
  <c r="AV61" i="43" s="1"/>
  <c r="C83" i="50"/>
  <c r="AV71" i="43" a="1"/>
  <c r="AV71" i="43" s="1"/>
  <c r="C51" i="50"/>
  <c r="AO39" i="42"/>
  <c r="AV39" i="42" s="1" a="1"/>
  <c r="AV39" i="42" s="1"/>
  <c r="AZ39" i="42" s="1"/>
  <c r="AX67" i="43"/>
  <c r="AZ67" i="43"/>
  <c r="AZ65" i="43"/>
  <c r="AX65" i="43"/>
  <c r="AZ53" i="43"/>
  <c r="AX53" i="43"/>
  <c r="AZ62" i="43"/>
  <c r="AX62" i="43"/>
  <c r="AX49" i="43"/>
  <c r="AD48" i="42"/>
  <c r="R48" i="42"/>
  <c r="AS48" i="42"/>
  <c r="AX55" i="43"/>
  <c r="AZ55" i="43"/>
  <c r="AZ64" i="43"/>
  <c r="AX64" i="43"/>
  <c r="AW70" i="43"/>
  <c r="AD42" i="42"/>
  <c r="AS42" i="42"/>
  <c r="R42" i="42"/>
  <c r="AW89" i="42"/>
  <c r="AZ89" i="42"/>
  <c r="AX89" i="42"/>
  <c r="AD26" i="42"/>
  <c r="AS26" i="42"/>
  <c r="R26" i="42"/>
  <c r="AX72" i="43"/>
  <c r="AE3" i="43"/>
  <c r="AE105" i="42"/>
  <c r="X87" i="42"/>
  <c r="AN87" i="42" s="1"/>
  <c r="V87" i="43"/>
  <c r="Y80" i="38"/>
  <c r="AA80" i="38" s="1"/>
  <c r="AA80" i="43"/>
  <c r="X79" i="42"/>
  <c r="AN79" i="42" s="1"/>
  <c r="V79" i="43"/>
  <c r="U78" i="42"/>
  <c r="AT78" i="42"/>
  <c r="S78" i="43"/>
  <c r="AU78" i="42"/>
  <c r="AA46" i="42"/>
  <c r="Y46" i="43"/>
  <c r="V45" i="38"/>
  <c r="X45" i="38" s="1"/>
  <c r="X45" i="43"/>
  <c r="AN45" i="38" s="1"/>
  <c r="U44" i="42"/>
  <c r="S44" i="43"/>
  <c r="AU44" i="42"/>
  <c r="AT44" i="42"/>
  <c r="AA29" i="42"/>
  <c r="Y29" i="43"/>
  <c r="X28" i="42"/>
  <c r="AN28" i="42" s="1"/>
  <c r="V28" i="43"/>
  <c r="U27" i="42"/>
  <c r="S27" i="43"/>
  <c r="AU27" i="42"/>
  <c r="AT27" i="42"/>
  <c r="AA21" i="42"/>
  <c r="Y21" i="43"/>
  <c r="X20" i="42"/>
  <c r="AN20" i="42" s="1"/>
  <c r="V20" i="43"/>
  <c r="U19" i="42"/>
  <c r="S19" i="43"/>
  <c r="AU19" i="42"/>
  <c r="AT19" i="42"/>
  <c r="AA13" i="42"/>
  <c r="Y13" i="43"/>
  <c r="X12" i="42"/>
  <c r="AN12" i="42" s="1"/>
  <c r="V12" i="43"/>
  <c r="U11" i="42"/>
  <c r="S11" i="43"/>
  <c r="AU11" i="42"/>
  <c r="AT11" i="42"/>
  <c r="AA5" i="42"/>
  <c r="Y5" i="43"/>
  <c r="X4" i="42"/>
  <c r="AN4" i="42" s="1"/>
  <c r="V4" i="43"/>
  <c r="AW53" i="43"/>
  <c r="R39" i="43"/>
  <c r="AS39" i="43"/>
  <c r="AQ39" i="43"/>
  <c r="AD39" i="43"/>
  <c r="X9" i="42"/>
  <c r="AN9" i="42" s="1"/>
  <c r="AD64" i="38"/>
  <c r="AO64" i="38" s="1"/>
  <c r="AV64" i="38" s="1" a="1"/>
  <c r="AV64" i="38" s="1"/>
  <c r="AQ64" i="38"/>
  <c r="AW64" i="38" s="1"/>
  <c r="AS64" i="38"/>
  <c r="AO38" i="42"/>
  <c r="AV38" i="42" s="1" a="1"/>
  <c r="AV38" i="42" s="1"/>
  <c r="X75" i="42"/>
  <c r="AN75" i="42" s="1"/>
  <c r="AF93" i="38"/>
  <c r="AZ92" i="42"/>
  <c r="AX92" i="42"/>
  <c r="AF90" i="38"/>
  <c r="AF92" i="43"/>
  <c r="W126" i="42"/>
  <c r="K20" i="3"/>
  <c r="AU36" i="38"/>
  <c r="AT36" i="38"/>
  <c r="U36" i="38"/>
  <c r="Z126" i="42"/>
  <c r="N20" i="3"/>
  <c r="AD37" i="43"/>
  <c r="AO37" i="43" s="1"/>
  <c r="R37" i="43"/>
  <c r="AS37" i="43"/>
  <c r="AQ37" i="43"/>
  <c r="AU35" i="38"/>
  <c r="AT35" i="38"/>
  <c r="U35" i="38"/>
  <c r="AM3" i="43"/>
  <c r="AM105" i="42"/>
  <c r="AA94" i="42"/>
  <c r="Y94" i="43"/>
  <c r="AA81" i="42"/>
  <c r="Y81" i="43"/>
  <c r="X80" i="42"/>
  <c r="AN80" i="42" s="1"/>
  <c r="V80" i="43"/>
  <c r="U79" i="42"/>
  <c r="AU79" i="42"/>
  <c r="S79" i="43"/>
  <c r="AT79" i="42"/>
  <c r="AA47" i="42"/>
  <c r="Y47" i="43"/>
  <c r="X46" i="42"/>
  <c r="AN46" i="42" s="1"/>
  <c r="V46" i="43"/>
  <c r="U45" i="42"/>
  <c r="S45" i="43"/>
  <c r="AU45" i="42"/>
  <c r="AT45" i="42"/>
  <c r="AA30" i="42"/>
  <c r="Y30" i="43"/>
  <c r="X29" i="42"/>
  <c r="AN29" i="42" s="1"/>
  <c r="V29" i="43"/>
  <c r="U28" i="42"/>
  <c r="S28" i="43"/>
  <c r="AU28" i="42"/>
  <c r="AT28" i="42"/>
  <c r="AA22" i="42"/>
  <c r="Y22" i="43"/>
  <c r="V21" i="38"/>
  <c r="X21" i="38" s="1"/>
  <c r="X21" i="43"/>
  <c r="AN21" i="38" s="1"/>
  <c r="U20" i="42"/>
  <c r="S20" i="43"/>
  <c r="AU20" i="42"/>
  <c r="AT20" i="42"/>
  <c r="AA14" i="42"/>
  <c r="Y14" i="43"/>
  <c r="X13" i="42"/>
  <c r="AN13" i="42" s="1"/>
  <c r="V13" i="43"/>
  <c r="S12" i="43"/>
  <c r="AU12" i="42"/>
  <c r="AT12" i="42"/>
  <c r="AA6" i="42"/>
  <c r="Y6" i="43"/>
  <c r="X5" i="42"/>
  <c r="AN5" i="42" s="1"/>
  <c r="V5" i="43"/>
  <c r="U4" i="42"/>
  <c r="S4" i="43"/>
  <c r="AU4" i="42"/>
  <c r="AT4" i="42"/>
  <c r="AZ58" i="43"/>
  <c r="AX58" i="43"/>
  <c r="AA8" i="42"/>
  <c r="AT39" i="38"/>
  <c r="U39" i="38"/>
  <c r="AU39" i="38"/>
  <c r="AD49" i="38"/>
  <c r="AO49" i="38" s="1"/>
  <c r="AV49" i="38" s="1" a="1"/>
  <c r="AV49" i="38" s="1"/>
  <c r="AS49" i="38"/>
  <c r="AQ49" i="38"/>
  <c r="AS73" i="38"/>
  <c r="AD73" i="38"/>
  <c r="AO73" i="38" s="1"/>
  <c r="AV73" i="38" s="1" a="1"/>
  <c r="AV73" i="38" s="1"/>
  <c r="AQ73" i="38"/>
  <c r="AZ36" i="42"/>
  <c r="AX36" i="42"/>
  <c r="AX56" i="43"/>
  <c r="AZ56" i="43"/>
  <c r="AZ73" i="43"/>
  <c r="AX73" i="43"/>
  <c r="AW93" i="42"/>
  <c r="AF89" i="43"/>
  <c r="AS38" i="43"/>
  <c r="R38" i="43"/>
  <c r="AD38" i="43"/>
  <c r="AQ38" i="43"/>
  <c r="AF92" i="38"/>
  <c r="W3" i="38"/>
  <c r="W105" i="38" s="1"/>
  <c r="W126" i="38" s="1"/>
  <c r="W105" i="43"/>
  <c r="W126" i="43" s="1"/>
  <c r="AS58" i="38"/>
  <c r="AD58" i="38"/>
  <c r="AO58" i="38" s="1"/>
  <c r="AV58" i="38" s="1" a="1"/>
  <c r="AV58" i="38" s="1"/>
  <c r="AQ58" i="38"/>
  <c r="Z3" i="38"/>
  <c r="Z105" i="38" s="1"/>
  <c r="Z126" i="38" s="1"/>
  <c r="Z105" i="43"/>
  <c r="Z126" i="43" s="1"/>
  <c r="R40" i="43"/>
  <c r="AS40" i="43"/>
  <c r="AQ40" i="43"/>
  <c r="AD40" i="43"/>
  <c r="AO40" i="43" s="1"/>
  <c r="X88" i="42"/>
  <c r="AN88" i="42" s="1"/>
  <c r="V88" i="43"/>
  <c r="AA95" i="42"/>
  <c r="Y95" i="43"/>
  <c r="X94" i="42"/>
  <c r="AN94" i="42" s="1"/>
  <c r="V94" i="43"/>
  <c r="U88" i="42"/>
  <c r="S88" i="43"/>
  <c r="AU88" i="42"/>
  <c r="AT88" i="42"/>
  <c r="AA82" i="42"/>
  <c r="Y82" i="43"/>
  <c r="X81" i="42"/>
  <c r="AN81" i="42" s="1"/>
  <c r="V81" i="43"/>
  <c r="U80" i="42"/>
  <c r="AU80" i="42"/>
  <c r="S80" i="43"/>
  <c r="AT80" i="42"/>
  <c r="Y48" i="38"/>
  <c r="AA48" i="38" s="1"/>
  <c r="AA48" i="43"/>
  <c r="V47" i="38"/>
  <c r="X47" i="38" s="1"/>
  <c r="X47" i="43"/>
  <c r="AN47" i="38" s="1"/>
  <c r="U46" i="42"/>
  <c r="S46" i="43"/>
  <c r="AU46" i="42"/>
  <c r="AT46" i="42"/>
  <c r="AA31" i="42"/>
  <c r="Y31" i="43"/>
  <c r="X30" i="42"/>
  <c r="AN30" i="42" s="1"/>
  <c r="V30" i="43"/>
  <c r="U29" i="42"/>
  <c r="S29" i="43"/>
  <c r="AU29" i="42"/>
  <c r="AT29" i="42"/>
  <c r="AA23" i="42"/>
  <c r="Y23" i="43"/>
  <c r="X22" i="42"/>
  <c r="AN22" i="42" s="1"/>
  <c r="V22" i="43"/>
  <c r="U21" i="42"/>
  <c r="S21" i="43"/>
  <c r="AU21" i="42"/>
  <c r="AT21" i="42"/>
  <c r="AA15" i="42"/>
  <c r="Y15" i="43"/>
  <c r="X14" i="42"/>
  <c r="AN14" i="42" s="1"/>
  <c r="V14" i="43"/>
  <c r="U13" i="42"/>
  <c r="S13" i="43"/>
  <c r="AU13" i="42"/>
  <c r="AT13" i="42"/>
  <c r="AA7" i="42"/>
  <c r="Y7" i="43"/>
  <c r="X6" i="42"/>
  <c r="AN6" i="42" s="1"/>
  <c r="V6" i="43"/>
  <c r="U5" i="42"/>
  <c r="S5" i="43"/>
  <c r="AU5" i="42"/>
  <c r="AT5" i="42"/>
  <c r="AD67" i="38"/>
  <c r="AO67" i="38" s="1"/>
  <c r="AV67" i="38" s="1" a="1"/>
  <c r="AV67" i="38" s="1"/>
  <c r="AS67" i="38"/>
  <c r="AQ67" i="38"/>
  <c r="AW69" i="43"/>
  <c r="AS50" i="38"/>
  <c r="AD50" i="38"/>
  <c r="AO50" i="38" s="1"/>
  <c r="AV50" i="38" s="1" a="1"/>
  <c r="AV50" i="38" s="1"/>
  <c r="AQ50" i="38"/>
  <c r="X17" i="42"/>
  <c r="AN17" i="42" s="1"/>
  <c r="AF36" i="43"/>
  <c r="AW54" i="43"/>
  <c r="U12" i="42"/>
  <c r="AZ90" i="42"/>
  <c r="AX90" i="42"/>
  <c r="AF89" i="38"/>
  <c r="AD89" i="43"/>
  <c r="AO89" i="43" s="1"/>
  <c r="AS89" i="43"/>
  <c r="R89" i="43"/>
  <c r="AQ89" i="43"/>
  <c r="AW52" i="43"/>
  <c r="AX52" i="43"/>
  <c r="AZ52" i="43"/>
  <c r="R91" i="43"/>
  <c r="AD91" i="43"/>
  <c r="AS91" i="43"/>
  <c r="AQ91" i="43"/>
  <c r="T3" i="38"/>
  <c r="T105" i="38" s="1"/>
  <c r="T126" i="38" s="1"/>
  <c r="T105" i="43"/>
  <c r="T126" i="43" s="1"/>
  <c r="AU37" i="38"/>
  <c r="AT37" i="38"/>
  <c r="U37" i="38"/>
  <c r="AS90" i="43"/>
  <c r="R90" i="43"/>
  <c r="AQ90" i="43"/>
  <c r="AW90" i="43" s="1"/>
  <c r="AD90" i="43"/>
  <c r="AG3" i="43"/>
  <c r="AG105" i="42"/>
  <c r="U98" i="42"/>
  <c r="AU98" i="42"/>
  <c r="AT98" i="42"/>
  <c r="S98" i="43"/>
  <c r="S105" i="42"/>
  <c r="S3" i="43"/>
  <c r="AU3" i="42"/>
  <c r="U3" i="42"/>
  <c r="AT3" i="42"/>
  <c r="AA96" i="42"/>
  <c r="Y96" i="43"/>
  <c r="X95" i="42"/>
  <c r="AN95" i="42" s="1"/>
  <c r="V95" i="43"/>
  <c r="U94" i="42"/>
  <c r="AU94" i="42"/>
  <c r="AT94" i="42"/>
  <c r="S94" i="43"/>
  <c r="AA83" i="42"/>
  <c r="Y83" i="43"/>
  <c r="X82" i="42"/>
  <c r="AN82" i="42" s="1"/>
  <c r="V82" i="43"/>
  <c r="U81" i="42"/>
  <c r="AU81" i="42"/>
  <c r="S81" i="43"/>
  <c r="AT81" i="42"/>
  <c r="AA75" i="42"/>
  <c r="Y75" i="43"/>
  <c r="X48" i="42"/>
  <c r="AN48" i="42" s="1"/>
  <c r="V48" i="43"/>
  <c r="U47" i="42"/>
  <c r="S47" i="43"/>
  <c r="AU47" i="42"/>
  <c r="AT47" i="42"/>
  <c r="AA41" i="42"/>
  <c r="Y41" i="43"/>
  <c r="AA32" i="42"/>
  <c r="Y32" i="43"/>
  <c r="V31" i="38"/>
  <c r="X31" i="38" s="1"/>
  <c r="X31" i="43"/>
  <c r="AN31" i="38" s="1"/>
  <c r="U30" i="42"/>
  <c r="AU30" i="42"/>
  <c r="S30" i="43"/>
  <c r="AT30" i="42"/>
  <c r="Y24" i="38"/>
  <c r="AA24" i="38" s="1"/>
  <c r="AA24" i="43"/>
  <c r="X23" i="42"/>
  <c r="AN23" i="42" s="1"/>
  <c r="V23" i="43"/>
  <c r="U22" i="42"/>
  <c r="AU22" i="42"/>
  <c r="AT22" i="42"/>
  <c r="S22" i="43"/>
  <c r="AA16" i="42"/>
  <c r="Y16" i="43"/>
  <c r="X15" i="42"/>
  <c r="AN15" i="42" s="1"/>
  <c r="V15" i="43"/>
  <c r="U14" i="42"/>
  <c r="AU14" i="42"/>
  <c r="S14" i="43"/>
  <c r="AT14" i="42"/>
  <c r="Y8" i="38"/>
  <c r="AA8" i="38" s="1"/>
  <c r="AA8" i="43"/>
  <c r="X7" i="42"/>
  <c r="AN7" i="42" s="1"/>
  <c r="V7" i="43"/>
  <c r="AU6" i="42"/>
  <c r="AT6" i="42"/>
  <c r="S6" i="43"/>
  <c r="AW39" i="42"/>
  <c r="AA24" i="42"/>
  <c r="AW60" i="43"/>
  <c r="AZ60" i="43"/>
  <c r="AX60" i="43"/>
  <c r="AA18" i="42"/>
  <c r="AF36" i="38"/>
  <c r="AZ93" i="42"/>
  <c r="AX93" i="42"/>
  <c r="AQ68" i="38"/>
  <c r="AW68" i="38" s="1"/>
  <c r="AS68" i="38"/>
  <c r="AD68" i="38"/>
  <c r="AO68" i="38" s="1"/>
  <c r="AV68" i="38" s="1" a="1"/>
  <c r="AV68" i="38" s="1"/>
  <c r="AZ66" i="43"/>
  <c r="AX66" i="43"/>
  <c r="AQ63" i="38"/>
  <c r="AW63" i="38" s="1"/>
  <c r="AS63" i="38"/>
  <c r="AD63" i="38"/>
  <c r="AO63" i="38" s="1"/>
  <c r="AV63" i="38" s="1" a="1"/>
  <c r="AV63" i="38" s="1"/>
  <c r="AU38" i="38"/>
  <c r="AT38" i="38"/>
  <c r="U38" i="38"/>
  <c r="AT89" i="38"/>
  <c r="AU89" i="38"/>
  <c r="U89" i="38"/>
  <c r="AF40" i="43"/>
  <c r="AS69" i="38"/>
  <c r="AD69" i="38"/>
  <c r="AO69" i="38" s="1"/>
  <c r="AV69" i="38" s="1" a="1"/>
  <c r="AV69" i="38" s="1"/>
  <c r="AQ69" i="38"/>
  <c r="I20" i="3"/>
  <c r="T126" i="42"/>
  <c r="AW49" i="43"/>
  <c r="AT90" i="38"/>
  <c r="AU90" i="38"/>
  <c r="U90" i="38"/>
  <c r="X31" i="42"/>
  <c r="AN31" i="42" s="1"/>
  <c r="U87" i="42"/>
  <c r="AU87" i="42"/>
  <c r="S87" i="43"/>
  <c r="AT87" i="42"/>
  <c r="V3" i="43"/>
  <c r="V105" i="42"/>
  <c r="X3" i="42"/>
  <c r="AA97" i="42"/>
  <c r="Y97" i="43"/>
  <c r="X96" i="42"/>
  <c r="AN96" i="42" s="1"/>
  <c r="V96" i="43"/>
  <c r="U95" i="42"/>
  <c r="AU95" i="42"/>
  <c r="AT95" i="42"/>
  <c r="S95" i="43"/>
  <c r="AA84" i="42"/>
  <c r="Y84" i="43"/>
  <c r="X83" i="42"/>
  <c r="AN83" i="42" s="1"/>
  <c r="V83" i="43"/>
  <c r="U82" i="42"/>
  <c r="AU82" i="42"/>
  <c r="S82" i="43"/>
  <c r="AT82" i="42"/>
  <c r="AA76" i="42"/>
  <c r="Y76" i="43"/>
  <c r="V75" i="38"/>
  <c r="X75" i="38" s="1"/>
  <c r="X75" i="43"/>
  <c r="AN75" i="38" s="1"/>
  <c r="S48" i="43"/>
  <c r="AU48" i="42"/>
  <c r="AT48" i="42"/>
  <c r="AA42" i="42"/>
  <c r="AQ42" i="42" s="1"/>
  <c r="Y42" i="43"/>
  <c r="X41" i="42"/>
  <c r="AN41" i="42" s="1"/>
  <c r="V41" i="43"/>
  <c r="AA33" i="42"/>
  <c r="Y33" i="43"/>
  <c r="X32" i="42"/>
  <c r="AN32" i="42" s="1"/>
  <c r="V32" i="43"/>
  <c r="U31" i="42"/>
  <c r="AU31" i="42"/>
  <c r="S31" i="43"/>
  <c r="AT31" i="42"/>
  <c r="AA25" i="42"/>
  <c r="Y25" i="43"/>
  <c r="X24" i="42"/>
  <c r="AN24" i="42" s="1"/>
  <c r="V24" i="43"/>
  <c r="U23" i="42"/>
  <c r="AU23" i="42"/>
  <c r="AT23" i="42"/>
  <c r="S23" i="43"/>
  <c r="AA17" i="42"/>
  <c r="Y17" i="43"/>
  <c r="X16" i="42"/>
  <c r="AN16" i="42" s="1"/>
  <c r="V16" i="43"/>
  <c r="U15" i="42"/>
  <c r="S15" i="43"/>
  <c r="AU15" i="42"/>
  <c r="AT15" i="42"/>
  <c r="AA9" i="42"/>
  <c r="Y9" i="43"/>
  <c r="X8" i="42"/>
  <c r="AN8" i="42" s="1"/>
  <c r="V8" i="43"/>
  <c r="U7" i="42"/>
  <c r="AU7" i="42"/>
  <c r="AT7" i="42"/>
  <c r="S7" i="43"/>
  <c r="AD56" i="38"/>
  <c r="AO56" i="38" s="1"/>
  <c r="AV56" i="38" s="1" a="1"/>
  <c r="AV56" i="38" s="1"/>
  <c r="AS56" i="38"/>
  <c r="AQ56" i="38"/>
  <c r="AD72" i="38"/>
  <c r="AO72" i="38" s="1"/>
  <c r="AV72" i="38" s="1" a="1"/>
  <c r="AV72" i="38" s="1"/>
  <c r="AS72" i="38"/>
  <c r="AQ72" i="38"/>
  <c r="AZ74" i="43"/>
  <c r="AX74" i="43"/>
  <c r="AX69" i="43"/>
  <c r="AZ69" i="43"/>
  <c r="AD57" i="38"/>
  <c r="AO57" i="38" s="1"/>
  <c r="AV57" i="38" s="1" a="1"/>
  <c r="AV57" i="38" s="1"/>
  <c r="AQ57" i="38"/>
  <c r="AW57" i="38" s="1"/>
  <c r="AS57" i="38"/>
  <c r="AS54" i="38"/>
  <c r="AD54" i="38"/>
  <c r="AO54" i="38" s="1"/>
  <c r="AV54" i="38" s="1" a="1"/>
  <c r="AV54" i="38" s="1"/>
  <c r="AQ54" i="38"/>
  <c r="X47" i="42"/>
  <c r="AN47" i="42" s="1"/>
  <c r="AW91" i="42"/>
  <c r="AZ91" i="42"/>
  <c r="AX91" i="42"/>
  <c r="AF91" i="43"/>
  <c r="AO91" i="43"/>
  <c r="AW72" i="43"/>
  <c r="AW73" i="43"/>
  <c r="X11" i="42"/>
  <c r="AN11" i="42" s="1"/>
  <c r="AD71" i="38"/>
  <c r="AO71" i="38" s="1"/>
  <c r="AV71" i="38" s="1" a="1"/>
  <c r="AV71" i="38" s="1"/>
  <c r="AS71" i="38"/>
  <c r="AQ71" i="38"/>
  <c r="AS52" i="38"/>
  <c r="AD52" i="38"/>
  <c r="AO52" i="38" s="1"/>
  <c r="AV52" i="38" s="1" a="1"/>
  <c r="AV52" i="38" s="1"/>
  <c r="AQ52" i="38"/>
  <c r="AF40" i="38"/>
  <c r="AS53" i="38"/>
  <c r="AD53" i="38"/>
  <c r="AO53" i="38" s="1"/>
  <c r="AV53" i="38" s="1" a="1"/>
  <c r="AV53" i="38" s="1"/>
  <c r="AQ53" i="38"/>
  <c r="AZ71" i="43"/>
  <c r="AX71" i="43"/>
  <c r="AS62" i="38"/>
  <c r="AD62" i="38"/>
  <c r="AO62" i="38" s="1"/>
  <c r="AV62" i="38" s="1" a="1"/>
  <c r="AV62" i="38" s="1"/>
  <c r="AQ62" i="38"/>
  <c r="AW62" i="38" s="1"/>
  <c r="AT91" i="38"/>
  <c r="AU91" i="38"/>
  <c r="U91" i="38"/>
  <c r="AQ92" i="43"/>
  <c r="AW92" i="43" s="1"/>
  <c r="AD92" i="43"/>
  <c r="AO92" i="43" s="1"/>
  <c r="AS92" i="43"/>
  <c r="R92" i="43"/>
  <c r="AS74" i="38"/>
  <c r="AD74" i="38"/>
  <c r="AO74" i="38" s="1"/>
  <c r="AV74" i="38" s="1" a="1"/>
  <c r="AV74" i="38" s="1"/>
  <c r="AQ74" i="38"/>
  <c r="U40" i="38"/>
  <c r="AU40" i="38"/>
  <c r="AT40" i="38"/>
  <c r="AA88" i="42"/>
  <c r="Y88" i="43"/>
  <c r="U86" i="42"/>
  <c r="AU86" i="42"/>
  <c r="S86" i="43"/>
  <c r="AT86" i="42"/>
  <c r="Y3" i="43"/>
  <c r="Y105" i="42"/>
  <c r="AA3" i="42"/>
  <c r="AA98" i="42"/>
  <c r="Y98" i="43"/>
  <c r="X97" i="42"/>
  <c r="AN97" i="42" s="1"/>
  <c r="V97" i="43"/>
  <c r="AU96" i="42"/>
  <c r="AT96" i="42"/>
  <c r="S96" i="43"/>
  <c r="AA85" i="42"/>
  <c r="Y85" i="43"/>
  <c r="X84" i="42"/>
  <c r="AN84" i="42" s="1"/>
  <c r="V84" i="43"/>
  <c r="U83" i="42"/>
  <c r="AU83" i="42"/>
  <c r="S83" i="43"/>
  <c r="AT83" i="42"/>
  <c r="AA77" i="42"/>
  <c r="Y77" i="43"/>
  <c r="X76" i="42"/>
  <c r="AN76" i="42" s="1"/>
  <c r="V76" i="43"/>
  <c r="U75" i="42"/>
  <c r="AU75" i="42"/>
  <c r="S75" i="43"/>
  <c r="AT75" i="42"/>
  <c r="AA43" i="42"/>
  <c r="Y43" i="43"/>
  <c r="X42" i="42"/>
  <c r="AN42" i="42" s="1"/>
  <c r="V42" i="43"/>
  <c r="U41" i="42"/>
  <c r="S41" i="43"/>
  <c r="AU41" i="42"/>
  <c r="AT41" i="42"/>
  <c r="AA34" i="42"/>
  <c r="Y34" i="43"/>
  <c r="X33" i="42"/>
  <c r="AN33" i="42" s="1"/>
  <c r="V33" i="43"/>
  <c r="U32" i="42"/>
  <c r="S32" i="43"/>
  <c r="AU32" i="42"/>
  <c r="AT32" i="42"/>
  <c r="AA26" i="42"/>
  <c r="AQ26" i="42" s="1"/>
  <c r="Y26" i="43"/>
  <c r="X25" i="42"/>
  <c r="AN25" i="42" s="1"/>
  <c r="V25" i="43"/>
  <c r="U24" i="42"/>
  <c r="S24" i="43"/>
  <c r="AU24" i="42"/>
  <c r="AT24" i="42"/>
  <c r="Y18" i="38"/>
  <c r="AA18" i="38" s="1"/>
  <c r="AA18" i="43"/>
  <c r="V17" i="38"/>
  <c r="X17" i="38" s="1"/>
  <c r="X17" i="43"/>
  <c r="AN17" i="38" s="1"/>
  <c r="U16" i="42"/>
  <c r="S16" i="43"/>
  <c r="AU16" i="42"/>
  <c r="AT16" i="42"/>
  <c r="AA10" i="42"/>
  <c r="Y10" i="43"/>
  <c r="V9" i="38"/>
  <c r="X9" i="38" s="1"/>
  <c r="X9" i="43"/>
  <c r="AN9" i="38" s="1"/>
  <c r="U8" i="42"/>
  <c r="S8" i="43"/>
  <c r="AU8" i="42"/>
  <c r="AT8" i="42"/>
  <c r="AA80" i="42"/>
  <c r="AW51" i="43"/>
  <c r="AS70" i="38"/>
  <c r="AD70" i="38"/>
  <c r="AO70" i="38" s="1"/>
  <c r="AV70" i="38" s="1" a="1"/>
  <c r="AV70" i="38" s="1"/>
  <c r="AQ70" i="38"/>
  <c r="AA48" i="42"/>
  <c r="AF91" i="38"/>
  <c r="AQ66" i="38"/>
  <c r="AW66" i="38" s="1"/>
  <c r="AD66" i="38"/>
  <c r="AO66" i="38" s="1"/>
  <c r="AV66" i="38" s="1" a="1"/>
  <c r="AV66" i="38" s="1"/>
  <c r="AS66" i="38"/>
  <c r="AO40" i="42"/>
  <c r="AV40" i="42" s="1" a="1"/>
  <c r="AV40" i="42" s="1"/>
  <c r="AF39" i="43"/>
  <c r="AO39" i="43"/>
  <c r="AF38" i="38"/>
  <c r="AS93" i="43"/>
  <c r="AQ93" i="43"/>
  <c r="R93" i="43"/>
  <c r="AD93" i="43"/>
  <c r="AX61" i="43"/>
  <c r="AZ61" i="43"/>
  <c r="AF35" i="43"/>
  <c r="AW58" i="43"/>
  <c r="X21" i="42"/>
  <c r="AN21" i="42" s="1"/>
  <c r="AW50" i="43"/>
  <c r="AW71" i="43"/>
  <c r="AQ35" i="43"/>
  <c r="AW35" i="43" s="1"/>
  <c r="R35" i="43"/>
  <c r="AD35" i="43"/>
  <c r="AO35" i="43" s="1"/>
  <c r="AS35" i="43"/>
  <c r="X45" i="42"/>
  <c r="AN45" i="42" s="1"/>
  <c r="X98" i="42"/>
  <c r="AN98" i="42" s="1"/>
  <c r="V98" i="43"/>
  <c r="U97" i="42"/>
  <c r="AU97" i="42"/>
  <c r="AT97" i="42"/>
  <c r="S97" i="43"/>
  <c r="AA86" i="42"/>
  <c r="Y86" i="43"/>
  <c r="X85" i="42"/>
  <c r="AN85" i="42" s="1"/>
  <c r="V85" i="43"/>
  <c r="U84" i="42"/>
  <c r="AU84" i="42"/>
  <c r="S84" i="43"/>
  <c r="AT84" i="42"/>
  <c r="AA78" i="42"/>
  <c r="Y78" i="43"/>
  <c r="X77" i="42"/>
  <c r="AN77" i="42" s="1"/>
  <c r="V77" i="43"/>
  <c r="U76" i="42"/>
  <c r="AU76" i="42"/>
  <c r="S76" i="43"/>
  <c r="AT76" i="42"/>
  <c r="Y44" i="38"/>
  <c r="AA44" i="38" s="1"/>
  <c r="AA44" i="43"/>
  <c r="X43" i="42"/>
  <c r="AN43" i="42" s="1"/>
  <c r="V43" i="43"/>
  <c r="S42" i="43"/>
  <c r="AU42" i="42"/>
  <c r="AT42" i="42"/>
  <c r="X34" i="42"/>
  <c r="AN34" i="42" s="1"/>
  <c r="V34" i="43"/>
  <c r="U33" i="42"/>
  <c r="S33" i="43"/>
  <c r="AU33" i="42"/>
  <c r="AT33" i="42"/>
  <c r="AA27" i="42"/>
  <c r="Y27" i="43"/>
  <c r="X26" i="42"/>
  <c r="AN26" i="42" s="1"/>
  <c r="V26" i="43"/>
  <c r="U25" i="42"/>
  <c r="S25" i="43"/>
  <c r="AU25" i="42"/>
  <c r="AT25" i="42"/>
  <c r="AA19" i="42"/>
  <c r="Y19" i="43"/>
  <c r="X18" i="42"/>
  <c r="AN18" i="42" s="1"/>
  <c r="V18" i="43"/>
  <c r="U17" i="42"/>
  <c r="S17" i="43"/>
  <c r="AU17" i="42"/>
  <c r="AT17" i="42"/>
  <c r="AA11" i="42"/>
  <c r="Y11" i="43"/>
  <c r="X10" i="42"/>
  <c r="AN10" i="42" s="1"/>
  <c r="V10" i="43"/>
  <c r="U9" i="42"/>
  <c r="S9" i="43"/>
  <c r="AU9" i="42"/>
  <c r="AT9" i="42"/>
  <c r="X27" i="42"/>
  <c r="AN27" i="42" s="1"/>
  <c r="AF39" i="38"/>
  <c r="AF38" i="43"/>
  <c r="AO38" i="43"/>
  <c r="AZ37" i="42"/>
  <c r="AX37" i="42"/>
  <c r="AF35" i="38"/>
  <c r="AF37" i="43"/>
  <c r="U92" i="38"/>
  <c r="AT92" i="38"/>
  <c r="AU92" i="38"/>
  <c r="AA87" i="42"/>
  <c r="Y87" i="43"/>
  <c r="X86" i="42"/>
  <c r="AN86" i="42" s="1"/>
  <c r="V86" i="43"/>
  <c r="U85" i="42"/>
  <c r="S85" i="43"/>
  <c r="AT85" i="42"/>
  <c r="AU85" i="42"/>
  <c r="AA79" i="42"/>
  <c r="Y79" i="43"/>
  <c r="X78" i="42"/>
  <c r="AN78" i="42" s="1"/>
  <c r="V78" i="43"/>
  <c r="U77" i="42"/>
  <c r="S77" i="43"/>
  <c r="AT77" i="42"/>
  <c r="AU77" i="42"/>
  <c r="AA45" i="42"/>
  <c r="Y45" i="43"/>
  <c r="X44" i="42"/>
  <c r="AN44" i="42" s="1"/>
  <c r="V44" i="43"/>
  <c r="U43" i="42"/>
  <c r="S43" i="43"/>
  <c r="AT43" i="42"/>
  <c r="AU43" i="42"/>
  <c r="U34" i="42"/>
  <c r="S34" i="43"/>
  <c r="AU34" i="42"/>
  <c r="AT34" i="42"/>
  <c r="Y28" i="38"/>
  <c r="AA28" i="38" s="1"/>
  <c r="AA28" i="43"/>
  <c r="V27" i="38"/>
  <c r="X27" i="38" s="1"/>
  <c r="X27" i="43"/>
  <c r="AN27" i="38" s="1"/>
  <c r="S26" i="43"/>
  <c r="AU26" i="42"/>
  <c r="AT26" i="42"/>
  <c r="AA20" i="42"/>
  <c r="Y20" i="43"/>
  <c r="X19" i="42"/>
  <c r="AN19" i="42" s="1"/>
  <c r="V19" i="43"/>
  <c r="U18" i="42"/>
  <c r="S18" i="43"/>
  <c r="AU18" i="42"/>
  <c r="AT18" i="42"/>
  <c r="AA12" i="42"/>
  <c r="Y12" i="43"/>
  <c r="V11" i="38"/>
  <c r="X11" i="38" s="1"/>
  <c r="X11" i="43"/>
  <c r="AN11" i="38" s="1"/>
  <c r="U10" i="42"/>
  <c r="S10" i="43"/>
  <c r="AU10" i="42"/>
  <c r="AT10" i="42"/>
  <c r="AA4" i="42"/>
  <c r="Y4" i="43"/>
  <c r="AS51" i="38"/>
  <c r="AD51" i="38"/>
  <c r="AO51" i="38" s="1"/>
  <c r="AV51" i="38" s="1" a="1"/>
  <c r="AV51" i="38" s="1"/>
  <c r="AQ51" i="38"/>
  <c r="AQ55" i="38"/>
  <c r="AW55" i="38" s="1"/>
  <c r="AS55" i="38"/>
  <c r="AD55" i="38"/>
  <c r="AO55" i="38" s="1"/>
  <c r="AV55" i="38" s="1" a="1"/>
  <c r="AV55" i="38" s="1"/>
  <c r="AW67" i="43"/>
  <c r="AQ65" i="38"/>
  <c r="AW65" i="38" s="1"/>
  <c r="AD65" i="38"/>
  <c r="AO65" i="38" s="1"/>
  <c r="AV65" i="38" s="1" a="1"/>
  <c r="AV65" i="38" s="1"/>
  <c r="AS65" i="38"/>
  <c r="AX63" i="43"/>
  <c r="AZ63" i="43"/>
  <c r="U96" i="42"/>
  <c r="AZ57" i="43"/>
  <c r="AX57" i="43"/>
  <c r="AS59" i="38"/>
  <c r="AD59" i="38"/>
  <c r="AO59" i="38" s="1"/>
  <c r="AV59" i="38" s="1" a="1"/>
  <c r="AV59" i="38" s="1"/>
  <c r="AQ59" i="38"/>
  <c r="AW59" i="38" s="1"/>
  <c r="AS60" i="38"/>
  <c r="AD60" i="38"/>
  <c r="AO60" i="38" s="1"/>
  <c r="AV60" i="38" s="1" a="1"/>
  <c r="AV60" i="38" s="1"/>
  <c r="AQ60" i="38"/>
  <c r="AZ35" i="42"/>
  <c r="AX35" i="42"/>
  <c r="AF93" i="43"/>
  <c r="AO93" i="43"/>
  <c r="AA28" i="42"/>
  <c r="AU93" i="38"/>
  <c r="AT93" i="38"/>
  <c r="U93" i="38"/>
  <c r="AF90" i="43"/>
  <c r="AO90" i="43"/>
  <c r="AS61" i="38"/>
  <c r="AD61" i="38"/>
  <c r="AO61" i="38" s="1"/>
  <c r="AV61" i="38" s="1" a="1"/>
  <c r="AV61" i="38" s="1"/>
  <c r="AQ61" i="38"/>
  <c r="AF37" i="38"/>
  <c r="U6" i="42"/>
  <c r="AD36" i="43"/>
  <c r="AO36" i="43" s="1"/>
  <c r="AS36" i="43"/>
  <c r="R36" i="43"/>
  <c r="AQ36" i="43"/>
  <c r="AW36" i="43" s="1"/>
  <c r="AW40" i="42"/>
  <c r="AA44" i="42"/>
  <c r="AW61" i="43"/>
  <c r="AX59" i="43" l="1"/>
  <c r="AZ68" i="43"/>
  <c r="AX51" i="43"/>
  <c r="AX70" i="43"/>
  <c r="AX54" i="43"/>
  <c r="AX50" i="43"/>
  <c r="AV35" i="43" a="1"/>
  <c r="AV35" i="43" s="1"/>
  <c r="AZ35" i="43" s="1"/>
  <c r="C60" i="50"/>
  <c r="AV93" i="43" a="1"/>
  <c r="AV93" i="43" s="1"/>
  <c r="C35" i="50"/>
  <c r="AV37" i="43" a="1"/>
  <c r="AV37" i="43" s="1"/>
  <c r="C36" i="50"/>
  <c r="AV91" i="43" a="1"/>
  <c r="AV91" i="43" s="1"/>
  <c r="C92" i="50"/>
  <c r="AV90" i="43" a="1"/>
  <c r="AV90" i="43" s="1"/>
  <c r="C79" i="50"/>
  <c r="AV92" i="43" a="1"/>
  <c r="AV92" i="43" s="1"/>
  <c r="C85" i="50"/>
  <c r="AV89" i="43" a="1"/>
  <c r="AV89" i="43" s="1"/>
  <c r="C28" i="50"/>
  <c r="AV40" i="43" a="1"/>
  <c r="AV40" i="43" s="1"/>
  <c r="C30" i="50"/>
  <c r="AV36" i="43" a="1"/>
  <c r="AV36" i="43" s="1"/>
  <c r="AX36" i="43" s="1"/>
  <c r="C61" i="50"/>
  <c r="AV38" i="43" a="1"/>
  <c r="AV38" i="43" s="1"/>
  <c r="C84" i="50"/>
  <c r="AV39" i="43" a="1"/>
  <c r="AV39" i="43" s="1"/>
  <c r="C32" i="50"/>
  <c r="AX39" i="42"/>
  <c r="AW61" i="38"/>
  <c r="AZ61" i="38"/>
  <c r="AX61" i="38"/>
  <c r="AZ51" i="38"/>
  <c r="AX51" i="38"/>
  <c r="AZ67" i="38"/>
  <c r="AX67" i="38"/>
  <c r="AX65" i="38"/>
  <c r="AZ65" i="38"/>
  <c r="AX70" i="38"/>
  <c r="AZ70" i="38"/>
  <c r="AZ66" i="38"/>
  <c r="AX66" i="38"/>
  <c r="AZ49" i="38"/>
  <c r="AX49" i="38"/>
  <c r="AZ37" i="43"/>
  <c r="AX37" i="43"/>
  <c r="AX53" i="38"/>
  <c r="AZ53" i="38"/>
  <c r="AZ92" i="43"/>
  <c r="AX92" i="43"/>
  <c r="AW52" i="38"/>
  <c r="AZ52" i="38"/>
  <c r="AX52" i="38"/>
  <c r="AZ54" i="38"/>
  <c r="AX54" i="38"/>
  <c r="AZ56" i="38"/>
  <c r="AX56" i="38"/>
  <c r="AX35" i="43"/>
  <c r="AZ55" i="38"/>
  <c r="AX55" i="38"/>
  <c r="AZ74" i="38"/>
  <c r="AX74" i="38"/>
  <c r="AX60" i="38"/>
  <c r="AZ60" i="38"/>
  <c r="AW69" i="38"/>
  <c r="AX69" i="38"/>
  <c r="AZ69" i="38"/>
  <c r="AZ68" i="38"/>
  <c r="AX68" i="38"/>
  <c r="AZ73" i="38"/>
  <c r="AX73" i="38"/>
  <c r="S77" i="38"/>
  <c r="AT77" i="43"/>
  <c r="AU77" i="43"/>
  <c r="U77" i="43"/>
  <c r="Y34" i="38"/>
  <c r="AA34" i="38" s="1"/>
  <c r="AA34" i="43"/>
  <c r="AG126" i="42"/>
  <c r="Q20" i="3"/>
  <c r="Y15" i="38"/>
  <c r="AA15" i="38" s="1"/>
  <c r="AA15" i="43"/>
  <c r="Y82" i="38"/>
  <c r="AA82" i="38" s="1"/>
  <c r="AA82" i="43"/>
  <c r="AD11" i="42"/>
  <c r="AS11" i="42"/>
  <c r="AQ11" i="42"/>
  <c r="R11" i="42"/>
  <c r="AS93" i="38"/>
  <c r="AD93" i="38"/>
  <c r="AO93" i="38" s="1"/>
  <c r="AV93" i="38" s="1" a="1"/>
  <c r="AV93" i="38" s="1"/>
  <c r="AQ93" i="38"/>
  <c r="AW51" i="38"/>
  <c r="AD10" i="42"/>
  <c r="AS10" i="42"/>
  <c r="AQ10" i="42"/>
  <c r="R10" i="42"/>
  <c r="AD18" i="42"/>
  <c r="AS18" i="42"/>
  <c r="AQ18" i="42"/>
  <c r="R18" i="42"/>
  <c r="Y11" i="38"/>
  <c r="AA11" i="38" s="1"/>
  <c r="AA11" i="43"/>
  <c r="Y19" i="38"/>
  <c r="AA19" i="38" s="1"/>
  <c r="AA19" i="43"/>
  <c r="Y27" i="38"/>
  <c r="AA27" i="38" s="1"/>
  <c r="AA27" i="43"/>
  <c r="S76" i="38"/>
  <c r="U76" i="43"/>
  <c r="AU76" i="43"/>
  <c r="AT76" i="43"/>
  <c r="S84" i="38"/>
  <c r="AU84" i="43"/>
  <c r="U84" i="43"/>
  <c r="AT84" i="43"/>
  <c r="V25" i="38"/>
  <c r="X25" i="38" s="1"/>
  <c r="X25" i="43"/>
  <c r="AN25" i="38" s="1"/>
  <c r="V33" i="38"/>
  <c r="X33" i="38" s="1"/>
  <c r="X33" i="43"/>
  <c r="AN33" i="38" s="1"/>
  <c r="V42" i="38"/>
  <c r="X42" i="38" s="1"/>
  <c r="X42" i="43"/>
  <c r="AN42" i="38" s="1"/>
  <c r="V76" i="38"/>
  <c r="X76" i="38" s="1"/>
  <c r="X76" i="43"/>
  <c r="AN76" i="38" s="1"/>
  <c r="V84" i="38"/>
  <c r="X84" i="38" s="1"/>
  <c r="X84" i="43"/>
  <c r="AN84" i="38" s="1"/>
  <c r="AW74" i="38"/>
  <c r="AD7" i="42"/>
  <c r="AS7" i="42"/>
  <c r="AQ7" i="42"/>
  <c r="R7" i="42"/>
  <c r="AD15" i="42"/>
  <c r="AS15" i="42"/>
  <c r="AQ15" i="42"/>
  <c r="R15" i="42"/>
  <c r="AD23" i="42"/>
  <c r="AS23" i="42"/>
  <c r="AQ23" i="42"/>
  <c r="AW23" i="42" s="1"/>
  <c r="R23" i="42"/>
  <c r="AD31" i="42"/>
  <c r="R31" i="42"/>
  <c r="AS31" i="42"/>
  <c r="AQ31" i="42"/>
  <c r="AW31" i="42" s="1"/>
  <c r="AF42" i="42"/>
  <c r="AO42" i="42"/>
  <c r="AV42" i="42" s="1" a="1"/>
  <c r="AV42" i="42" s="1"/>
  <c r="S95" i="38"/>
  <c r="AU95" i="43"/>
  <c r="AT95" i="43"/>
  <c r="U95" i="43"/>
  <c r="AN3" i="42"/>
  <c r="AN105" i="42" s="1"/>
  <c r="X105" i="42"/>
  <c r="X126" i="42" s="1"/>
  <c r="AS90" i="38"/>
  <c r="AQ90" i="38"/>
  <c r="AW90" i="38" s="1"/>
  <c r="AD90" i="38"/>
  <c r="AO90" i="38" s="1"/>
  <c r="AV90" i="38" s="1" a="1"/>
  <c r="AV90" i="38" s="1"/>
  <c r="AD38" i="38"/>
  <c r="AO38" i="38" s="1"/>
  <c r="AV38" i="38" s="1" a="1"/>
  <c r="AV38" i="38" s="1"/>
  <c r="AS38" i="38"/>
  <c r="AQ38" i="38"/>
  <c r="S6" i="38"/>
  <c r="AT6" i="43"/>
  <c r="U6" i="43"/>
  <c r="AU6" i="43"/>
  <c r="S14" i="38"/>
  <c r="AT14" i="43"/>
  <c r="U14" i="43"/>
  <c r="AU14" i="43"/>
  <c r="S30" i="38"/>
  <c r="AT30" i="43"/>
  <c r="U30" i="43"/>
  <c r="AU30" i="43"/>
  <c r="AF41" i="42"/>
  <c r="AF75" i="42"/>
  <c r="AF83" i="42"/>
  <c r="AF96" i="42"/>
  <c r="AD37" i="38"/>
  <c r="AO37" i="38" s="1"/>
  <c r="AV37" i="38" s="1" a="1"/>
  <c r="AV37" i="38" s="1"/>
  <c r="AS37" i="38"/>
  <c r="AQ37" i="38"/>
  <c r="V6" i="38"/>
  <c r="X6" i="38" s="1"/>
  <c r="X6" i="43"/>
  <c r="AN6" i="38" s="1"/>
  <c r="V14" i="38"/>
  <c r="X14" i="38" s="1"/>
  <c r="X14" i="43"/>
  <c r="AN14" i="38" s="1"/>
  <c r="V22" i="38"/>
  <c r="X22" i="38" s="1"/>
  <c r="X22" i="43"/>
  <c r="AN22" i="38" s="1"/>
  <c r="V30" i="38"/>
  <c r="X30" i="38" s="1"/>
  <c r="X30" i="43"/>
  <c r="AN30" i="38" s="1"/>
  <c r="V81" i="38"/>
  <c r="X81" i="38" s="1"/>
  <c r="X81" i="43"/>
  <c r="AN81" i="38" s="1"/>
  <c r="V94" i="38"/>
  <c r="X94" i="38" s="1"/>
  <c r="X94" i="43"/>
  <c r="AN94" i="38" s="1"/>
  <c r="AW49" i="38"/>
  <c r="AF6" i="42"/>
  <c r="Y94" i="38"/>
  <c r="AA94" i="38" s="1"/>
  <c r="AA94" i="43"/>
  <c r="K45" i="3"/>
  <c r="AW38" i="42"/>
  <c r="AZ38" i="42"/>
  <c r="AX38" i="42"/>
  <c r="S78" i="38"/>
  <c r="AT78" i="43"/>
  <c r="U78" i="43"/>
  <c r="AU78" i="43"/>
  <c r="AD84" i="42"/>
  <c r="AS84" i="42"/>
  <c r="AQ84" i="42"/>
  <c r="R84" i="42"/>
  <c r="Y26" i="38"/>
  <c r="AA26" i="38" s="1"/>
  <c r="AA26" i="43"/>
  <c r="AZ62" i="38"/>
  <c r="AX62" i="38"/>
  <c r="V105" i="43"/>
  <c r="V126" i="43" s="1"/>
  <c r="X3" i="43"/>
  <c r="V3" i="38"/>
  <c r="S81" i="38"/>
  <c r="AT81" i="43"/>
  <c r="U81" i="43"/>
  <c r="AU81" i="43"/>
  <c r="AW89" i="43"/>
  <c r="AZ89" i="43"/>
  <c r="AX89" i="43"/>
  <c r="S45" i="38"/>
  <c r="AT45" i="43"/>
  <c r="AU45" i="43"/>
  <c r="U45" i="43"/>
  <c r="V19" i="38"/>
  <c r="X19" i="38" s="1"/>
  <c r="X19" i="43"/>
  <c r="AN19" i="38" s="1"/>
  <c r="AF11" i="42"/>
  <c r="AO11" i="42"/>
  <c r="AV11" i="42" s="1" a="1"/>
  <c r="AV11" i="42" s="1"/>
  <c r="AF19" i="42"/>
  <c r="AF27" i="42"/>
  <c r="Y98" i="38"/>
  <c r="AA98" i="38" s="1"/>
  <c r="AA98" i="43"/>
  <c r="AD86" i="42"/>
  <c r="AS86" i="42"/>
  <c r="AQ86" i="42"/>
  <c r="AW86" i="42" s="1"/>
  <c r="R86" i="42"/>
  <c r="AW53" i="38"/>
  <c r="V8" i="38"/>
  <c r="X8" i="38" s="1"/>
  <c r="X8" i="43"/>
  <c r="AN8" i="38" s="1"/>
  <c r="V16" i="38"/>
  <c r="X16" i="38" s="1"/>
  <c r="X16" i="43"/>
  <c r="AN16" i="38" s="1"/>
  <c r="V24" i="38"/>
  <c r="X24" i="38" s="1"/>
  <c r="X24" i="43"/>
  <c r="AN24" i="38" s="1"/>
  <c r="V32" i="38"/>
  <c r="X32" i="38" s="1"/>
  <c r="X32" i="43"/>
  <c r="AN32" i="38" s="1"/>
  <c r="AU82" i="43"/>
  <c r="U82" i="43"/>
  <c r="AT82" i="43"/>
  <c r="S82" i="38"/>
  <c r="V126" i="42"/>
  <c r="J20" i="3"/>
  <c r="S94" i="38"/>
  <c r="AT94" i="43"/>
  <c r="AU94" i="43"/>
  <c r="U94" i="43"/>
  <c r="AD98" i="42"/>
  <c r="AS98" i="42"/>
  <c r="R98" i="42"/>
  <c r="AQ98" i="42"/>
  <c r="AW98" i="42" s="1"/>
  <c r="AW67" i="38"/>
  <c r="S79" i="38"/>
  <c r="AU79" i="43"/>
  <c r="U79" i="43"/>
  <c r="AT79" i="43"/>
  <c r="AF94" i="42"/>
  <c r="AX64" i="38"/>
  <c r="AZ64" i="38"/>
  <c r="S11" i="38"/>
  <c r="AT11" i="43"/>
  <c r="U11" i="43"/>
  <c r="AU11" i="43"/>
  <c r="S19" i="38"/>
  <c r="AT19" i="43"/>
  <c r="U19" i="43"/>
  <c r="AU19" i="43"/>
  <c r="S27" i="38"/>
  <c r="U27" i="43"/>
  <c r="AU27" i="43"/>
  <c r="AT27" i="43"/>
  <c r="S44" i="38"/>
  <c r="AU44" i="43"/>
  <c r="U44" i="43"/>
  <c r="AT44" i="43"/>
  <c r="AE126" i="42"/>
  <c r="R20" i="3"/>
  <c r="AW60" i="38"/>
  <c r="AF28" i="43"/>
  <c r="AX91" i="43"/>
  <c r="AZ91" i="43"/>
  <c r="AW56" i="38"/>
  <c r="AD22" i="42"/>
  <c r="AS22" i="42"/>
  <c r="AQ22" i="42"/>
  <c r="R22" i="42"/>
  <c r="Y23" i="38"/>
  <c r="AA23" i="38" s="1"/>
  <c r="AA23" i="43"/>
  <c r="Y95" i="38"/>
  <c r="AA95" i="38" s="1"/>
  <c r="AA95" i="43"/>
  <c r="AD19" i="42"/>
  <c r="AO19" i="42" s="1"/>
  <c r="AV19" i="42" s="1" a="1"/>
  <c r="AV19" i="42" s="1"/>
  <c r="AS19" i="42"/>
  <c r="AQ19" i="42"/>
  <c r="AW19" i="42" s="1"/>
  <c r="R19" i="42"/>
  <c r="AD44" i="42"/>
  <c r="AS44" i="42"/>
  <c r="AQ44" i="42"/>
  <c r="R44" i="42"/>
  <c r="AF28" i="42"/>
  <c r="AD96" i="42"/>
  <c r="AO96" i="42" s="1"/>
  <c r="AV96" i="42" s="1" a="1"/>
  <c r="AV96" i="42" s="1"/>
  <c r="AS96" i="42"/>
  <c r="R96" i="42"/>
  <c r="AQ96" i="42"/>
  <c r="AW96" i="42" s="1"/>
  <c r="Y4" i="38"/>
  <c r="AA4" i="38" s="1"/>
  <c r="AA4" i="43"/>
  <c r="Y12" i="38"/>
  <c r="AA12" i="38" s="1"/>
  <c r="AA12" i="43"/>
  <c r="Y20" i="38"/>
  <c r="AA20" i="38" s="1"/>
  <c r="AA20" i="43"/>
  <c r="AF28" i="38"/>
  <c r="AD43" i="42"/>
  <c r="AO43" i="42" s="1"/>
  <c r="AV43" i="42" s="1" a="1"/>
  <c r="AV43" i="42" s="1"/>
  <c r="AS43" i="42"/>
  <c r="AQ43" i="42"/>
  <c r="R43" i="42"/>
  <c r="AD77" i="42"/>
  <c r="AO77" i="42" s="1"/>
  <c r="AV77" i="42" s="1" a="1"/>
  <c r="AV77" i="42" s="1"/>
  <c r="AS77" i="42"/>
  <c r="AQ77" i="42"/>
  <c r="R77" i="42"/>
  <c r="AD85" i="42"/>
  <c r="AO85" i="42" s="1"/>
  <c r="AV85" i="42" s="1" a="1"/>
  <c r="AV85" i="42" s="1"/>
  <c r="AS85" i="42"/>
  <c r="AQ85" i="42"/>
  <c r="R85" i="42"/>
  <c r="V43" i="38"/>
  <c r="X43" i="38" s="1"/>
  <c r="X43" i="43"/>
  <c r="AN43" i="38" s="1"/>
  <c r="V77" i="38"/>
  <c r="X77" i="38" s="1"/>
  <c r="X77" i="43"/>
  <c r="AN77" i="38" s="1"/>
  <c r="V85" i="38"/>
  <c r="X85" i="38" s="1"/>
  <c r="X85" i="43"/>
  <c r="AN85" i="38" s="1"/>
  <c r="V98" i="38"/>
  <c r="X98" i="38" s="1"/>
  <c r="X98" i="43"/>
  <c r="AN98" i="38" s="1"/>
  <c r="AZ39" i="43"/>
  <c r="AX39" i="43"/>
  <c r="AF80" i="42"/>
  <c r="AF10" i="42"/>
  <c r="AO10" i="42"/>
  <c r="AV10" i="42" s="1" a="1"/>
  <c r="AV10" i="42" s="1"/>
  <c r="AF18" i="38"/>
  <c r="AF26" i="42"/>
  <c r="AO26" i="42"/>
  <c r="AV26" i="42" s="1" a="1"/>
  <c r="AV26" i="42" s="1"/>
  <c r="AW26" i="42" s="1"/>
  <c r="AF34" i="42"/>
  <c r="AF43" i="42"/>
  <c r="AF77" i="42"/>
  <c r="AF85" i="42"/>
  <c r="AA105" i="42"/>
  <c r="AA126" i="42" s="1"/>
  <c r="AC75" i="42" s="1"/>
  <c r="AF3" i="42"/>
  <c r="AF88" i="42"/>
  <c r="AX71" i="38"/>
  <c r="AZ71" i="38"/>
  <c r="Y9" i="38"/>
  <c r="AA9" i="38" s="1"/>
  <c r="AA9" i="43"/>
  <c r="Y17" i="38"/>
  <c r="AA17" i="38" s="1"/>
  <c r="AA17" i="43"/>
  <c r="Y25" i="38"/>
  <c r="AA25" i="38" s="1"/>
  <c r="AA25" i="43"/>
  <c r="Y33" i="38"/>
  <c r="AA33" i="38" s="1"/>
  <c r="AA33" i="43"/>
  <c r="S48" i="38"/>
  <c r="AT48" i="43"/>
  <c r="AU48" i="43"/>
  <c r="U48" i="43"/>
  <c r="AD82" i="42"/>
  <c r="R82" i="42"/>
  <c r="AS82" i="42"/>
  <c r="AQ82" i="42"/>
  <c r="AD95" i="42"/>
  <c r="AS95" i="42"/>
  <c r="AQ95" i="42"/>
  <c r="AW95" i="42" s="1"/>
  <c r="R95" i="42"/>
  <c r="AZ63" i="38"/>
  <c r="AX63" i="38"/>
  <c r="V7" i="38"/>
  <c r="X7" i="38" s="1"/>
  <c r="X7" i="43"/>
  <c r="AN7" i="38" s="1"/>
  <c r="V15" i="38"/>
  <c r="X15" i="38" s="1"/>
  <c r="X15" i="43"/>
  <c r="AN15" i="38" s="1"/>
  <c r="V23" i="38"/>
  <c r="X23" i="38" s="1"/>
  <c r="X23" i="43"/>
  <c r="AN23" i="38" s="1"/>
  <c r="S47" i="38"/>
  <c r="AT47" i="43"/>
  <c r="U47" i="43"/>
  <c r="AU47" i="43"/>
  <c r="AG3" i="38"/>
  <c r="AG105" i="38" s="1"/>
  <c r="AG126" i="38" s="1"/>
  <c r="AG105" i="43"/>
  <c r="AG126" i="43" s="1"/>
  <c r="AZ50" i="38"/>
  <c r="AX50" i="38"/>
  <c r="AF7" i="42"/>
  <c r="AO7" i="42"/>
  <c r="AV7" i="42" s="1" a="1"/>
  <c r="AV7" i="42" s="1"/>
  <c r="AF15" i="42"/>
  <c r="AO15" i="42"/>
  <c r="AV15" i="42" s="1" a="1"/>
  <c r="AV15" i="42" s="1"/>
  <c r="AF23" i="42"/>
  <c r="AO23" i="42"/>
  <c r="AV23" i="42" s="1" a="1"/>
  <c r="AV23" i="42" s="1"/>
  <c r="AF31" i="42"/>
  <c r="AC31" i="42"/>
  <c r="AO31" i="42"/>
  <c r="AV31" i="42" s="1" a="1"/>
  <c r="AV31" i="42" s="1"/>
  <c r="AF48" i="38"/>
  <c r="AF82" i="42"/>
  <c r="AO82" i="42"/>
  <c r="AV82" i="42" s="1" a="1"/>
  <c r="AV82" i="42" s="1"/>
  <c r="AF95" i="42"/>
  <c r="AO95" i="42"/>
  <c r="AV95" i="42" s="1" a="1"/>
  <c r="AV95" i="42" s="1"/>
  <c r="S4" i="38"/>
  <c r="U4" i="43"/>
  <c r="AU4" i="43"/>
  <c r="AT4" i="43"/>
  <c r="S12" i="38"/>
  <c r="U12" i="43"/>
  <c r="AT12" i="43"/>
  <c r="AU12" i="43"/>
  <c r="AD20" i="42"/>
  <c r="AO20" i="42" s="1"/>
  <c r="AV20" i="42" s="1" a="1"/>
  <c r="AV20" i="42" s="1"/>
  <c r="AS20" i="42"/>
  <c r="AQ20" i="42"/>
  <c r="R20" i="42"/>
  <c r="AD28" i="42"/>
  <c r="AO28" i="42" s="1"/>
  <c r="AV28" i="42" s="1"/>
  <c r="AS28" i="42"/>
  <c r="AQ28" i="42"/>
  <c r="R28" i="42"/>
  <c r="AD45" i="42"/>
  <c r="AQ45" i="42"/>
  <c r="R45" i="42"/>
  <c r="AS45" i="42"/>
  <c r="AD79" i="42"/>
  <c r="AQ79" i="42"/>
  <c r="R79" i="42"/>
  <c r="AS79" i="42"/>
  <c r="AM3" i="38"/>
  <c r="AM105" i="38" s="1"/>
  <c r="AM126" i="38" s="1"/>
  <c r="AM105" i="43"/>
  <c r="AM126" i="43" s="1"/>
  <c r="N45" i="3"/>
  <c r="V4" i="38"/>
  <c r="X4" i="38" s="1"/>
  <c r="X4" i="43"/>
  <c r="AN4" i="38" s="1"/>
  <c r="V12" i="38"/>
  <c r="X12" i="38" s="1"/>
  <c r="X12" i="43"/>
  <c r="AN12" i="38" s="1"/>
  <c r="V20" i="38"/>
  <c r="X20" i="38" s="1"/>
  <c r="X20" i="43"/>
  <c r="AN20" i="38" s="1"/>
  <c r="V28" i="38"/>
  <c r="X28" i="38" s="1"/>
  <c r="X28" i="43"/>
  <c r="AN28" i="38" s="1"/>
  <c r="V79" i="38"/>
  <c r="X79" i="38" s="1"/>
  <c r="X79" i="43"/>
  <c r="AN79" i="38" s="1"/>
  <c r="AT42" i="43"/>
  <c r="U42" i="43"/>
  <c r="S42" i="38"/>
  <c r="AU42" i="43"/>
  <c r="AF18" i="43"/>
  <c r="AF98" i="42"/>
  <c r="AC98" i="42"/>
  <c r="AO98" i="42"/>
  <c r="AV98" i="42" s="1" a="1"/>
  <c r="AV98" i="42" s="1"/>
  <c r="AD78" i="42"/>
  <c r="AO78" i="42" s="1"/>
  <c r="AV78" i="42" s="1" a="1"/>
  <c r="AV78" i="42" s="1"/>
  <c r="AS78" i="42"/>
  <c r="AQ78" i="42"/>
  <c r="AW78" i="42" s="1"/>
  <c r="R78" i="42"/>
  <c r="AF4" i="42"/>
  <c r="AF12" i="42"/>
  <c r="AC12" i="42"/>
  <c r="AF20" i="42"/>
  <c r="V44" i="38"/>
  <c r="X44" i="38" s="1"/>
  <c r="X44" i="43"/>
  <c r="AN44" i="38" s="1"/>
  <c r="V78" i="38"/>
  <c r="X78" i="38" s="1"/>
  <c r="X78" i="43"/>
  <c r="AN78" i="38" s="1"/>
  <c r="V86" i="38"/>
  <c r="X86" i="38" s="1"/>
  <c r="X86" i="43"/>
  <c r="AN86" i="38" s="1"/>
  <c r="AZ38" i="43"/>
  <c r="AX38" i="43"/>
  <c r="S9" i="38"/>
  <c r="U9" i="43"/>
  <c r="AT9" i="43"/>
  <c r="AU9" i="43"/>
  <c r="S17" i="38"/>
  <c r="AT17" i="43"/>
  <c r="U17" i="43"/>
  <c r="AU17" i="43"/>
  <c r="S25" i="38"/>
  <c r="AU25" i="43"/>
  <c r="AT25" i="43"/>
  <c r="U25" i="43"/>
  <c r="S33" i="38"/>
  <c r="AT33" i="43"/>
  <c r="U33" i="43"/>
  <c r="AU33" i="43"/>
  <c r="AU96" i="43"/>
  <c r="S96" i="38"/>
  <c r="U96" i="43"/>
  <c r="AT96" i="43"/>
  <c r="Y126" i="42"/>
  <c r="M20" i="3"/>
  <c r="AW71" i="38"/>
  <c r="AF9" i="42"/>
  <c r="AC9" i="42"/>
  <c r="AF17" i="42"/>
  <c r="AC17" i="42"/>
  <c r="AF25" i="42"/>
  <c r="AC25" i="42"/>
  <c r="AF33" i="42"/>
  <c r="AC33" i="42"/>
  <c r="V83" i="38"/>
  <c r="X83" i="38" s="1"/>
  <c r="X83" i="43"/>
  <c r="AN83" i="38" s="1"/>
  <c r="V96" i="38"/>
  <c r="X96" i="38" s="1"/>
  <c r="X96" i="43"/>
  <c r="AN96" i="38" s="1"/>
  <c r="S87" i="38"/>
  <c r="U87" i="43"/>
  <c r="AU87" i="43"/>
  <c r="AT87" i="43"/>
  <c r="AD47" i="42"/>
  <c r="R47" i="42"/>
  <c r="AS47" i="42"/>
  <c r="AQ47" i="42"/>
  <c r="AD81" i="42"/>
  <c r="R81" i="42"/>
  <c r="AS81" i="42"/>
  <c r="AQ81" i="42"/>
  <c r="AD94" i="42"/>
  <c r="AO94" i="42" s="1"/>
  <c r="AV94" i="42" s="1" a="1"/>
  <c r="AV94" i="42" s="1"/>
  <c r="AS94" i="42"/>
  <c r="R94" i="42"/>
  <c r="AQ94" i="42"/>
  <c r="AW94" i="42" s="1"/>
  <c r="S3" i="38"/>
  <c r="U3" i="43"/>
  <c r="S105" i="43"/>
  <c r="AU3" i="43"/>
  <c r="AT3" i="43"/>
  <c r="AW50" i="38"/>
  <c r="V88" i="38"/>
  <c r="X88" i="38" s="1"/>
  <c r="X88" i="43"/>
  <c r="AN88" i="38" s="1"/>
  <c r="AZ58" i="38"/>
  <c r="AX58" i="38"/>
  <c r="AW73" i="38"/>
  <c r="AS39" i="38"/>
  <c r="AD39" i="38"/>
  <c r="AO39" i="38" s="1"/>
  <c r="AV39" i="38" s="1" a="1"/>
  <c r="AV39" i="38" s="1"/>
  <c r="AQ39" i="38"/>
  <c r="AD4" i="42"/>
  <c r="AO4" i="42" s="1"/>
  <c r="AV4" i="42" s="1" a="1"/>
  <c r="AV4" i="42" s="1"/>
  <c r="AS4" i="42"/>
  <c r="AQ4" i="42"/>
  <c r="R4" i="42"/>
  <c r="V13" i="38"/>
  <c r="X13" i="38" s="1"/>
  <c r="X13" i="43"/>
  <c r="AN13" i="38" s="1"/>
  <c r="V29" i="38"/>
  <c r="X29" i="38" s="1"/>
  <c r="X29" i="43"/>
  <c r="AN29" i="38" s="1"/>
  <c r="V46" i="38"/>
  <c r="X46" i="38" s="1"/>
  <c r="X46" i="43"/>
  <c r="AN46" i="38" s="1"/>
  <c r="V80" i="38"/>
  <c r="X80" i="38" s="1"/>
  <c r="X80" i="43"/>
  <c r="AN80" i="38" s="1"/>
  <c r="AQ35" i="38"/>
  <c r="AW35" i="38" s="1"/>
  <c r="AS35" i="38"/>
  <c r="AD35" i="38"/>
  <c r="AO35" i="38" s="1"/>
  <c r="AV35" i="38" s="1" a="1"/>
  <c r="AV35" i="38" s="1"/>
  <c r="S43" i="38"/>
  <c r="AT43" i="43"/>
  <c r="U43" i="43"/>
  <c r="AU43" i="43"/>
  <c r="Y43" i="38"/>
  <c r="AA43" i="38" s="1"/>
  <c r="AA43" i="43"/>
  <c r="AX40" i="43"/>
  <c r="AZ40" i="43"/>
  <c r="AD14" i="42"/>
  <c r="AS14" i="42"/>
  <c r="AQ14" i="42"/>
  <c r="R14" i="42"/>
  <c r="Y31" i="38"/>
  <c r="AA31" i="38" s="1"/>
  <c r="AA31" i="43"/>
  <c r="S28" i="38"/>
  <c r="AU28" i="43"/>
  <c r="U28" i="43"/>
  <c r="AT28" i="43"/>
  <c r="AD6" i="42"/>
  <c r="AO6" i="42" s="1"/>
  <c r="AV6" i="42" s="1" a="1"/>
  <c r="AV6" i="42" s="1"/>
  <c r="AS6" i="42"/>
  <c r="AQ6" i="42"/>
  <c r="R6" i="42"/>
  <c r="AX93" i="43"/>
  <c r="AZ93" i="43"/>
  <c r="AX59" i="38"/>
  <c r="AZ59" i="38"/>
  <c r="AD9" i="42"/>
  <c r="AO9" i="42" s="1"/>
  <c r="AV9" i="42" s="1" a="1"/>
  <c r="AV9" i="42" s="1"/>
  <c r="AS9" i="42"/>
  <c r="AQ9" i="42"/>
  <c r="R9" i="42"/>
  <c r="AD17" i="42"/>
  <c r="AO17" i="42" s="1"/>
  <c r="AV17" i="42" s="1" a="1"/>
  <c r="AV17" i="42" s="1"/>
  <c r="AS17" i="42"/>
  <c r="AQ17" i="42"/>
  <c r="R17" i="42"/>
  <c r="AD25" i="42"/>
  <c r="AO25" i="42" s="1"/>
  <c r="AV25" i="42" s="1" a="1"/>
  <c r="AV25" i="42" s="1"/>
  <c r="AS25" i="42"/>
  <c r="AQ25" i="42"/>
  <c r="AW25" i="42" s="1"/>
  <c r="R25" i="42"/>
  <c r="AD33" i="42"/>
  <c r="AO33" i="42" s="1"/>
  <c r="AV33" i="42" s="1" a="1"/>
  <c r="AV33" i="42" s="1"/>
  <c r="AS33" i="42"/>
  <c r="AQ33" i="42"/>
  <c r="R33" i="42"/>
  <c r="AF44" i="43"/>
  <c r="AA78" i="43"/>
  <c r="Y78" i="38"/>
  <c r="AA78" i="38" s="1"/>
  <c r="AA86" i="43"/>
  <c r="Y86" i="38"/>
  <c r="AA86" i="38" s="1"/>
  <c r="AW93" i="43"/>
  <c r="AZ40" i="42"/>
  <c r="AX40" i="42"/>
  <c r="AF48" i="42"/>
  <c r="AC48" i="42"/>
  <c r="AO48" i="42"/>
  <c r="AV48" i="42" s="1" a="1"/>
  <c r="AV48" i="42" s="1"/>
  <c r="S75" i="38"/>
  <c r="U75" i="43"/>
  <c r="AT75" i="43"/>
  <c r="AU75" i="43"/>
  <c r="S83" i="38"/>
  <c r="AU83" i="43"/>
  <c r="U83" i="43"/>
  <c r="AT83" i="43"/>
  <c r="Y3" i="38"/>
  <c r="AA3" i="43"/>
  <c r="Y105" i="43"/>
  <c r="Y126" i="43" s="1"/>
  <c r="AZ57" i="38"/>
  <c r="AX57" i="38"/>
  <c r="AX72" i="38"/>
  <c r="AZ72" i="38"/>
  <c r="S7" i="38"/>
  <c r="AU7" i="43"/>
  <c r="AT7" i="43"/>
  <c r="U7" i="43"/>
  <c r="S23" i="38"/>
  <c r="AU23" i="43"/>
  <c r="AT23" i="43"/>
  <c r="U23" i="43"/>
  <c r="V41" i="38"/>
  <c r="X41" i="38" s="1"/>
  <c r="X41" i="43"/>
  <c r="AN41" i="38" s="1"/>
  <c r="I45" i="3"/>
  <c r="AS89" i="38"/>
  <c r="AD89" i="38"/>
  <c r="AO89" i="38" s="1"/>
  <c r="AV89" i="38" s="1" a="1"/>
  <c r="AV89" i="38" s="1"/>
  <c r="AQ89" i="38"/>
  <c r="AF8" i="43"/>
  <c r="Y16" i="38"/>
  <c r="AA16" i="38" s="1"/>
  <c r="AA16" i="43"/>
  <c r="AF24" i="43"/>
  <c r="Y32" i="38"/>
  <c r="AA32" i="38" s="1"/>
  <c r="AA32" i="43"/>
  <c r="V48" i="38"/>
  <c r="X48" i="38" s="1"/>
  <c r="X48" i="43"/>
  <c r="AN48" i="38" s="1"/>
  <c r="V82" i="38"/>
  <c r="X82" i="38" s="1"/>
  <c r="X82" i="43"/>
  <c r="AN82" i="38" s="1"/>
  <c r="V95" i="38"/>
  <c r="X95" i="38" s="1"/>
  <c r="X95" i="43"/>
  <c r="AN95" i="38" s="1"/>
  <c r="S126" i="42"/>
  <c r="AU126" i="42" s="1"/>
  <c r="H20" i="3"/>
  <c r="AU105" i="42"/>
  <c r="AW91" i="43"/>
  <c r="AD12" i="42"/>
  <c r="AO12" i="42" s="1"/>
  <c r="AV12" i="42" s="1" a="1"/>
  <c r="AV12" i="42" s="1"/>
  <c r="AS12" i="42"/>
  <c r="AQ12" i="42"/>
  <c r="R12" i="42"/>
  <c r="S80" i="38"/>
  <c r="AU80" i="43"/>
  <c r="AT80" i="43"/>
  <c r="U80" i="43"/>
  <c r="AW58" i="38"/>
  <c r="AW38" i="43"/>
  <c r="V5" i="38"/>
  <c r="X5" i="38" s="1"/>
  <c r="X5" i="43"/>
  <c r="AN5" i="38" s="1"/>
  <c r="AS36" i="38"/>
  <c r="AQ36" i="38"/>
  <c r="AW36" i="38" s="1"/>
  <c r="AD36" i="38"/>
  <c r="AO36" i="38" s="1"/>
  <c r="AV36" i="38" s="1" a="1"/>
  <c r="AV36" i="38" s="1"/>
  <c r="Y5" i="38"/>
  <c r="AA5" i="38" s="1"/>
  <c r="AA5" i="43"/>
  <c r="Y13" i="38"/>
  <c r="AA13" i="38" s="1"/>
  <c r="AA13" i="43"/>
  <c r="Y21" i="38"/>
  <c r="AA21" i="38" s="1"/>
  <c r="AA21" i="43"/>
  <c r="Y29" i="38"/>
  <c r="AA29" i="38" s="1"/>
  <c r="AA29" i="43"/>
  <c r="Y46" i="38"/>
  <c r="AA46" i="38" s="1"/>
  <c r="AA46" i="43"/>
  <c r="AF80" i="43"/>
  <c r="S85" i="38"/>
  <c r="AT85" i="43"/>
  <c r="U85" i="43"/>
  <c r="AU85" i="43"/>
  <c r="AD97" i="42"/>
  <c r="AS97" i="42"/>
  <c r="R97" i="42"/>
  <c r="AQ97" i="42"/>
  <c r="AW97" i="42" s="1"/>
  <c r="Y77" i="38"/>
  <c r="AA77" i="38" s="1"/>
  <c r="AA77" i="43"/>
  <c r="Y88" i="38"/>
  <c r="AA88" i="38" s="1"/>
  <c r="AA88" i="43"/>
  <c r="AW54" i="38"/>
  <c r="AF18" i="42"/>
  <c r="AC18" i="42"/>
  <c r="AO18" i="42"/>
  <c r="AV18" i="42" s="1" a="1"/>
  <c r="AV18" i="42" s="1"/>
  <c r="U105" i="42"/>
  <c r="U126" i="42" s="1"/>
  <c r="AQ3" i="42"/>
  <c r="AD3" i="42"/>
  <c r="AO3" i="42" s="1"/>
  <c r="R3" i="42"/>
  <c r="AS3" i="42"/>
  <c r="AM126" i="42"/>
  <c r="U20" i="3"/>
  <c r="AD27" i="42"/>
  <c r="AO27" i="42" s="1"/>
  <c r="AV27" i="42" s="1" a="1"/>
  <c r="AV27" i="42" s="1"/>
  <c r="AS27" i="42"/>
  <c r="AQ27" i="42"/>
  <c r="R27" i="42"/>
  <c r="AW42" i="42"/>
  <c r="AZ90" i="43"/>
  <c r="AX90" i="43"/>
  <c r="AU34" i="43"/>
  <c r="S34" i="38"/>
  <c r="AT34" i="43"/>
  <c r="U34" i="43"/>
  <c r="Y45" i="38"/>
  <c r="AA45" i="38" s="1"/>
  <c r="AA45" i="43"/>
  <c r="Y79" i="38"/>
  <c r="AA79" i="38" s="1"/>
  <c r="AA79" i="43"/>
  <c r="Y87" i="38"/>
  <c r="AA87" i="38" s="1"/>
  <c r="AA87" i="43"/>
  <c r="V10" i="38"/>
  <c r="X10" i="38" s="1"/>
  <c r="X10" i="43"/>
  <c r="AN10" i="38" s="1"/>
  <c r="V18" i="38"/>
  <c r="X18" i="38" s="1"/>
  <c r="X18" i="43"/>
  <c r="AN18" i="38" s="1"/>
  <c r="V26" i="38"/>
  <c r="X26" i="38" s="1"/>
  <c r="X26" i="43"/>
  <c r="AN26" i="38" s="1"/>
  <c r="V34" i="38"/>
  <c r="X34" i="38" s="1"/>
  <c r="X34" i="43"/>
  <c r="AN34" i="38" s="1"/>
  <c r="AF44" i="38"/>
  <c r="AF78" i="42"/>
  <c r="AC78" i="42"/>
  <c r="AF86" i="42"/>
  <c r="AC86" i="42"/>
  <c r="AO86" i="42"/>
  <c r="AV86" i="42" s="1" a="1"/>
  <c r="AV86" i="42" s="1"/>
  <c r="S8" i="38"/>
  <c r="AU8" i="43"/>
  <c r="U8" i="43"/>
  <c r="AT8" i="43"/>
  <c r="S16" i="38"/>
  <c r="AT16" i="43"/>
  <c r="AU16" i="43"/>
  <c r="U16" i="43"/>
  <c r="AT24" i="43"/>
  <c r="AU24" i="43"/>
  <c r="S24" i="38"/>
  <c r="U24" i="43"/>
  <c r="S32" i="38"/>
  <c r="AU32" i="43"/>
  <c r="AT32" i="43"/>
  <c r="U32" i="43"/>
  <c r="S41" i="38"/>
  <c r="U41" i="43"/>
  <c r="AT41" i="43"/>
  <c r="AU41" i="43"/>
  <c r="AS40" i="38"/>
  <c r="AD40" i="38"/>
  <c r="AO40" i="38" s="1"/>
  <c r="AV40" i="38" s="1" a="1"/>
  <c r="AV40" i="38" s="1"/>
  <c r="AQ40" i="38"/>
  <c r="AW72" i="38"/>
  <c r="AT104" i="42"/>
  <c r="S31" i="38"/>
  <c r="U31" i="43"/>
  <c r="AT31" i="43"/>
  <c r="AU31" i="43"/>
  <c r="Y76" i="38"/>
  <c r="AA76" i="38" s="1"/>
  <c r="AA76" i="43"/>
  <c r="Y84" i="38"/>
  <c r="AA84" i="38" s="1"/>
  <c r="AA84" i="43"/>
  <c r="Y97" i="38"/>
  <c r="AA97" i="38" s="1"/>
  <c r="AA97" i="43"/>
  <c r="AD87" i="42"/>
  <c r="AQ87" i="42"/>
  <c r="R87" i="42"/>
  <c r="AS87" i="42"/>
  <c r="AF24" i="42"/>
  <c r="AC24" i="42"/>
  <c r="AF8" i="38"/>
  <c r="AF16" i="42"/>
  <c r="AC16" i="42"/>
  <c r="AF24" i="38"/>
  <c r="AF32" i="42"/>
  <c r="AC32" i="42"/>
  <c r="AT98" i="43"/>
  <c r="U98" i="43"/>
  <c r="S98" i="38"/>
  <c r="AU98" i="43"/>
  <c r="S5" i="38"/>
  <c r="AT5" i="43"/>
  <c r="U5" i="43"/>
  <c r="AU5" i="43"/>
  <c r="S13" i="38"/>
  <c r="AT13" i="43"/>
  <c r="AU13" i="43"/>
  <c r="U13" i="43"/>
  <c r="S21" i="38"/>
  <c r="AU21" i="43"/>
  <c r="AT21" i="43"/>
  <c r="U21" i="43"/>
  <c r="S29" i="38"/>
  <c r="AU29" i="43"/>
  <c r="AT29" i="43"/>
  <c r="U29" i="43"/>
  <c r="S46" i="38"/>
  <c r="AT46" i="43"/>
  <c r="U46" i="43"/>
  <c r="AU46" i="43"/>
  <c r="S88" i="38"/>
  <c r="U88" i="43"/>
  <c r="AU88" i="43"/>
  <c r="AT88" i="43"/>
  <c r="AF8" i="42"/>
  <c r="AC8" i="42"/>
  <c r="AA14" i="43"/>
  <c r="Y14" i="38"/>
  <c r="AA14" i="38" s="1"/>
  <c r="Y22" i="38"/>
  <c r="AA22" i="38" s="1"/>
  <c r="AA22" i="43"/>
  <c r="AA30" i="43"/>
  <c r="Y30" i="38"/>
  <c r="AA30" i="38" s="1"/>
  <c r="Y47" i="38"/>
  <c r="AA47" i="38" s="1"/>
  <c r="AA47" i="43"/>
  <c r="Y81" i="38"/>
  <c r="AA81" i="38" s="1"/>
  <c r="AA81" i="43"/>
  <c r="AF5" i="42"/>
  <c r="AC5" i="42"/>
  <c r="AF13" i="42"/>
  <c r="AC13" i="42"/>
  <c r="AF21" i="42"/>
  <c r="AC21" i="42"/>
  <c r="AF29" i="42"/>
  <c r="AC29" i="42"/>
  <c r="AF46" i="42"/>
  <c r="AC46" i="42"/>
  <c r="AF80" i="38"/>
  <c r="AQ48" i="42"/>
  <c r="AD92" i="38"/>
  <c r="AO92" i="38" s="1"/>
  <c r="AV92" i="38" s="1" a="1"/>
  <c r="AV92" i="38" s="1"/>
  <c r="AS92" i="38"/>
  <c r="AQ92" i="38"/>
  <c r="AW92" i="38" s="1"/>
  <c r="AD76" i="42"/>
  <c r="AS76" i="42"/>
  <c r="AQ76" i="42"/>
  <c r="R76" i="42"/>
  <c r="Y10" i="38"/>
  <c r="AA10" i="38" s="1"/>
  <c r="AA10" i="43"/>
  <c r="Y85" i="38"/>
  <c r="AA85" i="38" s="1"/>
  <c r="AA85" i="43"/>
  <c r="AD30" i="42"/>
  <c r="AQ30" i="42"/>
  <c r="AW30" i="42" s="1"/>
  <c r="R30" i="42"/>
  <c r="AS30" i="42"/>
  <c r="Y7" i="38"/>
  <c r="AA7" i="38" s="1"/>
  <c r="AA7" i="43"/>
  <c r="AF48" i="43"/>
  <c r="S20" i="38"/>
  <c r="AU20" i="43"/>
  <c r="U20" i="43"/>
  <c r="AT20" i="43"/>
  <c r="AE3" i="38"/>
  <c r="AE105" i="38" s="1"/>
  <c r="AE105" i="43"/>
  <c r="AE126" i="43" s="1"/>
  <c r="AF44" i="42"/>
  <c r="AC44" i="42"/>
  <c r="AO44" i="42"/>
  <c r="AV44" i="42" s="1" a="1"/>
  <c r="AV44" i="42" s="1"/>
  <c r="S10" i="38"/>
  <c r="AT10" i="43"/>
  <c r="AU10" i="43"/>
  <c r="U10" i="43"/>
  <c r="AU18" i="43"/>
  <c r="AT18" i="43"/>
  <c r="U18" i="43"/>
  <c r="S18" i="38"/>
  <c r="AT26" i="43"/>
  <c r="AU26" i="43"/>
  <c r="S26" i="38"/>
  <c r="U26" i="43"/>
  <c r="AD34" i="42"/>
  <c r="AO34" i="42" s="1"/>
  <c r="AV34" i="42" s="1" a="1"/>
  <c r="AV34" i="42" s="1"/>
  <c r="AS34" i="42"/>
  <c r="AQ34" i="42"/>
  <c r="AW34" i="42" s="1"/>
  <c r="R34" i="42"/>
  <c r="AF45" i="42"/>
  <c r="AC45" i="42"/>
  <c r="AO45" i="42"/>
  <c r="AV45" i="42" s="1" a="1"/>
  <c r="AV45" i="42" s="1"/>
  <c r="AF79" i="42"/>
  <c r="AC79" i="42"/>
  <c r="AO79" i="42"/>
  <c r="AV79" i="42" s="1" a="1"/>
  <c r="AV79" i="42" s="1"/>
  <c r="AF87" i="42"/>
  <c r="AC87" i="42"/>
  <c r="AO87" i="42"/>
  <c r="AV87" i="42" s="1" a="1"/>
  <c r="AV87" i="42" s="1"/>
  <c r="S97" i="38"/>
  <c r="U97" i="43"/>
  <c r="AU97" i="43"/>
  <c r="AT97" i="43"/>
  <c r="AW70" i="38"/>
  <c r="AD8" i="42"/>
  <c r="AO8" i="42" s="1"/>
  <c r="AV8" i="42" s="1" a="1"/>
  <c r="AV8" i="42" s="1"/>
  <c r="AS8" i="42"/>
  <c r="AQ8" i="42"/>
  <c r="R8" i="42"/>
  <c r="AD16" i="42"/>
  <c r="AO16" i="42" s="1"/>
  <c r="AV16" i="42" s="1" a="1"/>
  <c r="AV16" i="42" s="1"/>
  <c r="AS16" i="42"/>
  <c r="AQ16" i="42"/>
  <c r="R16" i="42"/>
  <c r="AD24" i="42"/>
  <c r="AO24" i="42" s="1"/>
  <c r="AV24" i="42" s="1" a="1"/>
  <c r="AV24" i="42" s="1"/>
  <c r="AS24" i="42"/>
  <c r="AQ24" i="42"/>
  <c r="R24" i="42"/>
  <c r="AD32" i="42"/>
  <c r="AO32" i="42" s="1"/>
  <c r="AV32" i="42" s="1" a="1"/>
  <c r="AV32" i="42" s="1"/>
  <c r="R32" i="42"/>
  <c r="AS32" i="42"/>
  <c r="AQ32" i="42"/>
  <c r="AW32" i="42" s="1"/>
  <c r="AD41" i="42"/>
  <c r="AO41" i="42" s="1"/>
  <c r="AV41" i="42" s="1" a="1"/>
  <c r="AV41" i="42" s="1"/>
  <c r="AS41" i="42"/>
  <c r="AQ41" i="42"/>
  <c r="AW41" i="42" s="1"/>
  <c r="R41" i="42"/>
  <c r="AD75" i="42"/>
  <c r="AO75" i="42" s="1"/>
  <c r="AV75" i="42" s="1" a="1"/>
  <c r="AV75" i="42" s="1"/>
  <c r="R75" i="42"/>
  <c r="AS75" i="42"/>
  <c r="AQ75" i="42"/>
  <c r="AD83" i="42"/>
  <c r="AO83" i="42" s="1"/>
  <c r="AV83" i="42" s="1" a="1"/>
  <c r="AV83" i="42" s="1"/>
  <c r="AS83" i="42"/>
  <c r="AQ83" i="42"/>
  <c r="R83" i="42"/>
  <c r="V97" i="38"/>
  <c r="X97" i="38" s="1"/>
  <c r="X97" i="43"/>
  <c r="AN97" i="38" s="1"/>
  <c r="S86" i="38"/>
  <c r="AT86" i="43"/>
  <c r="U86" i="43"/>
  <c r="AU86" i="43"/>
  <c r="AD91" i="38"/>
  <c r="AO91" i="38" s="1"/>
  <c r="AV91" i="38" s="1" a="1"/>
  <c r="AV91" i="38" s="1"/>
  <c r="AS91" i="38"/>
  <c r="AQ91" i="38"/>
  <c r="AU104" i="42"/>
  <c r="S15" i="38"/>
  <c r="AU15" i="43"/>
  <c r="AT15" i="43"/>
  <c r="U15" i="43"/>
  <c r="Y42" i="38"/>
  <c r="AA42" i="38" s="1"/>
  <c r="AA42" i="43"/>
  <c r="AF76" i="42"/>
  <c r="AC76" i="42"/>
  <c r="AO76" i="42"/>
  <c r="AV76" i="42" s="1" a="1"/>
  <c r="AV76" i="42" s="1"/>
  <c r="AF84" i="42"/>
  <c r="AC84" i="42"/>
  <c r="AO84" i="42"/>
  <c r="AV84" i="42" s="1" a="1"/>
  <c r="AV84" i="42" s="1"/>
  <c r="AF97" i="42"/>
  <c r="AC97" i="42"/>
  <c r="AO97" i="42"/>
  <c r="AV97" i="42" s="1" a="1"/>
  <c r="AV97" i="42" s="1"/>
  <c r="S22" i="38"/>
  <c r="AT22" i="43"/>
  <c r="U22" i="43"/>
  <c r="AU22" i="43"/>
  <c r="Y41" i="38"/>
  <c r="AA41" i="38" s="1"/>
  <c r="AA41" i="43"/>
  <c r="Y75" i="38"/>
  <c r="AA75" i="38" s="1"/>
  <c r="AA75" i="43"/>
  <c r="Y83" i="38"/>
  <c r="AA83" i="38" s="1"/>
  <c r="AA83" i="43"/>
  <c r="Y96" i="38"/>
  <c r="AA96" i="38" s="1"/>
  <c r="AA96" i="43"/>
  <c r="AD5" i="42"/>
  <c r="AO5" i="42" s="1"/>
  <c r="AV5" i="42" s="1" a="1"/>
  <c r="AV5" i="42" s="1"/>
  <c r="AS5" i="42"/>
  <c r="AQ5" i="42"/>
  <c r="R5" i="42"/>
  <c r="AD13" i="42"/>
  <c r="AO13" i="42" s="1"/>
  <c r="AV13" i="42" s="1" a="1"/>
  <c r="AV13" i="42" s="1"/>
  <c r="AS13" i="42"/>
  <c r="AQ13" i="42"/>
  <c r="R13" i="42"/>
  <c r="AD21" i="42"/>
  <c r="AO21" i="42" s="1"/>
  <c r="AV21" i="42" s="1" a="1"/>
  <c r="AV21" i="42" s="1"/>
  <c r="AS21" i="42"/>
  <c r="AQ21" i="42"/>
  <c r="AW21" i="42" s="1"/>
  <c r="R21" i="42"/>
  <c r="AD29" i="42"/>
  <c r="AO29" i="42" s="1"/>
  <c r="AV29" i="42" s="1" a="1"/>
  <c r="AV29" i="42" s="1"/>
  <c r="AS29" i="42"/>
  <c r="AQ29" i="42"/>
  <c r="AW29" i="42" s="1"/>
  <c r="R29" i="42"/>
  <c r="AD46" i="42"/>
  <c r="AO46" i="42" s="1"/>
  <c r="AV46" i="42" s="1" a="1"/>
  <c r="AV46" i="42" s="1"/>
  <c r="AQ46" i="42"/>
  <c r="AW46" i="42" s="1"/>
  <c r="R46" i="42"/>
  <c r="AS46" i="42"/>
  <c r="AD80" i="42"/>
  <c r="AO80" i="42" s="1"/>
  <c r="AV80" i="42" s="1" a="1"/>
  <c r="AV80" i="42" s="1"/>
  <c r="AQ80" i="42"/>
  <c r="R80" i="42"/>
  <c r="AS80" i="42"/>
  <c r="AD88" i="42"/>
  <c r="AO88" i="42" s="1"/>
  <c r="AV88" i="42" s="1" a="1"/>
  <c r="AV88" i="42" s="1"/>
  <c r="AQ88" i="42"/>
  <c r="R88" i="42"/>
  <c r="AS88" i="42"/>
  <c r="AW40" i="43"/>
  <c r="AA6" i="43"/>
  <c r="Y6" i="38"/>
  <c r="AA6" i="38" s="1"/>
  <c r="AF14" i="42"/>
  <c r="AC14" i="42"/>
  <c r="AO14" i="42"/>
  <c r="AV14" i="42" s="1" a="1"/>
  <c r="AV14" i="42" s="1"/>
  <c r="AF22" i="42"/>
  <c r="AC22" i="42"/>
  <c r="AO22" i="42"/>
  <c r="AV22" i="42" s="1" a="1"/>
  <c r="AV22" i="42" s="1"/>
  <c r="AF30" i="42"/>
  <c r="AO30" i="42"/>
  <c r="AV30" i="42" s="1" a="1"/>
  <c r="AV30" i="42" s="1"/>
  <c r="AC30" i="42"/>
  <c r="AF47" i="42"/>
  <c r="AC47" i="42"/>
  <c r="AO47" i="42"/>
  <c r="AV47" i="42" s="1" a="1"/>
  <c r="AV47" i="42" s="1"/>
  <c r="AF81" i="42"/>
  <c r="AC81" i="42"/>
  <c r="AO81" i="42"/>
  <c r="AV81" i="42" s="1" a="1"/>
  <c r="AV81" i="42" s="1"/>
  <c r="AW37" i="43"/>
  <c r="AW39" i="43"/>
  <c r="V87" i="38"/>
  <c r="X87" i="38" s="1"/>
  <c r="X87" i="43"/>
  <c r="AN87" i="38" s="1"/>
  <c r="AZ36" i="43" l="1"/>
  <c r="AC4" i="42"/>
  <c r="AC20" i="42"/>
  <c r="AC95" i="42"/>
  <c r="AW89" i="38"/>
  <c r="AC26" i="42"/>
  <c r="AC42" i="42"/>
  <c r="AW40" i="38"/>
  <c r="AW4" i="42"/>
  <c r="AS104" i="42"/>
  <c r="AF105" i="42"/>
  <c r="AZ27" i="42"/>
  <c r="AX27" i="42"/>
  <c r="AZ33" i="42"/>
  <c r="AX33" i="42"/>
  <c r="AZ17" i="42"/>
  <c r="AX17" i="42"/>
  <c r="AZ20" i="42"/>
  <c r="AX20" i="42"/>
  <c r="AZ90" i="38"/>
  <c r="AX90" i="38"/>
  <c r="AW93" i="38"/>
  <c r="AX93" i="38"/>
  <c r="AZ93" i="38"/>
  <c r="AX39" i="38"/>
  <c r="AZ39" i="38"/>
  <c r="AZ8" i="42"/>
  <c r="AX8" i="42"/>
  <c r="AZ78" i="42"/>
  <c r="AX78" i="42"/>
  <c r="AW85" i="42"/>
  <c r="AX85" i="42"/>
  <c r="AZ85" i="42"/>
  <c r="AW43" i="42"/>
  <c r="AZ43" i="42"/>
  <c r="AX43" i="42"/>
  <c r="AZ21" i="42"/>
  <c r="AX21" i="42"/>
  <c r="AX35" i="38"/>
  <c r="AZ35" i="38"/>
  <c r="AZ41" i="42"/>
  <c r="AX41" i="42"/>
  <c r="AW80" i="42"/>
  <c r="AX80" i="42"/>
  <c r="AZ80" i="42"/>
  <c r="AZ13" i="42"/>
  <c r="AX13" i="42"/>
  <c r="AZ34" i="42"/>
  <c r="AX34" i="42"/>
  <c r="AZ37" i="38"/>
  <c r="AX37" i="38"/>
  <c r="AZ5" i="42"/>
  <c r="AX5" i="42"/>
  <c r="AW83" i="42"/>
  <c r="AZ83" i="42"/>
  <c r="AX83" i="42"/>
  <c r="AX29" i="42"/>
  <c r="AZ29" i="42"/>
  <c r="AZ25" i="42"/>
  <c r="AX25" i="42"/>
  <c r="AZ9" i="42"/>
  <c r="AX9" i="42"/>
  <c r="AZ6" i="42"/>
  <c r="AX6" i="42"/>
  <c r="AW28" i="42"/>
  <c r="AZ28" i="42"/>
  <c r="AX28" i="42"/>
  <c r="AW88" i="42"/>
  <c r="AX88" i="42"/>
  <c r="AZ88" i="42"/>
  <c r="AW75" i="42"/>
  <c r="AZ75" i="42"/>
  <c r="AX75" i="42"/>
  <c r="AZ16" i="42"/>
  <c r="AX16" i="42"/>
  <c r="AV3" i="42"/>
  <c r="AO105" i="42"/>
  <c r="AO126" i="42" s="1"/>
  <c r="AZ96" i="42"/>
  <c r="AX96" i="42"/>
  <c r="AZ94" i="42"/>
  <c r="AX94" i="42"/>
  <c r="AZ24" i="42"/>
  <c r="AX24" i="42"/>
  <c r="AZ19" i="42"/>
  <c r="AX19" i="42"/>
  <c r="AF87" i="43"/>
  <c r="AU34" i="38"/>
  <c r="U34" i="38"/>
  <c r="AT34" i="38"/>
  <c r="AW9" i="42"/>
  <c r="AF31" i="43"/>
  <c r="AF43" i="43"/>
  <c r="R25" i="43"/>
  <c r="AD25" i="43"/>
  <c r="AS25" i="43"/>
  <c r="AQ25" i="43"/>
  <c r="AW25" i="43" s="1"/>
  <c r="AZ12" i="42"/>
  <c r="AX12" i="42"/>
  <c r="AU42" i="38"/>
  <c r="AT42" i="38"/>
  <c r="U42" i="38"/>
  <c r="U4" i="38"/>
  <c r="AU4" i="38"/>
  <c r="AT4" i="38"/>
  <c r="AZ15" i="42"/>
  <c r="AX15" i="42"/>
  <c r="AF9" i="43"/>
  <c r="AF4" i="43"/>
  <c r="R11" i="43"/>
  <c r="AD11" i="43"/>
  <c r="AS11" i="43"/>
  <c r="AQ11" i="43"/>
  <c r="U82" i="38"/>
  <c r="AT82" i="38"/>
  <c r="AU82" i="38"/>
  <c r="AU81" i="38"/>
  <c r="AT81" i="38"/>
  <c r="U81" i="38"/>
  <c r="AW7" i="42"/>
  <c r="AQ104" i="42"/>
  <c r="AF19" i="43"/>
  <c r="AZ10" i="42"/>
  <c r="AX10" i="42"/>
  <c r="AF15" i="43"/>
  <c r="AX91" i="38"/>
  <c r="AZ91" i="38"/>
  <c r="AX92" i="38"/>
  <c r="AZ92" i="38"/>
  <c r="AW47" i="42"/>
  <c r="AZ47" i="42"/>
  <c r="AX47" i="42"/>
  <c r="AW5" i="42"/>
  <c r="AF75" i="38"/>
  <c r="AF42" i="43"/>
  <c r="AW91" i="38"/>
  <c r="AF85" i="38"/>
  <c r="AF47" i="43"/>
  <c r="R46" i="43"/>
  <c r="AD46" i="43"/>
  <c r="AO46" i="43" s="1"/>
  <c r="AS46" i="43"/>
  <c r="AQ46" i="43"/>
  <c r="AW46" i="43" s="1"/>
  <c r="R5" i="43"/>
  <c r="AQ5" i="43"/>
  <c r="AS5" i="43"/>
  <c r="AD5" i="43"/>
  <c r="AO5" i="43" s="1"/>
  <c r="AF87" i="38"/>
  <c r="U45" i="3"/>
  <c r="AF13" i="38"/>
  <c r="AW12" i="42"/>
  <c r="AT83" i="38"/>
  <c r="AU83" i="38"/>
  <c r="U83" i="38"/>
  <c r="AW6" i="42"/>
  <c r="AF31" i="38"/>
  <c r="AF43" i="38"/>
  <c r="AQ96" i="43"/>
  <c r="AW96" i="43" s="1"/>
  <c r="AD96" i="43"/>
  <c r="AO96" i="43" s="1"/>
  <c r="AS96" i="43"/>
  <c r="R96" i="43"/>
  <c r="AZ98" i="42"/>
  <c r="AX98" i="42"/>
  <c r="AS42" i="43"/>
  <c r="R42" i="43"/>
  <c r="AQ42" i="43"/>
  <c r="AD42" i="43"/>
  <c r="AO42" i="43" s="1"/>
  <c r="AC15" i="42"/>
  <c r="AT48" i="38"/>
  <c r="U48" i="38"/>
  <c r="AU48" i="38"/>
  <c r="AF9" i="38"/>
  <c r="AC80" i="42"/>
  <c r="AF4" i="38"/>
  <c r="AF95" i="43"/>
  <c r="R45" i="3"/>
  <c r="R27" i="43"/>
  <c r="AS27" i="43"/>
  <c r="AD27" i="43"/>
  <c r="AQ27" i="43"/>
  <c r="AS79" i="43"/>
  <c r="R79" i="43"/>
  <c r="AD79" i="43"/>
  <c r="AO79" i="43" s="1"/>
  <c r="AF98" i="43"/>
  <c r="AC11" i="42"/>
  <c r="U45" i="38"/>
  <c r="AT45" i="38"/>
  <c r="AU45" i="38"/>
  <c r="X3" i="38"/>
  <c r="X105" i="38" s="1"/>
  <c r="X126" i="38" s="1"/>
  <c r="V105" i="38"/>
  <c r="V126" i="38" s="1"/>
  <c r="AU30" i="38"/>
  <c r="AT30" i="38"/>
  <c r="U30" i="38"/>
  <c r="AT6" i="38"/>
  <c r="AU6" i="38"/>
  <c r="U6" i="38"/>
  <c r="AZ42" i="42"/>
  <c r="AX42" i="42"/>
  <c r="U84" i="38"/>
  <c r="AU84" i="38"/>
  <c r="AT84" i="38"/>
  <c r="AF19" i="38"/>
  <c r="AF15" i="38"/>
  <c r="U77" i="38"/>
  <c r="AU77" i="38"/>
  <c r="AT77" i="38"/>
  <c r="AZ97" i="42"/>
  <c r="AX97" i="42"/>
  <c r="R21" i="43"/>
  <c r="AQ21" i="43"/>
  <c r="AW21" i="43" s="1"/>
  <c r="AD21" i="43"/>
  <c r="AS21" i="43"/>
  <c r="AZ18" i="42"/>
  <c r="AX18" i="42"/>
  <c r="AZ14" i="42"/>
  <c r="AX14" i="42"/>
  <c r="AF41" i="43"/>
  <c r="AF42" i="38"/>
  <c r="AS26" i="43"/>
  <c r="AD26" i="43"/>
  <c r="AO26" i="43" s="1"/>
  <c r="AQ26" i="43"/>
  <c r="R26" i="43"/>
  <c r="AS10" i="43"/>
  <c r="AQ10" i="43"/>
  <c r="R10" i="43"/>
  <c r="AD10" i="43"/>
  <c r="AO10" i="43" s="1"/>
  <c r="AE126" i="38"/>
  <c r="AF7" i="43"/>
  <c r="AF10" i="43"/>
  <c r="AF47" i="38"/>
  <c r="AU32" i="38"/>
  <c r="AT32" i="38"/>
  <c r="U32" i="38"/>
  <c r="AU16" i="38"/>
  <c r="AT16" i="38"/>
  <c r="U16" i="38"/>
  <c r="AQ79" i="43"/>
  <c r="AF79" i="43"/>
  <c r="AF46" i="43"/>
  <c r="AF5" i="43"/>
  <c r="AF16" i="43"/>
  <c r="AU23" i="38"/>
  <c r="AT23" i="38"/>
  <c r="U23" i="38"/>
  <c r="S126" i="43"/>
  <c r="AU126" i="43" s="1"/>
  <c r="AU105" i="43"/>
  <c r="AT96" i="38"/>
  <c r="AU96" i="38"/>
  <c r="U96" i="38"/>
  <c r="R9" i="43"/>
  <c r="AD9" i="43"/>
  <c r="AO9" i="43" s="1"/>
  <c r="AS9" i="43"/>
  <c r="AQ9" i="43"/>
  <c r="AZ4" i="42"/>
  <c r="AX4" i="42"/>
  <c r="AZ95" i="42"/>
  <c r="AX95" i="42"/>
  <c r="AZ31" i="42"/>
  <c r="AX31" i="42"/>
  <c r="AF33" i="43"/>
  <c r="AC101" i="42"/>
  <c r="AC102" i="42"/>
  <c r="AC103" i="42"/>
  <c r="AC99" i="42"/>
  <c r="AC100" i="42"/>
  <c r="AC64" i="42"/>
  <c r="AC61" i="42"/>
  <c r="AC58" i="42"/>
  <c r="AC59" i="42"/>
  <c r="AC73" i="42"/>
  <c r="AC70" i="42"/>
  <c r="AC71" i="42"/>
  <c r="AC53" i="42"/>
  <c r="AC51" i="42"/>
  <c r="AC56" i="42"/>
  <c r="AC68" i="42"/>
  <c r="AC50" i="42"/>
  <c r="AC62" i="42"/>
  <c r="AC63" i="42"/>
  <c r="AC65" i="42"/>
  <c r="AC74" i="42"/>
  <c r="AC60" i="42"/>
  <c r="AC57" i="42"/>
  <c r="AC54" i="42"/>
  <c r="AC55" i="42"/>
  <c r="AC72" i="42"/>
  <c r="AC69" i="42"/>
  <c r="AC52" i="42"/>
  <c r="AC49" i="42"/>
  <c r="AC66" i="42"/>
  <c r="AC67" i="42"/>
  <c r="AC89" i="42"/>
  <c r="AC40" i="42"/>
  <c r="AC37" i="42"/>
  <c r="AC91" i="42"/>
  <c r="AC93" i="42"/>
  <c r="AC39" i="42"/>
  <c r="AC90" i="42"/>
  <c r="AC36" i="42"/>
  <c r="AC92" i="42"/>
  <c r="AC38" i="42"/>
  <c r="AC35" i="42"/>
  <c r="AC43" i="42"/>
  <c r="AF95" i="38"/>
  <c r="AF126" i="42"/>
  <c r="U27" i="38"/>
  <c r="AT27" i="38"/>
  <c r="AU27" i="38"/>
  <c r="AT11" i="38"/>
  <c r="U11" i="38"/>
  <c r="AU11" i="38"/>
  <c r="AD94" i="43"/>
  <c r="AO94" i="43" s="1"/>
  <c r="AQ94" i="43"/>
  <c r="R94" i="43"/>
  <c r="AS94" i="43"/>
  <c r="AS82" i="43"/>
  <c r="R82" i="43"/>
  <c r="AD82" i="43"/>
  <c r="AO82" i="43" s="1"/>
  <c r="AQ82" i="43"/>
  <c r="AF98" i="38"/>
  <c r="AZ11" i="42"/>
  <c r="AX11" i="42"/>
  <c r="X105" i="43"/>
  <c r="X126" i="43" s="1"/>
  <c r="AW38" i="38"/>
  <c r="AZ38" i="38"/>
  <c r="AX38" i="38"/>
  <c r="AF11" i="43"/>
  <c r="AO11" i="43"/>
  <c r="AW10" i="42"/>
  <c r="Q45" i="3"/>
  <c r="AF75" i="43"/>
  <c r="AW16" i="42"/>
  <c r="AF85" i="43"/>
  <c r="AF14" i="43"/>
  <c r="AF76" i="38"/>
  <c r="AF41" i="38"/>
  <c r="R15" i="43"/>
  <c r="AS15" i="43"/>
  <c r="AD15" i="43"/>
  <c r="AO15" i="43" s="1"/>
  <c r="AQ15" i="43"/>
  <c r="AW24" i="42"/>
  <c r="R97" i="43"/>
  <c r="AD97" i="43"/>
  <c r="AO97" i="43" s="1"/>
  <c r="AS97" i="43"/>
  <c r="AQ97" i="43"/>
  <c r="AW45" i="42"/>
  <c r="AZ45" i="42"/>
  <c r="AX45" i="42"/>
  <c r="U26" i="38"/>
  <c r="AU26" i="38"/>
  <c r="AT26" i="38"/>
  <c r="AF7" i="38"/>
  <c r="AF10" i="38"/>
  <c r="AF30" i="38"/>
  <c r="AU46" i="38"/>
  <c r="AT46" i="38"/>
  <c r="U46" i="38"/>
  <c r="U21" i="38"/>
  <c r="AU21" i="38"/>
  <c r="AT21" i="38"/>
  <c r="U5" i="38"/>
  <c r="AU5" i="38"/>
  <c r="AT5" i="38"/>
  <c r="AF97" i="43"/>
  <c r="AS31" i="43"/>
  <c r="R31" i="43"/>
  <c r="AD31" i="43"/>
  <c r="AO31" i="43" s="1"/>
  <c r="AQ31" i="43"/>
  <c r="AS24" i="43"/>
  <c r="R24" i="43"/>
  <c r="AD24" i="43"/>
  <c r="AO24" i="43" s="1"/>
  <c r="AQ24" i="43"/>
  <c r="AF79" i="38"/>
  <c r="AF46" i="38"/>
  <c r="AF5" i="38"/>
  <c r="AF16" i="38"/>
  <c r="R7" i="43"/>
  <c r="AQ7" i="43"/>
  <c r="AS7" i="43"/>
  <c r="AD7" i="43"/>
  <c r="AO7" i="43" s="1"/>
  <c r="AW14" i="42"/>
  <c r="AD43" i="43"/>
  <c r="AO43" i="43" s="1"/>
  <c r="AQ43" i="43"/>
  <c r="R43" i="43"/>
  <c r="AS43" i="43"/>
  <c r="R3" i="43"/>
  <c r="U105" i="43"/>
  <c r="U126" i="43" s="1"/>
  <c r="AD3" i="43"/>
  <c r="AO3" i="43" s="1"/>
  <c r="C10" i="50" s="1"/>
  <c r="AQ3" i="43"/>
  <c r="AS3" i="43"/>
  <c r="AS87" i="43"/>
  <c r="AD87" i="43"/>
  <c r="AO87" i="43" s="1"/>
  <c r="R87" i="43"/>
  <c r="AQ87" i="43"/>
  <c r="U25" i="38"/>
  <c r="AU25" i="38"/>
  <c r="AT25" i="38"/>
  <c r="U9" i="38"/>
  <c r="AU9" i="38"/>
  <c r="AT9" i="38"/>
  <c r="AQ12" i="43"/>
  <c r="AS12" i="43"/>
  <c r="R12" i="43"/>
  <c r="AD12" i="43"/>
  <c r="AO12" i="43" s="1"/>
  <c r="AX7" i="42"/>
  <c r="AZ7" i="42"/>
  <c r="AV104" i="42"/>
  <c r="R47" i="43"/>
  <c r="AS47" i="43"/>
  <c r="AD47" i="43"/>
  <c r="AO47" i="43" s="1"/>
  <c r="AQ47" i="43"/>
  <c r="AF33" i="38"/>
  <c r="AF23" i="43"/>
  <c r="U79" i="38"/>
  <c r="AT79" i="38"/>
  <c r="AU79" i="38"/>
  <c r="AC96" i="42"/>
  <c r="AS14" i="43"/>
  <c r="R14" i="43"/>
  <c r="AQ14" i="43"/>
  <c r="AD14" i="43"/>
  <c r="AO14" i="43" s="1"/>
  <c r="AN126" i="42"/>
  <c r="AF11" i="38"/>
  <c r="AW11" i="42"/>
  <c r="AF81" i="38"/>
  <c r="AW84" i="42"/>
  <c r="AZ84" i="42"/>
  <c r="AX84" i="42"/>
  <c r="AF96" i="43"/>
  <c r="AU97" i="38"/>
  <c r="U97" i="38"/>
  <c r="AT97" i="38"/>
  <c r="AS20" i="43"/>
  <c r="AQ20" i="43"/>
  <c r="R20" i="43"/>
  <c r="AD20" i="43"/>
  <c r="AF30" i="43"/>
  <c r="AQ29" i="43"/>
  <c r="AW29" i="43" s="1"/>
  <c r="AS29" i="43"/>
  <c r="R29" i="43"/>
  <c r="AD29" i="43"/>
  <c r="R13" i="43"/>
  <c r="AQ13" i="43"/>
  <c r="AS13" i="43"/>
  <c r="AD13" i="43"/>
  <c r="AO13" i="43" s="1"/>
  <c r="AF97" i="38"/>
  <c r="U31" i="38"/>
  <c r="AT31" i="38"/>
  <c r="AU31" i="38"/>
  <c r="U24" i="38"/>
  <c r="AU24" i="38"/>
  <c r="AT24" i="38"/>
  <c r="AD8" i="43"/>
  <c r="AO8" i="43" s="1"/>
  <c r="R8" i="43"/>
  <c r="AS8" i="43"/>
  <c r="AQ8" i="43"/>
  <c r="AF45" i="43"/>
  <c r="AF88" i="43"/>
  <c r="AF29" i="43"/>
  <c r="AO29" i="43"/>
  <c r="AZ36" i="38"/>
  <c r="AX36" i="38"/>
  <c r="AQ80" i="43"/>
  <c r="R80" i="43"/>
  <c r="AD80" i="43"/>
  <c r="AO80" i="43" s="1"/>
  <c r="AS80" i="43"/>
  <c r="AT104" i="43"/>
  <c r="AF3" i="43"/>
  <c r="AA105" i="43"/>
  <c r="AS75" i="43"/>
  <c r="R75" i="43"/>
  <c r="AD75" i="43"/>
  <c r="AO75" i="43" s="1"/>
  <c r="AQ75" i="43"/>
  <c r="AF86" i="38"/>
  <c r="AW33" i="42"/>
  <c r="AW17" i="42"/>
  <c r="S105" i="38"/>
  <c r="AT3" i="38"/>
  <c r="AU3" i="38"/>
  <c r="U3" i="38"/>
  <c r="U87" i="38"/>
  <c r="AT87" i="38"/>
  <c r="AU87" i="38"/>
  <c r="U12" i="38"/>
  <c r="AU12" i="38"/>
  <c r="AT12" i="38"/>
  <c r="AW82" i="42"/>
  <c r="AX82" i="42"/>
  <c r="AZ82" i="42"/>
  <c r="AC7" i="42"/>
  <c r="AF25" i="43"/>
  <c r="AO25" i="43"/>
  <c r="AC85" i="42"/>
  <c r="AF20" i="43"/>
  <c r="AO20" i="43"/>
  <c r="AF23" i="38"/>
  <c r="AD44" i="43"/>
  <c r="AO44" i="43" s="1"/>
  <c r="AQ44" i="43"/>
  <c r="R44" i="43"/>
  <c r="AS44" i="43"/>
  <c r="R19" i="43"/>
  <c r="AQ19" i="43"/>
  <c r="AW19" i="43" s="1"/>
  <c r="AS19" i="43"/>
  <c r="AD19" i="43"/>
  <c r="AO19" i="43" s="1"/>
  <c r="AC27" i="42"/>
  <c r="AC41" i="42"/>
  <c r="AS95" i="43"/>
  <c r="AQ95" i="43"/>
  <c r="AW95" i="43" s="1"/>
  <c r="R95" i="43"/>
  <c r="AD95" i="43"/>
  <c r="AO95" i="43" s="1"/>
  <c r="AW15" i="42"/>
  <c r="AD76" i="43"/>
  <c r="AQ76" i="43"/>
  <c r="R76" i="43"/>
  <c r="AS76" i="43"/>
  <c r="AF34" i="43"/>
  <c r="AW79" i="42"/>
  <c r="AX79" i="42"/>
  <c r="AZ79" i="42"/>
  <c r="AZ32" i="42"/>
  <c r="AX32" i="42"/>
  <c r="AF13" i="43"/>
  <c r="AZ30" i="42"/>
  <c r="AX30" i="42"/>
  <c r="AF6" i="38"/>
  <c r="AW13" i="42"/>
  <c r="AF96" i="38"/>
  <c r="AS22" i="43"/>
  <c r="AQ22" i="43"/>
  <c r="R22" i="43"/>
  <c r="AD22" i="43"/>
  <c r="AO22" i="43" s="1"/>
  <c r="AD86" i="43"/>
  <c r="AO86" i="43" s="1"/>
  <c r="R86" i="43"/>
  <c r="AS86" i="43"/>
  <c r="AQ86" i="43"/>
  <c r="AW8" i="42"/>
  <c r="AW87" i="42"/>
  <c r="AZ87" i="42"/>
  <c r="AX87" i="42"/>
  <c r="U10" i="38"/>
  <c r="AT10" i="38"/>
  <c r="AU10" i="38"/>
  <c r="AF22" i="43"/>
  <c r="AU98" i="38"/>
  <c r="AT98" i="38"/>
  <c r="U98" i="38"/>
  <c r="AF84" i="43"/>
  <c r="R41" i="43"/>
  <c r="AD41" i="43"/>
  <c r="AO41" i="43" s="1"/>
  <c r="AQ41" i="43"/>
  <c r="AS41" i="43"/>
  <c r="AF45" i="38"/>
  <c r="AD105" i="42"/>
  <c r="AF88" i="38"/>
  <c r="AS85" i="43"/>
  <c r="R85" i="43"/>
  <c r="AQ85" i="43"/>
  <c r="AD85" i="43"/>
  <c r="AO85" i="43" s="1"/>
  <c r="AF29" i="38"/>
  <c r="AU104" i="43"/>
  <c r="Y105" i="38"/>
  <c r="Y126" i="38" s="1"/>
  <c r="AA3" i="38"/>
  <c r="U75" i="38"/>
  <c r="AT75" i="38"/>
  <c r="AU75" i="38"/>
  <c r="AF86" i="43"/>
  <c r="R28" i="43"/>
  <c r="AS28" i="43"/>
  <c r="AD28" i="43"/>
  <c r="AO28" i="43" s="1"/>
  <c r="AQ28" i="43"/>
  <c r="AU43" i="38"/>
  <c r="U43" i="38"/>
  <c r="AT43" i="38"/>
  <c r="R33" i="43"/>
  <c r="AS33" i="43"/>
  <c r="AD33" i="43"/>
  <c r="AO33" i="43" s="1"/>
  <c r="AQ33" i="43"/>
  <c r="R17" i="43"/>
  <c r="AD17" i="43"/>
  <c r="AO17" i="43" s="1"/>
  <c r="AS17" i="43"/>
  <c r="AQ17" i="43"/>
  <c r="AC82" i="42"/>
  <c r="AC23" i="42"/>
  <c r="AT47" i="38"/>
  <c r="U47" i="38"/>
  <c r="AU47" i="38"/>
  <c r="AF25" i="38"/>
  <c r="AC88" i="42"/>
  <c r="AC34" i="42"/>
  <c r="AF20" i="38"/>
  <c r="AU94" i="38"/>
  <c r="AT94" i="38"/>
  <c r="U94" i="38"/>
  <c r="AS78" i="43"/>
  <c r="AD78" i="43"/>
  <c r="AO78" i="43" s="1"/>
  <c r="AQ78" i="43"/>
  <c r="R78" i="43"/>
  <c r="AF94" i="43"/>
  <c r="AU14" i="38"/>
  <c r="AT14" i="38"/>
  <c r="U14" i="38"/>
  <c r="AU76" i="38"/>
  <c r="AT76" i="38"/>
  <c r="U76" i="38"/>
  <c r="AW18" i="42"/>
  <c r="AF34" i="38"/>
  <c r="AW81" i="42"/>
  <c r="AZ81" i="42"/>
  <c r="AX81" i="42"/>
  <c r="AF6" i="43"/>
  <c r="AF83" i="43"/>
  <c r="AW76" i="42"/>
  <c r="AZ76" i="42"/>
  <c r="AX76" i="42"/>
  <c r="U15" i="38"/>
  <c r="AU15" i="38"/>
  <c r="AT15" i="38"/>
  <c r="U18" i="38"/>
  <c r="AT18" i="38"/>
  <c r="AU18" i="38"/>
  <c r="AW44" i="42"/>
  <c r="AZ44" i="42"/>
  <c r="AX44" i="42"/>
  <c r="AT20" i="38"/>
  <c r="AU20" i="38"/>
  <c r="U20" i="38"/>
  <c r="AF22" i="38"/>
  <c r="R88" i="43"/>
  <c r="AD88" i="43"/>
  <c r="AO88" i="43" s="1"/>
  <c r="AQ88" i="43"/>
  <c r="AS88" i="43"/>
  <c r="AS98" i="43"/>
  <c r="R98" i="43"/>
  <c r="AD98" i="43"/>
  <c r="AO98" i="43" s="1"/>
  <c r="AQ98" i="43"/>
  <c r="AF84" i="38"/>
  <c r="AU41" i="38"/>
  <c r="AT41" i="38"/>
  <c r="U41" i="38"/>
  <c r="U8" i="38"/>
  <c r="AU8" i="38"/>
  <c r="AT8" i="38"/>
  <c r="AD34" i="43"/>
  <c r="AO34" i="43" s="1"/>
  <c r="AQ34" i="43"/>
  <c r="AW34" i="43" s="1"/>
  <c r="AS34" i="43"/>
  <c r="R34" i="43"/>
  <c r="AW27" i="42"/>
  <c r="AW3" i="42"/>
  <c r="AF77" i="43"/>
  <c r="AF21" i="43"/>
  <c r="AO21" i="43"/>
  <c r="H45" i="3"/>
  <c r="AF32" i="43"/>
  <c r="AT7" i="38"/>
  <c r="U7" i="38"/>
  <c r="AU7" i="38"/>
  <c r="AW48" i="42"/>
  <c r="AZ48" i="42"/>
  <c r="AX48" i="42"/>
  <c r="AF78" i="38"/>
  <c r="O20" i="3"/>
  <c r="M45" i="3"/>
  <c r="AW20" i="42"/>
  <c r="AZ23" i="42"/>
  <c r="AX23" i="42"/>
  <c r="AD48" i="43"/>
  <c r="AO48" i="43" s="1"/>
  <c r="R48" i="43"/>
  <c r="AS48" i="43"/>
  <c r="AQ48" i="43"/>
  <c r="AF17" i="43"/>
  <c r="AW77" i="42"/>
  <c r="AZ77" i="42"/>
  <c r="AX77" i="42"/>
  <c r="AC10" i="42"/>
  <c r="AF12" i="43"/>
  <c r="AW22" i="42"/>
  <c r="U44" i="38"/>
  <c r="AU44" i="38"/>
  <c r="AT44" i="38"/>
  <c r="AU19" i="38"/>
  <c r="AT19" i="38"/>
  <c r="U19" i="38"/>
  <c r="AC94" i="42"/>
  <c r="L20" i="3"/>
  <c r="J45" i="3"/>
  <c r="AQ45" i="43"/>
  <c r="AS45" i="43"/>
  <c r="R45" i="43"/>
  <c r="AD45" i="43"/>
  <c r="AO45" i="43" s="1"/>
  <c r="AD81" i="43"/>
  <c r="AS81" i="43"/>
  <c r="AQ81" i="43"/>
  <c r="R81" i="43"/>
  <c r="AF26" i="43"/>
  <c r="AF94" i="38"/>
  <c r="AC83" i="42"/>
  <c r="AF27" i="43"/>
  <c r="AO27" i="43"/>
  <c r="AF82" i="43"/>
  <c r="AS77" i="43"/>
  <c r="AD77" i="43"/>
  <c r="AO77" i="43" s="1"/>
  <c r="R77" i="43"/>
  <c r="AQ77" i="43"/>
  <c r="AZ46" i="42"/>
  <c r="AX46" i="42"/>
  <c r="AX22" i="42"/>
  <c r="AZ22" i="42"/>
  <c r="AF83" i="38"/>
  <c r="AU22" i="38"/>
  <c r="AT22" i="38"/>
  <c r="U22" i="38"/>
  <c r="AU86" i="38"/>
  <c r="AT86" i="38"/>
  <c r="U86" i="38"/>
  <c r="AS18" i="43"/>
  <c r="AQ18" i="43"/>
  <c r="R18" i="43"/>
  <c r="AD18" i="43"/>
  <c r="AO18" i="43" s="1"/>
  <c r="AF81" i="43"/>
  <c r="AO81" i="43"/>
  <c r="AF14" i="38"/>
  <c r="U88" i="38"/>
  <c r="AU88" i="38"/>
  <c r="AT88" i="38"/>
  <c r="AU29" i="38"/>
  <c r="AT29" i="38"/>
  <c r="U29" i="38"/>
  <c r="AU13" i="38"/>
  <c r="U13" i="38"/>
  <c r="AT13" i="38"/>
  <c r="AF76" i="43"/>
  <c r="AO76" i="43"/>
  <c r="AZ40" i="38"/>
  <c r="AX40" i="38"/>
  <c r="AD32" i="43"/>
  <c r="AO32" i="43" s="1"/>
  <c r="AQ32" i="43"/>
  <c r="AW32" i="43" s="1"/>
  <c r="AS32" i="43"/>
  <c r="R32" i="43"/>
  <c r="AS16" i="43"/>
  <c r="AQ16" i="43"/>
  <c r="R16" i="43"/>
  <c r="AD16" i="43"/>
  <c r="AO16" i="43" s="1"/>
  <c r="AX86" i="42"/>
  <c r="AZ86" i="42"/>
  <c r="AF77" i="38"/>
  <c r="AU85" i="38"/>
  <c r="U85" i="38"/>
  <c r="AT85" i="38"/>
  <c r="AF21" i="38"/>
  <c r="AU80" i="38"/>
  <c r="AT80" i="38"/>
  <c r="U80" i="38"/>
  <c r="AF32" i="38"/>
  <c r="AZ89" i="38"/>
  <c r="AX89" i="38"/>
  <c r="R23" i="43"/>
  <c r="AQ23" i="43"/>
  <c r="AW23" i="43" s="1"/>
  <c r="AS23" i="43"/>
  <c r="AD23" i="43"/>
  <c r="AO23" i="43" s="1"/>
  <c r="AD83" i="43"/>
  <c r="AO83" i="43" s="1"/>
  <c r="AS83" i="43"/>
  <c r="R83" i="43"/>
  <c r="AQ83" i="43"/>
  <c r="AF78" i="43"/>
  <c r="U28" i="38"/>
  <c r="AU28" i="38"/>
  <c r="AT28" i="38"/>
  <c r="AW39" i="38"/>
  <c r="AT33" i="38"/>
  <c r="U33" i="38"/>
  <c r="AU33" i="38"/>
  <c r="U17" i="38"/>
  <c r="AT17" i="38"/>
  <c r="AU17" i="38"/>
  <c r="R4" i="43"/>
  <c r="AD4" i="43"/>
  <c r="AO4" i="43" s="1"/>
  <c r="AQ4" i="43"/>
  <c r="AS4" i="43"/>
  <c r="AF17" i="38"/>
  <c r="AC3" i="42"/>
  <c r="AC77" i="42"/>
  <c r="AZ26" i="42"/>
  <c r="AX26" i="42"/>
  <c r="AF12" i="38"/>
  <c r="AC28" i="42"/>
  <c r="AC19" i="42"/>
  <c r="AF26" i="38"/>
  <c r="AU78" i="38"/>
  <c r="AT78" i="38"/>
  <c r="U78" i="38"/>
  <c r="AC6" i="42"/>
  <c r="AW37" i="38"/>
  <c r="AD30" i="43"/>
  <c r="AO30" i="43" s="1"/>
  <c r="AQ30" i="43"/>
  <c r="AS30" i="43"/>
  <c r="R30" i="43"/>
  <c r="AS6" i="43"/>
  <c r="R6" i="43"/>
  <c r="AD6" i="43"/>
  <c r="AO6" i="43" s="1"/>
  <c r="AQ6" i="43"/>
  <c r="AT95" i="38"/>
  <c r="U95" i="38"/>
  <c r="AU95" i="38"/>
  <c r="AS84" i="43"/>
  <c r="AQ84" i="43"/>
  <c r="R84" i="43"/>
  <c r="AD84" i="43"/>
  <c r="AO84" i="43" s="1"/>
  <c r="AF27" i="38"/>
  <c r="AF82" i="38"/>
  <c r="AC20" i="3" l="1"/>
  <c r="AC19" i="3"/>
  <c r="AF19" i="3" s="1"/>
  <c r="AC18" i="3"/>
  <c r="AF18" i="3" s="1"/>
  <c r="AC17" i="3"/>
  <c r="AF17" i="3" s="1"/>
  <c r="AV23" i="43" a="1"/>
  <c r="AV23" i="43" s="1"/>
  <c r="C56" i="50"/>
  <c r="AV32" i="43" a="1"/>
  <c r="AV32" i="43" s="1"/>
  <c r="C59" i="50"/>
  <c r="AV24" i="43" a="1"/>
  <c r="AV24" i="43" s="1"/>
  <c r="C47" i="50"/>
  <c r="AV15" i="43" a="1"/>
  <c r="AV15" i="43" s="1"/>
  <c r="C18" i="50"/>
  <c r="AV9" i="43" a="1"/>
  <c r="AV9" i="43" s="1"/>
  <c r="C5" i="50"/>
  <c r="AV5" i="43" a="1"/>
  <c r="AV5" i="43" s="1"/>
  <c r="C9" i="50"/>
  <c r="AV84" i="43" a="1"/>
  <c r="AV84" i="43" s="1"/>
  <c r="C102" i="50"/>
  <c r="AV16" i="43" a="1"/>
  <c r="AV16" i="43" s="1"/>
  <c r="C8" i="50"/>
  <c r="AV18" i="43" a="1"/>
  <c r="AV18" i="43" s="1"/>
  <c r="C16" i="50"/>
  <c r="AV28" i="43"/>
  <c r="C13" i="50"/>
  <c r="AV44" i="43" a="1"/>
  <c r="AV44" i="43" s="1"/>
  <c r="C24" i="50"/>
  <c r="AV80" i="43" a="1"/>
  <c r="AV80" i="43" s="1"/>
  <c r="C87" i="50"/>
  <c r="AV47" i="43" a="1"/>
  <c r="AV47" i="43" s="1"/>
  <c r="C26" i="50"/>
  <c r="AV10" i="43" a="1"/>
  <c r="AV10" i="43" s="1"/>
  <c r="C11" i="50"/>
  <c r="AV6" i="43" a="1"/>
  <c r="AV6" i="43" s="1"/>
  <c r="C14" i="50"/>
  <c r="AV77" i="43" a="1"/>
  <c r="AV77" i="43" s="1"/>
  <c r="C91" i="50"/>
  <c r="AV33" i="43" a="1"/>
  <c r="AV33" i="43" s="1"/>
  <c r="C103" i="50"/>
  <c r="AV19" i="43" a="1"/>
  <c r="AV19" i="43" s="1"/>
  <c r="AZ19" i="43" s="1"/>
  <c r="C55" i="50"/>
  <c r="AV75" i="43" a="1"/>
  <c r="AV75" i="43" s="1"/>
  <c r="C90" i="50"/>
  <c r="AV76" i="43" a="1"/>
  <c r="AV76" i="43" s="1"/>
  <c r="C101" i="50"/>
  <c r="AV20" i="43" a="1"/>
  <c r="AV20" i="43" s="1"/>
  <c r="C78" i="50"/>
  <c r="AV87" i="43" a="1"/>
  <c r="AV87" i="43" s="1"/>
  <c r="AZ87" i="43" s="1"/>
  <c r="C100" i="50"/>
  <c r="AV11" i="43" a="1"/>
  <c r="AV11" i="43" s="1"/>
  <c r="C15" i="50"/>
  <c r="AV94" i="43" a="1"/>
  <c r="AV94" i="43" s="1"/>
  <c r="AZ94" i="43" s="1"/>
  <c r="C48" i="50"/>
  <c r="AV88" i="43" a="1"/>
  <c r="AV88" i="43" s="1"/>
  <c r="C33" i="50"/>
  <c r="AV85" i="43" a="1"/>
  <c r="AV85" i="43" s="1"/>
  <c r="AX85" i="43" s="1"/>
  <c r="C98" i="50"/>
  <c r="AV95" i="43" a="1"/>
  <c r="AV95" i="43" s="1"/>
  <c r="C71" i="50"/>
  <c r="AV31" i="43" a="1"/>
  <c r="AV31" i="43" s="1"/>
  <c r="AX31" i="43" s="1"/>
  <c r="C50" i="50"/>
  <c r="AV97" i="43" a="1"/>
  <c r="AV97" i="43" s="1"/>
  <c r="C44" i="50"/>
  <c r="AV79" i="43" a="1"/>
  <c r="AV79" i="43" s="1"/>
  <c r="AX79" i="43" s="1"/>
  <c r="C93" i="50"/>
  <c r="AV42" i="43" a="1"/>
  <c r="AV42" i="43" s="1"/>
  <c r="AW42" i="43" s="1"/>
  <c r="C29" i="50"/>
  <c r="AV96" i="43" a="1"/>
  <c r="AV96" i="43" s="1"/>
  <c r="C72" i="50"/>
  <c r="AV27" i="43" a="1"/>
  <c r="AV27" i="43" s="1"/>
  <c r="AW27" i="43" s="1"/>
  <c r="C86" i="50"/>
  <c r="AV48" i="43" a="1"/>
  <c r="AV48" i="43" s="1"/>
  <c r="AZ48" i="43" s="1"/>
  <c r="C19" i="50"/>
  <c r="AV41" i="43" a="1"/>
  <c r="AV41" i="43" s="1"/>
  <c r="AZ41" i="43" s="1"/>
  <c r="C38" i="50"/>
  <c r="AV8" i="43" a="1"/>
  <c r="AV8" i="43" s="1"/>
  <c r="AZ8" i="43" s="1"/>
  <c r="C22" i="50"/>
  <c r="AV13" i="43" a="1"/>
  <c r="AV13" i="43" s="1"/>
  <c r="AX13" i="43" s="1"/>
  <c r="C6" i="50"/>
  <c r="AV43" i="43" a="1"/>
  <c r="AV43" i="43" s="1"/>
  <c r="C27" i="50"/>
  <c r="AV82" i="43" a="1"/>
  <c r="AV82" i="43" s="1"/>
  <c r="C40" i="50"/>
  <c r="AV30" i="43" a="1"/>
  <c r="AV30" i="43" s="1"/>
  <c r="AX30" i="43" s="1"/>
  <c r="C52" i="50"/>
  <c r="AV45" i="43" a="1"/>
  <c r="AV45" i="43" s="1"/>
  <c r="C20" i="50"/>
  <c r="AV21" i="43" a="1"/>
  <c r="AV21" i="43" s="1"/>
  <c r="C95" i="50"/>
  <c r="AV34" i="43" a="1"/>
  <c r="AV34" i="43" s="1"/>
  <c r="AX34" i="43" s="1"/>
  <c r="C54" i="50"/>
  <c r="AV78" i="43" a="1"/>
  <c r="AV78" i="43" s="1"/>
  <c r="C99" i="50"/>
  <c r="AV86" i="43" a="1"/>
  <c r="AV86" i="43" s="1"/>
  <c r="AW86" i="43" s="1"/>
  <c r="C94" i="50"/>
  <c r="AV25" i="43" a="1"/>
  <c r="AV25" i="43" s="1"/>
  <c r="AX25" i="43" s="1"/>
  <c r="C57" i="50"/>
  <c r="AV29" i="43" a="1"/>
  <c r="AV29" i="43" s="1"/>
  <c r="C58" i="50"/>
  <c r="AV14" i="43" a="1"/>
  <c r="AV14" i="43" s="1"/>
  <c r="AZ14" i="43" s="1"/>
  <c r="C17" i="50"/>
  <c r="AV46" i="43" a="1"/>
  <c r="AV46" i="43" s="1"/>
  <c r="AZ46" i="43" s="1"/>
  <c r="C62" i="50"/>
  <c r="AV4" i="43" a="1"/>
  <c r="AV4" i="43" s="1"/>
  <c r="AW4" i="43" s="1"/>
  <c r="C4" i="50"/>
  <c r="AV83" i="43" a="1"/>
  <c r="AV83" i="43" s="1"/>
  <c r="AZ83" i="43" s="1"/>
  <c r="C49" i="50"/>
  <c r="AV81" i="43" a="1"/>
  <c r="AV81" i="43" s="1"/>
  <c r="AW81" i="43" s="1"/>
  <c r="C53" i="50"/>
  <c r="AV98" i="43" a="1"/>
  <c r="AV98" i="43" s="1"/>
  <c r="AZ98" i="43" s="1"/>
  <c r="C82" i="50"/>
  <c r="AV17" i="43" a="1"/>
  <c r="AV17" i="43" s="1"/>
  <c r="AX17" i="43" s="1"/>
  <c r="C25" i="50"/>
  <c r="AV22" i="43" a="1"/>
  <c r="AV22" i="43" s="1"/>
  <c r="AX22" i="43" s="1"/>
  <c r="C89" i="50"/>
  <c r="AV12" i="43" a="1"/>
  <c r="AV12" i="43" s="1"/>
  <c r="AW12" i="43" s="1"/>
  <c r="C12" i="50"/>
  <c r="AV7" i="43" a="1"/>
  <c r="AV7" i="43" s="1"/>
  <c r="AW7" i="43" s="1"/>
  <c r="C7" i="50"/>
  <c r="AV26" i="43" a="1"/>
  <c r="AV26" i="43" s="1"/>
  <c r="AZ26" i="43" s="1"/>
  <c r="C104" i="50"/>
  <c r="C105" i="50"/>
  <c r="D10" i="50" s="1"/>
  <c r="AW80" i="43"/>
  <c r="AZ23" i="43"/>
  <c r="AX23" i="43"/>
  <c r="AX7" i="43"/>
  <c r="AZ16" i="43"/>
  <c r="AX16" i="43"/>
  <c r="AX19" i="43"/>
  <c r="AX75" i="43"/>
  <c r="AZ75" i="43"/>
  <c r="AX98" i="43"/>
  <c r="AX41" i="43"/>
  <c r="AZ34" i="43"/>
  <c r="AX87" i="43"/>
  <c r="AZ9" i="43"/>
  <c r="AX9" i="43"/>
  <c r="AZ31" i="43"/>
  <c r="AX47" i="43"/>
  <c r="AZ47" i="43"/>
  <c r="AZ13" i="43"/>
  <c r="AW10" i="43"/>
  <c r="AZ10" i="43"/>
  <c r="AX10" i="43"/>
  <c r="AX46" i="43"/>
  <c r="AW85" i="43"/>
  <c r="AZ85" i="43"/>
  <c r="AX84" i="43"/>
  <c r="AZ84" i="43"/>
  <c r="AW83" i="43"/>
  <c r="AZ33" i="43"/>
  <c r="AX33" i="43"/>
  <c r="AX14" i="43"/>
  <c r="AW94" i="43"/>
  <c r="AX94" i="43"/>
  <c r="L45" i="3"/>
  <c r="AD33" i="38"/>
  <c r="AO33" i="38" s="1"/>
  <c r="AV33" i="38" s="1" a="1"/>
  <c r="AV33" i="38" s="1"/>
  <c r="AS33" i="38"/>
  <c r="AQ33" i="38"/>
  <c r="AW18" i="43"/>
  <c r="AX18" i="43"/>
  <c r="AZ18" i="43"/>
  <c r="AZ27" i="43"/>
  <c r="AX27" i="43"/>
  <c r="AX48" i="43"/>
  <c r="AW77" i="43"/>
  <c r="AX77" i="43"/>
  <c r="AZ77" i="43"/>
  <c r="AX88" i="43"/>
  <c r="AZ88" i="43"/>
  <c r="AX104" i="42"/>
  <c r="AD15" i="38"/>
  <c r="AO15" i="38" s="1"/>
  <c r="AV15" i="38" s="1" a="1"/>
  <c r="AV15" i="38" s="1"/>
  <c r="AS15" i="38"/>
  <c r="AQ15" i="38"/>
  <c r="AZ6" i="43"/>
  <c r="AX6" i="43"/>
  <c r="AZ86" i="43"/>
  <c r="AW44" i="43"/>
  <c r="AX44" i="43"/>
  <c r="AZ44" i="43"/>
  <c r="AU105" i="38"/>
  <c r="S126" i="38"/>
  <c r="AU126" i="38" s="1"/>
  <c r="AZ80" i="43"/>
  <c r="AX80" i="43"/>
  <c r="AX8" i="43"/>
  <c r="AC45" i="3"/>
  <c r="AW47" i="43"/>
  <c r="AS25" i="38"/>
  <c r="AD25" i="38"/>
  <c r="AO25" i="38" s="1"/>
  <c r="AV25" i="38" s="1" a="1"/>
  <c r="AV25" i="38" s="1"/>
  <c r="AQ25" i="38"/>
  <c r="AS104" i="43"/>
  <c r="AZ24" i="43"/>
  <c r="AX24" i="43"/>
  <c r="AW97" i="43"/>
  <c r="AZ97" i="43"/>
  <c r="AX97" i="43"/>
  <c r="AD46" i="38"/>
  <c r="AO46" i="38" s="1"/>
  <c r="AV46" i="38" s="1" a="1"/>
  <c r="AV46" i="38" s="1"/>
  <c r="AS46" i="38"/>
  <c r="AQ46" i="38"/>
  <c r="AW46" i="38" s="1"/>
  <c r="AS27" i="38"/>
  <c r="AD27" i="38"/>
  <c r="AO27" i="38" s="1"/>
  <c r="AV27" i="38" s="1" a="1"/>
  <c r="AV27" i="38" s="1"/>
  <c r="AQ27" i="38"/>
  <c r="AD83" i="38"/>
  <c r="AO83" i="38" s="1"/>
  <c r="AV83" i="38" s="1" a="1"/>
  <c r="AV83" i="38" s="1"/>
  <c r="AS83" i="38"/>
  <c r="AQ83" i="38"/>
  <c r="AD82" i="38"/>
  <c r="AO82" i="38" s="1"/>
  <c r="AV82" i="38" s="1" a="1"/>
  <c r="AV82" i="38" s="1"/>
  <c r="AS82" i="38"/>
  <c r="AQ82" i="38"/>
  <c r="AD42" i="38"/>
  <c r="AO42" i="38" s="1"/>
  <c r="AV42" i="38" s="1" a="1"/>
  <c r="AV42" i="38" s="1"/>
  <c r="AS42" i="38"/>
  <c r="AQ42" i="38"/>
  <c r="AD88" i="38"/>
  <c r="AO88" i="38" s="1"/>
  <c r="AV88" i="38" s="1" a="1"/>
  <c r="AV88" i="38" s="1"/>
  <c r="AS88" i="38"/>
  <c r="AQ88" i="38"/>
  <c r="AS44" i="38"/>
  <c r="AD44" i="38"/>
  <c r="AO44" i="38" s="1"/>
  <c r="AV44" i="38" s="1" a="1"/>
  <c r="AV44" i="38" s="1"/>
  <c r="AQ44" i="38"/>
  <c r="AZ32" i="43"/>
  <c r="AX32" i="43"/>
  <c r="AS76" i="38"/>
  <c r="AD76" i="38"/>
  <c r="AO76" i="38" s="1"/>
  <c r="AV76" i="38" s="1" a="1"/>
  <c r="AV76" i="38" s="1"/>
  <c r="AQ76" i="38"/>
  <c r="AS43" i="38"/>
  <c r="AD43" i="38"/>
  <c r="AO43" i="38" s="1"/>
  <c r="AV43" i="38" s="1" a="1"/>
  <c r="AV43" i="38" s="1"/>
  <c r="AQ43" i="38"/>
  <c r="AZ25" i="43"/>
  <c r="AS12" i="38"/>
  <c r="AD12" i="38"/>
  <c r="AO12" i="38" s="1"/>
  <c r="AV12" i="38" s="1" a="1"/>
  <c r="AV12" i="38" s="1"/>
  <c r="AQ12" i="38"/>
  <c r="AD79" i="38"/>
  <c r="AO79" i="38" s="1"/>
  <c r="AV79" i="38" s="1" a="1"/>
  <c r="AV79" i="38" s="1"/>
  <c r="AS79" i="38"/>
  <c r="AQ79" i="38"/>
  <c r="AW87" i="43"/>
  <c r="AQ104" i="43"/>
  <c r="AW9" i="43"/>
  <c r="AZ5" i="43"/>
  <c r="AX5" i="43"/>
  <c r="AS6" i="38"/>
  <c r="AD6" i="38"/>
  <c r="AO6" i="38" s="1"/>
  <c r="AV6" i="38" s="1" a="1"/>
  <c r="AV6" i="38" s="1"/>
  <c r="AQ6" i="38"/>
  <c r="AD34" i="38"/>
  <c r="AO34" i="38" s="1"/>
  <c r="AV34" i="38" s="1" a="1"/>
  <c r="AV34" i="38" s="1"/>
  <c r="AS34" i="38"/>
  <c r="AQ34" i="38"/>
  <c r="AW98" i="43"/>
  <c r="AS47" i="38"/>
  <c r="AD47" i="38"/>
  <c r="AO47" i="38" s="1"/>
  <c r="AV47" i="38" s="1" a="1"/>
  <c r="AV47" i="38" s="1"/>
  <c r="AQ47" i="38"/>
  <c r="AZ95" i="43"/>
  <c r="AX95" i="43"/>
  <c r="AD8" i="38"/>
  <c r="AO8" i="38" s="1"/>
  <c r="AV8" i="38" s="1" a="1"/>
  <c r="AV8" i="38" s="1"/>
  <c r="AS8" i="38"/>
  <c r="AQ8" i="38"/>
  <c r="AW78" i="43"/>
  <c r="AW28" i="43"/>
  <c r="AF105" i="43"/>
  <c r="AA126" i="43"/>
  <c r="AS24" i="38"/>
  <c r="AD24" i="38"/>
  <c r="AO24" i="38" s="1"/>
  <c r="AV24" i="38" s="1" a="1"/>
  <c r="AV24" i="38" s="1"/>
  <c r="AQ24" i="38"/>
  <c r="AW14" i="43"/>
  <c r="AW31" i="43"/>
  <c r="AW82" i="43"/>
  <c r="AD45" i="38"/>
  <c r="AO45" i="38" s="1"/>
  <c r="AV45" i="38" s="1" a="1"/>
  <c r="AV45" i="38" s="1"/>
  <c r="AS45" i="38"/>
  <c r="AQ45" i="38"/>
  <c r="AD81" i="38"/>
  <c r="AO81" i="38" s="1"/>
  <c r="AV81" i="38" s="1" a="1"/>
  <c r="AV81" i="38" s="1"/>
  <c r="AS81" i="38"/>
  <c r="AQ81" i="38"/>
  <c r="AS13" i="38"/>
  <c r="AD13" i="38"/>
  <c r="AO13" i="38" s="1"/>
  <c r="AV13" i="38" s="1" a="1"/>
  <c r="AV13" i="38" s="1"/>
  <c r="AQ13" i="38"/>
  <c r="AD16" i="38"/>
  <c r="AO16" i="38" s="1"/>
  <c r="AV16" i="38" s="1" a="1"/>
  <c r="AV16" i="38" s="1"/>
  <c r="AS16" i="38"/>
  <c r="AQ16" i="38"/>
  <c r="AW104" i="42"/>
  <c r="AW6" i="43"/>
  <c r="AC105" i="42"/>
  <c r="AC126" i="42" s="1"/>
  <c r="AD29" i="38"/>
  <c r="AO29" i="38" s="1"/>
  <c r="AS29" i="38"/>
  <c r="AQ29" i="38"/>
  <c r="AV29" i="38" a="1"/>
  <c r="AV29" i="38" s="1"/>
  <c r="AD86" i="38"/>
  <c r="AO86" i="38" s="1"/>
  <c r="AV86" i="38" s="1" a="1"/>
  <c r="AV86" i="38" s="1"/>
  <c r="AS86" i="38"/>
  <c r="AQ86" i="38"/>
  <c r="AQ19" i="38"/>
  <c r="AW19" i="38" s="1"/>
  <c r="AD19" i="38"/>
  <c r="AO19" i="38" s="1"/>
  <c r="AV19" i="38" s="1" a="1"/>
  <c r="AV19" i="38" s="1"/>
  <c r="AS19" i="38"/>
  <c r="AZ12" i="43"/>
  <c r="AX12" i="43"/>
  <c r="AS41" i="38"/>
  <c r="AD41" i="38"/>
  <c r="AO41" i="38" s="1"/>
  <c r="AV41" i="38" s="1" a="1"/>
  <c r="AV41" i="38" s="1"/>
  <c r="AQ41" i="38"/>
  <c r="AS14" i="38"/>
  <c r="AD14" i="38"/>
  <c r="AO14" i="38" s="1"/>
  <c r="AV14" i="38" s="1" a="1"/>
  <c r="AV14" i="38" s="1"/>
  <c r="AQ14" i="38"/>
  <c r="AW33" i="43"/>
  <c r="AZ28" i="43"/>
  <c r="AX28" i="43"/>
  <c r="AD75" i="38"/>
  <c r="AO75" i="38" s="1"/>
  <c r="AV75" i="38" s="1" a="1"/>
  <c r="AV75" i="38" s="1"/>
  <c r="AS75" i="38"/>
  <c r="AQ75" i="38"/>
  <c r="AS87" i="38"/>
  <c r="AD87" i="38"/>
  <c r="AO87" i="38" s="1"/>
  <c r="AQ87" i="38"/>
  <c r="AV87" i="38" a="1"/>
  <c r="AV87" i="38" s="1"/>
  <c r="AV3" i="43"/>
  <c r="AO105" i="43"/>
  <c r="AO126" i="43" s="1"/>
  <c r="AW13" i="43"/>
  <c r="AW43" i="43"/>
  <c r="AS5" i="38"/>
  <c r="AD5" i="38"/>
  <c r="AO5" i="38" s="1"/>
  <c r="AQ5" i="38"/>
  <c r="AV5" i="38" a="1"/>
  <c r="AV5" i="38" s="1"/>
  <c r="AZ82" i="43"/>
  <c r="AX82" i="43"/>
  <c r="AS11" i="38"/>
  <c r="AD11" i="38"/>
  <c r="AO11" i="38" s="1"/>
  <c r="AV11" i="38" s="1" a="1"/>
  <c r="AV11" i="38" s="1"/>
  <c r="AQ11" i="38"/>
  <c r="AS30" i="38"/>
  <c r="AD30" i="38"/>
  <c r="AO30" i="38" s="1"/>
  <c r="AV30" i="38" s="1" a="1"/>
  <c r="AV30" i="38" s="1"/>
  <c r="AQ30" i="38"/>
  <c r="AD48" i="38"/>
  <c r="AO48" i="38" s="1"/>
  <c r="AV48" i="38" s="1" a="1"/>
  <c r="AV48" i="38" s="1"/>
  <c r="AS48" i="38"/>
  <c r="AQ48" i="38"/>
  <c r="AD126" i="42"/>
  <c r="P20" i="3"/>
  <c r="AF20" i="3" s="1"/>
  <c r="AZ43" i="43"/>
  <c r="AX43" i="43"/>
  <c r="AS28" i="38"/>
  <c r="AD28" i="38"/>
  <c r="AO28" i="38" s="1"/>
  <c r="AV28" i="38" s="1"/>
  <c r="AQ28" i="38"/>
  <c r="AS85" i="38"/>
  <c r="AD85" i="38"/>
  <c r="AO85" i="38" s="1"/>
  <c r="AV85" i="38" s="1" a="1"/>
  <c r="AV85" i="38" s="1"/>
  <c r="AQ85" i="38"/>
  <c r="AW48" i="43"/>
  <c r="AU104" i="38"/>
  <c r="AS20" i="38"/>
  <c r="AD20" i="38"/>
  <c r="AO20" i="38" s="1"/>
  <c r="AV20" i="38" s="1" a="1"/>
  <c r="AV20" i="38" s="1"/>
  <c r="AQ20" i="38"/>
  <c r="AD18" i="38"/>
  <c r="AO18" i="38" s="1"/>
  <c r="AV18" i="38" s="1" a="1"/>
  <c r="AV18" i="38" s="1"/>
  <c r="AS18" i="38"/>
  <c r="AQ18" i="38"/>
  <c r="AF3" i="38"/>
  <c r="AA105" i="38"/>
  <c r="AS98" i="38"/>
  <c r="AD98" i="38"/>
  <c r="AO98" i="38" s="1"/>
  <c r="AV98" i="38" s="1" a="1"/>
  <c r="AV98" i="38" s="1"/>
  <c r="AQ98" i="38"/>
  <c r="AD10" i="38"/>
  <c r="AO10" i="38" s="1"/>
  <c r="AV10" i="38" s="1" a="1"/>
  <c r="AV10" i="38" s="1"/>
  <c r="AS10" i="38"/>
  <c r="AQ10" i="38"/>
  <c r="AW20" i="43"/>
  <c r="AZ20" i="43"/>
  <c r="AX20" i="43"/>
  <c r="AS3" i="38"/>
  <c r="U105" i="38"/>
  <c r="U126" i="38" s="1"/>
  <c r="AD3" i="38"/>
  <c r="AQ3" i="38"/>
  <c r="AW8" i="43"/>
  <c r="AS9" i="38"/>
  <c r="AD9" i="38"/>
  <c r="AO9" i="38" s="1"/>
  <c r="AV9" i="38" s="1" a="1"/>
  <c r="AV9" i="38" s="1"/>
  <c r="AQ9" i="38"/>
  <c r="AN3" i="38"/>
  <c r="AN105" i="38" s="1"/>
  <c r="AN126" i="38" s="1"/>
  <c r="AN105" i="43"/>
  <c r="AN126" i="43" s="1"/>
  <c r="AS96" i="38"/>
  <c r="AD96" i="38"/>
  <c r="AO96" i="38" s="1"/>
  <c r="AV96" i="38" s="1" a="1"/>
  <c r="AV96" i="38" s="1"/>
  <c r="AQ96" i="38"/>
  <c r="AS32" i="38"/>
  <c r="AD32" i="38"/>
  <c r="AO32" i="38" s="1"/>
  <c r="AV32" i="38" s="1" a="1"/>
  <c r="AV32" i="38" s="1"/>
  <c r="AQ32" i="38"/>
  <c r="AS77" i="38"/>
  <c r="AD77" i="38"/>
  <c r="AO77" i="38" s="1"/>
  <c r="AV77" i="38" s="1" a="1"/>
  <c r="AV77" i="38" s="1"/>
  <c r="AQ77" i="38"/>
  <c r="AW30" i="43"/>
  <c r="AD97" i="38"/>
  <c r="AO97" i="38" s="1"/>
  <c r="AV97" i="38" s="1" a="1"/>
  <c r="AV97" i="38" s="1"/>
  <c r="AS97" i="38"/>
  <c r="AQ97" i="38"/>
  <c r="AD23" i="38"/>
  <c r="AO23" i="38" s="1"/>
  <c r="AV23" i="38" s="1" a="1"/>
  <c r="AV23" i="38" s="1"/>
  <c r="AS23" i="38"/>
  <c r="AQ23" i="38"/>
  <c r="AW23" i="38" s="1"/>
  <c r="AD78" i="38"/>
  <c r="AO78" i="38" s="1"/>
  <c r="AV78" i="38" s="1" a="1"/>
  <c r="AV78" i="38" s="1"/>
  <c r="AS78" i="38"/>
  <c r="AQ78" i="38"/>
  <c r="AD17" i="38"/>
  <c r="AO17" i="38" s="1"/>
  <c r="AV17" i="38" s="1" a="1"/>
  <c r="AV17" i="38" s="1"/>
  <c r="AS17" i="38"/>
  <c r="AQ17" i="38"/>
  <c r="AZ78" i="43"/>
  <c r="AX78" i="43"/>
  <c r="AD80" i="38"/>
  <c r="AO80" i="38" s="1"/>
  <c r="AV80" i="38" s="1" a="1"/>
  <c r="AV80" i="38" s="1"/>
  <c r="AS80" i="38"/>
  <c r="AQ80" i="38"/>
  <c r="AW16" i="43"/>
  <c r="AW76" i="43"/>
  <c r="AX76" i="43"/>
  <c r="AZ76" i="43"/>
  <c r="AZ81" i="43"/>
  <c r="AX81" i="43"/>
  <c r="AE20" i="3"/>
  <c r="F20" i="3"/>
  <c r="O45" i="3"/>
  <c r="AK20" i="3"/>
  <c r="AS7" i="38"/>
  <c r="AD7" i="38"/>
  <c r="AO7" i="38" s="1"/>
  <c r="AV7" i="38" s="1" a="1"/>
  <c r="AV7" i="38" s="1"/>
  <c r="AQ7" i="38"/>
  <c r="AZ21" i="43"/>
  <c r="AX21" i="43"/>
  <c r="AS94" i="38"/>
  <c r="AD94" i="38"/>
  <c r="AO94" i="38" s="1"/>
  <c r="AV94" i="38" s="1" a="1"/>
  <c r="AV94" i="38" s="1"/>
  <c r="AQ94" i="38"/>
  <c r="AW75" i="43"/>
  <c r="AZ29" i="43"/>
  <c r="AX29" i="43"/>
  <c r="AS31" i="38"/>
  <c r="AD31" i="38"/>
  <c r="AO31" i="38" s="1"/>
  <c r="AV31" i="38" s="1" a="1"/>
  <c r="AV31" i="38" s="1"/>
  <c r="AQ31" i="38"/>
  <c r="AD26" i="38"/>
  <c r="AO26" i="38" s="1"/>
  <c r="AV26" i="38" s="1" a="1"/>
  <c r="AV26" i="38" s="1"/>
  <c r="AS26" i="38"/>
  <c r="AQ26" i="38"/>
  <c r="AD84" i="38"/>
  <c r="AO84" i="38" s="1"/>
  <c r="AV84" i="38" s="1" a="1"/>
  <c r="AV84" i="38" s="1"/>
  <c r="AS84" i="38"/>
  <c r="AQ84" i="38"/>
  <c r="AW5" i="43"/>
  <c r="AS95" i="38"/>
  <c r="AD95" i="38"/>
  <c r="AO95" i="38" s="1"/>
  <c r="AV95" i="38" s="1" a="1"/>
  <c r="AV95" i="38" s="1"/>
  <c r="AQ95" i="38"/>
  <c r="AZ45" i="43"/>
  <c r="AX45" i="43"/>
  <c r="AZ15" i="43"/>
  <c r="AX15" i="43"/>
  <c r="AW84" i="43"/>
  <c r="AS22" i="38"/>
  <c r="AD22" i="38"/>
  <c r="AO22" i="38" s="1"/>
  <c r="AV22" i="38" s="1" a="1"/>
  <c r="AV22" i="38" s="1"/>
  <c r="AQ22" i="38"/>
  <c r="AW45" i="43"/>
  <c r="AT104" i="38"/>
  <c r="AW88" i="43"/>
  <c r="AW41" i="43"/>
  <c r="AD105" i="43"/>
  <c r="AD126" i="43" s="1"/>
  <c r="AW24" i="43"/>
  <c r="AS21" i="38"/>
  <c r="AD21" i="38"/>
  <c r="AO21" i="38" s="1"/>
  <c r="AV21" i="38" s="1" a="1"/>
  <c r="AV21" i="38" s="1"/>
  <c r="AQ21" i="38"/>
  <c r="AW21" i="38" s="1"/>
  <c r="AW15" i="43"/>
  <c r="AW11" i="43"/>
  <c r="AZ11" i="43"/>
  <c r="AX11" i="43"/>
  <c r="AX42" i="43"/>
  <c r="AZ42" i="43"/>
  <c r="AZ96" i="43"/>
  <c r="AX96" i="43"/>
  <c r="AS4" i="38"/>
  <c r="AD4" i="38"/>
  <c r="AO4" i="38" s="1"/>
  <c r="AV4" i="38" s="1" a="1"/>
  <c r="AV4" i="38" s="1"/>
  <c r="AQ4" i="38"/>
  <c r="AZ3" i="42"/>
  <c r="AZ105" i="42" s="1"/>
  <c r="AZ126" i="42" s="1"/>
  <c r="AX3" i="42"/>
  <c r="AI17" i="3" l="1"/>
  <c r="AJ17" i="3"/>
  <c r="AI18" i="3"/>
  <c r="AJ18" i="3"/>
  <c r="AI19" i="3"/>
  <c r="AJ19" i="3"/>
  <c r="AZ22" i="43"/>
  <c r="AX26" i="43"/>
  <c r="AX86" i="43"/>
  <c r="AZ4" i="43"/>
  <c r="AZ17" i="43"/>
  <c r="AW26" i="43"/>
  <c r="AV104" i="43"/>
  <c r="AX83" i="43"/>
  <c r="AZ30" i="43"/>
  <c r="AZ79" i="43"/>
  <c r="AF45" i="3"/>
  <c r="AW79" i="43"/>
  <c r="AZ7" i="43"/>
  <c r="AX4" i="43"/>
  <c r="AW22" i="43"/>
  <c r="AW17" i="43"/>
  <c r="D102" i="50"/>
  <c r="D44" i="50"/>
  <c r="D16" i="50"/>
  <c r="D12" i="50"/>
  <c r="D87" i="50"/>
  <c r="D73" i="50"/>
  <c r="D19" i="50"/>
  <c r="D103" i="50"/>
  <c r="D13" i="50"/>
  <c r="D50" i="50"/>
  <c r="D11" i="50"/>
  <c r="D89" i="50"/>
  <c r="D78" i="50"/>
  <c r="D4" i="50"/>
  <c r="D32" i="50"/>
  <c r="D30" i="50"/>
  <c r="D91" i="50"/>
  <c r="D75" i="50"/>
  <c r="D101" i="50"/>
  <c r="D39" i="50"/>
  <c r="D61" i="50"/>
  <c r="D9" i="50"/>
  <c r="D77" i="50"/>
  <c r="D47" i="50"/>
  <c r="D59" i="50"/>
  <c r="D71" i="50"/>
  <c r="D27" i="50"/>
  <c r="D24" i="50"/>
  <c r="D64" i="50"/>
  <c r="D62" i="50"/>
  <c r="D33" i="50"/>
  <c r="D8" i="50"/>
  <c r="D6" i="50"/>
  <c r="D53" i="50"/>
  <c r="D36" i="50"/>
  <c r="D7" i="50"/>
  <c r="D14" i="50"/>
  <c r="D56" i="50"/>
  <c r="D28" i="50"/>
  <c r="D26" i="50"/>
  <c r="D52" i="50"/>
  <c r="D88" i="50"/>
  <c r="D96" i="50"/>
  <c r="D94" i="50"/>
  <c r="D65" i="50"/>
  <c r="D40" i="50"/>
  <c r="D38" i="50"/>
  <c r="D23" i="50"/>
  <c r="D5" i="50"/>
  <c r="D41" i="50"/>
  <c r="D46" i="50"/>
  <c r="D99" i="50"/>
  <c r="D60" i="50"/>
  <c r="D58" i="50"/>
  <c r="D63" i="50"/>
  <c r="D85" i="50"/>
  <c r="D43" i="50"/>
  <c r="D51" i="50"/>
  <c r="D97" i="50"/>
  <c r="D72" i="50"/>
  <c r="D70" i="50"/>
  <c r="D42" i="50"/>
  <c r="D35" i="50"/>
  <c r="D34" i="50"/>
  <c r="D48" i="50"/>
  <c r="D20" i="50"/>
  <c r="D21" i="50"/>
  <c r="D92" i="50"/>
  <c r="D90" i="50"/>
  <c r="D49" i="50"/>
  <c r="D22" i="50"/>
  <c r="D29" i="50"/>
  <c r="D95" i="50"/>
  <c r="D83" i="50"/>
  <c r="D104" i="50"/>
  <c r="D84" i="50"/>
  <c r="D54" i="50"/>
  <c r="D76" i="50"/>
  <c r="D17" i="50"/>
  <c r="D55" i="50"/>
  <c r="D25" i="50"/>
  <c r="D45" i="50"/>
  <c r="D18" i="50"/>
  <c r="D31" i="50"/>
  <c r="D93" i="50"/>
  <c r="D68" i="50"/>
  <c r="D66" i="50"/>
  <c r="D37" i="50"/>
  <c r="D74" i="50"/>
  <c r="D80" i="50"/>
  <c r="D81" i="50"/>
  <c r="D86" i="50"/>
  <c r="D57" i="50"/>
  <c r="D15" i="50"/>
  <c r="D82" i="50"/>
  <c r="D67" i="50"/>
  <c r="D79" i="50"/>
  <c r="D100" i="50"/>
  <c r="D98" i="50"/>
  <c r="D69" i="50"/>
  <c r="AC46" i="3"/>
  <c r="V46" i="3"/>
  <c r="T46" i="3"/>
  <c r="AD46" i="3"/>
  <c r="W46" i="3"/>
  <c r="Z46" i="3"/>
  <c r="X46" i="3"/>
  <c r="S46" i="3"/>
  <c r="AF46" i="3"/>
  <c r="AG46" i="3"/>
  <c r="U46" i="3"/>
  <c r="Q46" i="3"/>
  <c r="R46" i="3"/>
  <c r="AW5" i="38"/>
  <c r="AW87" i="38"/>
  <c r="AW78" i="38"/>
  <c r="AZ14" i="38"/>
  <c r="AX14" i="38"/>
  <c r="AZ16" i="38"/>
  <c r="AX16" i="38"/>
  <c r="AZ98" i="38"/>
  <c r="AX98" i="38"/>
  <c r="AX11" i="38"/>
  <c r="AZ11" i="38"/>
  <c r="AZ76" i="38"/>
  <c r="AX76" i="38"/>
  <c r="AZ26" i="38"/>
  <c r="AX26" i="38"/>
  <c r="AZ8" i="38"/>
  <c r="AX8" i="38"/>
  <c r="AZ94" i="38"/>
  <c r="AX94" i="38"/>
  <c r="AZ75" i="38"/>
  <c r="AX75" i="38"/>
  <c r="AZ41" i="38"/>
  <c r="AX41" i="38"/>
  <c r="AX79" i="38"/>
  <c r="AZ79" i="38"/>
  <c r="AZ15" i="38"/>
  <c r="AX15" i="38"/>
  <c r="AZ31" i="38"/>
  <c r="AX31" i="38"/>
  <c r="AZ96" i="38"/>
  <c r="AX96" i="38"/>
  <c r="AZ48" i="38"/>
  <c r="AX48" i="38"/>
  <c r="AZ34" i="38"/>
  <c r="AX34" i="38"/>
  <c r="AW77" i="38"/>
  <c r="AZ77" i="38"/>
  <c r="AX77" i="38"/>
  <c r="AX46" i="38"/>
  <c r="AZ46" i="38"/>
  <c r="AZ23" i="38"/>
  <c r="AX23" i="38"/>
  <c r="AX30" i="38"/>
  <c r="AZ30" i="38"/>
  <c r="AX44" i="38"/>
  <c r="AZ44" i="38"/>
  <c r="AX83" i="38"/>
  <c r="AZ83" i="38"/>
  <c r="AZ17" i="38"/>
  <c r="AX17" i="38"/>
  <c r="AZ18" i="38"/>
  <c r="AX18" i="38"/>
  <c r="AZ81" i="38"/>
  <c r="AX81" i="38"/>
  <c r="AZ42" i="38"/>
  <c r="AX42" i="38"/>
  <c r="AX4" i="38"/>
  <c r="AZ4" i="38"/>
  <c r="AW95" i="38"/>
  <c r="AW9" i="38"/>
  <c r="AW48" i="38"/>
  <c r="AW11" i="38"/>
  <c r="AW26" i="38"/>
  <c r="AO128" i="43"/>
  <c r="AG17" i="3"/>
  <c r="AJ20" i="3"/>
  <c r="AI20" i="3"/>
  <c r="AW17" i="38"/>
  <c r="AW98" i="38"/>
  <c r="AW18" i="38"/>
  <c r="AW14" i="38"/>
  <c r="AW44" i="38"/>
  <c r="AW15" i="38"/>
  <c r="AZ7" i="38"/>
  <c r="AV104" i="38"/>
  <c r="AX7" i="38"/>
  <c r="AW96" i="38"/>
  <c r="AW75" i="38"/>
  <c r="AZ29" i="38"/>
  <c r="AX29" i="38"/>
  <c r="AW16" i="38"/>
  <c r="AW81" i="38"/>
  <c r="AC100" i="43"/>
  <c r="AC99" i="43"/>
  <c r="AC102" i="43"/>
  <c r="AC101" i="43"/>
  <c r="AC103" i="43"/>
  <c r="AC59" i="43"/>
  <c r="AC50" i="43"/>
  <c r="AC69" i="43"/>
  <c r="AC57" i="43"/>
  <c r="AC62" i="43"/>
  <c r="AC56" i="43"/>
  <c r="AC65" i="43"/>
  <c r="AC68" i="43"/>
  <c r="AC54" i="43"/>
  <c r="AC64" i="43"/>
  <c r="AC53" i="43"/>
  <c r="AC61" i="43"/>
  <c r="AC67" i="43"/>
  <c r="AC52" i="43"/>
  <c r="AC71" i="43"/>
  <c r="AC74" i="43"/>
  <c r="AC66" i="43"/>
  <c r="AC51" i="43"/>
  <c r="AC73" i="43"/>
  <c r="AC60" i="43"/>
  <c r="AC49" i="43"/>
  <c r="AC72" i="43"/>
  <c r="AC55" i="43"/>
  <c r="AC70" i="43"/>
  <c r="AC63" i="43"/>
  <c r="AC58" i="43"/>
  <c r="AC36" i="43"/>
  <c r="AC35" i="43"/>
  <c r="AC90" i="43"/>
  <c r="AC93" i="43"/>
  <c r="AC92" i="43"/>
  <c r="AC39" i="43"/>
  <c r="AC40" i="43"/>
  <c r="AC91" i="43"/>
  <c r="AC38" i="43"/>
  <c r="AC37" i="43"/>
  <c r="AC89" i="43"/>
  <c r="AC48" i="43"/>
  <c r="AC28" i="43"/>
  <c r="AC18" i="43"/>
  <c r="AC8" i="43"/>
  <c r="AC80" i="43"/>
  <c r="AC44" i="43"/>
  <c r="AC24" i="43"/>
  <c r="AC79" i="43"/>
  <c r="AC97" i="43"/>
  <c r="AC86" i="43"/>
  <c r="AC6" i="43"/>
  <c r="AC27" i="43"/>
  <c r="AC76" i="43"/>
  <c r="AC78" i="43"/>
  <c r="AC19" i="43"/>
  <c r="AC41" i="43"/>
  <c r="AC7" i="43"/>
  <c r="AC11" i="43"/>
  <c r="AC26" i="43"/>
  <c r="AF126" i="43"/>
  <c r="AC17" i="43"/>
  <c r="AC4" i="43"/>
  <c r="AC98" i="43"/>
  <c r="AC16" i="43"/>
  <c r="AC29" i="43"/>
  <c r="AC83" i="43"/>
  <c r="AC21" i="43"/>
  <c r="AC82" i="43"/>
  <c r="AC81" i="43"/>
  <c r="AC87" i="43"/>
  <c r="AC31" i="43"/>
  <c r="AC42" i="43"/>
  <c r="AC47" i="43"/>
  <c r="AC85" i="43"/>
  <c r="AC96" i="43"/>
  <c r="AC20" i="43"/>
  <c r="AC30" i="43"/>
  <c r="AC10" i="43"/>
  <c r="AC46" i="43"/>
  <c r="AC45" i="43"/>
  <c r="AC34" i="43"/>
  <c r="AC13" i="43"/>
  <c r="AC12" i="43"/>
  <c r="AC23" i="43"/>
  <c r="AC3" i="43"/>
  <c r="AC84" i="43"/>
  <c r="AC43" i="43"/>
  <c r="AC15" i="43"/>
  <c r="AC95" i="43"/>
  <c r="AC14" i="43"/>
  <c r="AC77" i="43"/>
  <c r="AC9" i="43"/>
  <c r="AC5" i="43"/>
  <c r="AC33" i="43"/>
  <c r="AC75" i="43"/>
  <c r="AC88" i="43"/>
  <c r="AC25" i="43"/>
  <c r="AC22" i="43"/>
  <c r="AC94" i="43"/>
  <c r="AC32" i="43"/>
  <c r="AW34" i="38"/>
  <c r="AW79" i="38"/>
  <c r="AW76" i="38"/>
  <c r="AW42" i="38"/>
  <c r="AW83" i="38"/>
  <c r="AX33" i="38"/>
  <c r="AZ33" i="38"/>
  <c r="AZ80" i="38"/>
  <c r="AX80" i="38"/>
  <c r="AZ19" i="38"/>
  <c r="AX19" i="38"/>
  <c r="AQ104" i="38"/>
  <c r="AW7" i="38"/>
  <c r="AE45" i="3"/>
  <c r="AW80" i="38"/>
  <c r="AW85" i="38"/>
  <c r="AW29" i="38"/>
  <c r="AZ25" i="38"/>
  <c r="AX25" i="38"/>
  <c r="AW33" i="38"/>
  <c r="AZ21" i="38"/>
  <c r="AX21" i="38"/>
  <c r="AW84" i="38"/>
  <c r="AX84" i="38"/>
  <c r="AZ84" i="38"/>
  <c r="AZ78" i="38"/>
  <c r="AX78" i="38"/>
  <c r="AW97" i="38"/>
  <c r="AZ97" i="38"/>
  <c r="AX97" i="38"/>
  <c r="AZ10" i="38"/>
  <c r="AX10" i="38"/>
  <c r="AX20" i="38"/>
  <c r="AZ20" i="38"/>
  <c r="AW30" i="38"/>
  <c r="AW3" i="43"/>
  <c r="AZ3" i="43"/>
  <c r="AZ105" i="43" s="1"/>
  <c r="AZ126" i="43" s="1"/>
  <c r="AX3" i="43"/>
  <c r="AZ47" i="38"/>
  <c r="AX47" i="38"/>
  <c r="AZ88" i="38"/>
  <c r="AX88" i="38"/>
  <c r="AW25" i="38"/>
  <c r="AZ85" i="38"/>
  <c r="AX85" i="38"/>
  <c r="AW4" i="38"/>
  <c r="AW31" i="38"/>
  <c r="AW94" i="38"/>
  <c r="AS104" i="38"/>
  <c r="AX32" i="38"/>
  <c r="AZ32" i="38"/>
  <c r="AW10" i="38"/>
  <c r="AA126" i="38"/>
  <c r="AF105" i="38"/>
  <c r="AW20" i="38"/>
  <c r="P45" i="3"/>
  <c r="P46" i="3" s="1"/>
  <c r="AH20" i="3"/>
  <c r="AZ5" i="38"/>
  <c r="AX5" i="38"/>
  <c r="AX87" i="38"/>
  <c r="AZ87" i="38"/>
  <c r="AW41" i="38"/>
  <c r="AZ13" i="38"/>
  <c r="AX13" i="38"/>
  <c r="AX45" i="38"/>
  <c r="AZ45" i="38"/>
  <c r="AW47" i="38"/>
  <c r="AX6" i="38"/>
  <c r="AZ6" i="38"/>
  <c r="AZ12" i="38"/>
  <c r="AX12" i="38"/>
  <c r="AZ43" i="38"/>
  <c r="AX43" i="38"/>
  <c r="AW88" i="38"/>
  <c r="AZ82" i="38"/>
  <c r="AX82" i="38"/>
  <c r="AZ27" i="38"/>
  <c r="AX27" i="38"/>
  <c r="AX104" i="43"/>
  <c r="AZ22" i="38"/>
  <c r="AX22" i="38"/>
  <c r="AW32" i="38"/>
  <c r="AD105" i="38"/>
  <c r="AD126" i="38" s="1"/>
  <c r="AZ28" i="38"/>
  <c r="AX28" i="38"/>
  <c r="AZ86" i="38"/>
  <c r="AX86" i="38"/>
  <c r="AW13" i="38"/>
  <c r="AW45" i="38"/>
  <c r="AZ24" i="38"/>
  <c r="AX24" i="38"/>
  <c r="AW6" i="38"/>
  <c r="AW12" i="38"/>
  <c r="AW43" i="38"/>
  <c r="AW82" i="38"/>
  <c r="AW27" i="38"/>
  <c r="AW22" i="38"/>
  <c r="AZ95" i="38"/>
  <c r="AX95" i="38"/>
  <c r="AX9" i="38"/>
  <c r="AZ9" i="38"/>
  <c r="AO3" i="38"/>
  <c r="AW28" i="38"/>
  <c r="AW86" i="38"/>
  <c r="AW24" i="38"/>
  <c r="AW8" i="38"/>
  <c r="AW104" i="43"/>
  <c r="E4" i="50" l="1"/>
  <c r="D105" i="50"/>
  <c r="AG45" i="3"/>
  <c r="AC110" i="38"/>
  <c r="AC120" i="38"/>
  <c r="AC109" i="38"/>
  <c r="AC115" i="38"/>
  <c r="AC117" i="38"/>
  <c r="AC107" i="38"/>
  <c r="AC121" i="38"/>
  <c r="AC108" i="38"/>
  <c r="AC116" i="38"/>
  <c r="AC118" i="38"/>
  <c r="AC119" i="38"/>
  <c r="AC111" i="38"/>
  <c r="AC122" i="38"/>
  <c r="AC102" i="38"/>
  <c r="AC101" i="38"/>
  <c r="AC100" i="38"/>
  <c r="AC103" i="38"/>
  <c r="AC99" i="38"/>
  <c r="AC54" i="38"/>
  <c r="AC55" i="38"/>
  <c r="AC57" i="38"/>
  <c r="AC63" i="38"/>
  <c r="AC72" i="38"/>
  <c r="AC49" i="38"/>
  <c r="AC68" i="38"/>
  <c r="AC50" i="38"/>
  <c r="AC67" i="38"/>
  <c r="AC53" i="38"/>
  <c r="AC74" i="38"/>
  <c r="AC59" i="38"/>
  <c r="AC56" i="38"/>
  <c r="AC52" i="38"/>
  <c r="AC70" i="38"/>
  <c r="AC71" i="38"/>
  <c r="AC51" i="38"/>
  <c r="AC73" i="38"/>
  <c r="AC60" i="38"/>
  <c r="AC58" i="38"/>
  <c r="AC65" i="38"/>
  <c r="AC61" i="38"/>
  <c r="AC66" i="38"/>
  <c r="AC64" i="38"/>
  <c r="AC62" i="38"/>
  <c r="AC69" i="38"/>
  <c r="AC36" i="38"/>
  <c r="AC38" i="38"/>
  <c r="AC39" i="38"/>
  <c r="AC35" i="38"/>
  <c r="AC37" i="38"/>
  <c r="AC93" i="38"/>
  <c r="AC90" i="38"/>
  <c r="AC40" i="38"/>
  <c r="AC92" i="38"/>
  <c r="AC91" i="38"/>
  <c r="AC89" i="38"/>
  <c r="AC48" i="38"/>
  <c r="AC44" i="38"/>
  <c r="AC80" i="38"/>
  <c r="AC24" i="38"/>
  <c r="AC18" i="38"/>
  <c r="AC28" i="38"/>
  <c r="AC8" i="38"/>
  <c r="AC85" i="38"/>
  <c r="AC97" i="38"/>
  <c r="AC88" i="38"/>
  <c r="AC84" i="38"/>
  <c r="AC78" i="38"/>
  <c r="AC77" i="38"/>
  <c r="AC82" i="38"/>
  <c r="AC95" i="38"/>
  <c r="AC22" i="38"/>
  <c r="AC75" i="38"/>
  <c r="AC15" i="38"/>
  <c r="AC76" i="38"/>
  <c r="AC10" i="38"/>
  <c r="AC5" i="38"/>
  <c r="AC6" i="38"/>
  <c r="AC25" i="38"/>
  <c r="AC12" i="38"/>
  <c r="AC33" i="38"/>
  <c r="AC11" i="38"/>
  <c r="AC34" i="38"/>
  <c r="AC17" i="38"/>
  <c r="AC96" i="38"/>
  <c r="AC83" i="38"/>
  <c r="AC13" i="38"/>
  <c r="AC31" i="38"/>
  <c r="AC4" i="38"/>
  <c r="AC79" i="38"/>
  <c r="AC42" i="38"/>
  <c r="AC41" i="38"/>
  <c r="AC30" i="38"/>
  <c r="AC16" i="38"/>
  <c r="AC86" i="38"/>
  <c r="AC45" i="38"/>
  <c r="AC94" i="38"/>
  <c r="AC32" i="38"/>
  <c r="AC27" i="38"/>
  <c r="AC87" i="38"/>
  <c r="AC43" i="38"/>
  <c r="AC19" i="38"/>
  <c r="AC7" i="38"/>
  <c r="AC46" i="38"/>
  <c r="AC81" i="38"/>
  <c r="AC23" i="38"/>
  <c r="AC20" i="38"/>
  <c r="AC21" i="38"/>
  <c r="AC26" i="38"/>
  <c r="AC14" i="38"/>
  <c r="AC9" i="38"/>
  <c r="AC47" i="38"/>
  <c r="AC98" i="38"/>
  <c r="AC29" i="38"/>
  <c r="AF126" i="38"/>
  <c r="AC3" i="38"/>
  <c r="AW104" i="38"/>
  <c r="AX104" i="38"/>
  <c r="AO105" i="38"/>
  <c r="AO126" i="38" s="1"/>
  <c r="AV3" i="38"/>
  <c r="AC105" i="43"/>
  <c r="AC126" i="43" s="1"/>
  <c r="F4" i="50" l="1"/>
  <c r="E5" i="50"/>
  <c r="AC113" i="38"/>
  <c r="AC124" i="38"/>
  <c r="AC105" i="38"/>
  <c r="AZ3" i="38"/>
  <c r="AZ105" i="38" s="1"/>
  <c r="AZ126" i="38" s="1"/>
  <c r="AX3" i="38"/>
  <c r="AW3" i="38"/>
  <c r="E6" i="50" l="1"/>
  <c r="F5" i="50"/>
  <c r="AC126" i="38"/>
  <c r="E7" i="50" l="1"/>
  <c r="F6" i="50"/>
  <c r="E8" i="50" l="1"/>
  <c r="F7" i="50"/>
  <c r="F8" i="50" l="1"/>
  <c r="E9" i="50"/>
  <c r="E10" i="50" l="1"/>
  <c r="F9" i="50"/>
  <c r="F10" i="50" l="1"/>
  <c r="E11" i="50"/>
  <c r="E12" i="50" l="1"/>
  <c r="F11" i="50"/>
  <c r="F12" i="50" l="1"/>
  <c r="E13" i="50"/>
  <c r="E14" i="50" l="1"/>
  <c r="F13" i="50"/>
  <c r="F14" i="50" l="1"/>
  <c r="E15" i="50"/>
  <c r="F15" i="50" l="1"/>
  <c r="E16" i="50"/>
  <c r="F16" i="50" l="1"/>
  <c r="E17" i="50"/>
  <c r="E18" i="50" l="1"/>
  <c r="F17" i="50"/>
  <c r="E19" i="50" l="1"/>
  <c r="F18" i="50"/>
  <c r="E20" i="50" l="1"/>
  <c r="F19" i="50"/>
  <c r="E21" i="50" l="1"/>
  <c r="F20" i="50"/>
  <c r="E22" i="50" l="1"/>
  <c r="F21" i="50"/>
  <c r="F22" i="50" l="1"/>
  <c r="E23" i="50"/>
  <c r="F23" i="50" l="1"/>
  <c r="E24" i="50"/>
  <c r="F24" i="50" l="1"/>
  <c r="E25" i="50"/>
  <c r="F25" i="50" l="1"/>
  <c r="E26" i="50"/>
  <c r="F26" i="50" l="1"/>
  <c r="E27" i="50"/>
  <c r="F27" i="50" l="1"/>
  <c r="E28" i="50"/>
  <c r="F28" i="50" l="1"/>
  <c r="E29" i="50"/>
  <c r="E30" i="50" l="1"/>
  <c r="F29" i="50"/>
  <c r="E31" i="50" l="1"/>
  <c r="F30" i="50"/>
  <c r="E32" i="50" l="1"/>
  <c r="F31" i="50"/>
  <c r="F32" i="50" l="1"/>
  <c r="E33" i="50"/>
  <c r="F33" i="50" l="1"/>
  <c r="E34" i="50"/>
  <c r="E35" i="50" l="1"/>
  <c r="F34" i="50"/>
  <c r="F35" i="50" l="1"/>
  <c r="E39" i="50"/>
  <c r="E36" i="50"/>
  <c r="F36" i="50" l="1"/>
  <c r="E37" i="50"/>
  <c r="F39" i="50"/>
  <c r="E40" i="50"/>
  <c r="F40" i="50" l="1"/>
  <c r="E41" i="50"/>
  <c r="F37" i="50"/>
  <c r="E38" i="50"/>
  <c r="F38" i="50" s="1"/>
  <c r="E42" i="50" l="1"/>
  <c r="F41" i="50"/>
  <c r="F42" i="50" l="1"/>
  <c r="E43" i="50"/>
  <c r="E44" i="50" l="1"/>
  <c r="F43" i="50"/>
  <c r="F44" i="50" l="1"/>
  <c r="E45" i="50"/>
  <c r="E46" i="50" l="1"/>
  <c r="F45" i="50"/>
  <c r="F46" i="50" l="1"/>
  <c r="E47" i="50"/>
  <c r="E48" i="50" l="1"/>
  <c r="F47" i="50"/>
  <c r="E49" i="50" l="1"/>
  <c r="F48" i="50"/>
  <c r="E50" i="50" l="1"/>
  <c r="F49" i="50"/>
  <c r="E76" i="50"/>
  <c r="E77" i="50" l="1"/>
  <c r="F76" i="50"/>
  <c r="F50" i="50"/>
  <c r="E51" i="50"/>
  <c r="F51" i="50" l="1"/>
  <c r="E52" i="50"/>
  <c r="F77" i="50"/>
  <c r="E78" i="50"/>
  <c r="F78" i="50" l="1"/>
  <c r="E79" i="50"/>
  <c r="F52" i="50"/>
  <c r="E53" i="50"/>
  <c r="E54" i="50" l="1"/>
  <c r="F53" i="50"/>
  <c r="E80" i="50"/>
  <c r="F79" i="50"/>
  <c r="F80" i="50" l="1"/>
  <c r="E81" i="50"/>
  <c r="E55" i="50"/>
  <c r="F54" i="50"/>
  <c r="E56" i="50" l="1"/>
  <c r="F55" i="50"/>
  <c r="E82" i="50"/>
  <c r="F81" i="50"/>
  <c r="F82" i="50" l="1"/>
  <c r="E83" i="50"/>
  <c r="F56" i="50"/>
  <c r="E57" i="50"/>
  <c r="F57" i="50" l="1"/>
  <c r="E58" i="50"/>
  <c r="E84" i="50"/>
  <c r="F83" i="50"/>
  <c r="E85" i="50" l="1"/>
  <c r="F84" i="50"/>
  <c r="E59" i="50"/>
  <c r="F58" i="50"/>
  <c r="F59" i="50" l="1"/>
  <c r="E60" i="50"/>
  <c r="F85" i="50"/>
  <c r="E86" i="50"/>
  <c r="E87" i="50" l="1"/>
  <c r="F86" i="50"/>
  <c r="F60" i="50"/>
  <c r="E61" i="50"/>
  <c r="E62" i="50" l="1"/>
  <c r="F61" i="50"/>
  <c r="E88" i="50"/>
  <c r="F87" i="50"/>
  <c r="F88" i="50" l="1"/>
  <c r="E89" i="50"/>
  <c r="F62" i="50"/>
  <c r="E63" i="50"/>
  <c r="E64" i="50" l="1"/>
  <c r="F63" i="50"/>
  <c r="E90" i="50"/>
  <c r="F89" i="50"/>
  <c r="F90" i="50" l="1"/>
  <c r="E91" i="50"/>
  <c r="E65" i="50"/>
  <c r="F64" i="50"/>
  <c r="E66" i="50" l="1"/>
  <c r="F65" i="50"/>
  <c r="F91" i="50"/>
  <c r="E92" i="50"/>
  <c r="F92" i="50" l="1"/>
  <c r="E93" i="50"/>
  <c r="E67" i="50"/>
  <c r="F66" i="50"/>
  <c r="E68" i="50" l="1"/>
  <c r="F67" i="50"/>
  <c r="E94" i="50"/>
  <c r="E99" i="50"/>
  <c r="F99" i="50" s="1"/>
  <c r="F93" i="50"/>
  <c r="E100" i="50" l="1"/>
  <c r="F100" i="50" s="1"/>
  <c r="F94" i="50"/>
  <c r="E95" i="50"/>
  <c r="F68" i="50"/>
  <c r="E69" i="50"/>
  <c r="E101" i="50" l="1"/>
  <c r="F101" i="50" s="1"/>
  <c r="E96" i="50"/>
  <c r="F95" i="50"/>
  <c r="F69" i="50"/>
  <c r="E70" i="50"/>
  <c r="F70" i="50" l="1"/>
  <c r="E71" i="50"/>
  <c r="E97" i="50"/>
  <c r="E102" i="50"/>
  <c r="F102" i="50" s="1"/>
  <c r="F96" i="50"/>
  <c r="E103" i="50" l="1"/>
  <c r="F103" i="50" s="1"/>
  <c r="E98" i="50"/>
  <c r="F97" i="50"/>
  <c r="E72" i="50"/>
  <c r="F71" i="50"/>
  <c r="F72" i="50" l="1"/>
  <c r="E73" i="50"/>
  <c r="E104" i="50"/>
  <c r="F104" i="50" s="1"/>
  <c r="F98" i="50"/>
  <c r="F73" i="50" l="1"/>
  <c r="E74" i="50"/>
  <c r="F74" i="50" l="1"/>
  <c r="E75" i="50"/>
  <c r="F75" i="50" s="1"/>
  <c r="X99" i="56" l="1"/>
  <c r="AN99" i="56" s="1"/>
  <c r="AA99" i="56"/>
  <c r="X103" i="56"/>
  <c r="AN103" i="56" s="1"/>
  <c r="AA103" i="56" l="1"/>
  <c r="X100" i="56"/>
  <c r="AN100" i="56" s="1"/>
  <c r="U102" i="56"/>
  <c r="AU102" i="56"/>
  <c r="AT102" i="56"/>
  <c r="X101" i="56"/>
  <c r="AN101" i="56" s="1"/>
  <c r="AA100" i="56"/>
  <c r="U101" i="56"/>
  <c r="U103" i="56"/>
  <c r="AF103" i="56"/>
  <c r="AU101" i="56"/>
  <c r="AT101" i="56"/>
  <c r="AF99" i="56"/>
  <c r="AA102" i="56"/>
  <c r="U100" i="56"/>
  <c r="AU100" i="56"/>
  <c r="AT100" i="56"/>
  <c r="AF100" i="56"/>
  <c r="AU103" i="56"/>
  <c r="AT103" i="56"/>
  <c r="X102" i="56"/>
  <c r="AN102" i="56" s="1"/>
  <c r="AA101" i="56"/>
  <c r="U99" i="56"/>
  <c r="AU99" i="56"/>
  <c r="AT99" i="56"/>
  <c r="AD99" i="56" l="1"/>
  <c r="AO99" i="56" s="1"/>
  <c r="AV99" i="56" s="1" a="1"/>
  <c r="AV99" i="56" s="1"/>
  <c r="AS99" i="56"/>
  <c r="AQ99" i="56"/>
  <c r="AW99" i="56" s="1"/>
  <c r="R99" i="56"/>
  <c r="AD100" i="56"/>
  <c r="AS100" i="56"/>
  <c r="R100" i="56"/>
  <c r="AQ100" i="56"/>
  <c r="AD102" i="56"/>
  <c r="AO102" i="56" s="1"/>
  <c r="AV102" i="56" s="1" a="1"/>
  <c r="AV102" i="56" s="1"/>
  <c r="AS102" i="56"/>
  <c r="AQ102" i="56"/>
  <c r="R102" i="56"/>
  <c r="AF101" i="56"/>
  <c r="AF102" i="56"/>
  <c r="AD103" i="56"/>
  <c r="AO103" i="56" s="1"/>
  <c r="AV103" i="56" s="1" a="1"/>
  <c r="AV103" i="56" s="1"/>
  <c r="R103" i="56"/>
  <c r="AQ103" i="56"/>
  <c r="AW103" i="56" s="1"/>
  <c r="AS103" i="56"/>
  <c r="AD101" i="56"/>
  <c r="AO101" i="56" s="1"/>
  <c r="AV101" i="56" s="1" a="1"/>
  <c r="AV101" i="56" s="1"/>
  <c r="AQ101" i="56"/>
  <c r="AW101" i="56" s="1"/>
  <c r="AS101" i="56"/>
  <c r="R101" i="56"/>
  <c r="AO100" i="56"/>
  <c r="AV100" i="56" s="1" a="1"/>
  <c r="AV100" i="56" s="1"/>
  <c r="AX101" i="56" l="1"/>
  <c r="AZ101" i="56"/>
  <c r="AZ102" i="56"/>
  <c r="AX102" i="56"/>
  <c r="AW100" i="56"/>
  <c r="AZ100" i="56"/>
  <c r="AX100" i="56"/>
  <c r="AZ103" i="56"/>
  <c r="AX103" i="56"/>
  <c r="AW102" i="56"/>
  <c r="AZ99" i="56"/>
  <c r="AX99" i="56"/>
  <c r="X49" i="56" l="1"/>
  <c r="AN49" i="56" s="1"/>
  <c r="AA49" i="56"/>
  <c r="X50" i="56"/>
  <c r="AN50" i="56" s="1"/>
  <c r="U56" i="56"/>
  <c r="AA56" i="56"/>
  <c r="X61" i="56"/>
  <c r="AN61" i="56" s="1"/>
  <c r="AA63" i="56"/>
  <c r="U64" i="56"/>
  <c r="X66" i="56"/>
  <c r="AN66" i="56" s="1"/>
  <c r="X69" i="56"/>
  <c r="AN69" i="56" s="1"/>
  <c r="U72" i="56"/>
  <c r="X74" i="56"/>
  <c r="AN74" i="56" s="1"/>
  <c r="X57" i="56" l="1"/>
  <c r="AN57" i="56" s="1"/>
  <c r="X53" i="56"/>
  <c r="AN53" i="56" s="1"/>
  <c r="AD72" i="56"/>
  <c r="AS72" i="56"/>
  <c r="R72" i="56"/>
  <c r="AQ72" i="56"/>
  <c r="AW72" i="56" s="1"/>
  <c r="AD64" i="56"/>
  <c r="AS64" i="56"/>
  <c r="AQ64" i="56"/>
  <c r="AW64" i="56" s="1"/>
  <c r="R64" i="56"/>
  <c r="AD56" i="56"/>
  <c r="R56" i="56"/>
  <c r="AS56" i="56"/>
  <c r="AQ56" i="56"/>
  <c r="AW56" i="56" s="1"/>
  <c r="AU72" i="56"/>
  <c r="AT72" i="56"/>
  <c r="X71" i="56"/>
  <c r="AN71" i="56" s="1"/>
  <c r="AA70" i="56"/>
  <c r="U68" i="56"/>
  <c r="AU68" i="56"/>
  <c r="AT68" i="56"/>
  <c r="X67" i="56"/>
  <c r="AN67" i="56" s="1"/>
  <c r="AA66" i="56"/>
  <c r="AU64" i="56"/>
  <c r="AT64" i="56"/>
  <c r="X63" i="56"/>
  <c r="AN63" i="56" s="1"/>
  <c r="AA62" i="56"/>
  <c r="U60" i="56"/>
  <c r="AU60" i="56"/>
  <c r="AT60" i="56"/>
  <c r="X59" i="56"/>
  <c r="AN59" i="56" s="1"/>
  <c r="AA58" i="56"/>
  <c r="AU56" i="56"/>
  <c r="AT56" i="56"/>
  <c r="X55" i="56"/>
  <c r="AN55" i="56" s="1"/>
  <c r="AA54" i="56"/>
  <c r="U52" i="56"/>
  <c r="AU52" i="56"/>
  <c r="AT52" i="56"/>
  <c r="X51" i="56"/>
  <c r="AN51" i="56" s="1"/>
  <c r="AA50" i="56"/>
  <c r="X72" i="56"/>
  <c r="AN72" i="56" s="1"/>
  <c r="AA74" i="56"/>
  <c r="AA73" i="56"/>
  <c r="U71" i="56"/>
  <c r="AU71" i="56"/>
  <c r="AT71" i="56"/>
  <c r="X70" i="56"/>
  <c r="AN70" i="56" s="1"/>
  <c r="AA69" i="56"/>
  <c r="U67" i="56"/>
  <c r="AU67" i="56"/>
  <c r="AT67" i="56"/>
  <c r="AA65" i="56"/>
  <c r="U63" i="56"/>
  <c r="AT63" i="56"/>
  <c r="AU63" i="56"/>
  <c r="X62" i="56"/>
  <c r="AN62" i="56" s="1"/>
  <c r="AA61" i="56"/>
  <c r="U59" i="56"/>
  <c r="AU59" i="56"/>
  <c r="AT59" i="56"/>
  <c r="X58" i="56"/>
  <c r="AN58" i="56" s="1"/>
  <c r="AA57" i="56"/>
  <c r="U55" i="56"/>
  <c r="AU55" i="56"/>
  <c r="AT55" i="56"/>
  <c r="X54" i="56"/>
  <c r="AN54" i="56" s="1"/>
  <c r="AA53" i="56"/>
  <c r="U51" i="56"/>
  <c r="AU51" i="56"/>
  <c r="AT51" i="56"/>
  <c r="AF49" i="56"/>
  <c r="AF56" i="56"/>
  <c r="U74" i="56"/>
  <c r="AU74" i="56"/>
  <c r="AT74" i="56"/>
  <c r="X73" i="56"/>
  <c r="AN73" i="56" s="1"/>
  <c r="AA72" i="56"/>
  <c r="U70" i="56"/>
  <c r="AT70" i="56"/>
  <c r="AU70" i="56"/>
  <c r="AA68" i="56"/>
  <c r="U66" i="56"/>
  <c r="AU66" i="56"/>
  <c r="AT66" i="56"/>
  <c r="X65" i="56"/>
  <c r="AN65" i="56" s="1"/>
  <c r="AA64" i="56"/>
  <c r="U62" i="56"/>
  <c r="AU62" i="56"/>
  <c r="AT62" i="56"/>
  <c r="AA60" i="56"/>
  <c r="U58" i="56"/>
  <c r="AU58" i="56"/>
  <c r="AT58" i="56"/>
  <c r="U54" i="56"/>
  <c r="AU54" i="56"/>
  <c r="AT54" i="56"/>
  <c r="AA52" i="56"/>
  <c r="U50" i="56"/>
  <c r="AT50" i="56"/>
  <c r="AU50" i="56"/>
  <c r="AF63" i="56"/>
  <c r="U73" i="56"/>
  <c r="AU73" i="56"/>
  <c r="AT73" i="56"/>
  <c r="AA71" i="56"/>
  <c r="U69" i="56"/>
  <c r="AU69" i="56"/>
  <c r="AT69" i="56"/>
  <c r="X68" i="56"/>
  <c r="AN68" i="56" s="1"/>
  <c r="AA67" i="56"/>
  <c r="U65" i="56"/>
  <c r="AU65" i="56"/>
  <c r="AT65" i="56"/>
  <c r="X64" i="56"/>
  <c r="AN64" i="56" s="1"/>
  <c r="U61" i="56"/>
  <c r="AU61" i="56"/>
  <c r="AT61" i="56"/>
  <c r="X60" i="56"/>
  <c r="AN60" i="56" s="1"/>
  <c r="AA59" i="56"/>
  <c r="U57" i="56"/>
  <c r="AT57" i="56"/>
  <c r="AU57" i="56"/>
  <c r="X56" i="56"/>
  <c r="AN56" i="56" s="1"/>
  <c r="AO56" i="56" s="1"/>
  <c r="AV56" i="56" s="1" a="1"/>
  <c r="AV56" i="56" s="1"/>
  <c r="AA55" i="56"/>
  <c r="U53" i="56"/>
  <c r="AU53" i="56"/>
  <c r="AT53" i="56"/>
  <c r="X52" i="56"/>
  <c r="AN52" i="56" s="1"/>
  <c r="AA51" i="56"/>
  <c r="U49" i="56"/>
  <c r="AU49" i="56"/>
  <c r="AT49" i="56"/>
  <c r="AA89" i="56"/>
  <c r="AA93" i="56"/>
  <c r="X35" i="56"/>
  <c r="AN35" i="56" s="1"/>
  <c r="X37" i="56"/>
  <c r="AN37" i="56" s="1"/>
  <c r="AA39" i="56"/>
  <c r="AF39" i="56"/>
  <c r="X38" i="56" l="1"/>
  <c r="AN38" i="56" s="1"/>
  <c r="X93" i="56"/>
  <c r="AN93" i="56" s="1"/>
  <c r="X89" i="56"/>
  <c r="AN89" i="56" s="1"/>
  <c r="X40" i="56"/>
  <c r="AN40" i="56" s="1"/>
  <c r="AA38" i="56"/>
  <c r="AA40" i="56"/>
  <c r="U37" i="56"/>
  <c r="AU37" i="56"/>
  <c r="AT37" i="56"/>
  <c r="X36" i="56"/>
  <c r="AN36" i="56" s="1"/>
  <c r="AA35" i="56"/>
  <c r="U92" i="56"/>
  <c r="AU92" i="56"/>
  <c r="AT92" i="56"/>
  <c r="X91" i="56"/>
  <c r="AN91" i="56" s="1"/>
  <c r="AA90" i="56"/>
  <c r="AD49" i="56"/>
  <c r="AO49" i="56" s="1"/>
  <c r="AV49" i="56" s="1" a="1"/>
  <c r="AV49" i="56" s="1"/>
  <c r="AS49" i="56"/>
  <c r="AQ49" i="56"/>
  <c r="R49" i="56"/>
  <c r="AD69" i="56"/>
  <c r="R69" i="56"/>
  <c r="AQ69" i="56"/>
  <c r="AS69" i="56"/>
  <c r="AF69" i="56"/>
  <c r="AO69" i="56"/>
  <c r="AV69" i="56" s="1" a="1"/>
  <c r="AV69" i="56" s="1"/>
  <c r="AF70" i="56"/>
  <c r="X90" i="56"/>
  <c r="AN90" i="56" s="1"/>
  <c r="AF51" i="56"/>
  <c r="AF71" i="56"/>
  <c r="AD58" i="56"/>
  <c r="AS58" i="56"/>
  <c r="AQ58" i="56"/>
  <c r="AW58" i="56" s="1"/>
  <c r="R58" i="56"/>
  <c r="AD55" i="56"/>
  <c r="AS55" i="56"/>
  <c r="R55" i="56"/>
  <c r="AQ55" i="56"/>
  <c r="AW55" i="56" s="1"/>
  <c r="AF50" i="56"/>
  <c r="X39" i="56"/>
  <c r="AN39" i="56" s="1"/>
  <c r="AF38" i="56"/>
  <c r="U36" i="56"/>
  <c r="AU36" i="56"/>
  <c r="AT36" i="56"/>
  <c r="AF93" i="56"/>
  <c r="U91" i="56"/>
  <c r="AU91" i="56"/>
  <c r="AT91" i="56"/>
  <c r="AF89" i="56"/>
  <c r="AD57" i="56"/>
  <c r="AO57" i="56" s="1"/>
  <c r="AV57" i="56" s="1" a="1"/>
  <c r="AV57" i="56" s="1"/>
  <c r="AS57" i="56"/>
  <c r="R57" i="56"/>
  <c r="AQ57" i="56"/>
  <c r="AW57" i="56" s="1"/>
  <c r="AD50" i="56"/>
  <c r="AO50" i="56" s="1"/>
  <c r="AV50" i="56" s="1" a="1"/>
  <c r="AV50" i="56" s="1"/>
  <c r="AQ50" i="56"/>
  <c r="R50" i="56"/>
  <c r="AS50" i="56"/>
  <c r="AF60" i="56"/>
  <c r="AD66" i="56"/>
  <c r="AQ66" i="56"/>
  <c r="AW66" i="56" s="1"/>
  <c r="AS66" i="56"/>
  <c r="R66" i="56"/>
  <c r="AF57" i="56"/>
  <c r="AF58" i="56"/>
  <c r="AO58" i="56"/>
  <c r="AV58" i="56" s="1" a="1"/>
  <c r="AV58" i="56" s="1"/>
  <c r="U40" i="56"/>
  <c r="AF59" i="56"/>
  <c r="AD65" i="56"/>
  <c r="AS65" i="56"/>
  <c r="R65" i="56"/>
  <c r="AQ65" i="56"/>
  <c r="AW65" i="56" s="1"/>
  <c r="AF52" i="56"/>
  <c r="AF68" i="56"/>
  <c r="AD74" i="56"/>
  <c r="AS74" i="56"/>
  <c r="R74" i="56"/>
  <c r="AQ74" i="56"/>
  <c r="AW74" i="56" s="1"/>
  <c r="AD63" i="56"/>
  <c r="AO63" i="56" s="1"/>
  <c r="AV63" i="56" s="1" a="1"/>
  <c r="AV63" i="56" s="1"/>
  <c r="AS63" i="56"/>
  <c r="R63" i="56"/>
  <c r="AQ63" i="56"/>
  <c r="AW63" i="56" s="1"/>
  <c r="AF66" i="56"/>
  <c r="AO66" i="56"/>
  <c r="AV66" i="56" s="1" a="1"/>
  <c r="AV66" i="56" s="1"/>
  <c r="AU40" i="56"/>
  <c r="AT40" i="56"/>
  <c r="AA37" i="56"/>
  <c r="U35" i="56"/>
  <c r="AT35" i="56"/>
  <c r="AU35" i="56"/>
  <c r="AA92" i="56"/>
  <c r="U90" i="56"/>
  <c r="AT90" i="56"/>
  <c r="AU90" i="56"/>
  <c r="AF67" i="56"/>
  <c r="AD73" i="56"/>
  <c r="AO73" i="56" s="1"/>
  <c r="AV73" i="56" s="1" a="1"/>
  <c r="AV73" i="56" s="1"/>
  <c r="AS73" i="56"/>
  <c r="R73" i="56"/>
  <c r="AQ73" i="56"/>
  <c r="AD51" i="56"/>
  <c r="AO51" i="56" s="1"/>
  <c r="AV51" i="56" s="1" a="1"/>
  <c r="AV51" i="56" s="1"/>
  <c r="AQ51" i="56"/>
  <c r="AW51" i="56" s="1"/>
  <c r="AS51" i="56"/>
  <c r="R51" i="56"/>
  <c r="AF65" i="56"/>
  <c r="AO65" i="56"/>
  <c r="AV65" i="56" s="1" a="1"/>
  <c r="AV65" i="56" s="1"/>
  <c r="AD71" i="56"/>
  <c r="AO71" i="56" s="1"/>
  <c r="AV71" i="56" s="1" a="1"/>
  <c r="AV71" i="56" s="1"/>
  <c r="AQ71" i="56"/>
  <c r="AW71" i="56" s="1"/>
  <c r="AS71" i="56"/>
  <c r="R71" i="56"/>
  <c r="U39" i="56"/>
  <c r="AU39" i="56"/>
  <c r="AT39" i="56"/>
  <c r="AD53" i="56"/>
  <c r="AO53" i="56" s="1"/>
  <c r="AV53" i="56" s="1" a="1"/>
  <c r="AV53" i="56" s="1"/>
  <c r="AS53" i="56"/>
  <c r="R53" i="56"/>
  <c r="AQ53" i="56"/>
  <c r="AD62" i="56"/>
  <c r="AS62" i="56"/>
  <c r="R62" i="56"/>
  <c r="AQ62" i="56"/>
  <c r="AW62" i="56" s="1"/>
  <c r="AZ56" i="56"/>
  <c r="AX56" i="56"/>
  <c r="AF53" i="56"/>
  <c r="AF73" i="56"/>
  <c r="AD52" i="56"/>
  <c r="AO52" i="56" s="1"/>
  <c r="AV52" i="56" s="1" a="1"/>
  <c r="AV52" i="56" s="1"/>
  <c r="R52" i="56"/>
  <c r="AS52" i="56"/>
  <c r="AQ52" i="56"/>
  <c r="U38" i="56"/>
  <c r="AU38" i="56"/>
  <c r="AT38" i="56"/>
  <c r="AA36" i="56"/>
  <c r="U93" i="56"/>
  <c r="AU93" i="56"/>
  <c r="AT93" i="56"/>
  <c r="X92" i="56"/>
  <c r="AN92" i="56" s="1"/>
  <c r="AA91" i="56"/>
  <c r="U89" i="56"/>
  <c r="AU89" i="56"/>
  <c r="AT89" i="56"/>
  <c r="AF55" i="56"/>
  <c r="AO55" i="56"/>
  <c r="AV55" i="56" s="1" a="1"/>
  <c r="AV55" i="56" s="1"/>
  <c r="AD54" i="56"/>
  <c r="AS54" i="56"/>
  <c r="R54" i="56"/>
  <c r="AQ54" i="56"/>
  <c r="AW54" i="56" s="1"/>
  <c r="AF64" i="56"/>
  <c r="AO64" i="56"/>
  <c r="AV64" i="56" s="1" a="1"/>
  <c r="AV64" i="56" s="1"/>
  <c r="AD70" i="56"/>
  <c r="AO70" i="56" s="1"/>
  <c r="AV70" i="56" s="1" a="1"/>
  <c r="AV70" i="56" s="1"/>
  <c r="AS70" i="56"/>
  <c r="AQ70" i="56"/>
  <c r="AW70" i="56" s="1"/>
  <c r="R70" i="56"/>
  <c r="AD59" i="56"/>
  <c r="AO59" i="56" s="1"/>
  <c r="AV59" i="56" s="1" a="1"/>
  <c r="AV59" i="56" s="1"/>
  <c r="AS59" i="56"/>
  <c r="R59" i="56"/>
  <c r="AQ59" i="56"/>
  <c r="AW59" i="56" s="1"/>
  <c r="AF54" i="56"/>
  <c r="AO54" i="56"/>
  <c r="AV54" i="56" s="1" a="1"/>
  <c r="AV54" i="56" s="1"/>
  <c r="AD60" i="56"/>
  <c r="AO60" i="56" s="1"/>
  <c r="AV60" i="56" s="1" a="1"/>
  <c r="AV60" i="56" s="1"/>
  <c r="AS60" i="56"/>
  <c r="R60" i="56"/>
  <c r="AQ60" i="56"/>
  <c r="AD61" i="56"/>
  <c r="AO61" i="56" s="1"/>
  <c r="AV61" i="56" s="1" a="1"/>
  <c r="AV61" i="56" s="1"/>
  <c r="AS61" i="56"/>
  <c r="AQ61" i="56"/>
  <c r="R61" i="56"/>
  <c r="AF72" i="56"/>
  <c r="AO72" i="56"/>
  <c r="AV72" i="56" s="1" a="1"/>
  <c r="AV72" i="56" s="1"/>
  <c r="AF61" i="56"/>
  <c r="AD67" i="56"/>
  <c r="AO67" i="56" s="1"/>
  <c r="AV67" i="56" s="1" a="1"/>
  <c r="AV67" i="56" s="1"/>
  <c r="R67" i="56"/>
  <c r="AS67" i="56"/>
  <c r="AQ67" i="56"/>
  <c r="AW67" i="56" s="1"/>
  <c r="AF74" i="56"/>
  <c r="AO74" i="56"/>
  <c r="AV74" i="56" s="1" a="1"/>
  <c r="AV74" i="56" s="1"/>
  <c r="AF62" i="56"/>
  <c r="AO62" i="56"/>
  <c r="AV62" i="56" s="1" a="1"/>
  <c r="AV62" i="56" s="1"/>
  <c r="AD68" i="56"/>
  <c r="AO68" i="56" s="1"/>
  <c r="AV68" i="56" s="1" a="1"/>
  <c r="AV68" i="56" s="1"/>
  <c r="AQ68" i="56"/>
  <c r="AW68" i="56" s="1"/>
  <c r="R68" i="56"/>
  <c r="AS68" i="56"/>
  <c r="AW73" i="56" l="1"/>
  <c r="AW52" i="56"/>
  <c r="AX59" i="56"/>
  <c r="AZ59" i="56"/>
  <c r="AZ71" i="56"/>
  <c r="AX71" i="56"/>
  <c r="AZ60" i="56"/>
  <c r="AX60" i="56"/>
  <c r="AZ70" i="56"/>
  <c r="AX70" i="56"/>
  <c r="AZ67" i="56"/>
  <c r="AX67" i="56"/>
  <c r="AZ68" i="56"/>
  <c r="AX68" i="56"/>
  <c r="AX51" i="56"/>
  <c r="AZ51" i="56"/>
  <c r="AD89" i="56"/>
  <c r="AO89" i="56" s="1"/>
  <c r="AV89" i="56" s="1" a="1"/>
  <c r="AV89" i="56" s="1"/>
  <c r="AQ89" i="56"/>
  <c r="AS89" i="56"/>
  <c r="R89" i="56"/>
  <c r="AD39" i="56"/>
  <c r="AS39" i="56"/>
  <c r="AQ39" i="56"/>
  <c r="R39" i="56"/>
  <c r="AD91" i="56"/>
  <c r="AO91" i="56" s="1"/>
  <c r="AV91" i="56" s="1" a="1"/>
  <c r="AV91" i="56" s="1"/>
  <c r="AQ91" i="56"/>
  <c r="AW91" i="56" s="1"/>
  <c r="R91" i="56"/>
  <c r="AS91" i="56"/>
  <c r="T106" i="56"/>
  <c r="Z106" i="56"/>
  <c r="AF91" i="56"/>
  <c r="AD38" i="56"/>
  <c r="R38" i="56"/>
  <c r="AS38" i="56"/>
  <c r="AQ38" i="56"/>
  <c r="AW38" i="56" s="1"/>
  <c r="AD35" i="56"/>
  <c r="AO35" i="56" s="1"/>
  <c r="AV35" i="56" s="1" a="1"/>
  <c r="AV35" i="56" s="1"/>
  <c r="AS35" i="56"/>
  <c r="R35" i="56"/>
  <c r="AQ35" i="56"/>
  <c r="AW35" i="56" s="1"/>
  <c r="AD92" i="56"/>
  <c r="R92" i="56"/>
  <c r="AQ92" i="56"/>
  <c r="AW92" i="56" s="1"/>
  <c r="AS92" i="56"/>
  <c r="W106" i="56"/>
  <c r="AZ62" i="56"/>
  <c r="AX62" i="56"/>
  <c r="AW61" i="56"/>
  <c r="AZ54" i="56"/>
  <c r="AX54" i="56"/>
  <c r="AZ53" i="56"/>
  <c r="AX53" i="56"/>
  <c r="AW53" i="56"/>
  <c r="AF37" i="56"/>
  <c r="AX57" i="56"/>
  <c r="AZ57" i="56"/>
  <c r="AF35" i="56"/>
  <c r="AZ63" i="56"/>
  <c r="AX63" i="56"/>
  <c r="AZ69" i="56"/>
  <c r="AX69" i="56"/>
  <c r="AZ61" i="56"/>
  <c r="AX61" i="56"/>
  <c r="AZ55" i="56"/>
  <c r="AX55" i="56"/>
  <c r="AZ52" i="56"/>
  <c r="AX52" i="56"/>
  <c r="AW50" i="56"/>
  <c r="AZ50" i="56"/>
  <c r="AX50" i="56"/>
  <c r="AW49" i="56"/>
  <c r="AZ49" i="56"/>
  <c r="AX49" i="56"/>
  <c r="AZ74" i="56"/>
  <c r="AX74" i="56"/>
  <c r="AW60" i="56"/>
  <c r="AX64" i="56"/>
  <c r="AZ64" i="56"/>
  <c r="AD93" i="56"/>
  <c r="AO93" i="56" s="1"/>
  <c r="AV93" i="56" s="1" a="1"/>
  <c r="AV93" i="56" s="1"/>
  <c r="AS93" i="56"/>
  <c r="AQ93" i="56"/>
  <c r="AW93" i="56" s="1"/>
  <c r="R93" i="56"/>
  <c r="AD90" i="56"/>
  <c r="AO90" i="56" s="1"/>
  <c r="AV90" i="56" s="1" a="1"/>
  <c r="AV90" i="56" s="1"/>
  <c r="AS90" i="56"/>
  <c r="AQ90" i="56"/>
  <c r="AW90" i="56" s="1"/>
  <c r="R90" i="56"/>
  <c r="AD40" i="56"/>
  <c r="AS40" i="56"/>
  <c r="R40" i="56"/>
  <c r="AQ40" i="56"/>
  <c r="AW40" i="56" s="1"/>
  <c r="AF90" i="56"/>
  <c r="AF36" i="56"/>
  <c r="AZ65" i="56"/>
  <c r="AX65" i="56"/>
  <c r="AF92" i="56"/>
  <c r="AO92" i="56"/>
  <c r="AV92" i="56" s="1" a="1"/>
  <c r="AV92" i="56" s="1"/>
  <c r="AZ66" i="56"/>
  <c r="AX66" i="56"/>
  <c r="AD36" i="56"/>
  <c r="AO36" i="56" s="1"/>
  <c r="AV36" i="56" s="1" a="1"/>
  <c r="AV36" i="56" s="1"/>
  <c r="R36" i="56"/>
  <c r="AQ36" i="56"/>
  <c r="AW36" i="56" s="1"/>
  <c r="AS36" i="56"/>
  <c r="AW69" i="56"/>
  <c r="AD37" i="56"/>
  <c r="AO37" i="56" s="1"/>
  <c r="AV37" i="56" s="1" a="1"/>
  <c r="AV37" i="56" s="1"/>
  <c r="AS37" i="56"/>
  <c r="R37" i="56"/>
  <c r="AQ37" i="56"/>
  <c r="AW37" i="56" s="1"/>
  <c r="AZ72" i="56"/>
  <c r="AX72" i="56"/>
  <c r="AZ73" i="56"/>
  <c r="AX73" i="56"/>
  <c r="AZ58" i="56"/>
  <c r="AX58" i="56"/>
  <c r="AF40" i="56"/>
  <c r="X4" i="56"/>
  <c r="AN4" i="56" s="1"/>
  <c r="AA4" i="56"/>
  <c r="X5" i="56"/>
  <c r="AN5" i="56" s="1"/>
  <c r="AA5" i="56"/>
  <c r="X6" i="56"/>
  <c r="AN6" i="56" s="1"/>
  <c r="AA6" i="56"/>
  <c r="X7" i="56"/>
  <c r="AN7" i="56" s="1"/>
  <c r="AA7" i="56"/>
  <c r="U8" i="56"/>
  <c r="X8" i="56"/>
  <c r="AN8" i="56" s="1"/>
  <c r="AA8" i="56"/>
  <c r="X9" i="56"/>
  <c r="AN9" i="56" s="1"/>
  <c r="AA9" i="56"/>
  <c r="X10" i="56"/>
  <c r="AN10" i="56" s="1"/>
  <c r="AA10" i="56"/>
  <c r="X11" i="56"/>
  <c r="AN11" i="56" s="1"/>
  <c r="AA11" i="56"/>
  <c r="X12" i="56"/>
  <c r="AN12" i="56" s="1"/>
  <c r="AA12" i="56"/>
  <c r="X13" i="56"/>
  <c r="AN13" i="56" s="1"/>
  <c r="AA13" i="56"/>
  <c r="X14" i="56"/>
  <c r="AN14" i="56" s="1"/>
  <c r="AA14" i="56"/>
  <c r="X15" i="56"/>
  <c r="AN15" i="56" s="1"/>
  <c r="AA15" i="56"/>
  <c r="U16" i="56"/>
  <c r="X16" i="56"/>
  <c r="AN16" i="56" s="1"/>
  <c r="AA16" i="56"/>
  <c r="X17" i="56"/>
  <c r="AN17" i="56" s="1"/>
  <c r="AA17" i="56"/>
  <c r="X18" i="56"/>
  <c r="AN18" i="56" s="1"/>
  <c r="AA18" i="56"/>
  <c r="X19" i="56"/>
  <c r="AN19" i="56" s="1"/>
  <c r="AA19" i="56"/>
  <c r="X20" i="56"/>
  <c r="AN20" i="56" s="1"/>
  <c r="AA20" i="56"/>
  <c r="X21" i="56"/>
  <c r="AN21" i="56" s="1"/>
  <c r="AA21" i="56"/>
  <c r="X22" i="56"/>
  <c r="AN22" i="56" s="1"/>
  <c r="AA22" i="56"/>
  <c r="X23" i="56"/>
  <c r="AN23" i="56" s="1"/>
  <c r="AA23" i="56"/>
  <c r="X24" i="56"/>
  <c r="AN24" i="56" s="1"/>
  <c r="AA24" i="56"/>
  <c r="X25" i="56"/>
  <c r="AN25" i="56" s="1"/>
  <c r="AA25" i="56"/>
  <c r="X26" i="56"/>
  <c r="AN26" i="56" s="1"/>
  <c r="AA26" i="56"/>
  <c r="X27" i="56"/>
  <c r="AN27" i="56" s="1"/>
  <c r="AA27" i="56"/>
  <c r="X28" i="56"/>
  <c r="AN28" i="56" s="1"/>
  <c r="AA28" i="56"/>
  <c r="X29" i="56"/>
  <c r="AN29" i="56" s="1"/>
  <c r="AA29" i="56"/>
  <c r="X30" i="56"/>
  <c r="AN30" i="56" s="1"/>
  <c r="AA30" i="56"/>
  <c r="X31" i="56"/>
  <c r="AN31" i="56" s="1"/>
  <c r="AA31" i="56"/>
  <c r="X32" i="56"/>
  <c r="AN32" i="56" s="1"/>
  <c r="AA32" i="56"/>
  <c r="X33" i="56"/>
  <c r="AN33" i="56" s="1"/>
  <c r="AA33" i="56"/>
  <c r="X34" i="56"/>
  <c r="AN34" i="56" s="1"/>
  <c r="AA34" i="56"/>
  <c r="X41" i="56"/>
  <c r="AN41" i="56" s="1"/>
  <c r="AA41" i="56"/>
  <c r="X42" i="56"/>
  <c r="AN42" i="56" s="1"/>
  <c r="AA42" i="56"/>
  <c r="X43" i="56"/>
  <c r="AN43" i="56" s="1"/>
  <c r="AA43" i="56"/>
  <c r="X44" i="56"/>
  <c r="AN44" i="56" s="1"/>
  <c r="AA44" i="56"/>
  <c r="X45" i="56"/>
  <c r="AN45" i="56" s="1"/>
  <c r="AA45" i="56"/>
  <c r="X46" i="56"/>
  <c r="AN46" i="56" s="1"/>
  <c r="AA46" i="56"/>
  <c r="X47" i="56"/>
  <c r="AN47" i="56" s="1"/>
  <c r="AA47" i="56"/>
  <c r="AF47" i="56"/>
  <c r="U48" i="56"/>
  <c r="X48" i="56"/>
  <c r="AN48" i="56" s="1"/>
  <c r="AA48" i="56"/>
  <c r="X75" i="56"/>
  <c r="AN75" i="56" s="1"/>
  <c r="AA75" i="56"/>
  <c r="X76" i="56"/>
  <c r="AN76" i="56" s="1"/>
  <c r="AA76" i="56"/>
  <c r="X77" i="56"/>
  <c r="AN77" i="56" s="1"/>
  <c r="AA77" i="56"/>
  <c r="X78" i="56"/>
  <c r="AN78" i="56" s="1"/>
  <c r="AA78" i="56"/>
  <c r="X79" i="56"/>
  <c r="AN79" i="56" s="1"/>
  <c r="AA79" i="56"/>
  <c r="X80" i="56"/>
  <c r="AN80" i="56" s="1"/>
  <c r="AA80" i="56"/>
  <c r="X81" i="56"/>
  <c r="AN81" i="56" s="1"/>
  <c r="AA81" i="56"/>
  <c r="X82" i="56"/>
  <c r="AN82" i="56" s="1"/>
  <c r="AA82" i="56"/>
  <c r="X83" i="56"/>
  <c r="AN83" i="56" s="1"/>
  <c r="AA83" i="56"/>
  <c r="X84" i="56"/>
  <c r="AN84" i="56" s="1"/>
  <c r="AA84" i="56"/>
  <c r="X85" i="56"/>
  <c r="AN85" i="56" s="1"/>
  <c r="AA85" i="56"/>
  <c r="X86" i="56"/>
  <c r="AN86" i="56" s="1"/>
  <c r="AA86" i="56"/>
  <c r="X87" i="56"/>
  <c r="AN87" i="56" s="1"/>
  <c r="AA87" i="56"/>
  <c r="X88" i="56"/>
  <c r="AN88" i="56" s="1"/>
  <c r="AA88" i="56"/>
  <c r="U94" i="56"/>
  <c r="X94" i="56"/>
  <c r="AN94" i="56" s="1"/>
  <c r="AA94" i="56"/>
  <c r="X95" i="56"/>
  <c r="AN95" i="56" s="1"/>
  <c r="AA95" i="56"/>
  <c r="U96" i="56"/>
  <c r="X96" i="56"/>
  <c r="AN96" i="56" s="1"/>
  <c r="AA96" i="56"/>
  <c r="X97" i="56"/>
  <c r="AN97" i="56" s="1"/>
  <c r="AA97" i="56"/>
  <c r="X98" i="56"/>
  <c r="AN98" i="56" s="1"/>
  <c r="AA98" i="56"/>
  <c r="AO40" i="56" l="1"/>
  <c r="AV40" i="56" s="1" a="1"/>
  <c r="AV40" i="56" s="1"/>
  <c r="AX40" i="56" s="1"/>
  <c r="AD96" i="56"/>
  <c r="R96" i="56"/>
  <c r="AS96" i="56"/>
  <c r="AQ96" i="56"/>
  <c r="AW96" i="56" s="1"/>
  <c r="AF34" i="56"/>
  <c r="AD16" i="56"/>
  <c r="AS16" i="56"/>
  <c r="R16" i="56"/>
  <c r="AQ16" i="56"/>
  <c r="AF10" i="56"/>
  <c r="AD8" i="56"/>
  <c r="AQ8" i="56"/>
  <c r="R8" i="56"/>
  <c r="AS8" i="56"/>
  <c r="AF98" i="56"/>
  <c r="AF44" i="56"/>
  <c r="AZ36" i="56"/>
  <c r="AX36" i="56"/>
  <c r="AX35" i="56"/>
  <c r="AZ35" i="56"/>
  <c r="AF81" i="56"/>
  <c r="AF95" i="56"/>
  <c r="AF82" i="56"/>
  <c r="AD94" i="56"/>
  <c r="R94" i="56"/>
  <c r="AS94" i="56"/>
  <c r="AQ94" i="56"/>
  <c r="AW94" i="56" s="1"/>
  <c r="AD48" i="56"/>
  <c r="AS48" i="56"/>
  <c r="R48" i="56"/>
  <c r="AQ48" i="56"/>
  <c r="AZ40" i="56"/>
  <c r="AF79" i="56"/>
  <c r="U77" i="56"/>
  <c r="AU77" i="56"/>
  <c r="AT77" i="56"/>
  <c r="AF45" i="56"/>
  <c r="U43" i="56"/>
  <c r="AT43" i="56"/>
  <c r="AU43" i="56"/>
  <c r="U34" i="56"/>
  <c r="AU34" i="56"/>
  <c r="AT34" i="56"/>
  <c r="AF28" i="56"/>
  <c r="U26" i="56"/>
  <c r="AU26" i="56"/>
  <c r="AT26" i="56"/>
  <c r="AF20" i="56"/>
  <c r="U18" i="56"/>
  <c r="AU18" i="56"/>
  <c r="AT18" i="56"/>
  <c r="AF12" i="56"/>
  <c r="U10" i="56"/>
  <c r="AT10" i="56"/>
  <c r="AU10" i="56"/>
  <c r="AF4" i="56"/>
  <c r="AZ93" i="56"/>
  <c r="AX93" i="56"/>
  <c r="I23" i="3"/>
  <c r="I28" i="3" s="1"/>
  <c r="T128" i="38" s="1"/>
  <c r="T127" i="56"/>
  <c r="AF80" i="56"/>
  <c r="U78" i="56"/>
  <c r="AU78" i="56"/>
  <c r="AT78" i="56"/>
  <c r="AF46" i="56"/>
  <c r="U44" i="56"/>
  <c r="AU44" i="56"/>
  <c r="AT44" i="56"/>
  <c r="AF29" i="56"/>
  <c r="U27" i="56"/>
  <c r="AU27" i="56"/>
  <c r="AT27" i="56"/>
  <c r="AF21" i="56"/>
  <c r="U19" i="56"/>
  <c r="AT19" i="56"/>
  <c r="AU19" i="56"/>
  <c r="AF13" i="56"/>
  <c r="U11" i="56"/>
  <c r="AU11" i="56"/>
  <c r="AT11" i="56"/>
  <c r="AF5" i="56"/>
  <c r="AX91" i="56"/>
  <c r="AZ91" i="56"/>
  <c r="AO39" i="56"/>
  <c r="AV39" i="56" s="1" a="1"/>
  <c r="AV39" i="56" s="1"/>
  <c r="AE106" i="56"/>
  <c r="AM106" i="56"/>
  <c r="AF88" i="56"/>
  <c r="AU87" i="56"/>
  <c r="AT87" i="56"/>
  <c r="AU79" i="56"/>
  <c r="AT79" i="56"/>
  <c r="U45" i="56"/>
  <c r="AU45" i="56"/>
  <c r="AT45" i="56"/>
  <c r="AF30" i="56"/>
  <c r="U28" i="56"/>
  <c r="AT28" i="56"/>
  <c r="AU28" i="56"/>
  <c r="AF22" i="56"/>
  <c r="U20" i="56"/>
  <c r="AT20" i="56"/>
  <c r="AU20" i="56"/>
  <c r="AF14" i="56"/>
  <c r="U12" i="56"/>
  <c r="AU12" i="56"/>
  <c r="AT12" i="56"/>
  <c r="AF6" i="56"/>
  <c r="U4" i="56"/>
  <c r="AT4" i="56"/>
  <c r="AU4" i="56"/>
  <c r="AZ90" i="56"/>
  <c r="AX90" i="56"/>
  <c r="AG106" i="56"/>
  <c r="U88" i="56"/>
  <c r="AU88" i="56"/>
  <c r="AT88" i="56"/>
  <c r="U80" i="56"/>
  <c r="AU80" i="56"/>
  <c r="AT80" i="56"/>
  <c r="AF48" i="56"/>
  <c r="AO48" i="56"/>
  <c r="AV48" i="56" s="1" a="1"/>
  <c r="AV48" i="56" s="1"/>
  <c r="U46" i="56"/>
  <c r="AU46" i="56"/>
  <c r="AT46" i="56"/>
  <c r="AF31" i="56"/>
  <c r="U29" i="56"/>
  <c r="AT29" i="56"/>
  <c r="AU29" i="56"/>
  <c r="AF23" i="56"/>
  <c r="U21" i="56"/>
  <c r="AU21" i="56"/>
  <c r="AT21" i="56"/>
  <c r="AF15" i="56"/>
  <c r="U13" i="56"/>
  <c r="AU13" i="56"/>
  <c r="AT13" i="56"/>
  <c r="AF7" i="56"/>
  <c r="U5" i="56"/>
  <c r="AU5" i="56"/>
  <c r="AT5" i="56"/>
  <c r="AZ37" i="56"/>
  <c r="AX37" i="56"/>
  <c r="K23" i="3"/>
  <c r="K28" i="3" s="1"/>
  <c r="W127" i="56"/>
  <c r="U98" i="56"/>
  <c r="AU98" i="56"/>
  <c r="AT98" i="56"/>
  <c r="U86" i="56"/>
  <c r="AU86" i="56"/>
  <c r="AT86" i="56"/>
  <c r="AF96" i="56"/>
  <c r="AO96" i="56"/>
  <c r="AV96" i="56" s="1" a="1"/>
  <c r="AV96" i="56" s="1"/>
  <c r="AU94" i="56"/>
  <c r="AT94" i="56"/>
  <c r="AF83" i="56"/>
  <c r="U81" i="56"/>
  <c r="AU81" i="56"/>
  <c r="AT81" i="56"/>
  <c r="AF75" i="56"/>
  <c r="U47" i="56"/>
  <c r="AU47" i="56"/>
  <c r="AT47" i="56"/>
  <c r="AF41" i="56"/>
  <c r="AF32" i="56"/>
  <c r="U30" i="56"/>
  <c r="AU30" i="56"/>
  <c r="AT30" i="56"/>
  <c r="AF24" i="56"/>
  <c r="U22" i="56"/>
  <c r="AU22" i="56"/>
  <c r="AT22" i="56"/>
  <c r="AF16" i="56"/>
  <c r="AO16" i="56"/>
  <c r="AV16" i="56" s="1" a="1"/>
  <c r="AV16" i="56" s="1"/>
  <c r="U14" i="56"/>
  <c r="AU14" i="56"/>
  <c r="AT14" i="56"/>
  <c r="AF8" i="56"/>
  <c r="AO8" i="56"/>
  <c r="AV8" i="56" s="1" a="1"/>
  <c r="AV8" i="56" s="1"/>
  <c r="U6" i="56"/>
  <c r="AU6" i="56"/>
  <c r="AT6" i="56"/>
  <c r="AW89" i="56"/>
  <c r="AF87" i="56"/>
  <c r="AT85" i="56"/>
  <c r="AU85" i="56"/>
  <c r="AF94" i="56"/>
  <c r="AO94" i="56"/>
  <c r="AV94" i="56" s="1" a="1"/>
  <c r="AV94" i="56" s="1"/>
  <c r="AF97" i="56"/>
  <c r="U95" i="56"/>
  <c r="AU95" i="56"/>
  <c r="AT95" i="56"/>
  <c r="AF84" i="56"/>
  <c r="U82" i="56"/>
  <c r="AU82" i="56"/>
  <c r="AT82" i="56"/>
  <c r="AF76" i="56"/>
  <c r="AU48" i="56"/>
  <c r="AT48" i="56"/>
  <c r="AF42" i="56"/>
  <c r="AF33" i="56"/>
  <c r="U31" i="56"/>
  <c r="AU31" i="56"/>
  <c r="AT31" i="56"/>
  <c r="AF25" i="56"/>
  <c r="U23" i="56"/>
  <c r="AU23" i="56"/>
  <c r="AT23" i="56"/>
  <c r="AF17" i="56"/>
  <c r="U15" i="56"/>
  <c r="AT15" i="56"/>
  <c r="AU15" i="56"/>
  <c r="AF9" i="56"/>
  <c r="U7" i="56"/>
  <c r="AU7" i="56"/>
  <c r="AT7" i="56"/>
  <c r="U85" i="56"/>
  <c r="N23" i="3"/>
  <c r="N28" i="3" s="1"/>
  <c r="Z127" i="56"/>
  <c r="AZ89" i="56"/>
  <c r="AX89" i="56"/>
  <c r="AU96" i="56"/>
  <c r="AT96" i="56"/>
  <c r="AF85" i="56"/>
  <c r="U83" i="56"/>
  <c r="AU83" i="56"/>
  <c r="AT83" i="56"/>
  <c r="AF77" i="56"/>
  <c r="U75" i="56"/>
  <c r="AU75" i="56"/>
  <c r="AT75" i="56"/>
  <c r="AF43" i="56"/>
  <c r="U41" i="56"/>
  <c r="AT41" i="56"/>
  <c r="AU41" i="56"/>
  <c r="U32" i="56"/>
  <c r="AU32" i="56"/>
  <c r="AT32" i="56"/>
  <c r="AF26" i="56"/>
  <c r="U24" i="56"/>
  <c r="AU24" i="56"/>
  <c r="AT24" i="56"/>
  <c r="AF18" i="56"/>
  <c r="AU16" i="56"/>
  <c r="AT16" i="56"/>
  <c r="AT8" i="56"/>
  <c r="AU8" i="56"/>
  <c r="U79" i="56"/>
  <c r="U97" i="56"/>
  <c r="AU97" i="56"/>
  <c r="AT97" i="56"/>
  <c r="AF86" i="56"/>
  <c r="U84" i="56"/>
  <c r="AU84" i="56"/>
  <c r="AT84" i="56"/>
  <c r="AF78" i="56"/>
  <c r="U76" i="56"/>
  <c r="AU76" i="56"/>
  <c r="AT76" i="56"/>
  <c r="AU42" i="56"/>
  <c r="AT42" i="56"/>
  <c r="U33" i="56"/>
  <c r="AU33" i="56"/>
  <c r="AT33" i="56"/>
  <c r="AF27" i="56"/>
  <c r="U25" i="56"/>
  <c r="AU25" i="56"/>
  <c r="AT25" i="56"/>
  <c r="AF19" i="56"/>
  <c r="U17" i="56"/>
  <c r="AU17" i="56"/>
  <c r="AT17" i="56"/>
  <c r="AF11" i="56"/>
  <c r="U9" i="56"/>
  <c r="AU9" i="56"/>
  <c r="AT9" i="56"/>
  <c r="AX92" i="56"/>
  <c r="AZ92" i="56"/>
  <c r="U42" i="56"/>
  <c r="AO38" i="56"/>
  <c r="AV38" i="56" s="1" a="1"/>
  <c r="AV38" i="56" s="1"/>
  <c r="U87" i="56"/>
  <c r="AW8" i="56" l="1"/>
  <c r="AZ48" i="56"/>
  <c r="AX48" i="56"/>
  <c r="AD28" i="56"/>
  <c r="AO28" i="56" s="1"/>
  <c r="AV28" i="56" s="1"/>
  <c r="R28" i="56"/>
  <c r="AQ28" i="56"/>
  <c r="AS28" i="56"/>
  <c r="AD25" i="56"/>
  <c r="AO25" i="56" s="1"/>
  <c r="AV25" i="56" s="1" a="1"/>
  <c r="AV25" i="56" s="1"/>
  <c r="AS25" i="56"/>
  <c r="R25" i="56"/>
  <c r="AQ25" i="56"/>
  <c r="AW25" i="56" s="1"/>
  <c r="AD79" i="56"/>
  <c r="AO79" i="56" s="1"/>
  <c r="AV79" i="56" s="1" a="1"/>
  <c r="AV79" i="56" s="1"/>
  <c r="AQ79" i="56"/>
  <c r="R79" i="56"/>
  <c r="AS79" i="56"/>
  <c r="AD32" i="56"/>
  <c r="AO32" i="56" s="1"/>
  <c r="AV32" i="56" s="1" a="1"/>
  <c r="AV32" i="56" s="1"/>
  <c r="R32" i="56"/>
  <c r="AQ32" i="56"/>
  <c r="AW32" i="56" s="1"/>
  <c r="AS32" i="56"/>
  <c r="AD31" i="56"/>
  <c r="AO31" i="56" s="1"/>
  <c r="AV31" i="56" s="1" a="1"/>
  <c r="AV31" i="56" s="1"/>
  <c r="AS31" i="56"/>
  <c r="R31" i="56"/>
  <c r="AQ31" i="56"/>
  <c r="AW31" i="56" s="1"/>
  <c r="AD81" i="56"/>
  <c r="AO81" i="56" s="1"/>
  <c r="AV81" i="56" s="1" a="1"/>
  <c r="AV81" i="56" s="1"/>
  <c r="AQ81" i="56"/>
  <c r="AS81" i="56"/>
  <c r="R81" i="56"/>
  <c r="U23" i="3"/>
  <c r="U28" i="3" s="1"/>
  <c r="AM127" i="56"/>
  <c r="AD42" i="56"/>
  <c r="AO42" i="56" s="1"/>
  <c r="AV42" i="56" s="1" a="1"/>
  <c r="AV42" i="56" s="1"/>
  <c r="AQ42" i="56"/>
  <c r="AS42" i="56"/>
  <c r="R42" i="56"/>
  <c r="AD27" i="56"/>
  <c r="AO27" i="56" s="1"/>
  <c r="AV27" i="56" s="1" a="1"/>
  <c r="AV27" i="56" s="1"/>
  <c r="AS27" i="56"/>
  <c r="R27" i="56"/>
  <c r="AQ27" i="56"/>
  <c r="AD84" i="56"/>
  <c r="AO84" i="56" s="1"/>
  <c r="AV84" i="56" s="1" a="1"/>
  <c r="AV84" i="56" s="1"/>
  <c r="R84" i="56"/>
  <c r="AS84" i="56"/>
  <c r="AQ84" i="56"/>
  <c r="AW84" i="56" s="1"/>
  <c r="AD75" i="56"/>
  <c r="AO75" i="56" s="1"/>
  <c r="AV75" i="56" s="1" a="1"/>
  <c r="AV75" i="56" s="1"/>
  <c r="AS75" i="56"/>
  <c r="AQ75" i="56"/>
  <c r="AW75" i="56" s="1"/>
  <c r="R75" i="56"/>
  <c r="V106" i="56"/>
  <c r="X3" i="56"/>
  <c r="AX8" i="56"/>
  <c r="AZ8" i="56"/>
  <c r="AD30" i="56"/>
  <c r="AO30" i="56" s="1"/>
  <c r="AV30" i="56" s="1" a="1"/>
  <c r="AV30" i="56" s="1"/>
  <c r="R30" i="56"/>
  <c r="AS30" i="56"/>
  <c r="AQ30" i="56"/>
  <c r="AW30" i="56" s="1"/>
  <c r="AD21" i="56"/>
  <c r="AO21" i="56" s="1"/>
  <c r="AV21" i="56" s="1" a="1"/>
  <c r="AV21" i="56" s="1"/>
  <c r="AQ21" i="56"/>
  <c r="R21" i="56"/>
  <c r="AS21" i="56"/>
  <c r="AD20" i="56"/>
  <c r="AO20" i="56" s="1"/>
  <c r="AV20" i="56" s="1" a="1"/>
  <c r="AV20" i="56" s="1"/>
  <c r="AS20" i="56"/>
  <c r="R20" i="56"/>
  <c r="AQ20" i="56"/>
  <c r="AD19" i="56"/>
  <c r="AO19" i="56" s="1"/>
  <c r="AV19" i="56" s="1" a="1"/>
  <c r="AV19" i="56" s="1"/>
  <c r="AQ19" i="56"/>
  <c r="AW19" i="56" s="1"/>
  <c r="R19" i="56"/>
  <c r="AS19" i="56"/>
  <c r="AD10" i="56"/>
  <c r="AO10" i="56" s="1"/>
  <c r="AV10" i="56" s="1" a="1"/>
  <c r="AV10" i="56" s="1"/>
  <c r="R10" i="56"/>
  <c r="AS10" i="56"/>
  <c r="AQ10" i="56"/>
  <c r="AD6" i="56"/>
  <c r="AO6" i="56" s="1"/>
  <c r="AV6" i="56" s="1" a="1"/>
  <c r="AV6" i="56" s="1"/>
  <c r="R6" i="56"/>
  <c r="AQ6" i="56"/>
  <c r="AS6" i="56"/>
  <c r="AD17" i="56"/>
  <c r="AO17" i="56" s="1"/>
  <c r="AV17" i="56" s="1" a="1"/>
  <c r="AV17" i="56" s="1"/>
  <c r="AQ17" i="56"/>
  <c r="AS17" i="56"/>
  <c r="R17" i="56"/>
  <c r="AD24" i="56"/>
  <c r="AO24" i="56" s="1"/>
  <c r="AV24" i="56" s="1" a="1"/>
  <c r="AV24" i="56" s="1"/>
  <c r="R24" i="56"/>
  <c r="AS24" i="56"/>
  <c r="AQ24" i="56"/>
  <c r="Z128" i="38"/>
  <c r="AD23" i="56"/>
  <c r="AO23" i="56" s="1"/>
  <c r="AV23" i="56" s="1" a="1"/>
  <c r="AV23" i="56" s="1"/>
  <c r="AS23" i="56"/>
  <c r="R23" i="56"/>
  <c r="AQ23" i="56"/>
  <c r="AW23" i="56" s="1"/>
  <c r="AD47" i="56"/>
  <c r="AO47" i="56" s="1"/>
  <c r="AV47" i="56" s="1" a="1"/>
  <c r="AV47" i="56" s="1"/>
  <c r="AS47" i="56"/>
  <c r="R47" i="56"/>
  <c r="AQ47" i="56"/>
  <c r="R23" i="3"/>
  <c r="R28" i="3" s="1"/>
  <c r="AE127" i="56"/>
  <c r="AW48" i="56"/>
  <c r="AZ16" i="56"/>
  <c r="AX16" i="56"/>
  <c r="AD29" i="56"/>
  <c r="AO29" i="56" s="1"/>
  <c r="AV29" i="56" s="1" a="1"/>
  <c r="AV29" i="56" s="1"/>
  <c r="AS29" i="56"/>
  <c r="R29" i="56"/>
  <c r="AQ29" i="56"/>
  <c r="AW29" i="56" s="1"/>
  <c r="AD76" i="56"/>
  <c r="AO76" i="56" s="1"/>
  <c r="AV76" i="56" s="1" a="1"/>
  <c r="AV76" i="56" s="1"/>
  <c r="AS76" i="56"/>
  <c r="R76" i="56"/>
  <c r="AQ76" i="56"/>
  <c r="AW76" i="56" s="1"/>
  <c r="AD41" i="56"/>
  <c r="AO41" i="56" s="1"/>
  <c r="AV41" i="56" s="1" a="1"/>
  <c r="AV41" i="56" s="1"/>
  <c r="R41" i="56"/>
  <c r="AS41" i="56"/>
  <c r="AQ41" i="56"/>
  <c r="AW41" i="56" s="1"/>
  <c r="AD85" i="56"/>
  <c r="AO85" i="56" s="1"/>
  <c r="AV85" i="56" s="1" a="1"/>
  <c r="AV85" i="56" s="1"/>
  <c r="AQ85" i="56"/>
  <c r="AW85" i="56" s="1"/>
  <c r="R85" i="56"/>
  <c r="AS85" i="56"/>
  <c r="S106" i="56"/>
  <c r="U3" i="56"/>
  <c r="AU3" i="56"/>
  <c r="AT3" i="56"/>
  <c r="AD22" i="56"/>
  <c r="AO22" i="56" s="1"/>
  <c r="AV22" i="56" s="1" a="1"/>
  <c r="AV22" i="56" s="1"/>
  <c r="R22" i="56"/>
  <c r="AS22" i="56"/>
  <c r="AQ22" i="56"/>
  <c r="AW22" i="56" s="1"/>
  <c r="AD86" i="56"/>
  <c r="AO86" i="56" s="1"/>
  <c r="AV86" i="56" s="1" a="1"/>
  <c r="AV86" i="56" s="1"/>
  <c r="R86" i="56"/>
  <c r="AQ86" i="56"/>
  <c r="AW86" i="56" s="1"/>
  <c r="AS86" i="56"/>
  <c r="AD13" i="56"/>
  <c r="AO13" i="56" s="1"/>
  <c r="AV13" i="56" s="1" a="1"/>
  <c r="AV13" i="56" s="1"/>
  <c r="AS13" i="56"/>
  <c r="R13" i="56"/>
  <c r="AQ13" i="56"/>
  <c r="AW13" i="56" s="1"/>
  <c r="AD80" i="56"/>
  <c r="AO80" i="56" s="1"/>
  <c r="AV80" i="56" s="1" a="1"/>
  <c r="AV80" i="56" s="1"/>
  <c r="R80" i="56"/>
  <c r="AS80" i="56"/>
  <c r="AQ80" i="56"/>
  <c r="AD12" i="56"/>
  <c r="AO12" i="56" s="1"/>
  <c r="AV12" i="56" s="1" a="1"/>
  <c r="AV12" i="56" s="1"/>
  <c r="AQ12" i="56"/>
  <c r="AS12" i="56"/>
  <c r="R12" i="56"/>
  <c r="AW39" i="56"/>
  <c r="AZ39" i="56"/>
  <c r="AX39" i="56"/>
  <c r="AD11" i="56"/>
  <c r="AO11" i="56" s="1"/>
  <c r="AV11" i="56" s="1" a="1"/>
  <c r="AV11" i="56" s="1"/>
  <c r="AQ11" i="56"/>
  <c r="R11" i="56"/>
  <c r="AS11" i="56"/>
  <c r="AD78" i="56"/>
  <c r="AO78" i="56" s="1"/>
  <c r="AV78" i="56" s="1" a="1"/>
  <c r="AV78" i="56" s="1"/>
  <c r="AQ78" i="56"/>
  <c r="AS78" i="56"/>
  <c r="R78" i="56"/>
  <c r="AD34" i="56"/>
  <c r="AO34" i="56" s="1"/>
  <c r="AV34" i="56" s="1" a="1"/>
  <c r="AV34" i="56" s="1"/>
  <c r="R34" i="56"/>
  <c r="AQ34" i="56"/>
  <c r="AW34" i="56" s="1"/>
  <c r="AS34" i="56"/>
  <c r="AZ96" i="56"/>
  <c r="AX96" i="56"/>
  <c r="AD9" i="56"/>
  <c r="AO9" i="56" s="1"/>
  <c r="AV9" i="56" s="1" a="1"/>
  <c r="AV9" i="56" s="1"/>
  <c r="AS9" i="56"/>
  <c r="AQ9" i="56"/>
  <c r="AW9" i="56" s="1"/>
  <c r="R9" i="56"/>
  <c r="AT105" i="56"/>
  <c r="AD15" i="56"/>
  <c r="AO15" i="56" s="1"/>
  <c r="AV15" i="56" s="1" a="1"/>
  <c r="AV15" i="56" s="1"/>
  <c r="AQ15" i="56"/>
  <c r="AS15" i="56"/>
  <c r="R15" i="56"/>
  <c r="AD95" i="56"/>
  <c r="AO95" i="56" s="1"/>
  <c r="AV95" i="56" s="1" a="1"/>
  <c r="AV95" i="56" s="1"/>
  <c r="R95" i="56"/>
  <c r="AS95" i="56"/>
  <c r="AQ95" i="56"/>
  <c r="AW95" i="56" s="1"/>
  <c r="AD77" i="56"/>
  <c r="AO77" i="56" s="1"/>
  <c r="AV77" i="56" s="1" a="1"/>
  <c r="AV77" i="56" s="1"/>
  <c r="AQ77" i="56"/>
  <c r="R77" i="56"/>
  <c r="AS77" i="56"/>
  <c r="AW16" i="56"/>
  <c r="AD87" i="56"/>
  <c r="AO87" i="56" s="1"/>
  <c r="AV87" i="56" s="1" a="1"/>
  <c r="AV87" i="56" s="1"/>
  <c r="AQ87" i="56"/>
  <c r="R87" i="56"/>
  <c r="AS87" i="56"/>
  <c r="AU105" i="56"/>
  <c r="AZ94" i="56"/>
  <c r="AX94" i="56"/>
  <c r="AD14" i="56"/>
  <c r="AO14" i="56" s="1"/>
  <c r="AV14" i="56" s="1" a="1"/>
  <c r="AV14" i="56" s="1"/>
  <c r="AS14" i="56"/>
  <c r="AQ14" i="56"/>
  <c r="R14" i="56"/>
  <c r="AD5" i="56"/>
  <c r="AO5" i="56" s="1"/>
  <c r="AV5" i="56" s="1" a="1"/>
  <c r="AV5" i="56" s="1"/>
  <c r="AQ5" i="56"/>
  <c r="AS5" i="56"/>
  <c r="R5" i="56"/>
  <c r="AD46" i="56"/>
  <c r="AO46" i="56" s="1"/>
  <c r="AV46" i="56" s="1" a="1"/>
  <c r="AV46" i="56" s="1"/>
  <c r="AS46" i="56"/>
  <c r="R46" i="56"/>
  <c r="AQ46" i="56"/>
  <c r="AW46" i="56" s="1"/>
  <c r="AD4" i="56"/>
  <c r="AO4" i="56" s="1"/>
  <c r="AV4" i="56" s="1" a="1"/>
  <c r="AV4" i="56" s="1"/>
  <c r="AS4" i="56"/>
  <c r="AQ4" i="56"/>
  <c r="R4" i="56"/>
  <c r="AD45" i="56"/>
  <c r="AO45" i="56" s="1"/>
  <c r="AV45" i="56" s="1" a="1"/>
  <c r="AV45" i="56" s="1"/>
  <c r="AS45" i="56"/>
  <c r="AQ45" i="56"/>
  <c r="R45" i="56"/>
  <c r="AD44" i="56"/>
  <c r="AO44" i="56" s="1"/>
  <c r="AV44" i="56" s="1" a="1"/>
  <c r="AV44" i="56" s="1"/>
  <c r="AS44" i="56"/>
  <c r="R44" i="56"/>
  <c r="AQ44" i="56"/>
  <c r="AD26" i="56"/>
  <c r="AO26" i="56" s="1"/>
  <c r="AV26" i="56" s="1" a="1"/>
  <c r="AV26" i="56" s="1"/>
  <c r="R26" i="56"/>
  <c r="AQ26" i="56"/>
  <c r="AS26" i="56"/>
  <c r="AD97" i="56"/>
  <c r="AO97" i="56" s="1"/>
  <c r="AV97" i="56" s="1" a="1"/>
  <c r="AV97" i="56" s="1"/>
  <c r="AS97" i="56"/>
  <c r="R97" i="56"/>
  <c r="AQ97" i="56"/>
  <c r="AW97" i="56" s="1"/>
  <c r="AD83" i="56"/>
  <c r="AO83" i="56" s="1"/>
  <c r="AV83" i="56" s="1" a="1"/>
  <c r="AV83" i="56" s="1"/>
  <c r="AQ83" i="56"/>
  <c r="AS83" i="56"/>
  <c r="R83" i="56"/>
  <c r="Q23" i="3"/>
  <c r="Q28" i="3" s="1"/>
  <c r="AG127" i="56"/>
  <c r="AD18" i="56"/>
  <c r="AO18" i="56" s="1"/>
  <c r="AV18" i="56" s="1" a="1"/>
  <c r="AV18" i="56" s="1"/>
  <c r="R18" i="56"/>
  <c r="AS18" i="56"/>
  <c r="AQ18" i="56"/>
  <c r="AX38" i="56"/>
  <c r="AZ38" i="56"/>
  <c r="AD33" i="56"/>
  <c r="AO33" i="56" s="1"/>
  <c r="AV33" i="56" s="1" a="1"/>
  <c r="AV33" i="56" s="1"/>
  <c r="AS33" i="56"/>
  <c r="AQ33" i="56"/>
  <c r="R33" i="56"/>
  <c r="Y106" i="56"/>
  <c r="AA3" i="56"/>
  <c r="AD7" i="56"/>
  <c r="AO7" i="56" s="1"/>
  <c r="AV7" i="56" s="1" a="1"/>
  <c r="AV7" i="56" s="1"/>
  <c r="AS7" i="56"/>
  <c r="AQ7" i="56"/>
  <c r="R7" i="56"/>
  <c r="AD82" i="56"/>
  <c r="AO82" i="56" s="1"/>
  <c r="AV82" i="56" s="1" a="1"/>
  <c r="AV82" i="56" s="1"/>
  <c r="AS82" i="56"/>
  <c r="R82" i="56"/>
  <c r="AQ82" i="56"/>
  <c r="AW82" i="56" s="1"/>
  <c r="AD98" i="56"/>
  <c r="AO98" i="56" s="1"/>
  <c r="AV98" i="56" s="1" a="1"/>
  <c r="AV98" i="56" s="1"/>
  <c r="AQ98" i="56"/>
  <c r="AS98" i="56"/>
  <c r="R98" i="56"/>
  <c r="AD88" i="56"/>
  <c r="AO88" i="56" s="1"/>
  <c r="AV88" i="56" s="1" a="1"/>
  <c r="AV88" i="56" s="1"/>
  <c r="R88" i="56"/>
  <c r="AS88" i="56"/>
  <c r="AQ88" i="56"/>
  <c r="AW88" i="56" s="1"/>
  <c r="AD43" i="56"/>
  <c r="AO43" i="56" s="1"/>
  <c r="AV43" i="56" s="1" a="1"/>
  <c r="AV43" i="56" s="1"/>
  <c r="AS43" i="56"/>
  <c r="R43" i="56"/>
  <c r="AQ43" i="56"/>
  <c r="AW80" i="56" l="1"/>
  <c r="AW24" i="56"/>
  <c r="AW81" i="56"/>
  <c r="AA106" i="56"/>
  <c r="AF3" i="56"/>
  <c r="AW14" i="56"/>
  <c r="AW12" i="56"/>
  <c r="AW47" i="56"/>
  <c r="AZ47" i="56"/>
  <c r="AX47" i="56"/>
  <c r="AZ81" i="56"/>
  <c r="AX81" i="56"/>
  <c r="AX32" i="56"/>
  <c r="AZ32" i="56"/>
  <c r="AX25" i="56"/>
  <c r="AZ25" i="56"/>
  <c r="AZ43" i="56"/>
  <c r="AX43" i="56"/>
  <c r="M23" i="3"/>
  <c r="Y127" i="56"/>
  <c r="AW18" i="56"/>
  <c r="AW83" i="56"/>
  <c r="AW87" i="56"/>
  <c r="AX87" i="56"/>
  <c r="AZ87" i="56"/>
  <c r="AX12" i="56"/>
  <c r="AZ12" i="56"/>
  <c r="AZ13" i="56"/>
  <c r="AX13" i="56"/>
  <c r="AZ22" i="56"/>
  <c r="AX22" i="56"/>
  <c r="AZ85" i="56"/>
  <c r="AX85" i="56"/>
  <c r="AZ76" i="56"/>
  <c r="AX76" i="56"/>
  <c r="X106" i="56"/>
  <c r="X127" i="56" s="1"/>
  <c r="AN3" i="56"/>
  <c r="AN106" i="56" s="1"/>
  <c r="AZ83" i="56"/>
  <c r="AX83" i="56"/>
  <c r="AZ14" i="56"/>
  <c r="AX14" i="56"/>
  <c r="AZ34" i="56"/>
  <c r="AX34" i="56"/>
  <c r="AW11" i="56"/>
  <c r="AZ11" i="56"/>
  <c r="AX11" i="56"/>
  <c r="AZ24" i="56"/>
  <c r="AX24" i="56"/>
  <c r="AW6" i="56"/>
  <c r="AX6" i="56"/>
  <c r="AZ6" i="56"/>
  <c r="AX19" i="56"/>
  <c r="AZ19" i="56"/>
  <c r="AW21" i="56"/>
  <c r="AZ21" i="56"/>
  <c r="AX21" i="56"/>
  <c r="J23" i="3"/>
  <c r="V127" i="56"/>
  <c r="AX84" i="56"/>
  <c r="AZ84" i="56"/>
  <c r="AW42" i="56"/>
  <c r="AZ42" i="56"/>
  <c r="AX42" i="56"/>
  <c r="AW28" i="56"/>
  <c r="AW45" i="56"/>
  <c r="AZ45" i="56"/>
  <c r="AX45" i="56"/>
  <c r="AZ95" i="56"/>
  <c r="AX95" i="56"/>
  <c r="AZ88" i="56"/>
  <c r="AX88" i="56"/>
  <c r="AZ82" i="56"/>
  <c r="AX82" i="56"/>
  <c r="AW44" i="56"/>
  <c r="AZ9" i="56"/>
  <c r="AX9" i="56"/>
  <c r="AW10" i="56"/>
  <c r="AW20" i="56"/>
  <c r="AW27" i="56"/>
  <c r="AX98" i="56"/>
  <c r="AZ98" i="56"/>
  <c r="AZ46" i="56"/>
  <c r="AX46" i="56"/>
  <c r="AW43" i="56"/>
  <c r="AZ18" i="56"/>
  <c r="AX18" i="56"/>
  <c r="AW4" i="56"/>
  <c r="U106" i="56"/>
  <c r="U127" i="56" s="1"/>
  <c r="R3" i="56"/>
  <c r="R106" i="56" s="1"/>
  <c r="R127" i="56" s="1"/>
  <c r="AD3" i="56"/>
  <c r="AD106" i="56" s="1"/>
  <c r="AS3" i="56"/>
  <c r="AQ3" i="56"/>
  <c r="AE128" i="38"/>
  <c r="AZ23" i="56"/>
  <c r="AX23" i="56"/>
  <c r="AM128" i="38"/>
  <c r="AZ31" i="56"/>
  <c r="AX31" i="56"/>
  <c r="AW79" i="56"/>
  <c r="AZ79" i="56"/>
  <c r="AX79" i="56"/>
  <c r="AZ28" i="56"/>
  <c r="AX28" i="56"/>
  <c r="AZ7" i="56"/>
  <c r="AV105" i="56"/>
  <c r="AX7" i="56"/>
  <c r="AW26" i="56"/>
  <c r="AX26" i="56"/>
  <c r="AZ26" i="56"/>
  <c r="AQ105" i="56"/>
  <c r="AW7" i="56"/>
  <c r="AW33" i="56"/>
  <c r="AZ33" i="56"/>
  <c r="AX33" i="56"/>
  <c r="AW5" i="56"/>
  <c r="AW78" i="56"/>
  <c r="AZ80" i="56"/>
  <c r="AX80" i="56"/>
  <c r="AZ86" i="56"/>
  <c r="AX86" i="56"/>
  <c r="H23" i="3"/>
  <c r="H28" i="3" s="1"/>
  <c r="S128" i="38" s="1"/>
  <c r="S127" i="56"/>
  <c r="AU127" i="56" s="1"/>
  <c r="AU106" i="56"/>
  <c r="AZ41" i="56"/>
  <c r="AX41" i="56"/>
  <c r="AW98" i="56"/>
  <c r="AS105" i="56"/>
  <c r="AG128" i="38"/>
  <c r="AZ97" i="56"/>
  <c r="AX97" i="56"/>
  <c r="AZ44" i="56"/>
  <c r="AX44" i="56"/>
  <c r="AZ4" i="56"/>
  <c r="AX4" i="56"/>
  <c r="AZ5" i="56"/>
  <c r="AX5" i="56"/>
  <c r="AW77" i="56"/>
  <c r="AX77" i="56"/>
  <c r="AZ77" i="56"/>
  <c r="AW15" i="56"/>
  <c r="AX15" i="56"/>
  <c r="AZ15" i="56"/>
  <c r="AZ78" i="56"/>
  <c r="AX78" i="56"/>
  <c r="AZ29" i="56"/>
  <c r="AX29" i="56"/>
  <c r="AW17" i="56"/>
  <c r="AX17" i="56"/>
  <c r="AZ17" i="56"/>
  <c r="AZ10" i="56"/>
  <c r="AX10" i="56"/>
  <c r="AZ20" i="56"/>
  <c r="AX20" i="56"/>
  <c r="AZ30" i="56"/>
  <c r="AX30" i="56"/>
  <c r="AZ75" i="56"/>
  <c r="AX75" i="56"/>
  <c r="AZ27" i="56"/>
  <c r="AX27" i="56"/>
  <c r="L23" i="3" l="1"/>
  <c r="L28" i="3" s="1"/>
  <c r="J28" i="3"/>
  <c r="AX105" i="56"/>
  <c r="AN127" i="56"/>
  <c r="AC23" i="3"/>
  <c r="AC28" i="3" s="1"/>
  <c r="AO3" i="56"/>
  <c r="O23" i="3"/>
  <c r="M28" i="3"/>
  <c r="AW105" i="56"/>
  <c r="P23" i="3"/>
  <c r="AD127" i="56"/>
  <c r="AA127" i="56"/>
  <c r="AF106" i="56"/>
  <c r="AO106" i="56" l="1"/>
  <c r="AO127" i="56" s="1"/>
  <c r="AV3" i="56"/>
  <c r="AN128" i="38"/>
  <c r="AF127" i="56"/>
  <c r="AC104" i="56"/>
  <c r="AC99" i="56"/>
  <c r="AC103" i="56"/>
  <c r="AC100" i="56"/>
  <c r="AC101" i="56"/>
  <c r="AC102" i="56"/>
  <c r="AC49" i="56"/>
  <c r="AC63" i="56"/>
  <c r="AC56" i="56"/>
  <c r="AC70" i="56"/>
  <c r="AC38" i="56"/>
  <c r="AC39" i="56"/>
  <c r="AC71" i="56"/>
  <c r="AC58" i="56"/>
  <c r="AC73" i="56"/>
  <c r="AC72" i="56"/>
  <c r="AC66" i="56"/>
  <c r="AC65" i="56"/>
  <c r="AC64" i="56"/>
  <c r="AC74" i="56"/>
  <c r="AC50" i="56"/>
  <c r="AC89" i="56"/>
  <c r="AC52" i="56"/>
  <c r="AC55" i="56"/>
  <c r="AC61" i="56"/>
  <c r="AC69" i="56"/>
  <c r="AC59" i="56"/>
  <c r="AC51" i="56"/>
  <c r="AC93" i="56"/>
  <c r="AC57" i="56"/>
  <c r="AC53" i="56"/>
  <c r="AC54" i="56"/>
  <c r="AC62" i="56"/>
  <c r="AC60" i="56"/>
  <c r="AC68" i="56"/>
  <c r="AC67" i="56"/>
  <c r="AC35" i="56"/>
  <c r="AC92" i="56"/>
  <c r="AC37" i="56"/>
  <c r="AC36" i="56"/>
  <c r="AC90" i="56"/>
  <c r="AC40" i="56"/>
  <c r="AC91" i="56"/>
  <c r="AC46" i="56"/>
  <c r="AC5" i="56"/>
  <c r="AC47" i="56"/>
  <c r="AC48" i="56"/>
  <c r="AC96" i="56"/>
  <c r="AC41" i="56"/>
  <c r="AC16" i="56"/>
  <c r="AC11" i="56"/>
  <c r="AC95" i="56"/>
  <c r="AC79" i="56"/>
  <c r="AC4" i="56"/>
  <c r="AC14" i="56"/>
  <c r="AC97" i="56"/>
  <c r="AC17" i="56"/>
  <c r="AC18" i="56"/>
  <c r="AC80" i="56"/>
  <c r="AC13" i="56"/>
  <c r="AC88" i="56"/>
  <c r="AC15" i="56"/>
  <c r="AC24" i="56"/>
  <c r="AC94" i="56"/>
  <c r="AC42" i="56"/>
  <c r="AC43" i="56"/>
  <c r="AC26" i="56"/>
  <c r="AC78" i="56"/>
  <c r="AC75" i="56"/>
  <c r="AC25" i="56"/>
  <c r="AC19" i="56"/>
  <c r="AC6" i="56"/>
  <c r="AC7" i="56"/>
  <c r="AC98" i="56"/>
  <c r="AC82" i="56"/>
  <c r="AC12" i="56"/>
  <c r="AC21" i="56"/>
  <c r="AC22" i="56"/>
  <c r="AC23" i="56"/>
  <c r="AC32" i="56"/>
  <c r="AC77" i="56"/>
  <c r="AC86" i="56"/>
  <c r="AC44" i="56"/>
  <c r="AC10" i="56"/>
  <c r="AC29" i="56"/>
  <c r="AC30" i="56"/>
  <c r="AC31" i="56"/>
  <c r="AC83" i="56"/>
  <c r="AC87" i="56"/>
  <c r="AC76" i="56"/>
  <c r="AC33" i="56"/>
  <c r="AC27" i="56"/>
  <c r="AC28" i="56"/>
  <c r="AC9" i="56"/>
  <c r="AC34" i="56"/>
  <c r="AC81" i="56"/>
  <c r="AC45" i="56"/>
  <c r="AC20" i="56"/>
  <c r="AC8" i="56"/>
  <c r="AC85" i="56"/>
  <c r="AC84" i="56"/>
  <c r="AC3" i="56"/>
  <c r="Y128" i="38"/>
  <c r="N30" i="3"/>
  <c r="F23" i="3"/>
  <c r="F28" i="3" s="1"/>
  <c r="AF23" i="3"/>
  <c r="AE23" i="3"/>
  <c r="AE28" i="3" s="1"/>
  <c r="AK23" i="3"/>
  <c r="O28" i="3"/>
  <c r="AC30" i="3" s="1"/>
  <c r="AH23" i="3"/>
  <c r="P28" i="3"/>
  <c r="AC106" i="56" l="1"/>
  <c r="AC127" i="56" s="1"/>
  <c r="AI23" i="3"/>
  <c r="AJ23" i="3"/>
  <c r="AG21" i="3"/>
  <c r="AG28" i="3" s="1"/>
  <c r="AF28" i="3"/>
  <c r="AD128" i="38"/>
  <c r="P30" i="3"/>
  <c r="AH28" i="3"/>
  <c r="X30" i="3"/>
  <c r="Z30" i="3"/>
  <c r="AK28" i="3"/>
  <c r="W31" i="3"/>
  <c r="V30" i="3"/>
  <c r="W30" i="3"/>
  <c r="T30" i="3"/>
  <c r="S30" i="3"/>
  <c r="U30" i="3"/>
  <c r="Q30" i="3"/>
  <c r="R30" i="3"/>
  <c r="AW3" i="56"/>
  <c r="AZ3" i="56"/>
  <c r="AZ106" i="56" s="1"/>
  <c r="AZ127" i="56" s="1"/>
  <c r="AX3" i="56"/>
  <c r="AO128" i="38" l="1"/>
  <c r="AG31" i="3"/>
  <c r="AG30" i="3"/>
  <c r="AJ28" i="3"/>
  <c r="AI2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V2" authorId="0" shapeId="0" xr:uid="{94D25587-F145-4E6E-BBFF-14DBFC2B8994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D2" authorId="0" shapeId="0" xr:uid="{44F9EF92-0542-4469-AF82-A4B4155B7CC2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D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09249C94-4A4D-4932-998E-9A3AD42CEE6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23E4C52-BB8A-44F8-B3B5-C3BBB057E2A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9CAED83-2B6C-4BA8-8B71-472F126292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2A921A44-F14B-419C-92BF-AC4A723A3FB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C4AEA319-55C5-48D6-B9F1-B3CB1ED1D0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DADC039-064B-4469-8B18-C57FC1962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627E9D5-0C0C-4D55-A7A4-8E0E8D2C6F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18EC9F8-E901-4DCB-ADAD-D7FC78EE882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2B45E243-FF84-40EC-BF09-6307C79AEAC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291FF685-47F8-42DF-A832-77FD3D7D468C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6A344E42-DE26-4A1D-A313-9B1352ACAA3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EAFCAA45-2A25-4074-BDBE-97DBCDFC428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1569BFC3-B8E9-4F8A-A2CB-A3FCBBD3A5D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00720BAA-0D46-403A-95E2-9EB210DE063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BA4E7734-52D1-4DE5-B0BA-67FEDC470D5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E691F38-1EBB-4A29-8699-629D2924002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70EE0F5D-54FC-4E92-88EB-681B548596A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692ED25-430A-47E9-AE3A-EC0704499942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40FDC8DD-B691-49C7-90B9-56D9E239EB2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695915B0-981F-4DC3-A056-AA42AF86760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10503FC-89D8-461C-B442-0BB98FBDB4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4697D914-9BAF-4C94-A1F5-42CE8FAA6A0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702DB867-8DDC-486A-B74C-D1E0B675DF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9D51A28-EEA6-4750-ADEA-81209EEBF9A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AC7702C3-8E8F-4087-8F0A-DD447C89C7C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CB37E522-3DE7-4FFD-B577-07732002FC71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D32CE2B-EF89-4A29-870C-755E625B9BB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0235F39B-BEBD-4841-A701-A8AABA2EF9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077FBC2-009C-49E7-9DF7-27A31C717DD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CAB4535E-5FA0-4640-84EF-A70589B939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72C349CF-344E-439B-A13C-5B1BEDBD985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34393CDA-8077-4931-B99A-626C4CBA10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4C0A01E-D4BF-4557-B133-67FCE37BA15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1682EB03-8C7B-4656-A135-4968A24F1CDC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00C47498-5ACD-4A55-BBB6-DB3035C747A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7197E161-ECEB-481C-91CF-2FBEFE5CE1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E5922950-3DC8-4001-AF11-5B1AD03932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7AFD7D1A-30D0-4E05-8169-7E7A39609F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B2FA3034-A1F6-421D-86B9-7D89243C4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61942518-320C-4A21-AF69-F4322C16CBB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50B532A4-4E43-4339-93DB-D750FEA85F8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BAD2284E-255F-4C40-A763-DA81A9B2A07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1B287E21-E0B9-4E03-B99E-87C80ED23A4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69752086-C49F-445A-956E-E533E676BB0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6EE8124E-0CA0-4D5D-834C-523843665FC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8BD40176-10DA-4F7E-8ED8-23A6919A7AD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3A8184EE-1EFF-4FA6-9A7B-6CD9FCE3A9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245CB75-F349-49C8-80D2-C22A507CD8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C1AFCD84-6D49-4D2E-9A5E-C59D7DFB485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ED5AB041-F29A-4EB0-BA0C-B62E6B3127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7EF10D7-3853-4315-90F4-E9DFE3E711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844B2027-6150-4993-AFC1-6850662BBE0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96FEEA7F-F26F-4C68-9E1C-B3AE0E856DF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D3487EB0-13DF-4E0E-A154-137C33B2768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FEC2A263-EF41-43EE-98E6-7185012E19E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452FE922-93E7-4BE2-B17F-8D4913880CC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B2E306B1-1645-4B01-935B-4E34E450537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672D559-D576-4B66-9F15-3126BBFEAA6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736721-183E-40D1-95A4-745E467801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AC3F1C1A-F021-4CE3-BAB0-BEB015AD2FC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B9A70B-0518-47C4-8E0D-06366F4698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3DC5C12-2244-4D3E-B82B-7EECAAB37D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EC61210-434D-4BE8-A03E-02456EBFEA8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834D1C2-8D10-4A0B-87D7-4D786BD5C5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E3C339D7-1E81-4180-AFE9-A1FFEDFB2F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A73D3D1-BE33-4E0A-BEC4-69FF8F39BCF9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45EA5FA-50FE-4484-85B4-1D2CEEF692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91792D5D-1F1C-411B-A34C-B56E288A761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A49C6AC-18C0-4B55-8330-3C1FD839224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32424210-A854-4BF6-BA6E-18E63789B8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3CFF91EC-48AA-41B4-A80A-6DD3D9B7FFC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6457070-E614-4F8C-BD00-B4AA56B9B28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558265E-06E1-4238-A068-7C49EA02023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9B74ED0-A93D-4978-8742-41618F419E2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A1B3EE8F-2A4B-4988-A8FD-1FD51BE7BC0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7DEB4DCC-63A8-4FC7-B78B-61C780FC9C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A56FE612-ECC3-4673-9130-75ED8D05C9F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97E9FEBA-BF95-4A9A-A8B7-EB158569452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052B6970-02BF-4418-AE13-2EFB35C39B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ABA92BDB-5428-4B7B-828A-40F6DF565D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FDC45DD1-82F9-4C4C-80E6-18B9D59F010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CE0B4AF-B152-4E49-A1BD-038521BEE0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FF4FD0E-3962-4A1B-89CF-9AC41C20EC0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E29EEB22-37EB-41C5-A7D4-42C05528AC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6F4677-5116-4C89-8838-3ACE7C0253D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4138261-088C-41C6-840E-2A949100F1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C3EEF2F-5557-4519-A068-AF145B49A4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3606D78-34E0-4AFB-BC44-2B482D0BEF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740C577F-65B0-4654-B668-DC5E2117E8F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F52645D1-5EAC-4631-A347-48AE793FFE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D89091-16ED-438C-AEC9-35F6B454A4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B141B63-535A-442A-832D-075D6B9EB7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F5061CD-6E9D-4E42-88F7-264610C4A49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07A940C-657A-405C-BA3B-6FE07F6787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1D7A2B1-1C0E-4533-A081-3D7E9B89E4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D4BE469A-FC2A-4F62-B4FA-90E2EB08C5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8A5F8BE-3F69-46F5-ABC7-70E6AA1909D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1B37BE34-2B47-4843-911F-D7FFE15CF09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3A81EFEC-E3E0-465F-9389-806A5D6145A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8BE6D325-2603-408B-BA4E-28EC2CCB1A0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B74BADB7-43AA-4D0D-B8E4-784EEF5753D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B2D5240-B4B4-402D-8E21-AED4E451252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09D1F0B1-C63B-481C-9C31-F15FB6500BD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A0B9FFC-55C6-4093-A6C4-98835EBEBF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6B8A771C-7C97-4B49-848B-9F79CE4F5E0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C9A81BC2-3829-47C4-BD2A-2EB0986C5FB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A30A20DD-BD71-4A65-9D6B-8CA82672A3D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1389272E-AFCB-424E-8D1F-C680CDA35D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B56935D-0586-4007-80C9-F4C6D892863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50E07F5C-F406-4197-89DA-DD7BEAE7C98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57E0461-6B99-4EDD-87C2-9FE33BEFB7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AA14403-24D0-4F5D-9956-495E4F02AB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4821701-3925-4710-89B1-D68B8FB3CC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5250455A-34C4-4048-9089-179D8F11170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08EE032-8EC5-4352-B3BF-30B8245A735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146846F-34E3-42E0-B93C-A1E84AF633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49CD340F-F4BB-47ED-8E79-0878C0A8156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DC6630C9-8535-4E57-9B04-BDC7CDA669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B3C90ADA-4EE3-4035-92C4-B760139577A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D3A31EB-C790-442D-B395-69ED3DBE38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355E71C-AA7E-4A71-BA90-784FF1A942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835B648-AE8A-4863-BD1C-B217F8E9856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90DD209-2E8C-4A9B-8EE2-BE72B8F3A73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E17A693-2287-403D-803A-484B796D90D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5132F3B8-F36B-4D07-984E-D513B482BF7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810D0F46-C963-4540-9DAE-05CC97B2EC6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AC89AF99-3C35-4EED-97EA-00B35E0D23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50939C64-67CB-471C-8975-85763E1D77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0FBFC6E6-3514-4FAA-8C11-5D7956B724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67B9FE1-2B9F-4454-A013-4BC8AE519DE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BB38862C-E125-43E5-B7FC-D12344384CC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7DBC7D0-DD13-4CD4-A2A7-5460EB40D52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CFC822DD-A932-42ED-BF75-B29EA8A015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28F179E-4F53-4ED2-B442-67D878D3E06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F3F3B5C0-1399-42E4-9C10-CDA7BE10A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8B8CEF4-0C91-499B-8BCB-A7EA50981BB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010641D-28E4-43E1-B79B-DE86074D54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A750D861-864C-447C-AFAA-850366F8967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93DFC1E-0CE3-448F-A5AE-E420FDA7DDF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4CD1841B-A0AC-45BD-9AB6-3E82A375232F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0046DD3B-592D-490F-916D-BBD8DE242C3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9EF74F5-1BB3-4D83-BDAF-CF10F0A0BC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A780F64-0C43-4BCF-89C3-0DF2A10ABEA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15900E6E-84BD-4398-A94E-CC8C55FE896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DD32238C-03C9-42AA-83C0-5782584385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8CA750C9-42D2-4DFA-AC60-D49C41325E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8EB492FC-91FF-4BF9-84EB-95065AAA17B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0BF4651-B4E9-401F-AFA7-BF3575B72A4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sharedStrings.xml><?xml version="1.0" encoding="utf-8"?>
<sst xmlns="http://schemas.openxmlformats.org/spreadsheetml/2006/main" count="11404" uniqueCount="356">
  <si>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</si>
  <si>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</si>
  <si>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</si>
  <si>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</si>
  <si>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</si>
  <si>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</si>
  <si>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</si>
  <si>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</si>
  <si>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</si>
  <si>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</si>
  <si>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</si>
  <si>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</si>
  <si>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</si>
  <si>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</si>
  <si>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</si>
  <si>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</si>
  <si>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</si>
  <si>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</si>
  <si>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</si>
  <si>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</si>
  <si>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</si>
  <si>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</si>
  <si>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</si>
  <si>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</si>
  <si>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</si>
  <si>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</si>
  <si>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</si>
  <si>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</si>
  <si>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</si>
  <si>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</si>
  <si>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</si>
  <si>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</si>
  <si>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</si>
  <si>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</si>
  <si>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</si>
  <si>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</si>
  <si>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</si>
  <si>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</si>
  <si>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</si>
  <si>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</si>
  <si>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</si>
  <si>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% от выручки за весь период</t>
  </si>
  <si>
    <t>Отчет по остаткам 3,4,5</t>
  </si>
  <si>
    <t>Цены и скидки 6</t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</si>
  <si>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</si>
  <si>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</si>
  <si>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</si>
  <si>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</si>
  <si>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</si>
  <si>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</si>
  <si>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</si>
  <si>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</si>
  <si>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</si>
  <si>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</si>
  <si>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</si>
  <si>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</si>
  <si>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</si>
  <si>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</si>
  <si>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</si>
  <si>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</si>
  <si>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</si>
  <si>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</si>
  <si>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</si>
  <si>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</si>
  <si>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</si>
  <si>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</si>
  <si>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</si>
  <si>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</si>
  <si>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</si>
  <si>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</si>
  <si>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</si>
  <si>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</si>
  <si>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</si>
  <si>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</si>
  <si>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</si>
  <si>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</si>
  <si>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</si>
  <si>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</si>
  <si>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</si>
  <si>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</si>
  <si>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</si>
  <si>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</si>
  <si>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</si>
  <si>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</si>
  <si>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Солнцезащитные очки</t>
  </si>
  <si>
    <t>Итого очки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</si>
  <si>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</si>
  <si>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</si>
  <si>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</si>
  <si>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</si>
  <si>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</si>
  <si>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</si>
  <si>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</si>
  <si>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</si>
  <si>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</si>
  <si>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</si>
  <si>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12-18.01</t>
  </si>
  <si>
    <t>19-25.01</t>
  </si>
  <si>
    <t>11-18.01</t>
  </si>
  <si>
    <t>18-25.01</t>
  </si>
  <si>
    <t/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</si>
  <si>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</si>
  <si>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</si>
  <si>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</si>
  <si>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</si>
  <si>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</si>
  <si>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</si>
  <si>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</si>
  <si>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</si>
  <si>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</si>
  <si>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</si>
  <si>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Прибыль до вычета налогов</t>
  </si>
  <si>
    <t>Прибыль после вычета налогов</t>
  </si>
  <si>
    <t>08-15.02</t>
  </si>
  <si>
    <t>29-31.12_1 нед</t>
  </si>
  <si>
    <t>Мой склад</t>
  </si>
  <si>
    <t>Воронка продаж 20,54,36</t>
  </si>
  <si>
    <t>Остаток на осн. складе</t>
  </si>
  <si>
    <t>Остаток на фф</t>
  </si>
  <si>
    <t>Реклама Промо бонусы</t>
  </si>
  <si>
    <t>Налог 1%+
НДС 5%</t>
  </si>
  <si>
    <t>Ridges</t>
  </si>
  <si>
    <t>черные с железкой классика</t>
  </si>
  <si>
    <t>QS черные PZ</t>
  </si>
  <si>
    <t>QS синие PZ</t>
  </si>
  <si>
    <t>QS желтые PZ</t>
  </si>
  <si>
    <t>QS коричневые PZ</t>
  </si>
  <si>
    <t>MR8854 C2 Жен</t>
  </si>
  <si>
    <t>th черн</t>
  </si>
  <si>
    <t>th син</t>
  </si>
  <si>
    <t>th желт</t>
  </si>
  <si>
    <t>th коричн</t>
  </si>
  <si>
    <t>flip черные</t>
  </si>
  <si>
    <t>flip синие</t>
  </si>
  <si>
    <t>flip желтые</t>
  </si>
  <si>
    <t>flip коричневые</t>
  </si>
  <si>
    <t>wwl8032 коричневые золото</t>
  </si>
  <si>
    <t>wwl8032 хром металл</t>
  </si>
  <si>
    <t>wwl8032 черные серебро</t>
  </si>
  <si>
    <t>sports синие</t>
  </si>
  <si>
    <t>sports зеленые</t>
  </si>
  <si>
    <t>sports красные</t>
  </si>
  <si>
    <t>sportlife черные</t>
  </si>
  <si>
    <t>sportlife синие</t>
  </si>
  <si>
    <t>sportlife красные</t>
  </si>
  <si>
    <t>sh1</t>
  </si>
  <si>
    <t>sh2</t>
  </si>
  <si>
    <t>sh3</t>
  </si>
  <si>
    <t>sh4</t>
  </si>
  <si>
    <t>sh06</t>
  </si>
  <si>
    <t>sh07</t>
  </si>
  <si>
    <t>sh08</t>
  </si>
  <si>
    <t>sh09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</si>
  <si>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</si>
  <si>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</si>
  <si>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</si>
  <si>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</si>
  <si>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</si>
  <si>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</si>
  <si>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</si>
  <si>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</si>
  <si>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</si>
  <si>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sh19</t>
  </si>
  <si>
    <t>ww 203 черные</t>
  </si>
  <si>
    <t>ww 1022 черные</t>
  </si>
  <si>
    <t>ww 1022 черн-серебро</t>
  </si>
  <si>
    <t>ww 1022 желтые</t>
  </si>
  <si>
    <t>ww 1022 коричневые</t>
  </si>
  <si>
    <t>ww 2018 черные</t>
  </si>
  <si>
    <t>ww 2018 желтые</t>
  </si>
  <si>
    <t>ww 8010 черные</t>
  </si>
  <si>
    <t>WW 3055 черный</t>
  </si>
  <si>
    <t>WW 3055 коричневый</t>
  </si>
  <si>
    <t>MANNA2101</t>
  </si>
  <si>
    <t>MANNA2102</t>
  </si>
  <si>
    <t>MANNA2103</t>
  </si>
  <si>
    <t>MANNA2104</t>
  </si>
  <si>
    <t>MANNA2105</t>
  </si>
  <si>
    <t>MANNA2106</t>
  </si>
  <si>
    <t>MANNA2107</t>
  </si>
  <si>
    <t>MANNA2108</t>
  </si>
  <si>
    <t>MANNA2109</t>
  </si>
  <si>
    <t>MANNA2110</t>
  </si>
  <si>
    <t>MANNA2111</t>
  </si>
  <si>
    <t>MANNA2112</t>
  </si>
  <si>
    <t>MANNA2113</t>
  </si>
  <si>
    <t>MANNA2114</t>
  </si>
  <si>
    <t>MANNA2115</t>
  </si>
  <si>
    <t>MANNA2116</t>
  </si>
  <si>
    <t>MANNA2117</t>
  </si>
  <si>
    <t>MANNA2118</t>
  </si>
  <si>
    <t>MANNA2119</t>
  </si>
  <si>
    <t>MANNA2120</t>
  </si>
  <si>
    <t>MANNA2121</t>
  </si>
  <si>
    <t>MANNA2122</t>
  </si>
  <si>
    <t>Chenlong черные</t>
  </si>
  <si>
    <t>Chenlong коричневые</t>
  </si>
  <si>
    <t>Chenlong белые</t>
  </si>
  <si>
    <t>Guangdu золото серая линза</t>
  </si>
  <si>
    <t>Guangdu серебро серая линза</t>
  </si>
  <si>
    <t>Hengda Optical черные</t>
  </si>
  <si>
    <t>Hengda Optical леопард</t>
  </si>
  <si>
    <t>Qianai черные</t>
  </si>
  <si>
    <t>Qianai коричневые</t>
  </si>
  <si>
    <t>Keming Aishi коричневые</t>
  </si>
  <si>
    <t>Linhai Baiyi коричневая линза</t>
  </si>
  <si>
    <t>Linhai Baiyi серая линза</t>
  </si>
  <si>
    <t>Linhai Baiyi розовая линза</t>
  </si>
  <si>
    <t>MR Р1894 черные</t>
  </si>
  <si>
    <t>Taizhou Rayen sport розовый</t>
  </si>
  <si>
    <t>Иу Диту серый</t>
  </si>
  <si>
    <t>Ли Сян ретро золото</t>
  </si>
  <si>
    <t>Ли Сян ретро серебро</t>
  </si>
  <si>
    <t>MAIERSHA 03898 C9-08</t>
  </si>
  <si>
    <t>MAIERSHA 03914 C9-124</t>
  </si>
  <si>
    <t>MARSTON 7171 C1</t>
  </si>
  <si>
    <t>POMILED 08247 C4-08</t>
  </si>
  <si>
    <t>YIMEI 2391 C1</t>
  </si>
  <si>
    <t>Доп. артикулы</t>
  </si>
  <si>
    <t>Ridges Clothes</t>
  </si>
  <si>
    <t>tunika01 (белая вышивка)</t>
  </si>
  <si>
    <t>Пляжная туника</t>
  </si>
  <si>
    <t>tunika02 (зеленая вышивка)</t>
  </si>
  <si>
    <t>tunika03 (черная распашная)</t>
  </si>
  <si>
    <t>tunika04 (черная вышивка)</t>
  </si>
  <si>
    <t>tunika05 (белая распашная)</t>
  </si>
  <si>
    <t>Итого туники</t>
  </si>
  <si>
    <t>fhd01 серый</t>
  </si>
  <si>
    <t>fhd06 серый</t>
  </si>
  <si>
    <t>fhd08 черный</t>
  </si>
  <si>
    <t>fhd08 бордовый</t>
  </si>
  <si>
    <t>fhd08 темно-серый</t>
  </si>
  <si>
    <t>fhd10 черный</t>
  </si>
  <si>
    <t>fhd10 хаки</t>
  </si>
  <si>
    <t>fhd12 светло-серый</t>
  </si>
  <si>
    <t>Итого шапки</t>
  </si>
  <si>
    <t>промо-бонусы</t>
  </si>
  <si>
    <t>ТУНИКИ</t>
  </si>
  <si>
    <t>Заказы, шт
3 дня</t>
  </si>
  <si>
    <t>01.01-01.02_1-5 нед</t>
  </si>
  <si>
    <t>Заказы, шт
32 дня</t>
  </si>
  <si>
    <t>29-31.12</t>
  </si>
  <si>
    <t>01.01-01.02</t>
  </si>
  <si>
    <t>1-5</t>
  </si>
  <si>
    <t>Декабрь очки</t>
  </si>
  <si>
    <t>Январь очки</t>
  </si>
  <si>
    <t>Январь туники</t>
  </si>
  <si>
    <t>Декабрь туники</t>
  </si>
  <si>
    <t>Без учета в прибыли</t>
  </si>
  <si>
    <t>fhd12 белый</t>
  </si>
  <si>
    <t>Январь шапки</t>
  </si>
  <si>
    <t>ПРОМОБОНУСЫ</t>
  </si>
  <si>
    <t>28-31.12</t>
  </si>
  <si>
    <t>26-31.01</t>
  </si>
  <si>
    <t>ЯНВАРЬ очки</t>
  </si>
  <si>
    <t>16-22.02_8 нед</t>
  </si>
  <si>
    <t>ЧСЖ_тест</t>
  </si>
  <si>
    <t>ЧСЖ_женские</t>
  </si>
  <si>
    <t>кс_черные_тест</t>
  </si>
  <si>
    <t>кс_черные_женские</t>
  </si>
  <si>
    <t>1022_коричневые_тест</t>
  </si>
  <si>
    <t>Заказы, шт
7 дней</t>
  </si>
  <si>
    <t>15-22.02</t>
  </si>
  <si>
    <t>Февраль 3 очки</t>
  </si>
  <si>
    <t>Февраль 3 туники</t>
  </si>
  <si>
    <t>02-08.02_6 нед</t>
  </si>
  <si>
    <t>ФЕВРАЛЬ_6-9 нед</t>
  </si>
  <si>
    <t>Остаток на 09.02</t>
  </si>
  <si>
    <t>Февраль 1 очки</t>
  </si>
  <si>
    <t>Февраль 1 туники</t>
  </si>
  <si>
    <t>Остаток на 16.02</t>
  </si>
  <si>
    <t>09-15.02_7 нед</t>
  </si>
  <si>
    <t>Февраль 2 очки</t>
  </si>
  <si>
    <t>Февраль 2 туники</t>
  </si>
  <si>
    <t>Февраль 4 очки</t>
  </si>
  <si>
    <t>7 нед очки</t>
  </si>
  <si>
    <t>ФЕВРАЛЬ очки</t>
  </si>
  <si>
    <t>2026_1-52 нед</t>
  </si>
  <si>
    <t xml:space="preserve">Заказы, шт
</t>
  </si>
  <si>
    <t xml:space="preserve">% выкупа
</t>
  </si>
  <si>
    <t>22-28.02</t>
  </si>
  <si>
    <t>23.02-01.03_9 нед</t>
  </si>
  <si>
    <t>Коробки картонные</t>
  </si>
  <si>
    <t>Февраль 4 прочее</t>
  </si>
  <si>
    <t>9 нед очки</t>
  </si>
  <si>
    <t>Заказы, шт
6-9 нед</t>
  </si>
  <si>
    <t>Остаток на 02.03</t>
  </si>
  <si>
    <t>Остаток на 09.03</t>
  </si>
  <si>
    <t>02-08.03_10 нед</t>
  </si>
  <si>
    <t>09-15.03_11 нед</t>
  </si>
  <si>
    <t>Остаток на 16.03</t>
  </si>
  <si>
    <t>16-22.03_12 нед</t>
  </si>
  <si>
    <t>Остаток на 23.03</t>
  </si>
  <si>
    <t>23-29.03_13 нед</t>
  </si>
  <si>
    <t>Заказы, шт
9-13 нед</t>
  </si>
  <si>
    <t>МАРТ_10-13 нед</t>
  </si>
  <si>
    <t>Март 1 очки</t>
  </si>
  <si>
    <t>Остаток на 29.03</t>
  </si>
  <si>
    <t>01.03-08.03</t>
  </si>
  <si>
    <t>Март 2 очки</t>
  </si>
  <si>
    <t>Март 3 очки</t>
  </si>
  <si>
    <t>11</t>
  </si>
  <si>
    <t>12</t>
  </si>
  <si>
    <t>13</t>
  </si>
  <si>
    <t>Март 4 очки</t>
  </si>
  <si>
    <t>МАРТ очки</t>
  </si>
  <si>
    <t>08-15.03</t>
  </si>
  <si>
    <t>15-22.03</t>
  </si>
  <si>
    <t>30.03-05.04_14 нед</t>
  </si>
  <si>
    <t>Остаток на 06.04</t>
  </si>
  <si>
    <t>22-29.03</t>
  </si>
  <si>
    <t>Остаток на 01.04</t>
  </si>
  <si>
    <t>% выкупа
01-31.03</t>
  </si>
  <si>
    <t>Средняя цена, руб.
01-31.03</t>
  </si>
  <si>
    <t>% выкупа расчетный</t>
  </si>
  <si>
    <t>Остаток на 13.04</t>
  </si>
  <si>
    <t>29-31.03</t>
  </si>
  <si>
    <t>1.04-05.04</t>
  </si>
  <si>
    <t>01.04-05.04</t>
  </si>
  <si>
    <t>Стоимость участия в программе лояльности</t>
  </si>
  <si>
    <t>Сумма удержанная за начисленные баллы программы лояльности</t>
  </si>
  <si>
    <t>Апрель 1 очки</t>
  </si>
  <si>
    <t>02-08.03</t>
  </si>
  <si>
    <t>09-15.03</t>
  </si>
  <si>
    <t>16-22.03</t>
  </si>
  <si>
    <t>23-29.03</t>
  </si>
  <si>
    <t>30.03-05.04</t>
  </si>
  <si>
    <t>Остаток на 08.04</t>
  </si>
  <si>
    <t>13-19.04_16 нед</t>
  </si>
  <si>
    <t>06-12.04_15 нед</t>
  </si>
  <si>
    <t>Остаток на 20.04</t>
  </si>
  <si>
    <t>05.04-10.04</t>
  </si>
  <si>
    <t>05.10-12.04</t>
  </si>
  <si>
    <t>Итого очки_план</t>
  </si>
  <si>
    <t>Апрель 2 очки</t>
  </si>
  <si>
    <t>06-12.04</t>
  </si>
  <si>
    <t>20-26.04_17 нед</t>
  </si>
  <si>
    <t>Остаток на 27.04</t>
  </si>
  <si>
    <t>ridges brand 01</t>
  </si>
  <si>
    <t>12-19.04</t>
  </si>
  <si>
    <t>Апрель 3 очки</t>
  </si>
  <si>
    <t>13-19.04</t>
  </si>
  <si>
    <t>Апрель 4 очки</t>
  </si>
  <si>
    <t>Апрель 5 очки</t>
  </si>
  <si>
    <t>20-26.04</t>
  </si>
  <si>
    <t>27.04-03.05</t>
  </si>
  <si>
    <t>14 нед</t>
  </si>
  <si>
    <t>15 нед</t>
  </si>
  <si>
    <t>16 нед</t>
  </si>
  <si>
    <t>Остаток на 04.05</t>
  </si>
  <si>
    <t>27.07-03.05_18 нед</t>
  </si>
  <si>
    <t>Воронка продаж 20,39,30</t>
  </si>
  <si>
    <t>Реклама ПРОМОБОНУСЫ</t>
  </si>
  <si>
    <t>19-26.04</t>
  </si>
  <si>
    <t>22-26.04</t>
  </si>
  <si>
    <t>17 нед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</si>
</sst>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2" tint="-0.49998474074526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FA0BF"/>
        <bgColor indexed="64"/>
      </patternFill>
    </fill>
    <fill>
      <patternFill patternType="solid">
        <fgColor rgb="FF00B05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theme="2" tint="-9.9978637043366805E-2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4">
    <xf numFmtId="0" fontId="0" fillId="0" borderId="0"/>
    <xf numFmtId="4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8" fillId="0" borderId="0"/>
    <xf numFmtId="43" fontId="16" fillId="0" borderId="0" applyFont="0" applyFill="0" applyBorder="0" applyAlignment="0" applyProtection="0"/>
    <xf numFmtId="0" fontId="30" fillId="0" borderId="0"/>
    <xf numFmtId="43" fontId="30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16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35" fillId="0" borderId="0" applyFont="0" applyFill="0" applyBorder="0" applyAlignment="0" applyProtection="0"/>
    <xf numFmtId="0" fontId="38" fillId="0" borderId="0"/>
    <xf numFmtId="43" fontId="16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553">
    <xf numFmtId="0" fontId="0" fillId="0" borderId="0" xfId="0"/>
    <xf numFmtId="0" fontId="15" fillId="0" borderId="0" xfId="0" applyFont="1" applyAlignment="1">
      <alignment wrapText="1"/>
    </xf>
    <xf numFmtId="0" fontId="17" fillId="0" borderId="0" xfId="0" applyFont="1"/>
    <xf numFmtId="49" fontId="17" fillId="0" borderId="0" xfId="0" applyNumberFormat="1" applyFont="1"/>
    <xf numFmtId="0" fontId="17" fillId="0" borderId="0" xfId="0" applyFont="1" applyAlignment="1">
      <alignment horizontal="center"/>
    </xf>
    <xf numFmtId="164" fontId="17" fillId="0" borderId="0" xfId="0" applyNumberFormat="1" applyFont="1"/>
    <xf numFmtId="9" fontId="17" fillId="0" borderId="0" xfId="2" applyFont="1" applyBorder="1"/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49" fontId="19" fillId="3" borderId="12" xfId="0" applyNumberFormat="1" applyFont="1" applyFill="1" applyBorder="1" applyAlignment="1">
      <alignment horizontal="center" vertical="center" wrapText="1"/>
    </xf>
    <xf numFmtId="49" fontId="19" fillId="3" borderId="13" xfId="0" applyNumberFormat="1" applyFont="1" applyFill="1" applyBorder="1" applyAlignment="1">
      <alignment horizontal="center" vertical="center" wrapText="1"/>
    </xf>
    <xf numFmtId="1" fontId="19" fillId="3" borderId="13" xfId="0" applyNumberFormat="1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165" fontId="17" fillId="0" borderId="0" xfId="1" applyNumberFormat="1" applyFont="1" applyBorder="1"/>
    <xf numFmtId="49" fontId="17" fillId="13" borderId="3" xfId="0" applyNumberFormat="1" applyFont="1" applyFill="1" applyBorder="1"/>
    <xf numFmtId="3" fontId="17" fillId="0" borderId="3" xfId="4" applyNumberFormat="1" applyFont="1" applyFill="1" applyBorder="1"/>
    <xf numFmtId="3" fontId="17" fillId="0" borderId="3" xfId="4" applyNumberFormat="1" applyFont="1" applyBorder="1"/>
    <xf numFmtId="167" fontId="17" fillId="0" borderId="4" xfId="4" applyNumberFormat="1" applyFont="1" applyBorder="1"/>
    <xf numFmtId="3" fontId="17" fillId="0" borderId="4" xfId="4" applyNumberFormat="1" applyFont="1" applyFill="1" applyBorder="1"/>
    <xf numFmtId="3" fontId="17" fillId="13" borderId="3" xfId="4" applyNumberFormat="1" applyFont="1" applyFill="1" applyBorder="1"/>
    <xf numFmtId="49" fontId="17" fillId="13" borderId="2" xfId="0" applyNumberFormat="1" applyFont="1" applyFill="1" applyBorder="1"/>
    <xf numFmtId="49" fontId="17" fillId="13" borderId="2" xfId="3" applyNumberFormat="1" applyFont="1" applyFill="1" applyBorder="1" applyAlignment="1">
      <alignment horizontal="center"/>
    </xf>
    <xf numFmtId="49" fontId="17" fillId="13" borderId="3" xfId="3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49" fontId="17" fillId="13" borderId="18" xfId="0" applyNumberFormat="1" applyFont="1" applyFill="1" applyBorder="1"/>
    <xf numFmtId="166" fontId="17" fillId="0" borderId="3" xfId="4" applyNumberFormat="1" applyFont="1" applyFill="1" applyBorder="1"/>
    <xf numFmtId="3" fontId="19" fillId="9" borderId="3" xfId="4" applyNumberFormat="1" applyFont="1" applyFill="1" applyBorder="1"/>
    <xf numFmtId="49" fontId="17" fillId="13" borderId="13" xfId="0" applyNumberFormat="1" applyFont="1" applyFill="1" applyBorder="1"/>
    <xf numFmtId="49" fontId="17" fillId="13" borderId="13" xfId="3" applyNumberFormat="1" applyFont="1" applyFill="1" applyBorder="1" applyAlignment="1">
      <alignment horizontal="center"/>
    </xf>
    <xf numFmtId="166" fontId="21" fillId="0" borderId="13" xfId="4" applyNumberFormat="1" applyFont="1" applyFill="1" applyBorder="1"/>
    <xf numFmtId="3" fontId="17" fillId="13" borderId="13" xfId="4" applyNumberFormat="1" applyFont="1" applyFill="1" applyBorder="1"/>
    <xf numFmtId="3" fontId="19" fillId="9" borderId="13" xfId="4" applyNumberFormat="1" applyFont="1" applyFill="1" applyBorder="1"/>
    <xf numFmtId="166" fontId="21" fillId="0" borderId="1" xfId="4" applyNumberFormat="1" applyFont="1" applyFill="1" applyBorder="1"/>
    <xf numFmtId="14" fontId="17" fillId="13" borderId="22" xfId="3" applyNumberFormat="1" applyFont="1" applyFill="1" applyBorder="1" applyAlignment="1">
      <alignment horizontal="center"/>
    </xf>
    <xf numFmtId="14" fontId="17" fillId="13" borderId="16" xfId="3" applyNumberFormat="1" applyFont="1" applyFill="1" applyBorder="1" applyAlignment="1">
      <alignment horizontal="center"/>
    </xf>
    <xf numFmtId="49" fontId="22" fillId="0" borderId="24" xfId="0" applyNumberFormat="1" applyFont="1" applyBorder="1"/>
    <xf numFmtId="49" fontId="22" fillId="0" borderId="14" xfId="0" applyNumberFormat="1" applyFont="1" applyBorder="1"/>
    <xf numFmtId="0" fontId="22" fillId="0" borderId="14" xfId="0" applyFont="1" applyBorder="1" applyAlignment="1">
      <alignment horizontal="center"/>
    </xf>
    <xf numFmtId="164" fontId="22" fillId="0" borderId="14" xfId="0" applyNumberFormat="1" applyFont="1" applyBorder="1"/>
    <xf numFmtId="165" fontId="19" fillId="0" borderId="14" xfId="0" applyNumberFormat="1" applyFont="1" applyBorder="1"/>
    <xf numFmtId="168" fontId="19" fillId="0" borderId="14" xfId="0" applyNumberFormat="1" applyFont="1" applyBorder="1"/>
    <xf numFmtId="9" fontId="19" fillId="0" borderId="0" xfId="2" applyFont="1" applyBorder="1"/>
    <xf numFmtId="49" fontId="22" fillId="0" borderId="0" xfId="0" applyNumberFormat="1" applyFont="1"/>
    <xf numFmtId="164" fontId="22" fillId="0" borderId="0" xfId="0" applyNumberFormat="1" applyFont="1"/>
    <xf numFmtId="165" fontId="19" fillId="0" borderId="0" xfId="0" applyNumberFormat="1" applyFont="1"/>
    <xf numFmtId="0" fontId="23" fillId="0" borderId="0" xfId="3" applyFont="1" applyAlignment="1">
      <alignment vertical="center"/>
    </xf>
    <xf numFmtId="49" fontId="17" fillId="0" borderId="0" xfId="0" applyNumberFormat="1" applyFont="1" applyAlignment="1">
      <alignment horizontal="center"/>
    </xf>
    <xf numFmtId="164" fontId="17" fillId="0" borderId="0" xfId="0" applyNumberFormat="1" applyFont="1" applyAlignment="1">
      <alignment horizontal="right" vertical="center"/>
    </xf>
    <xf numFmtId="166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9" fontId="19" fillId="0" borderId="0" xfId="2" applyFont="1" applyBorder="1" applyAlignment="1">
      <alignment horizontal="center" vertical="center"/>
    </xf>
    <xf numFmtId="167" fontId="17" fillId="0" borderId="0" xfId="2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17" fillId="0" borderId="0" xfId="2" applyFont="1" applyBorder="1" applyAlignment="1">
      <alignment horizontal="center"/>
    </xf>
    <xf numFmtId="49" fontId="17" fillId="0" borderId="21" xfId="0" applyNumberFormat="1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164" fontId="17" fillId="0" borderId="21" xfId="0" applyNumberFormat="1" applyFont="1" applyBorder="1" applyAlignment="1">
      <alignment horizontal="right" vertical="center"/>
    </xf>
    <xf numFmtId="0" fontId="17" fillId="0" borderId="21" xfId="0" applyFont="1" applyBorder="1" applyAlignment="1">
      <alignment horizontal="right" vertical="center"/>
    </xf>
    <xf numFmtId="0" fontId="23" fillId="0" borderId="21" xfId="3" applyFont="1" applyBorder="1" applyAlignment="1">
      <alignment vertical="center"/>
    </xf>
    <xf numFmtId="9" fontId="19" fillId="0" borderId="21" xfId="2" applyFont="1" applyBorder="1" applyAlignment="1">
      <alignment horizontal="center" vertical="center"/>
    </xf>
    <xf numFmtId="167" fontId="17" fillId="0" borderId="21" xfId="2" applyNumberFormat="1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9" fillId="0" borderId="21" xfId="0" applyFont="1" applyBorder="1" applyAlignment="1">
      <alignment horizontal="left" vertical="center"/>
    </xf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6" fillId="0" borderId="0" xfId="0" applyFont="1" applyAlignment="1">
      <alignment vertical="center"/>
    </xf>
    <xf numFmtId="0" fontId="26" fillId="0" borderId="0" xfId="0" applyFont="1" applyAlignment="1">
      <alignment wrapText="1"/>
    </xf>
    <xf numFmtId="0" fontId="27" fillId="0" borderId="0" xfId="0" applyFont="1" applyAlignment="1">
      <alignment horizontal="right" wrapText="1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right" wrapText="1"/>
    </xf>
    <xf numFmtId="0" fontId="31" fillId="0" borderId="25" xfId="5" applyFont="1" applyBorder="1" applyAlignment="1">
      <alignment horizontal="left" vertical="center"/>
    </xf>
    <xf numFmtId="169" fontId="31" fillId="0" borderId="25" xfId="5" applyNumberFormat="1" applyFont="1" applyBorder="1" applyAlignment="1">
      <alignment horizontal="left" vertical="center"/>
    </xf>
    <xf numFmtId="0" fontId="31" fillId="0" borderId="25" xfId="5" applyFont="1" applyBorder="1" applyAlignment="1">
      <alignment vertical="center"/>
    </xf>
    <xf numFmtId="0" fontId="31" fillId="3" borderId="25" xfId="5" applyFont="1" applyFill="1" applyBorder="1" applyAlignment="1">
      <alignment horizontal="center" vertical="center" wrapText="1"/>
    </xf>
    <xf numFmtId="169" fontId="31" fillId="3" borderId="25" xfId="5" applyNumberFormat="1" applyFont="1" applyFill="1" applyBorder="1" applyAlignment="1">
      <alignment horizontal="center" vertical="center" wrapText="1"/>
    </xf>
    <xf numFmtId="0" fontId="31" fillId="4" borderId="25" xfId="5" applyFont="1" applyFill="1" applyBorder="1" applyAlignment="1">
      <alignment horizontal="center" vertical="center" wrapText="1"/>
    </xf>
    <xf numFmtId="1" fontId="31" fillId="8" borderId="25" xfId="5" applyNumberFormat="1" applyFont="1" applyFill="1" applyBorder="1" applyAlignment="1">
      <alignment horizontal="center" vertical="center" wrapText="1"/>
    </xf>
    <xf numFmtId="1" fontId="31" fillId="3" borderId="25" xfId="5" applyNumberFormat="1" applyFont="1" applyFill="1" applyBorder="1" applyAlignment="1">
      <alignment horizontal="center" vertical="center" wrapText="1"/>
    </xf>
    <xf numFmtId="0" fontId="31" fillId="8" borderId="25" xfId="5" applyFont="1" applyFill="1" applyBorder="1" applyAlignment="1">
      <alignment horizontal="center" vertical="center" wrapText="1"/>
    </xf>
    <xf numFmtId="167" fontId="31" fillId="15" borderId="25" xfId="6" applyNumberFormat="1" applyFont="1" applyFill="1" applyBorder="1" applyAlignment="1">
      <alignment horizontal="center" vertical="center" wrapText="1"/>
    </xf>
    <xf numFmtId="167" fontId="31" fillId="3" borderId="25" xfId="6" applyNumberFormat="1" applyFont="1" applyFill="1" applyBorder="1" applyAlignment="1">
      <alignment horizontal="center" vertical="center" wrapText="1"/>
    </xf>
    <xf numFmtId="167" fontId="31" fillId="2" borderId="25" xfId="6" applyNumberFormat="1" applyFont="1" applyFill="1" applyBorder="1" applyAlignment="1">
      <alignment horizontal="center" vertical="center" wrapText="1"/>
    </xf>
    <xf numFmtId="167" fontId="31" fillId="8" borderId="25" xfId="6" applyNumberFormat="1" applyFont="1" applyFill="1" applyBorder="1" applyAlignment="1">
      <alignment horizontal="center" vertical="center" wrapText="1"/>
    </xf>
    <xf numFmtId="9" fontId="31" fillId="3" borderId="25" xfId="7" applyFont="1" applyFill="1" applyBorder="1" applyAlignment="1">
      <alignment horizontal="center" vertical="center" wrapText="1"/>
    </xf>
    <xf numFmtId="167" fontId="31" fillId="14" borderId="25" xfId="4" applyNumberFormat="1" applyFont="1" applyFill="1" applyBorder="1" applyAlignment="1">
      <alignment horizontal="center" vertical="center" wrapText="1"/>
    </xf>
    <xf numFmtId="0" fontId="34" fillId="14" borderId="25" xfId="5" applyFont="1" applyFill="1" applyBorder="1" applyAlignment="1">
      <alignment horizontal="center" vertical="center" wrapText="1"/>
    </xf>
    <xf numFmtId="0" fontId="31" fillId="0" borderId="25" xfId="5" applyFont="1" applyBorder="1" applyAlignment="1">
      <alignment horizontal="center" vertical="center" wrapText="1"/>
    </xf>
    <xf numFmtId="0" fontId="33" fillId="0" borderId="25" xfId="0" applyFont="1" applyBorder="1"/>
    <xf numFmtId="0" fontId="33" fillId="0" borderId="25" xfId="0" applyFont="1" applyBorder="1" applyAlignment="1">
      <alignment horizontal="left" vertical="top"/>
    </xf>
    <xf numFmtId="167" fontId="33" fillId="0" borderId="25" xfId="4" applyNumberFormat="1" applyFont="1" applyBorder="1" applyAlignment="1"/>
    <xf numFmtId="167" fontId="33" fillId="0" borderId="25" xfId="4" applyNumberFormat="1" applyFont="1" applyBorder="1"/>
    <xf numFmtId="167" fontId="33" fillId="0" borderId="25" xfId="4" applyNumberFormat="1" applyFont="1" applyFill="1" applyBorder="1"/>
    <xf numFmtId="167" fontId="33" fillId="0" borderId="25" xfId="8" applyNumberFormat="1" applyFont="1" applyBorder="1"/>
    <xf numFmtId="167" fontId="31" fillId="0" borderId="25" xfId="8" applyNumberFormat="1" applyFont="1" applyBorder="1"/>
    <xf numFmtId="167" fontId="33" fillId="14" borderId="25" xfId="8" applyNumberFormat="1" applyFont="1" applyFill="1" applyBorder="1"/>
    <xf numFmtId="171" fontId="33" fillId="0" borderId="25" xfId="9" applyNumberFormat="1" applyFont="1" applyBorder="1"/>
    <xf numFmtId="167" fontId="33" fillId="0" borderId="25" xfId="5" applyNumberFormat="1" applyFont="1" applyBorder="1"/>
    <xf numFmtId="0" fontId="14" fillId="14" borderId="25" xfId="5" applyFont="1" applyFill="1" applyBorder="1"/>
    <xf numFmtId="0" fontId="33" fillId="0" borderId="25" xfId="5" applyFont="1" applyBorder="1"/>
    <xf numFmtId="0" fontId="14" fillId="0" borderId="25" xfId="5" applyFont="1" applyBorder="1" applyAlignment="1">
      <alignment horizontal="left" indent="1"/>
    </xf>
    <xf numFmtId="0" fontId="14" fillId="0" borderId="25" xfId="0" applyFont="1" applyBorder="1" applyAlignment="1">
      <alignment horizontal="left" vertical="top"/>
    </xf>
    <xf numFmtId="0" fontId="14" fillId="0" borderId="25" xfId="0" applyFont="1" applyBorder="1"/>
    <xf numFmtId="167" fontId="14" fillId="0" borderId="25" xfId="4" applyNumberFormat="1" applyFont="1" applyBorder="1" applyAlignment="1"/>
    <xf numFmtId="167" fontId="14" fillId="0" borderId="25" xfId="4" applyNumberFormat="1" applyFont="1" applyBorder="1"/>
    <xf numFmtId="167" fontId="14" fillId="0" borderId="25" xfId="4" applyNumberFormat="1" applyFont="1" applyFill="1" applyBorder="1"/>
    <xf numFmtId="1" fontId="14" fillId="0" borderId="25" xfId="4" applyNumberFormat="1" applyFont="1" applyFill="1" applyBorder="1"/>
    <xf numFmtId="167" fontId="14" fillId="0" borderId="25" xfId="8" applyNumberFormat="1" applyFont="1" applyBorder="1"/>
    <xf numFmtId="167" fontId="34" fillId="0" borderId="25" xfId="8" applyNumberFormat="1" applyFont="1" applyBorder="1"/>
    <xf numFmtId="167" fontId="14" fillId="14" borderId="25" xfId="8" applyNumberFormat="1" applyFont="1" applyFill="1" applyBorder="1"/>
    <xf numFmtId="171" fontId="36" fillId="7" borderId="25" xfId="9" applyNumberFormat="1" applyFont="1" applyFill="1" applyBorder="1"/>
    <xf numFmtId="9" fontId="36" fillId="7" borderId="25" xfId="9" applyNumberFormat="1" applyFont="1" applyFill="1" applyBorder="1"/>
    <xf numFmtId="0" fontId="14" fillId="0" borderId="25" xfId="5" applyFont="1" applyBorder="1"/>
    <xf numFmtId="171" fontId="31" fillId="11" borderId="25" xfId="10" applyNumberFormat="1" applyFont="1" applyFill="1" applyBorder="1" applyAlignment="1">
      <alignment horizontal="left" vertical="center"/>
    </xf>
    <xf numFmtId="169" fontId="31" fillId="11" borderId="25" xfId="10" applyNumberFormat="1" applyFont="1" applyFill="1" applyBorder="1" applyAlignment="1">
      <alignment horizontal="center" vertical="center"/>
    </xf>
    <xf numFmtId="171" fontId="31" fillId="11" borderId="25" xfId="10" applyNumberFormat="1" applyFont="1" applyFill="1" applyBorder="1" applyAlignment="1">
      <alignment horizontal="center" vertical="center"/>
    </xf>
    <xf numFmtId="166" fontId="31" fillId="11" borderId="25" xfId="10" applyNumberFormat="1" applyFont="1" applyFill="1" applyBorder="1" applyAlignment="1">
      <alignment horizontal="center" vertical="center"/>
    </xf>
    <xf numFmtId="167" fontId="31" fillId="11" borderId="25" xfId="4" applyNumberFormat="1" applyFont="1" applyFill="1" applyBorder="1" applyAlignment="1">
      <alignment horizontal="center" vertical="center"/>
    </xf>
    <xf numFmtId="171" fontId="34" fillId="11" borderId="25" xfId="10" applyNumberFormat="1" applyFont="1" applyFill="1" applyBorder="1" applyAlignment="1">
      <alignment horizontal="center" vertical="center"/>
    </xf>
    <xf numFmtId="0" fontId="33" fillId="0" borderId="25" xfId="5" applyFont="1" applyBorder="1" applyAlignment="1">
      <alignment horizontal="center" vertical="center"/>
    </xf>
    <xf numFmtId="167" fontId="33" fillId="0" borderId="25" xfId="4" applyNumberFormat="1" applyFont="1" applyFill="1" applyBorder="1" applyAlignment="1"/>
    <xf numFmtId="1" fontId="33" fillId="0" borderId="25" xfId="4" applyNumberFormat="1" applyFont="1" applyFill="1" applyBorder="1"/>
    <xf numFmtId="167" fontId="33" fillId="0" borderId="25" xfId="8" applyNumberFormat="1" applyFont="1" applyFill="1" applyBorder="1"/>
    <xf numFmtId="167" fontId="31" fillId="0" borderId="25" xfId="8" applyNumberFormat="1" applyFont="1" applyFill="1" applyBorder="1"/>
    <xf numFmtId="171" fontId="33" fillId="14" borderId="25" xfId="9" applyNumberFormat="1" applyFont="1" applyFill="1" applyBorder="1"/>
    <xf numFmtId="167" fontId="33" fillId="14" borderId="25" xfId="5" applyNumberFormat="1" applyFont="1" applyFill="1" applyBorder="1"/>
    <xf numFmtId="167" fontId="33" fillId="0" borderId="25" xfId="4" applyNumberFormat="1" applyFont="1" applyBorder="1" applyAlignment="1">
      <alignment horizontal="left" indent="1"/>
    </xf>
    <xf numFmtId="0" fontId="33" fillId="0" borderId="25" xfId="4" applyNumberFormat="1" applyFont="1" applyBorder="1"/>
    <xf numFmtId="0" fontId="33" fillId="0" borderId="25" xfId="4" applyNumberFormat="1" applyFont="1" applyFill="1" applyBorder="1"/>
    <xf numFmtId="171" fontId="36" fillId="6" borderId="25" xfId="9" applyNumberFormat="1" applyFont="1" applyFill="1" applyBorder="1"/>
    <xf numFmtId="9" fontId="36" fillId="6" borderId="25" xfId="9" applyNumberFormat="1" applyFont="1" applyFill="1" applyBorder="1"/>
    <xf numFmtId="171" fontId="31" fillId="12" borderId="25" xfId="10" applyNumberFormat="1" applyFont="1" applyFill="1" applyBorder="1" applyAlignment="1">
      <alignment horizontal="left" vertical="center"/>
    </xf>
    <xf numFmtId="169" fontId="31" fillId="12" borderId="25" xfId="10" applyNumberFormat="1" applyFont="1" applyFill="1" applyBorder="1" applyAlignment="1">
      <alignment horizontal="center" vertical="center"/>
    </xf>
    <xf numFmtId="171" fontId="31" fillId="12" borderId="25" xfId="10" applyNumberFormat="1" applyFont="1" applyFill="1" applyBorder="1" applyAlignment="1">
      <alignment horizontal="center" vertical="center"/>
    </xf>
    <xf numFmtId="166" fontId="31" fillId="12" borderId="25" xfId="10" applyNumberFormat="1" applyFont="1" applyFill="1" applyBorder="1" applyAlignment="1">
      <alignment horizontal="center" vertical="center"/>
    </xf>
    <xf numFmtId="1" fontId="31" fillId="12" borderId="25" xfId="10" applyNumberFormat="1" applyFont="1" applyFill="1" applyBorder="1" applyAlignment="1">
      <alignment horizontal="center" vertical="center"/>
    </xf>
    <xf numFmtId="167" fontId="31" fillId="12" borderId="25" xfId="4" applyNumberFormat="1" applyFont="1" applyFill="1" applyBorder="1" applyAlignment="1">
      <alignment horizontal="center" vertical="center"/>
    </xf>
    <xf numFmtId="171" fontId="34" fillId="12" borderId="25" xfId="10" applyNumberFormat="1" applyFont="1" applyFill="1" applyBorder="1" applyAlignment="1">
      <alignment horizontal="center" vertical="center"/>
    </xf>
    <xf numFmtId="171" fontId="31" fillId="0" borderId="25" xfId="10" applyNumberFormat="1" applyFont="1" applyFill="1" applyBorder="1" applyAlignment="1">
      <alignment horizontal="center" vertical="center"/>
    </xf>
    <xf numFmtId="171" fontId="14" fillId="0" borderId="25" xfId="10" applyNumberFormat="1" applyFont="1" applyBorder="1" applyAlignment="1">
      <alignment horizontal="left" vertical="center" indent="1"/>
    </xf>
    <xf numFmtId="169" fontId="33" fillId="0" borderId="25" xfId="10" applyNumberFormat="1" applyFont="1" applyBorder="1" applyAlignment="1">
      <alignment horizontal="left" vertical="center" indent="1"/>
    </xf>
    <xf numFmtId="171" fontId="33" fillId="0" borderId="25" xfId="10" applyNumberFormat="1" applyFont="1" applyBorder="1" applyAlignment="1">
      <alignment horizontal="left" vertical="center" indent="1"/>
    </xf>
    <xf numFmtId="171" fontId="33" fillId="0" borderId="25" xfId="10" applyNumberFormat="1" applyFont="1" applyBorder="1" applyAlignment="1">
      <alignment horizontal="center" vertical="center"/>
    </xf>
    <xf numFmtId="171" fontId="33" fillId="0" borderId="25" xfId="10" applyNumberFormat="1" applyFont="1" applyFill="1" applyBorder="1" applyAlignment="1">
      <alignment horizontal="center" vertical="center"/>
    </xf>
    <xf numFmtId="171" fontId="14" fillId="0" borderId="25" xfId="10" applyNumberFormat="1" applyFont="1" applyBorder="1" applyAlignment="1">
      <alignment horizontal="center" vertical="center"/>
    </xf>
    <xf numFmtId="171" fontId="34" fillId="0" borderId="25" xfId="10" applyNumberFormat="1" applyFont="1" applyFill="1" applyBorder="1" applyAlignment="1">
      <alignment horizontal="center" vertical="center"/>
    </xf>
    <xf numFmtId="171" fontId="34" fillId="0" borderId="25" xfId="10" applyNumberFormat="1" applyFont="1" applyBorder="1" applyAlignment="1">
      <alignment horizontal="center" vertical="center"/>
    </xf>
    <xf numFmtId="170" fontId="34" fillId="0" borderId="25" xfId="10" applyFont="1" applyFill="1" applyBorder="1" applyAlignment="1">
      <alignment horizontal="center" vertical="center"/>
    </xf>
    <xf numFmtId="1" fontId="33" fillId="0" borderId="25" xfId="4" applyNumberFormat="1" applyFont="1" applyBorder="1" applyAlignment="1">
      <alignment horizontal="center" vertical="center"/>
    </xf>
    <xf numFmtId="167" fontId="14" fillId="0" borderId="25" xfId="4" applyNumberFormat="1" applyFont="1" applyFill="1" applyBorder="1" applyAlignment="1">
      <alignment horizontal="center" vertical="center"/>
    </xf>
    <xf numFmtId="171" fontId="33" fillId="14" borderId="25" xfId="10" applyNumberFormat="1" applyFont="1" applyFill="1" applyBorder="1" applyAlignment="1">
      <alignment horizontal="center" vertical="center"/>
    </xf>
    <xf numFmtId="171" fontId="14" fillId="14" borderId="25" xfId="10" applyNumberFormat="1" applyFont="1" applyFill="1" applyBorder="1" applyAlignment="1">
      <alignment horizontal="center" vertical="center"/>
    </xf>
    <xf numFmtId="171" fontId="31" fillId="10" borderId="25" xfId="10" applyNumberFormat="1" applyFont="1" applyFill="1" applyBorder="1" applyAlignment="1">
      <alignment horizontal="left" vertical="center"/>
    </xf>
    <xf numFmtId="169" fontId="31" fillId="10" borderId="25" xfId="10" applyNumberFormat="1" applyFont="1" applyFill="1" applyBorder="1" applyAlignment="1">
      <alignment horizontal="center" vertical="center"/>
    </xf>
    <xf numFmtId="171" fontId="31" fillId="10" borderId="25" xfId="10" applyNumberFormat="1" applyFont="1" applyFill="1" applyBorder="1" applyAlignment="1">
      <alignment horizontal="center" vertical="center"/>
    </xf>
    <xf numFmtId="1" fontId="37" fillId="16" borderId="25" xfId="10" applyNumberFormat="1" applyFont="1" applyFill="1" applyBorder="1" applyAlignment="1">
      <alignment horizontal="center"/>
    </xf>
    <xf numFmtId="171" fontId="34" fillId="10" borderId="25" xfId="10" applyNumberFormat="1" applyFont="1" applyFill="1" applyBorder="1" applyAlignment="1">
      <alignment horizontal="center" vertical="center"/>
    </xf>
    <xf numFmtId="171" fontId="31" fillId="0" borderId="25" xfId="10" applyNumberFormat="1" applyFont="1" applyBorder="1" applyAlignment="1">
      <alignment horizontal="center" vertical="center"/>
    </xf>
    <xf numFmtId="171" fontId="32" fillId="0" borderId="25" xfId="10" applyNumberFormat="1" applyFont="1" applyBorder="1" applyAlignment="1">
      <alignment horizontal="left" vertical="center" indent="1"/>
    </xf>
    <xf numFmtId="167" fontId="33" fillId="0" borderId="25" xfId="4" applyNumberFormat="1" applyFont="1" applyBorder="1" applyAlignment="1">
      <alignment horizontal="right" vertical="center"/>
    </xf>
    <xf numFmtId="0" fontId="33" fillId="0" borderId="25" xfId="5" applyFont="1" applyBorder="1" applyAlignment="1">
      <alignment horizontal="left" indent="1"/>
    </xf>
    <xf numFmtId="0" fontId="33" fillId="0" borderId="25" xfId="0" applyFont="1" applyBorder="1" applyAlignment="1">
      <alignment horizontal="left" indent="1"/>
    </xf>
    <xf numFmtId="167" fontId="33" fillId="0" borderId="25" xfId="6" applyNumberFormat="1" applyFont="1" applyBorder="1"/>
    <xf numFmtId="9" fontId="33" fillId="0" borderId="25" xfId="7" applyFont="1" applyBorder="1"/>
    <xf numFmtId="1" fontId="33" fillId="0" borderId="25" xfId="4" applyNumberFormat="1" applyFont="1" applyBorder="1"/>
    <xf numFmtId="169" fontId="33" fillId="0" borderId="25" xfId="5" applyNumberFormat="1" applyFont="1" applyBorder="1" applyAlignment="1">
      <alignment horizontal="left" indent="1"/>
    </xf>
    <xf numFmtId="0" fontId="40" fillId="0" borderId="32" xfId="0" applyFont="1" applyBorder="1" applyAlignment="1">
      <alignment horizontal="center" vertical="center" wrapText="1"/>
    </xf>
    <xf numFmtId="0" fontId="39" fillId="17" borderId="33" xfId="0" applyFont="1" applyFill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39" fillId="14" borderId="33" xfId="0" applyFont="1" applyFill="1" applyBorder="1" applyAlignment="1">
      <alignment horizontal="center" vertical="center" wrapText="1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1" fillId="18" borderId="34" xfId="0" applyFont="1" applyFill="1" applyBorder="1" applyAlignment="1">
      <alignment horizontal="center" wrapText="1"/>
    </xf>
    <xf numFmtId="9" fontId="41" fillId="0" borderId="34" xfId="0" applyNumberFormat="1" applyFont="1" applyBorder="1" applyAlignment="1">
      <alignment horizontal="center" vertical="center" wrapText="1"/>
    </xf>
    <xf numFmtId="0" fontId="41" fillId="19" borderId="34" xfId="0" applyFont="1" applyFill="1" applyBorder="1" applyAlignment="1">
      <alignment horizontal="center" wrapText="1"/>
    </xf>
    <xf numFmtId="0" fontId="41" fillId="20" borderId="34" xfId="0" applyFont="1" applyFill="1" applyBorder="1" applyAlignment="1">
      <alignment horizontal="center" wrapText="1"/>
    </xf>
    <xf numFmtId="1" fontId="40" fillId="0" borderId="0" xfId="0" applyNumberFormat="1" applyFont="1" applyAlignment="1">
      <alignment horizontal="center" vertical="center" wrapText="1"/>
    </xf>
    <xf numFmtId="9" fontId="40" fillId="0" borderId="0" xfId="0" applyNumberFormat="1" applyFont="1" applyAlignment="1">
      <alignment horizontal="center" vertical="center" wrapText="1"/>
    </xf>
    <xf numFmtId="0" fontId="16" fillId="0" borderId="0" xfId="0" applyFont="1"/>
    <xf numFmtId="0" fontId="39" fillId="16" borderId="33" xfId="0" applyFont="1" applyFill="1" applyBorder="1" applyAlignment="1">
      <alignment horizontal="center" vertical="center" wrapText="1"/>
    </xf>
    <xf numFmtId="0" fontId="41" fillId="0" borderId="34" xfId="0" applyFont="1" applyBorder="1" applyAlignment="1">
      <alignment vertical="top" wrapText="1"/>
    </xf>
    <xf numFmtId="9" fontId="40" fillId="0" borderId="0" xfId="0" applyNumberFormat="1" applyFont="1" applyAlignment="1">
      <alignment horizontal="center" vertical="center"/>
    </xf>
    <xf numFmtId="4" fontId="17" fillId="0" borderId="3" xfId="4" applyNumberFormat="1" applyFont="1" applyBorder="1"/>
    <xf numFmtId="4" fontId="17" fillId="0" borderId="4" xfId="4" applyNumberFormat="1" applyFont="1" applyBorder="1"/>
    <xf numFmtId="10" fontId="19" fillId="0" borderId="0" xfId="2" applyNumberFormat="1" applyFont="1" applyBorder="1" applyAlignment="1">
      <alignment horizontal="center" vertical="center"/>
    </xf>
    <xf numFmtId="10" fontId="19" fillId="0" borderId="21" xfId="2" applyNumberFormat="1" applyFont="1" applyBorder="1" applyAlignment="1">
      <alignment horizontal="center" vertical="center"/>
    </xf>
    <xf numFmtId="10" fontId="17" fillId="0" borderId="21" xfId="0" applyNumberFormat="1" applyFont="1" applyBorder="1" applyAlignment="1">
      <alignment horizontal="center" vertical="center"/>
    </xf>
    <xf numFmtId="49" fontId="17" fillId="13" borderId="24" xfId="0" applyNumberFormat="1" applyFont="1" applyFill="1" applyBorder="1"/>
    <xf numFmtId="166" fontId="17" fillId="0" borderId="14" xfId="4" applyNumberFormat="1" applyFont="1" applyFill="1" applyBorder="1"/>
    <xf numFmtId="3" fontId="17" fillId="0" borderId="14" xfId="4" applyNumberFormat="1" applyFont="1" applyFill="1" applyBorder="1"/>
    <xf numFmtId="3" fontId="17" fillId="0" borderId="14" xfId="4" applyNumberFormat="1" applyFont="1" applyBorder="1"/>
    <xf numFmtId="167" fontId="17" fillId="0" borderId="35" xfId="4" applyNumberFormat="1" applyFont="1" applyBorder="1"/>
    <xf numFmtId="4" fontId="17" fillId="0" borderId="14" xfId="4" applyNumberFormat="1" applyFont="1" applyBorder="1"/>
    <xf numFmtId="3" fontId="17" fillId="0" borderId="35" xfId="4" applyNumberFormat="1" applyFont="1" applyFill="1" applyBorder="1"/>
    <xf numFmtId="3" fontId="17" fillId="13" borderId="14" xfId="4" applyNumberFormat="1" applyFont="1" applyFill="1" applyBorder="1"/>
    <xf numFmtId="165" fontId="19" fillId="9" borderId="23" xfId="1" applyNumberFormat="1" applyFont="1" applyFill="1" applyBorder="1" applyAlignment="1">
      <alignment vertical="center"/>
    </xf>
    <xf numFmtId="166" fontId="21" fillId="0" borderId="3" xfId="4" applyNumberFormat="1" applyFont="1" applyFill="1" applyBorder="1"/>
    <xf numFmtId="14" fontId="17" fillId="13" borderId="36" xfId="3" applyNumberFormat="1" applyFont="1" applyFill="1" applyBorder="1" applyAlignment="1">
      <alignment horizontal="center"/>
    </xf>
    <xf numFmtId="49" fontId="17" fillId="13" borderId="37" xfId="0" applyNumberFormat="1" applyFont="1" applyFill="1" applyBorder="1"/>
    <xf numFmtId="49" fontId="17" fillId="13" borderId="5" xfId="0" applyNumberFormat="1" applyFont="1" applyFill="1" applyBorder="1"/>
    <xf numFmtId="49" fontId="17" fillId="13" borderId="3" xfId="3" applyNumberFormat="1" applyFont="1" applyFill="1" applyBorder="1" applyAlignment="1">
      <alignment horizontal="left"/>
    </xf>
    <xf numFmtId="49" fontId="19" fillId="0" borderId="0" xfId="0" applyNumberFormat="1" applyFont="1" applyAlignment="1">
      <alignment horizontal="right"/>
    </xf>
    <xf numFmtId="168" fontId="17" fillId="0" borderId="21" xfId="0" applyNumberFormat="1" applyFont="1" applyBorder="1" applyAlignment="1">
      <alignment horizontal="right" vertical="center"/>
    </xf>
    <xf numFmtId="168" fontId="19" fillId="0" borderId="0" xfId="0" applyNumberFormat="1" applyFont="1" applyAlignment="1">
      <alignment wrapText="1"/>
    </xf>
    <xf numFmtId="44" fontId="19" fillId="0" borderId="0" xfId="0" applyNumberFormat="1" applyFont="1" applyAlignment="1">
      <alignment wrapText="1"/>
    </xf>
    <xf numFmtId="9" fontId="17" fillId="0" borderId="0" xfId="2" applyFont="1" applyBorder="1" applyAlignment="1">
      <alignment horizontal="center" vertical="center"/>
    </xf>
    <xf numFmtId="10" fontId="17" fillId="0" borderId="0" xfId="2" applyNumberFormat="1" applyFont="1" applyBorder="1" applyAlignment="1">
      <alignment horizontal="center" vertical="center"/>
    </xf>
    <xf numFmtId="4" fontId="17" fillId="0" borderId="3" xfId="4" applyNumberFormat="1" applyFont="1" applyFill="1" applyBorder="1"/>
    <xf numFmtId="4" fontId="17" fillId="2" borderId="3" xfId="4" applyNumberFormat="1" applyFont="1" applyFill="1" applyBorder="1"/>
    <xf numFmtId="4" fontId="19" fillId="0" borderId="14" xfId="0" applyNumberFormat="1" applyFont="1" applyBorder="1"/>
    <xf numFmtId="43" fontId="31" fillId="11" borderId="25" xfId="10" applyNumberFormat="1" applyFont="1" applyFill="1" applyBorder="1" applyAlignment="1">
      <alignment horizontal="center" vertical="center"/>
    </xf>
    <xf numFmtId="43" fontId="31" fillId="12" borderId="25" xfId="10" applyNumberFormat="1" applyFont="1" applyFill="1" applyBorder="1" applyAlignment="1">
      <alignment horizontal="center" vertical="center"/>
    </xf>
    <xf numFmtId="43" fontId="33" fillId="0" borderId="25" xfId="10" applyNumberFormat="1" applyFont="1" applyBorder="1" applyAlignment="1">
      <alignment horizontal="center" vertical="center"/>
    </xf>
    <xf numFmtId="43" fontId="31" fillId="10" borderId="25" xfId="10" applyNumberFormat="1" applyFont="1" applyFill="1" applyBorder="1" applyAlignment="1">
      <alignment horizontal="center" vertical="center"/>
    </xf>
    <xf numFmtId="168" fontId="32" fillId="0" borderId="25" xfId="4" applyNumberFormat="1" applyFont="1" applyFill="1" applyBorder="1" applyAlignment="1">
      <alignment horizontal="center" vertical="center"/>
    </xf>
    <xf numFmtId="168" fontId="32" fillId="0" borderId="25" xfId="10" applyNumberFormat="1" applyFont="1" applyFill="1" applyBorder="1" applyAlignment="1">
      <alignment horizontal="center" vertical="center"/>
    </xf>
    <xf numFmtId="49" fontId="33" fillId="0" borderId="25" xfId="4" applyNumberFormat="1" applyFont="1" applyFill="1" applyBorder="1" applyAlignment="1">
      <alignment horizontal="center" vertical="center"/>
    </xf>
    <xf numFmtId="168" fontId="32" fillId="0" borderId="25" xfId="4" applyNumberFormat="1" applyFont="1" applyFill="1" applyBorder="1" applyAlignment="1">
      <alignment horizontal="center" vertical="center"/>
    </xf>
    <xf numFmtId="168" fontId="32" fillId="0" borderId="25" xfId="10" applyNumberFormat="1" applyFont="1" applyFill="1" applyBorder="1" applyAlignment="1">
      <alignment horizontal="center" vertical="center"/>
    </xf>
    <xf numFmtId="49" fontId="33" fillId="0" borderId="25" xfId="4" applyNumberFormat="1" applyFont="1" applyFill="1" applyBorder="1" applyAlignment="1">
      <alignment horizontal="center" vertical="center"/>
    </xf>
    <xf numFmtId="2" fontId="14" fillId="0" borderId="25" xfId="5" applyNumberFormat="1" applyFont="1" applyBorder="1" applyAlignment="1">
      <alignment vertical="center"/>
    </xf>
    <xf numFmtId="0" fontId="32" fillId="0" borderId="25" xfId="5" applyFont="1" applyBorder="1" applyAlignment="1">
      <alignment horizontal="center" vertical="center"/>
    </xf>
    <xf numFmtId="0" fontId="31" fillId="0" borderId="25" xfId="5" applyFont="1" applyBorder="1" applyAlignment="1">
      <alignment vertical="center" wrapText="1"/>
    </xf>
    <xf numFmtId="0" fontId="32" fillId="0" borderId="25" xfId="5" applyFont="1" applyBorder="1" applyAlignment="1">
      <alignment vertical="center" wrapText="1"/>
    </xf>
    <xf numFmtId="0" fontId="32" fillId="0" borderId="25" xfId="5" applyFont="1" applyBorder="1" applyAlignment="1">
      <alignment horizontal="center" vertical="center" wrapText="1"/>
    </xf>
    <xf numFmtId="0" fontId="34" fillId="0" borderId="25" xfId="5" applyFont="1" applyBorder="1" applyAlignment="1">
      <alignment vertical="center"/>
    </xf>
    <xf numFmtId="2" fontId="31" fillId="3" borderId="25" xfId="5" applyNumberFormat="1" applyFont="1" applyFill="1" applyBorder="1" applyAlignment="1">
      <alignment horizontal="center" vertical="center" wrapText="1"/>
    </xf>
    <xf numFmtId="0" fontId="31" fillId="22" borderId="25" xfId="5" applyFont="1" applyFill="1" applyBorder="1" applyAlignment="1">
      <alignment horizontal="center" vertical="center" wrapText="1"/>
    </xf>
    <xf numFmtId="0" fontId="31" fillId="16" borderId="25" xfId="5" applyFont="1" applyFill="1" applyBorder="1" applyAlignment="1">
      <alignment horizontal="center" vertical="center" wrapText="1"/>
    </xf>
    <xf numFmtId="9" fontId="31" fillId="16" borderId="25" xfId="7" applyFont="1" applyFill="1" applyBorder="1" applyAlignment="1">
      <alignment horizontal="center" vertical="center" wrapText="1"/>
    </xf>
    <xf numFmtId="2" fontId="33" fillId="0" borderId="25" xfId="4" applyNumberFormat="1" applyFont="1" applyBorder="1"/>
    <xf numFmtId="43" fontId="33" fillId="0" borderId="25" xfId="4" applyFont="1" applyBorder="1"/>
    <xf numFmtId="9" fontId="33" fillId="0" borderId="25" xfId="13" applyFont="1" applyBorder="1"/>
    <xf numFmtId="2" fontId="14" fillId="0" borderId="25" xfId="4" applyNumberFormat="1" applyFont="1" applyBorder="1"/>
    <xf numFmtId="43" fontId="14" fillId="0" borderId="25" xfId="4" applyFont="1" applyBorder="1"/>
    <xf numFmtId="9" fontId="14" fillId="0" borderId="25" xfId="13" applyFont="1" applyBorder="1"/>
    <xf numFmtId="2" fontId="31" fillId="11" borderId="25" xfId="10" applyNumberFormat="1" applyFont="1" applyFill="1" applyBorder="1" applyAlignment="1">
      <alignment horizontal="center" vertical="center"/>
    </xf>
    <xf numFmtId="9" fontId="31" fillId="11" borderId="25" xfId="13" applyFont="1" applyFill="1" applyBorder="1" applyAlignment="1">
      <alignment horizontal="center" vertical="center"/>
    </xf>
    <xf numFmtId="0" fontId="31" fillId="11" borderId="25" xfId="10" applyNumberFormat="1" applyFont="1" applyFill="1" applyBorder="1" applyAlignment="1">
      <alignment horizontal="center" vertical="center"/>
    </xf>
    <xf numFmtId="2" fontId="33" fillId="0" borderId="25" xfId="4" applyNumberFormat="1" applyFont="1" applyFill="1" applyBorder="1"/>
    <xf numFmtId="43" fontId="33" fillId="0" borderId="25" xfId="4" applyFont="1" applyFill="1" applyBorder="1"/>
    <xf numFmtId="9" fontId="33" fillId="0" borderId="25" xfId="13" applyFont="1" applyFill="1" applyBorder="1"/>
    <xf numFmtId="9" fontId="33" fillId="14" borderId="25" xfId="13" applyFont="1" applyFill="1" applyBorder="1"/>
    <xf numFmtId="171" fontId="36" fillId="21" borderId="25" xfId="9" applyNumberFormat="1" applyFont="1" applyFill="1" applyBorder="1"/>
    <xf numFmtId="9" fontId="36" fillId="21" borderId="25" xfId="9" applyNumberFormat="1" applyFont="1" applyFill="1" applyBorder="1"/>
    <xf numFmtId="171" fontId="31" fillId="23" borderId="25" xfId="10" applyNumberFormat="1" applyFont="1" applyFill="1" applyBorder="1" applyAlignment="1">
      <alignment horizontal="left" vertical="center"/>
    </xf>
    <xf numFmtId="169" fontId="31" fillId="23" borderId="25" xfId="10" applyNumberFormat="1" applyFont="1" applyFill="1" applyBorder="1" applyAlignment="1">
      <alignment horizontal="center" vertical="center"/>
    </xf>
    <xf numFmtId="171" fontId="31" fillId="23" borderId="25" xfId="10" applyNumberFormat="1" applyFont="1" applyFill="1" applyBorder="1" applyAlignment="1">
      <alignment horizontal="center" vertical="center"/>
    </xf>
    <xf numFmtId="2" fontId="31" fillId="23" borderId="25" xfId="10" applyNumberFormat="1" applyFont="1" applyFill="1" applyBorder="1" applyAlignment="1">
      <alignment horizontal="center" vertical="center"/>
    </xf>
    <xf numFmtId="43" fontId="31" fillId="23" borderId="25" xfId="10" applyNumberFormat="1" applyFont="1" applyFill="1" applyBorder="1" applyAlignment="1">
      <alignment horizontal="center" vertical="center"/>
    </xf>
    <xf numFmtId="9" fontId="31" fillId="23" borderId="25" xfId="13" applyFont="1" applyFill="1" applyBorder="1" applyAlignment="1">
      <alignment horizontal="center" vertical="center"/>
    </xf>
    <xf numFmtId="166" fontId="31" fillId="23" borderId="25" xfId="10" applyNumberFormat="1" applyFont="1" applyFill="1" applyBorder="1" applyAlignment="1">
      <alignment horizontal="center" vertical="center"/>
    </xf>
    <xf numFmtId="167" fontId="31" fillId="23" borderId="25" xfId="4" applyNumberFormat="1" applyFont="1" applyFill="1" applyBorder="1" applyAlignment="1">
      <alignment horizontal="center" vertical="center"/>
    </xf>
    <xf numFmtId="0" fontId="31" fillId="23" borderId="25" xfId="10" applyNumberFormat="1" applyFont="1" applyFill="1" applyBorder="1" applyAlignment="1">
      <alignment horizontal="center" vertical="center"/>
    </xf>
    <xf numFmtId="171" fontId="34" fillId="23" borderId="25" xfId="10" applyNumberFormat="1" applyFont="1" applyFill="1" applyBorder="1" applyAlignment="1">
      <alignment horizontal="center" vertical="center"/>
    </xf>
    <xf numFmtId="171" fontId="31" fillId="0" borderId="25" xfId="10" applyNumberFormat="1" applyFont="1" applyFill="1" applyBorder="1" applyAlignment="1">
      <alignment horizontal="left" vertical="center"/>
    </xf>
    <xf numFmtId="169" fontId="31" fillId="0" borderId="25" xfId="10" applyNumberFormat="1" applyFont="1" applyFill="1" applyBorder="1" applyAlignment="1">
      <alignment horizontal="center" vertical="center"/>
    </xf>
    <xf numFmtId="2" fontId="31" fillId="0" borderId="25" xfId="10" applyNumberFormat="1" applyFont="1" applyFill="1" applyBorder="1" applyAlignment="1">
      <alignment horizontal="center" vertical="center"/>
    </xf>
    <xf numFmtId="43" fontId="31" fillId="0" borderId="25" xfId="10" applyNumberFormat="1" applyFont="1" applyFill="1" applyBorder="1" applyAlignment="1">
      <alignment horizontal="center" vertical="center"/>
    </xf>
    <xf numFmtId="9" fontId="31" fillId="0" borderId="25" xfId="13" applyFont="1" applyFill="1" applyBorder="1" applyAlignment="1">
      <alignment horizontal="center" vertical="center"/>
    </xf>
    <xf numFmtId="166" fontId="31" fillId="0" borderId="25" xfId="10" applyNumberFormat="1" applyFont="1" applyFill="1" applyBorder="1" applyAlignment="1">
      <alignment horizontal="center" vertical="center"/>
    </xf>
    <xf numFmtId="166" fontId="32" fillId="0" borderId="27" xfId="10" applyNumberFormat="1" applyFont="1" applyFill="1" applyBorder="1" applyAlignment="1">
      <alignment horizontal="center" vertical="center"/>
    </xf>
    <xf numFmtId="2" fontId="31" fillId="12" borderId="25" xfId="10" applyNumberFormat="1" applyFont="1" applyFill="1" applyBorder="1" applyAlignment="1">
      <alignment horizontal="center" vertical="center"/>
    </xf>
    <xf numFmtId="9" fontId="31" fillId="12" borderId="25" xfId="13" applyFont="1" applyFill="1" applyBorder="1" applyAlignment="1">
      <alignment horizontal="center" vertical="center"/>
    </xf>
    <xf numFmtId="2" fontId="33" fillId="0" borderId="25" xfId="10" applyNumberFormat="1" applyFont="1" applyBorder="1" applyAlignment="1">
      <alignment horizontal="center" vertical="center"/>
    </xf>
    <xf numFmtId="2" fontId="31" fillId="10" borderId="25" xfId="10" applyNumberFormat="1" applyFont="1" applyFill="1" applyBorder="1" applyAlignment="1">
      <alignment horizontal="center" vertical="center"/>
    </xf>
    <xf numFmtId="9" fontId="31" fillId="10" borderId="25" xfId="13" applyFont="1" applyFill="1" applyBorder="1" applyAlignment="1">
      <alignment horizontal="center" vertical="center"/>
    </xf>
    <xf numFmtId="2" fontId="33" fillId="0" borderId="25" xfId="5" applyNumberFormat="1" applyFont="1" applyBorder="1"/>
    <xf numFmtId="0" fontId="33" fillId="0" borderId="25" xfId="5" applyFont="1" applyFill="1" applyBorder="1"/>
    <xf numFmtId="0" fontId="0" fillId="0" borderId="39" xfId="0" applyBorder="1"/>
    <xf numFmtId="167" fontId="33" fillId="2" borderId="25" xfId="4" applyNumberFormat="1" applyFont="1" applyFill="1" applyBorder="1"/>
    <xf numFmtId="4" fontId="17" fillId="0" borderId="35" xfId="4" applyNumberFormat="1" applyFont="1" applyBorder="1"/>
    <xf numFmtId="4" fontId="19" fillId="0" borderId="0" xfId="0" applyNumberFormat="1" applyFont="1"/>
    <xf numFmtId="4" fontId="19" fillId="0" borderId="0" xfId="2" applyNumberFormat="1" applyFont="1" applyBorder="1" applyAlignment="1">
      <alignment horizontal="center" vertical="center"/>
    </xf>
    <xf numFmtId="4" fontId="19" fillId="0" borderId="21" xfId="2" applyNumberFormat="1" applyFont="1" applyBorder="1" applyAlignment="1">
      <alignment horizontal="center" vertical="center"/>
    </xf>
    <xf numFmtId="4" fontId="19" fillId="0" borderId="0" xfId="0" applyNumberFormat="1" applyFont="1" applyAlignment="1">
      <alignment wrapText="1"/>
    </xf>
    <xf numFmtId="4" fontId="17" fillId="0" borderId="0" xfId="2" applyNumberFormat="1" applyFont="1" applyBorder="1" applyAlignment="1">
      <alignment horizontal="center" vertical="center"/>
    </xf>
    <xf numFmtId="49" fontId="17" fillId="13" borderId="14" xfId="0" applyNumberFormat="1" applyFont="1" applyFill="1" applyBorder="1"/>
    <xf numFmtId="49" fontId="17" fillId="13" borderId="14" xfId="3" applyNumberFormat="1" applyFont="1" applyFill="1" applyBorder="1" applyAlignment="1">
      <alignment horizontal="center"/>
    </xf>
    <xf numFmtId="3" fontId="19" fillId="9" borderId="14" xfId="4" applyNumberFormat="1" applyFont="1" applyFill="1" applyBorder="1"/>
    <xf numFmtId="1" fontId="42" fillId="3" borderId="25" xfId="5" applyNumberFormat="1" applyFont="1" applyFill="1" applyBorder="1" applyAlignment="1">
      <alignment horizontal="center" vertical="center" wrapText="1"/>
    </xf>
    <xf numFmtId="49" fontId="32" fillId="0" borderId="25" xfId="4" applyNumberFormat="1" applyFont="1" applyFill="1" applyBorder="1" applyAlignment="1">
      <alignment horizontal="left" vertical="center"/>
    </xf>
    <xf numFmtId="166" fontId="21" fillId="0" borderId="14" xfId="4" applyNumberFormat="1" applyFont="1" applyFill="1" applyBorder="1"/>
    <xf numFmtId="14" fontId="17" fillId="13" borderId="19" xfId="3" applyNumberFormat="1" applyFont="1" applyFill="1" applyBorder="1" applyAlignment="1">
      <alignment horizontal="center"/>
    </xf>
    <xf numFmtId="4" fontId="17" fillId="0" borderId="4" xfId="4" applyNumberFormat="1" applyFont="1" applyFill="1" applyBorder="1"/>
    <xf numFmtId="4" fontId="17" fillId="0" borderId="35" xfId="4" applyNumberFormat="1" applyFont="1" applyFill="1" applyBorder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16" fontId="11" fillId="0" borderId="1" xfId="0" applyNumberFormat="1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0" fontId="31" fillId="11" borderId="25" xfId="10" applyNumberFormat="1" applyFont="1" applyFill="1" applyBorder="1" applyAlignment="1">
      <alignment horizontal="center" vertical="center"/>
    </xf>
    <xf numFmtId="49" fontId="33" fillId="0" borderId="25" xfId="4" applyNumberFormat="1" applyFont="1" applyFill="1" applyBorder="1" applyAlignment="1">
      <alignment horizontal="center" vertical="center"/>
    </xf>
    <xf numFmtId="168" fontId="32" fillId="0" borderId="25" xfId="4" applyNumberFormat="1" applyFont="1" applyFill="1" applyBorder="1" applyAlignment="1">
      <alignment horizontal="center" vertical="center"/>
    </xf>
    <xf numFmtId="166" fontId="32" fillId="0" borderId="27" xfId="10" applyNumberFormat="1" applyFont="1" applyFill="1" applyBorder="1" applyAlignment="1">
      <alignment horizontal="center" vertical="center"/>
    </xf>
    <xf numFmtId="168" fontId="32" fillId="0" borderId="25" xfId="10" applyNumberFormat="1" applyFont="1" applyFill="1" applyBorder="1" applyAlignment="1">
      <alignment horizontal="center" vertical="center"/>
    </xf>
    <xf numFmtId="0" fontId="32" fillId="0" borderId="25" xfId="5" applyFont="1" applyBorder="1" applyAlignment="1">
      <alignment horizontal="center" vertical="center"/>
    </xf>
    <xf numFmtId="0" fontId="32" fillId="0" borderId="25" xfId="5" applyFont="1" applyBorder="1" applyAlignment="1">
      <alignment horizontal="center" vertical="center" wrapText="1"/>
    </xf>
    <xf numFmtId="2" fontId="31" fillId="0" borderId="25" xfId="5" applyNumberFormat="1" applyFont="1" applyBorder="1" applyAlignment="1">
      <alignment vertical="center" wrapText="1"/>
    </xf>
    <xf numFmtId="2" fontId="31" fillId="3" borderId="25" xfId="6" applyNumberFormat="1" applyFont="1" applyFill="1" applyBorder="1" applyAlignment="1">
      <alignment horizontal="center" vertical="center" wrapText="1"/>
    </xf>
    <xf numFmtId="2" fontId="34" fillId="0" borderId="25" xfId="10" applyNumberFormat="1" applyFont="1" applyBorder="1" applyAlignment="1">
      <alignment horizontal="center" vertical="center"/>
    </xf>
    <xf numFmtId="2" fontId="33" fillId="0" borderId="25" xfId="6" applyNumberFormat="1" applyFont="1" applyBorder="1"/>
    <xf numFmtId="0" fontId="11" fillId="0" borderId="1" xfId="0" applyFont="1" applyBorder="1" applyAlignment="1">
      <alignment horizontal="center" vertical="center" wrapText="1"/>
    </xf>
    <xf numFmtId="168" fontId="32" fillId="0" borderId="25" xfId="10" applyNumberFormat="1" applyFont="1" applyFill="1" applyBorder="1" applyAlignment="1">
      <alignment horizontal="center" vertical="center"/>
    </xf>
    <xf numFmtId="0" fontId="32" fillId="0" borderId="25" xfId="5" applyFont="1" applyBorder="1" applyAlignment="1">
      <alignment horizontal="center" vertical="center"/>
    </xf>
    <xf numFmtId="0" fontId="32" fillId="0" borderId="25" xfId="5" applyFont="1" applyBorder="1" applyAlignment="1">
      <alignment horizontal="center" vertical="center" wrapText="1"/>
    </xf>
    <xf numFmtId="49" fontId="33" fillId="0" borderId="25" xfId="4" applyNumberFormat="1" applyFont="1" applyFill="1" applyBorder="1" applyAlignment="1">
      <alignment horizontal="center" vertical="center"/>
    </xf>
    <xf numFmtId="168" fontId="32" fillId="0" borderId="25" xfId="4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7" fillId="13" borderId="0" xfId="0" applyNumberFormat="1" applyFont="1" applyFill="1" applyBorder="1"/>
    <xf numFmtId="0" fontId="11" fillId="0" borderId="1" xfId="0" applyFont="1" applyFill="1" applyBorder="1" applyAlignment="1">
      <alignment horizontal="center" vertical="center" wrapText="1"/>
    </xf>
    <xf numFmtId="16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14" fontId="11" fillId="0" borderId="1" xfId="0" applyNumberFormat="1" applyFont="1" applyFill="1" applyBorder="1" applyAlignment="1">
      <alignment horizontal="center" vertical="center" wrapText="1"/>
    </xf>
    <xf numFmtId="166" fontId="17" fillId="0" borderId="13" xfId="4" applyNumberFormat="1" applyFont="1" applyFill="1" applyBorder="1"/>
    <xf numFmtId="3" fontId="17" fillId="0" borderId="13" xfId="4" applyNumberFormat="1" applyFont="1" applyFill="1" applyBorder="1"/>
    <xf numFmtId="3" fontId="17" fillId="0" borderId="13" xfId="4" applyNumberFormat="1" applyFont="1" applyBorder="1"/>
    <xf numFmtId="167" fontId="17" fillId="0" borderId="40" xfId="4" applyNumberFormat="1" applyFont="1" applyBorder="1"/>
    <xf numFmtId="4" fontId="17" fillId="0" borderId="13" xfId="4" applyNumberFormat="1" applyFont="1" applyBorder="1"/>
    <xf numFmtId="4" fontId="17" fillId="0" borderId="40" xfId="4" applyNumberFormat="1" applyFont="1" applyFill="1" applyBorder="1"/>
    <xf numFmtId="4" fontId="17" fillId="0" borderId="40" xfId="4" applyNumberFormat="1" applyFont="1" applyBorder="1"/>
    <xf numFmtId="3" fontId="17" fillId="0" borderId="40" xfId="4" applyNumberFormat="1" applyFont="1" applyFill="1" applyBorder="1"/>
    <xf numFmtId="167" fontId="33" fillId="21" borderId="25" xfId="8" applyNumberFormat="1" applyFont="1" applyFill="1" applyBorder="1"/>
    <xf numFmtId="0" fontId="31" fillId="21" borderId="25" xfId="5" applyFont="1" applyFill="1" applyBorder="1" applyAlignment="1">
      <alignment horizontal="center" vertical="center" wrapText="1"/>
    </xf>
    <xf numFmtId="4" fontId="17" fillId="21" borderId="3" xfId="4" applyNumberFormat="1" applyFont="1" applyFill="1" applyBorder="1"/>
    <xf numFmtId="4" fontId="17" fillId="21" borderId="14" xfId="4" applyNumberFormat="1" applyFont="1" applyFill="1" applyBorder="1"/>
    <xf numFmtId="43" fontId="17" fillId="0" borderId="4" xfId="4" applyNumberFormat="1" applyFont="1" applyBorder="1"/>
    <xf numFmtId="43" fontId="17" fillId="0" borderId="35" xfId="4" applyNumberFormat="1" applyFont="1" applyBorder="1"/>
    <xf numFmtId="43" fontId="17" fillId="0" borderId="40" xfId="4" applyNumberFormat="1" applyFont="1" applyBorder="1"/>
    <xf numFmtId="43" fontId="19" fillId="0" borderId="14" xfId="0" applyNumberFormat="1" applyFont="1" applyBorder="1"/>
    <xf numFmtId="0" fontId="19" fillId="0" borderId="0" xfId="0" applyFont="1" applyBorder="1" applyAlignment="1">
      <alignment horizontal="left" vertical="center"/>
    </xf>
    <xf numFmtId="49" fontId="17" fillId="0" borderId="0" xfId="0" applyNumberFormat="1" applyFont="1" applyAlignment="1">
      <alignment horizontal="right"/>
    </xf>
    <xf numFmtId="4" fontId="17" fillId="13" borderId="3" xfId="4" applyNumberFormat="1" applyFont="1" applyFill="1" applyBorder="1"/>
    <xf numFmtId="4" fontId="17" fillId="13" borderId="14" xfId="4" applyNumberFormat="1" applyFont="1" applyFill="1" applyBorder="1"/>
    <xf numFmtId="4" fontId="17" fillId="13" borderId="13" xfId="4" applyNumberFormat="1" applyFont="1" applyFill="1" applyBorder="1"/>
    <xf numFmtId="168" fontId="32" fillId="0" borderId="25" xfId="10" applyNumberFormat="1" applyFont="1" applyFill="1" applyBorder="1" applyAlignment="1">
      <alignment vertical="center"/>
    </xf>
    <xf numFmtId="4" fontId="33" fillId="0" borderId="25" xfId="5" applyNumberFormat="1" applyFont="1" applyBorder="1"/>
    <xf numFmtId="0" fontId="9" fillId="0" borderId="1" xfId="0" applyFont="1" applyBorder="1" applyAlignment="1">
      <alignment horizontal="center" vertical="center" wrapText="1"/>
    </xf>
    <xf numFmtId="16" fontId="10" fillId="0" borderId="1" xfId="0" applyNumberFormat="1" applyFont="1" applyBorder="1" applyAlignment="1">
      <alignment horizontal="center" vertical="center" wrapText="1"/>
    </xf>
    <xf numFmtId="10" fontId="17" fillId="0" borderId="0" xfId="2" applyNumberFormat="1" applyFont="1" applyBorder="1"/>
    <xf numFmtId="10" fontId="17" fillId="0" borderId="0" xfId="2" applyNumberFormat="1" applyFont="1"/>
    <xf numFmtId="10" fontId="17" fillId="0" borderId="0" xfId="2" applyNumberFormat="1" applyFont="1" applyAlignment="1">
      <alignment horizontal="right"/>
    </xf>
    <xf numFmtId="10" fontId="17" fillId="0" borderId="0" xfId="2" applyNumberFormat="1" applyFont="1" applyAlignment="1">
      <alignment horizontal="center"/>
    </xf>
    <xf numFmtId="10" fontId="24" fillId="0" borderId="0" xfId="2" applyNumberFormat="1" applyFont="1" applyAlignment="1">
      <alignment wrapText="1"/>
    </xf>
    <xf numFmtId="10" fontId="25" fillId="0" borderId="0" xfId="2" applyNumberFormat="1" applyFont="1" applyAlignment="1">
      <alignment vertical="center"/>
    </xf>
    <xf numFmtId="10" fontId="19" fillId="0" borderId="0" xfId="2" applyNumberFormat="1" applyFont="1" applyAlignment="1">
      <alignment horizontal="left" vertical="center"/>
    </xf>
    <xf numFmtId="49" fontId="33" fillId="0" borderId="25" xfId="4" applyNumberFormat="1" applyFont="1" applyFill="1" applyBorder="1" applyAlignment="1">
      <alignment horizontal="center" vertical="center"/>
    </xf>
    <xf numFmtId="0" fontId="32" fillId="0" borderId="25" xfId="5" applyFont="1" applyBorder="1" applyAlignment="1">
      <alignment horizontal="center" vertical="center"/>
    </xf>
    <xf numFmtId="0" fontId="32" fillId="0" borderId="25" xfId="5" applyFont="1" applyBorder="1" applyAlignment="1">
      <alignment horizontal="center" vertical="center" wrapText="1"/>
    </xf>
    <xf numFmtId="168" fontId="32" fillId="0" borderId="25" xfId="4" applyNumberFormat="1" applyFont="1" applyFill="1" applyBorder="1" applyAlignment="1">
      <alignment horizontal="center" vertical="center"/>
    </xf>
    <xf numFmtId="166" fontId="32" fillId="0" borderId="27" xfId="10" applyNumberFormat="1" applyFont="1" applyFill="1" applyBorder="1" applyAlignment="1">
      <alignment horizontal="center" vertical="center"/>
    </xf>
    <xf numFmtId="168" fontId="32" fillId="0" borderId="25" xfId="1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" fontId="17" fillId="13" borderId="22" xfId="3" applyNumberFormat="1" applyFont="1" applyFill="1" applyBorder="1" applyAlignment="1">
      <alignment horizontal="center"/>
    </xf>
    <xf numFmtId="49" fontId="17" fillId="13" borderId="1" xfId="0" applyNumberFormat="1" applyFont="1" applyFill="1" applyBorder="1"/>
    <xf numFmtId="49" fontId="17" fillId="13" borderId="1" xfId="3" applyNumberFormat="1" applyFont="1" applyFill="1" applyBorder="1" applyAlignment="1">
      <alignment horizontal="center"/>
    </xf>
    <xf numFmtId="3" fontId="19" fillId="9" borderId="1" xfId="4" applyNumberFormat="1" applyFont="1" applyFill="1" applyBorder="1"/>
    <xf numFmtId="165" fontId="19" fillId="9" borderId="41" xfId="1" applyNumberFormat="1" applyFont="1" applyFill="1" applyBorder="1" applyAlignment="1">
      <alignment horizontal="center" vertical="center"/>
    </xf>
    <xf numFmtId="165" fontId="19" fillId="9" borderId="11" xfId="1" applyNumberFormat="1" applyFont="1" applyFill="1" applyBorder="1" applyAlignment="1">
      <alignment horizontal="center" vertical="center"/>
    </xf>
    <xf numFmtId="165" fontId="19" fillId="9" borderId="42" xfId="1" applyNumberFormat="1" applyFont="1" applyFill="1" applyBorder="1" applyAlignment="1">
      <alignment horizontal="center" vertical="center"/>
    </xf>
    <xf numFmtId="49" fontId="17" fillId="13" borderId="43" xfId="0" applyNumberFormat="1" applyFont="1" applyFill="1" applyBorder="1"/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" fontId="17" fillId="21" borderId="13" xfId="4" applyNumberFormat="1" applyFont="1" applyFill="1" applyBorder="1"/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4" fontId="17" fillId="13" borderId="44" xfId="3" applyNumberFormat="1" applyFont="1" applyFill="1" applyBorder="1" applyAlignment="1">
      <alignment horizontal="center"/>
    </xf>
    <xf numFmtId="3" fontId="17" fillId="0" borderId="40" xfId="4" applyNumberFormat="1" applyFont="1" applyBorder="1"/>
    <xf numFmtId="4" fontId="17" fillId="0" borderId="13" xfId="4" applyNumberFormat="1" applyFont="1" applyFill="1" applyBorder="1"/>
    <xf numFmtId="49" fontId="17" fillId="0" borderId="0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164" fontId="17" fillId="0" borderId="0" xfId="0" applyNumberFormat="1" applyFont="1" applyBorder="1" applyAlignment="1">
      <alignment horizontal="right" vertical="center"/>
    </xf>
    <xf numFmtId="0" fontId="17" fillId="0" borderId="0" xfId="0" applyFont="1" applyBorder="1" applyAlignment="1">
      <alignment horizontal="right" vertical="center"/>
    </xf>
    <xf numFmtId="168" fontId="17" fillId="0" borderId="0" xfId="0" applyNumberFormat="1" applyFont="1" applyBorder="1" applyAlignment="1">
      <alignment horizontal="right" vertical="center"/>
    </xf>
    <xf numFmtId="0" fontId="23" fillId="0" borderId="0" xfId="3" applyFont="1" applyBorder="1" applyAlignment="1">
      <alignment vertical="center"/>
    </xf>
    <xf numFmtId="10" fontId="17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49" fontId="17" fillId="13" borderId="12" xfId="0" applyNumberFormat="1" applyFont="1" applyFill="1" applyBorder="1"/>
    <xf numFmtId="170" fontId="33" fillId="0" borderId="25" xfId="5" applyNumberFormat="1" applyFont="1" applyBorder="1"/>
    <xf numFmtId="14" fontId="7" fillId="0" borderId="1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" fontId="6" fillId="0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33" fillId="0" borderId="25" xfId="4" applyNumberFormat="1" applyFont="1" applyFill="1" applyBorder="1" applyAlignment="1">
      <alignment horizontal="center" vertical="center"/>
    </xf>
    <xf numFmtId="0" fontId="32" fillId="0" borderId="25" xfId="5" applyFont="1" applyBorder="1" applyAlignment="1">
      <alignment horizontal="center" vertical="center"/>
    </xf>
    <xf numFmtId="0" fontId="32" fillId="0" borderId="25" xfId="5" applyFont="1" applyBorder="1" applyAlignment="1">
      <alignment horizontal="center" vertical="center" wrapText="1"/>
    </xf>
    <xf numFmtId="168" fontId="32" fillId="0" borderId="25" xfId="4" applyNumberFormat="1" applyFont="1" applyFill="1" applyBorder="1" applyAlignment="1">
      <alignment horizontal="center" vertical="center"/>
    </xf>
    <xf numFmtId="166" fontId="32" fillId="0" borderId="27" xfId="10" applyNumberFormat="1" applyFont="1" applyFill="1" applyBorder="1" applyAlignment="1">
      <alignment horizontal="center" vertical="center"/>
    </xf>
    <xf numFmtId="168" fontId="32" fillId="0" borderId="25" xfId="10" applyNumberFormat="1" applyFont="1" applyFill="1" applyBorder="1" applyAlignment="1">
      <alignment horizontal="center" vertical="center"/>
    </xf>
    <xf numFmtId="16" fontId="5" fillId="0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4" fontId="17" fillId="2" borderId="13" xfId="4" applyNumberFormat="1" applyFont="1" applyFill="1" applyBorder="1"/>
    <xf numFmtId="4" fontId="19" fillId="9" borderId="3" xfId="4" applyNumberFormat="1" applyFont="1" applyFill="1" applyBorder="1"/>
    <xf numFmtId="4" fontId="19" fillId="9" borderId="13" xfId="4" applyNumberFormat="1" applyFont="1" applyFill="1" applyBorder="1"/>
    <xf numFmtId="10" fontId="33" fillId="0" borderId="25" xfId="0" applyNumberFormat="1" applyFont="1" applyBorder="1"/>
    <xf numFmtId="49" fontId="33" fillId="0" borderId="25" xfId="4" applyNumberFormat="1" applyFont="1" applyFill="1" applyBorder="1" applyAlignment="1">
      <alignment horizontal="center" vertical="center"/>
    </xf>
    <xf numFmtId="0" fontId="32" fillId="0" borderId="25" xfId="5" applyFont="1" applyBorder="1" applyAlignment="1">
      <alignment horizontal="center" vertical="center"/>
    </xf>
    <xf numFmtId="0" fontId="32" fillId="0" borderId="25" xfId="5" applyFont="1" applyBorder="1" applyAlignment="1">
      <alignment horizontal="center" vertical="center" wrapText="1"/>
    </xf>
    <xf numFmtId="168" fontId="32" fillId="0" borderId="25" xfId="4" applyNumberFormat="1" applyFont="1" applyFill="1" applyBorder="1" applyAlignment="1">
      <alignment horizontal="center" vertical="center"/>
    </xf>
    <xf numFmtId="166" fontId="32" fillId="0" borderId="27" xfId="10" applyNumberFormat="1" applyFont="1" applyFill="1" applyBorder="1" applyAlignment="1">
      <alignment horizontal="center" vertical="center"/>
    </xf>
    <xf numFmtId="168" fontId="32" fillId="0" borderId="25" xfId="10" applyNumberFormat="1" applyFont="1" applyFill="1" applyBorder="1" applyAlignment="1">
      <alignment horizontal="center" vertical="center"/>
    </xf>
    <xf numFmtId="9" fontId="33" fillId="16" borderId="25" xfId="2" applyFont="1" applyFill="1" applyBorder="1"/>
    <xf numFmtId="1" fontId="31" fillId="16" borderId="25" xfId="5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" fontId="4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33" fillId="0" borderId="25" xfId="4" applyNumberFormat="1" applyFont="1" applyFill="1" applyBorder="1" applyAlignment="1">
      <alignment horizontal="center" vertical="center"/>
    </xf>
    <xf numFmtId="0" fontId="32" fillId="0" borderId="25" xfId="5" applyFont="1" applyBorder="1" applyAlignment="1">
      <alignment horizontal="center" vertical="center"/>
    </xf>
    <xf numFmtId="0" fontId="32" fillId="0" borderId="25" xfId="5" applyFont="1" applyBorder="1" applyAlignment="1">
      <alignment horizontal="center" vertical="center" wrapText="1"/>
    </xf>
    <xf numFmtId="168" fontId="32" fillId="0" borderId="25" xfId="4" applyNumberFormat="1" applyFont="1" applyFill="1" applyBorder="1" applyAlignment="1">
      <alignment horizontal="center" vertical="center"/>
    </xf>
    <xf numFmtId="166" fontId="32" fillId="0" borderId="27" xfId="10" applyNumberFormat="1" applyFont="1" applyFill="1" applyBorder="1" applyAlignment="1">
      <alignment horizontal="center" vertical="center"/>
    </xf>
    <xf numFmtId="168" fontId="32" fillId="0" borderId="25" xfId="10" applyNumberFormat="1" applyFont="1" applyFill="1" applyBorder="1" applyAlignment="1">
      <alignment horizontal="center" vertical="center"/>
    </xf>
    <xf numFmtId="1" fontId="31" fillId="22" borderId="25" xfId="5" applyNumberFormat="1" applyFont="1" applyFill="1" applyBorder="1" applyAlignment="1">
      <alignment horizontal="center" vertical="center" wrapText="1"/>
    </xf>
    <xf numFmtId="1" fontId="31" fillId="11" borderId="25" xfId="10" applyNumberFormat="1" applyFont="1" applyFill="1" applyBorder="1" applyAlignment="1">
      <alignment horizontal="center" vertical="center"/>
    </xf>
    <xf numFmtId="1" fontId="33" fillId="0" borderId="25" xfId="5" applyNumberFormat="1" applyFont="1" applyBorder="1"/>
    <xf numFmtId="1" fontId="31" fillId="23" borderId="25" xfId="10" applyNumberFormat="1" applyFont="1" applyFill="1" applyBorder="1" applyAlignment="1">
      <alignment horizontal="center" vertical="center"/>
    </xf>
    <xf numFmtId="1" fontId="31" fillId="0" borderId="25" xfId="10" applyNumberFormat="1" applyFont="1" applyFill="1" applyBorder="1" applyAlignment="1">
      <alignment horizontal="center" vertical="center"/>
    </xf>
    <xf numFmtId="1" fontId="33" fillId="0" borderId="25" xfId="10" applyNumberFormat="1" applyFont="1" applyBorder="1" applyAlignment="1">
      <alignment horizontal="center" vertical="center"/>
    </xf>
    <xf numFmtId="1" fontId="31" fillId="10" borderId="25" xfId="1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71" fontId="31" fillId="16" borderId="25" xfId="10" applyNumberFormat="1" applyFont="1" applyFill="1" applyBorder="1" applyAlignment="1">
      <alignment horizontal="left" vertical="center"/>
    </xf>
    <xf numFmtId="169" fontId="31" fillId="16" borderId="25" xfId="10" applyNumberFormat="1" applyFont="1" applyFill="1" applyBorder="1" applyAlignment="1">
      <alignment horizontal="center" vertical="center"/>
    </xf>
    <xf numFmtId="171" fontId="31" fillId="16" borderId="25" xfId="10" applyNumberFormat="1" applyFont="1" applyFill="1" applyBorder="1" applyAlignment="1">
      <alignment horizontal="center" vertical="center"/>
    </xf>
    <xf numFmtId="2" fontId="31" fillId="16" borderId="25" xfId="10" applyNumberFormat="1" applyFont="1" applyFill="1" applyBorder="1" applyAlignment="1">
      <alignment horizontal="center" vertical="center"/>
    </xf>
    <xf numFmtId="43" fontId="31" fillId="16" borderId="25" xfId="10" applyNumberFormat="1" applyFont="1" applyFill="1" applyBorder="1" applyAlignment="1">
      <alignment horizontal="center" vertical="center"/>
    </xf>
    <xf numFmtId="9" fontId="31" fillId="16" borderId="25" xfId="13" applyFont="1" applyFill="1" applyBorder="1" applyAlignment="1">
      <alignment horizontal="center" vertical="center"/>
    </xf>
    <xf numFmtId="166" fontId="31" fillId="16" borderId="25" xfId="10" applyNumberFormat="1" applyFont="1" applyFill="1" applyBorder="1" applyAlignment="1">
      <alignment horizontal="center" vertical="center"/>
    </xf>
    <xf numFmtId="167" fontId="31" fillId="16" borderId="25" xfId="4" applyNumberFormat="1" applyFont="1" applyFill="1" applyBorder="1" applyAlignment="1">
      <alignment horizontal="center" vertical="center"/>
    </xf>
    <xf numFmtId="0" fontId="31" fillId="16" borderId="25" xfId="10" applyNumberFormat="1" applyFont="1" applyFill="1" applyBorder="1" applyAlignment="1">
      <alignment horizontal="center" vertical="center"/>
    </xf>
    <xf numFmtId="171" fontId="34" fillId="16" borderId="25" xfId="10" applyNumberFormat="1" applyFont="1" applyFill="1" applyBorder="1" applyAlignment="1">
      <alignment horizontal="center" vertical="center"/>
    </xf>
    <xf numFmtId="49" fontId="17" fillId="13" borderId="6" xfId="3" applyNumberFormat="1" applyFont="1" applyFill="1" applyBorder="1" applyAlignment="1">
      <alignment horizontal="left"/>
    </xf>
    <xf numFmtId="1" fontId="17" fillId="13" borderId="9" xfId="3" applyNumberFormat="1" applyFont="1" applyFill="1" applyBorder="1" applyAlignment="1">
      <alignment horizontal="center"/>
    </xf>
    <xf numFmtId="49" fontId="17" fillId="13" borderId="1" xfId="3" applyNumberFormat="1" applyFont="1" applyFill="1" applyBorder="1" applyAlignment="1">
      <alignment horizontal="left"/>
    </xf>
    <xf numFmtId="1" fontId="17" fillId="13" borderId="45" xfId="3" applyNumberFormat="1" applyFont="1" applyFill="1" applyBorder="1" applyAlignment="1">
      <alignment horizontal="center"/>
    </xf>
    <xf numFmtId="1" fontId="17" fillId="13" borderId="19" xfId="3" applyNumberFormat="1" applyFont="1" applyFill="1" applyBorder="1" applyAlignment="1">
      <alignment horizontal="center"/>
    </xf>
    <xf numFmtId="166" fontId="21" fillId="0" borderId="19" xfId="4" applyNumberFormat="1" applyFont="1" applyFill="1" applyBorder="1"/>
    <xf numFmtId="49" fontId="33" fillId="0" borderId="25" xfId="4" applyNumberFormat="1" applyFont="1" applyFill="1" applyBorder="1" applyAlignment="1">
      <alignment horizontal="center" vertical="center"/>
    </xf>
    <xf numFmtId="0" fontId="32" fillId="0" borderId="25" xfId="5" applyFont="1" applyBorder="1" applyAlignment="1">
      <alignment horizontal="center" vertical="center"/>
    </xf>
    <xf numFmtId="0" fontId="32" fillId="0" borderId="25" xfId="5" applyFont="1" applyBorder="1" applyAlignment="1">
      <alignment horizontal="center" vertical="center" wrapText="1"/>
    </xf>
    <xf numFmtId="168" fontId="32" fillId="0" borderId="25" xfId="4" applyNumberFormat="1" applyFont="1" applyFill="1" applyBorder="1" applyAlignment="1">
      <alignment horizontal="center" vertical="center"/>
    </xf>
    <xf numFmtId="166" fontId="32" fillId="0" borderId="27" xfId="10" applyNumberFormat="1" applyFont="1" applyFill="1" applyBorder="1" applyAlignment="1">
      <alignment horizontal="center" vertical="center"/>
    </xf>
    <xf numFmtId="168" fontId="32" fillId="0" borderId="25" xfId="10" applyNumberFormat="1" applyFont="1" applyFill="1" applyBorder="1" applyAlignment="1">
      <alignment horizontal="center" vertical="center"/>
    </xf>
    <xf numFmtId="0" fontId="33" fillId="16" borderId="25" xfId="0" applyFont="1" applyFill="1" applyBorder="1"/>
    <xf numFmtId="0" fontId="33" fillId="16" borderId="25" xfId="0" applyFont="1" applyFill="1" applyBorder="1" applyAlignment="1">
      <alignment horizontal="left" vertical="top"/>
    </xf>
    <xf numFmtId="167" fontId="33" fillId="16" borderId="25" xfId="4" applyNumberFormat="1" applyFont="1" applyFill="1" applyBorder="1" applyAlignment="1"/>
    <xf numFmtId="2" fontId="33" fillId="16" borderId="25" xfId="4" applyNumberFormat="1" applyFont="1" applyFill="1" applyBorder="1"/>
    <xf numFmtId="167" fontId="33" fillId="16" borderId="25" xfId="4" applyNumberFormat="1" applyFont="1" applyFill="1" applyBorder="1"/>
    <xf numFmtId="43" fontId="33" fillId="16" borderId="25" xfId="4" applyFont="1" applyFill="1" applyBorder="1"/>
    <xf numFmtId="9" fontId="33" fillId="16" borderId="25" xfId="13" applyFont="1" applyFill="1" applyBorder="1"/>
    <xf numFmtId="1" fontId="33" fillId="16" borderId="25" xfId="4" applyNumberFormat="1" applyFont="1" applyFill="1" applyBorder="1"/>
    <xf numFmtId="167" fontId="33" fillId="16" borderId="25" xfId="8" applyNumberFormat="1" applyFont="1" applyFill="1" applyBorder="1"/>
    <xf numFmtId="167" fontId="31" fillId="16" borderId="25" xfId="8" applyNumberFormat="1" applyFont="1" applyFill="1" applyBorder="1"/>
    <xf numFmtId="171" fontId="33" fillId="16" borderId="25" xfId="9" applyNumberFormat="1" applyFont="1" applyFill="1" applyBorder="1"/>
    <xf numFmtId="167" fontId="33" fillId="16" borderId="25" xfId="5" applyNumberFormat="1" applyFont="1" applyFill="1" applyBorder="1"/>
    <xf numFmtId="0" fontId="14" fillId="16" borderId="25" xfId="5" applyFont="1" applyFill="1" applyBorder="1"/>
    <xf numFmtId="0" fontId="33" fillId="16" borderId="25" xfId="5" applyFont="1" applyFill="1" applyBorder="1"/>
    <xf numFmtId="16" fontId="2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66" fontId="21" fillId="0" borderId="6" xfId="4" applyNumberFormat="1" applyFont="1" applyFill="1" applyBorder="1"/>
    <xf numFmtId="166" fontId="17" fillId="0" borderId="6" xfId="4" applyNumberFormat="1" applyFont="1" applyFill="1" applyBorder="1"/>
    <xf numFmtId="3" fontId="17" fillId="0" borderId="6" xfId="4" applyNumberFormat="1" applyFont="1" applyFill="1" applyBorder="1"/>
    <xf numFmtId="3" fontId="17" fillId="0" borderId="6" xfId="4" applyNumberFormat="1" applyFont="1" applyBorder="1"/>
    <xf numFmtId="167" fontId="17" fillId="0" borderId="8" xfId="4" applyNumberFormat="1" applyFont="1" applyBorder="1"/>
    <xf numFmtId="43" fontId="17" fillId="0" borderId="8" xfId="4" applyNumberFormat="1" applyFont="1" applyBorder="1"/>
    <xf numFmtId="4" fontId="17" fillId="0" borderId="6" xfId="4" applyNumberFormat="1" applyFont="1" applyBorder="1"/>
    <xf numFmtId="4" fontId="17" fillId="0" borderId="8" xfId="4" applyNumberFormat="1" applyFont="1" applyFill="1" applyBorder="1"/>
    <xf numFmtId="4" fontId="17" fillId="0" borderId="8" xfId="4" applyNumberFormat="1" applyFont="1" applyBorder="1"/>
    <xf numFmtId="3" fontId="17" fillId="0" borderId="8" xfId="4" applyNumberFormat="1" applyFont="1" applyFill="1" applyBorder="1"/>
    <xf numFmtId="3" fontId="17" fillId="13" borderId="6" xfId="4" applyNumberFormat="1" applyFont="1" applyFill="1" applyBorder="1"/>
    <xf numFmtId="4" fontId="17" fillId="13" borderId="6" xfId="4" applyNumberFormat="1" applyFont="1" applyFill="1" applyBorder="1"/>
    <xf numFmtId="4" fontId="17" fillId="2" borderId="6" xfId="4" applyNumberFormat="1" applyFont="1" applyFill="1" applyBorder="1"/>
    <xf numFmtId="4" fontId="19" fillId="9" borderId="6" xfId="4" applyNumberFormat="1" applyFont="1" applyFill="1" applyBorder="1"/>
    <xf numFmtId="49" fontId="17" fillId="13" borderId="13" xfId="3" applyNumberFormat="1" applyFont="1" applyFill="1" applyBorder="1" applyAlignment="1">
      <alignment horizontal="left"/>
    </xf>
    <xf numFmtId="1" fontId="17" fillId="13" borderId="44" xfId="3" applyNumberFormat="1" applyFont="1" applyFill="1" applyBorder="1" applyAlignment="1">
      <alignment horizontal="center"/>
    </xf>
    <xf numFmtId="166" fontId="21" fillId="0" borderId="36" xfId="4" applyNumberFormat="1" applyFont="1" applyFill="1" applyBorder="1"/>
    <xf numFmtId="4" fontId="17" fillId="2" borderId="14" xfId="4" applyNumberFormat="1" applyFont="1" applyFill="1" applyBorder="1"/>
    <xf numFmtId="4" fontId="19" fillId="9" borderId="14" xfId="4" applyNumberFormat="1" applyFont="1" applyFill="1" applyBorder="1"/>
    <xf numFmtId="170" fontId="31" fillId="16" borderId="25" xfId="10" applyNumberFormat="1" applyFont="1" applyFill="1" applyBorder="1" applyAlignment="1">
      <alignment horizontal="center" vertical="center"/>
    </xf>
    <xf numFmtId="49" fontId="33" fillId="0" borderId="25" xfId="4" applyNumberFormat="1" applyFont="1" applyFill="1" applyBorder="1" applyAlignment="1">
      <alignment horizontal="center" vertical="center"/>
    </xf>
    <xf numFmtId="0" fontId="32" fillId="0" borderId="25" xfId="5" applyFont="1" applyBorder="1" applyAlignment="1">
      <alignment horizontal="center" vertical="center"/>
    </xf>
    <xf numFmtId="0" fontId="32" fillId="0" borderId="25" xfId="5" applyFont="1" applyBorder="1" applyAlignment="1">
      <alignment horizontal="center" vertical="center" wrapText="1"/>
    </xf>
    <xf numFmtId="168" fontId="32" fillId="0" borderId="25" xfId="4" applyNumberFormat="1" applyFont="1" applyFill="1" applyBorder="1" applyAlignment="1">
      <alignment horizontal="center" vertical="center"/>
    </xf>
    <xf numFmtId="166" fontId="32" fillId="0" borderId="27" xfId="10" applyNumberFormat="1" applyFont="1" applyFill="1" applyBorder="1" applyAlignment="1">
      <alignment horizontal="center" vertical="center"/>
    </xf>
    <xf numFmtId="168" fontId="32" fillId="0" borderId="25" xfId="1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9" fillId="5" borderId="6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164" fontId="20" fillId="3" borderId="6" xfId="0" applyNumberFormat="1" applyFont="1" applyFill="1" applyBorder="1" applyAlignment="1">
      <alignment horizontal="center" vertical="center" wrapText="1"/>
    </xf>
    <xf numFmtId="164" fontId="20" fillId="3" borderId="13" xfId="0" applyNumberFormat="1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20" fillId="3" borderId="13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19" fillId="8" borderId="10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19" fillId="7" borderId="38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19" fillId="9" borderId="13" xfId="0" applyFont="1" applyFill="1" applyBorder="1" applyAlignment="1">
      <alignment horizontal="center" vertical="center" wrapText="1"/>
    </xf>
    <xf numFmtId="0" fontId="19" fillId="9" borderId="11" xfId="0" applyFont="1" applyFill="1" applyBorder="1" applyAlignment="1">
      <alignment horizontal="center" vertical="center" wrapText="1"/>
    </xf>
    <xf numFmtId="0" fontId="19" fillId="9" borderId="15" xfId="0" applyFont="1" applyFill="1" applyBorder="1" applyAlignment="1">
      <alignment horizontal="center" vertical="center" wrapText="1"/>
    </xf>
    <xf numFmtId="165" fontId="19" fillId="9" borderId="17" xfId="1" applyNumberFormat="1" applyFont="1" applyFill="1" applyBorder="1" applyAlignment="1">
      <alignment horizontal="center" vertical="center"/>
    </xf>
    <xf numFmtId="165" fontId="19" fillId="9" borderId="20" xfId="1" applyNumberFormat="1" applyFont="1" applyFill="1" applyBorder="1" applyAlignment="1">
      <alignment horizontal="center" vertical="center"/>
    </xf>
    <xf numFmtId="165" fontId="19" fillId="9" borderId="23" xfId="1" applyNumberFormat="1" applyFont="1" applyFill="1" applyBorder="1" applyAlignment="1">
      <alignment horizontal="center" vertical="center"/>
    </xf>
    <xf numFmtId="9" fontId="19" fillId="0" borderId="0" xfId="2" applyFont="1" applyBorder="1" applyAlignment="1">
      <alignment horizontal="center" vertical="center" wrapText="1"/>
    </xf>
    <xf numFmtId="3" fontId="19" fillId="9" borderId="17" xfId="0" applyNumberFormat="1" applyFont="1" applyFill="1" applyBorder="1" applyAlignment="1">
      <alignment horizontal="center" vertical="center" wrapText="1"/>
    </xf>
    <xf numFmtId="0" fontId="19" fillId="9" borderId="23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39" fillId="11" borderId="29" xfId="0" applyFont="1" applyFill="1" applyBorder="1" applyAlignment="1">
      <alignment horizontal="center" vertical="center" wrapText="1"/>
    </xf>
    <xf numFmtId="0" fontId="39" fillId="11" borderId="30" xfId="0" applyFont="1" applyFill="1" applyBorder="1" applyAlignment="1">
      <alignment horizontal="center" vertical="center" wrapText="1"/>
    </xf>
    <xf numFmtId="0" fontId="39" fillId="11" borderId="31" xfId="0" applyFont="1" applyFill="1" applyBorder="1" applyAlignment="1">
      <alignment horizontal="center" vertical="center" wrapText="1"/>
    </xf>
    <xf numFmtId="0" fontId="39" fillId="23" borderId="29" xfId="0" applyFont="1" applyFill="1" applyBorder="1" applyAlignment="1">
      <alignment horizontal="center" vertical="center" wrapText="1"/>
    </xf>
    <xf numFmtId="0" fontId="39" fillId="23" borderId="30" xfId="0" applyFont="1" applyFill="1" applyBorder="1" applyAlignment="1">
      <alignment horizontal="center" vertical="center" wrapText="1"/>
    </xf>
    <xf numFmtId="0" fontId="39" fillId="23" borderId="31" xfId="0" applyFont="1" applyFill="1" applyBorder="1" applyAlignment="1">
      <alignment horizontal="center" vertical="center" wrapText="1"/>
    </xf>
    <xf numFmtId="49" fontId="33" fillId="0" borderId="25" xfId="4" applyNumberFormat="1" applyFont="1" applyFill="1" applyBorder="1" applyAlignment="1">
      <alignment horizontal="center" vertical="center"/>
    </xf>
    <xf numFmtId="0" fontId="13" fillId="0" borderId="26" xfId="5" applyFont="1" applyBorder="1" applyAlignment="1">
      <alignment horizontal="center" vertical="center"/>
    </xf>
    <xf numFmtId="0" fontId="13" fillId="0" borderId="28" xfId="5" applyFont="1" applyBorder="1" applyAlignment="1">
      <alignment horizontal="center" vertical="center"/>
    </xf>
    <xf numFmtId="0" fontId="13" fillId="0" borderId="27" xfId="5" applyFont="1" applyBorder="1" applyAlignment="1">
      <alignment horizontal="center" vertical="center"/>
    </xf>
    <xf numFmtId="0" fontId="32" fillId="0" borderId="25" xfId="5" applyFont="1" applyBorder="1" applyAlignment="1">
      <alignment horizontal="center" vertical="center"/>
    </xf>
    <xf numFmtId="0" fontId="32" fillId="0" borderId="26" xfId="5" applyFont="1" applyBorder="1" applyAlignment="1">
      <alignment horizontal="center" vertical="center"/>
    </xf>
    <xf numFmtId="0" fontId="32" fillId="0" borderId="27" xfId="5" applyFont="1" applyBorder="1" applyAlignment="1">
      <alignment horizontal="center" vertical="center"/>
    </xf>
    <xf numFmtId="0" fontId="32" fillId="0" borderId="25" xfId="5" applyFont="1" applyBorder="1" applyAlignment="1">
      <alignment horizontal="center" vertical="center" wrapText="1"/>
    </xf>
    <xf numFmtId="0" fontId="32" fillId="0" borderId="26" xfId="5" applyFont="1" applyBorder="1" applyAlignment="1">
      <alignment horizontal="center" vertical="center" wrapText="1"/>
    </xf>
    <xf numFmtId="0" fontId="31" fillId="0" borderId="27" xfId="5" applyFont="1" applyBorder="1" applyAlignment="1">
      <alignment horizontal="center" vertical="center" wrapText="1"/>
    </xf>
    <xf numFmtId="168" fontId="32" fillId="0" borderId="25" xfId="4" applyNumberFormat="1" applyFont="1" applyFill="1" applyBorder="1" applyAlignment="1">
      <alignment horizontal="center" vertical="center"/>
    </xf>
    <xf numFmtId="166" fontId="32" fillId="0" borderId="26" xfId="10" applyNumberFormat="1" applyFont="1" applyFill="1" applyBorder="1" applyAlignment="1">
      <alignment horizontal="center" vertical="center"/>
    </xf>
    <xf numFmtId="166" fontId="32" fillId="0" borderId="27" xfId="10" applyNumberFormat="1" applyFont="1" applyFill="1" applyBorder="1" applyAlignment="1">
      <alignment horizontal="center" vertical="center"/>
    </xf>
    <xf numFmtId="168" fontId="32" fillId="0" borderId="25" xfId="10" applyNumberFormat="1" applyFont="1" applyFill="1" applyBorder="1" applyAlignment="1">
      <alignment horizontal="center" vertical="center"/>
    </xf>
    <xf numFmtId="16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  <xf numFmtId="0" fontId="19" fillId="2" borderId="14" xfId="0" applyFont="1" applyFill="1" applyBorder="1" applyAlignment="1">
      <alignment vertical="center" wrapText="1"/>
    </xf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2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2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9"/>
  <sheetViews>
    <sheetView zoomScale="60" zoomScaleNormal="60" workbookViewId="0">
      <selection activeCell="J25" sqref="J25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1.90625" customWidth="1"/>
    <col min="5" max="5" width="12.54296875" customWidth="1"/>
    <col min="6" max="6" width="13.54296875" bestFit="1" customWidth="1"/>
    <col min="7" max="7" width="13.81640625" customWidth="1"/>
    <col min="10" max="10" width="10.26953125" customWidth="1"/>
    <col min="11" max="11" width="19.36328125" customWidth="1"/>
    <col min="13" max="13" width="13.7265625" bestFit="1" customWidth="1"/>
  </cols>
  <sheetData>
    <row r="2" spans="2:15" ht="15.5" customHeight="1">
      <c r="B2" s="493" t="s">
        <v>0</v>
      </c>
      <c r="C2" s="493"/>
      <c r="D2" s="493"/>
      <c r="E2" s="493" t="s">
        <v>1</v>
      </c>
      <c r="F2" s="493"/>
      <c r="G2" s="493"/>
      <c r="H2" s="493" t="s">
        <v>251</v>
      </c>
      <c r="I2" s="493"/>
      <c r="J2" s="493"/>
      <c r="K2" s="493" t="s">
        <v>2</v>
      </c>
      <c r="O2" s="1"/>
    </row>
    <row r="3" spans="2:15" ht="15.5" customHeight="1">
      <c r="B3" s="292" t="s">
        <v>3</v>
      </c>
      <c r="C3" s="292" t="s">
        <v>4</v>
      </c>
      <c r="D3" s="292" t="s">
        <v>5</v>
      </c>
      <c r="E3" s="292" t="s">
        <v>3</v>
      </c>
      <c r="F3" s="292" t="s">
        <v>4</v>
      </c>
      <c r="G3" s="292" t="s">
        <v>5</v>
      </c>
      <c r="H3" s="292" t="s">
        <v>3</v>
      </c>
      <c r="I3" s="292" t="s">
        <v>4</v>
      </c>
      <c r="J3" s="292" t="s">
        <v>5</v>
      </c>
      <c r="K3" s="493"/>
    </row>
    <row r="4" spans="2:15" ht="15.5" customHeight="1">
      <c r="B4" s="288">
        <v>277433850</v>
      </c>
      <c r="C4" s="288">
        <v>1376</v>
      </c>
      <c r="D4" s="288" t="s">
        <v>252</v>
      </c>
      <c r="E4" s="288">
        <v>277433847</v>
      </c>
      <c r="F4" s="288">
        <v>25829</v>
      </c>
      <c r="G4" s="288" t="s">
        <v>252</v>
      </c>
      <c r="H4" s="288">
        <v>0</v>
      </c>
      <c r="I4" s="288">
        <v>109</v>
      </c>
      <c r="J4" s="288" t="s">
        <v>241</v>
      </c>
      <c r="K4" s="496">
        <v>1</v>
      </c>
    </row>
    <row r="5" spans="2:15" ht="15.5" customHeight="1">
      <c r="B5" s="288">
        <v>277539131</v>
      </c>
      <c r="C5" s="288">
        <v>1150</v>
      </c>
      <c r="D5" s="290">
        <v>36951</v>
      </c>
      <c r="E5" s="288">
        <v>277609313</v>
      </c>
      <c r="F5" s="288">
        <v>21489</v>
      </c>
      <c r="G5" s="290">
        <v>36982</v>
      </c>
      <c r="H5" s="288">
        <v>0</v>
      </c>
      <c r="I5" s="288">
        <v>363</v>
      </c>
      <c r="J5" s="290">
        <v>36982</v>
      </c>
      <c r="K5" s="496"/>
    </row>
    <row r="6" spans="2:15" ht="15.5" customHeight="1">
      <c r="B6" s="288">
        <v>279208603</v>
      </c>
      <c r="C6" s="288">
        <v>3455</v>
      </c>
      <c r="D6" s="290">
        <v>37168</v>
      </c>
      <c r="E6" s="288">
        <v>279208599</v>
      </c>
      <c r="F6" s="288">
        <v>51313</v>
      </c>
      <c r="G6" s="290">
        <v>37199</v>
      </c>
      <c r="H6" s="288">
        <v>0</v>
      </c>
      <c r="I6" s="288">
        <v>569</v>
      </c>
      <c r="J6" s="290">
        <v>37200</v>
      </c>
      <c r="K6" s="288">
        <v>2</v>
      </c>
    </row>
    <row r="7" spans="2:15" ht="15.5" customHeight="1">
      <c r="B7" s="288">
        <v>280269091</v>
      </c>
      <c r="C7" s="288">
        <v>10268</v>
      </c>
      <c r="D7" s="288" t="s">
        <v>98</v>
      </c>
      <c r="E7" s="288">
        <v>280221209</v>
      </c>
      <c r="F7" s="288">
        <v>99763</v>
      </c>
      <c r="G7" s="288" t="s">
        <v>98</v>
      </c>
      <c r="H7" s="288">
        <v>0</v>
      </c>
      <c r="I7" s="288">
        <v>557</v>
      </c>
      <c r="J7" s="288" t="s">
        <v>96</v>
      </c>
      <c r="K7" s="288">
        <v>3</v>
      </c>
    </row>
    <row r="8" spans="2:15" ht="15.5" customHeight="1">
      <c r="B8" s="288">
        <v>281267335</v>
      </c>
      <c r="C8" s="288">
        <v>70408</v>
      </c>
      <c r="D8" s="288" t="s">
        <v>97</v>
      </c>
      <c r="E8" s="288">
        <v>281348313</v>
      </c>
      <c r="F8" s="288">
        <v>67741</v>
      </c>
      <c r="G8" s="288" t="s">
        <v>99</v>
      </c>
      <c r="H8" s="288">
        <v>0</v>
      </c>
      <c r="I8" s="288">
        <v>195</v>
      </c>
      <c r="J8" s="288" t="s">
        <v>97</v>
      </c>
      <c r="K8" s="288">
        <v>4</v>
      </c>
    </row>
    <row r="9" spans="2:15" ht="15.5" customHeight="1">
      <c r="B9" s="288">
        <v>282258474</v>
      </c>
      <c r="C9" s="288">
        <v>25521</v>
      </c>
      <c r="D9" s="288" t="s">
        <v>102</v>
      </c>
      <c r="E9" s="288">
        <v>282345086</v>
      </c>
      <c r="F9" s="288">
        <v>133680</v>
      </c>
      <c r="G9" s="288" t="s">
        <v>102</v>
      </c>
      <c r="H9" s="288">
        <v>0</v>
      </c>
      <c r="I9" s="288">
        <v>80</v>
      </c>
      <c r="J9" s="288" t="s">
        <v>253</v>
      </c>
      <c r="K9" s="494">
        <v>5</v>
      </c>
    </row>
    <row r="10" spans="2:15" ht="15.5" customHeight="1">
      <c r="B10" s="288">
        <v>282365257</v>
      </c>
      <c r="C10" s="313">
        <v>1268</v>
      </c>
      <c r="D10" s="314">
        <v>46054</v>
      </c>
      <c r="E10" s="313">
        <v>282392960</v>
      </c>
      <c r="F10" s="313">
        <v>4672</v>
      </c>
      <c r="G10" s="314">
        <v>46054</v>
      </c>
      <c r="H10" s="313"/>
      <c r="I10" s="315"/>
      <c r="J10" s="315"/>
      <c r="K10" s="495"/>
    </row>
    <row r="11" spans="2:15" ht="15.5" customHeight="1">
      <c r="B11" s="288">
        <v>283332206</v>
      </c>
      <c r="C11" s="313">
        <v>111419</v>
      </c>
      <c r="D11" s="316">
        <v>37469</v>
      </c>
      <c r="E11" s="313">
        <v>283415801</v>
      </c>
      <c r="F11" s="313">
        <v>126688</v>
      </c>
      <c r="G11" s="316">
        <v>37469</v>
      </c>
      <c r="H11" s="313">
        <v>0</v>
      </c>
      <c r="I11" s="313">
        <v>3554</v>
      </c>
      <c r="J11" s="316">
        <v>37440</v>
      </c>
      <c r="K11" s="305">
        <v>6</v>
      </c>
    </row>
    <row r="12" spans="2:15" ht="15.5" customHeight="1">
      <c r="B12" s="288">
        <v>284423647</v>
      </c>
      <c r="C12" s="288">
        <v>145581</v>
      </c>
      <c r="D12" s="365" t="s">
        <v>113</v>
      </c>
      <c r="E12" s="288">
        <v>284416459</v>
      </c>
      <c r="F12" s="288">
        <v>138670</v>
      </c>
      <c r="G12" s="288" t="s">
        <v>113</v>
      </c>
      <c r="H12" s="288">
        <v>0</v>
      </c>
      <c r="I12" s="288">
        <v>44</v>
      </c>
      <c r="J12" s="291">
        <v>46063</v>
      </c>
      <c r="K12" s="288">
        <v>7</v>
      </c>
    </row>
    <row r="13" spans="2:15" ht="15.5" customHeight="1">
      <c r="B13" s="289">
        <v>285348588</v>
      </c>
      <c r="C13" s="289">
        <v>50989</v>
      </c>
      <c r="D13" s="293" t="s">
        <v>262</v>
      </c>
      <c r="E13" s="289">
        <v>285348587</v>
      </c>
      <c r="F13" s="289">
        <v>265182</v>
      </c>
      <c r="G13" s="293" t="s">
        <v>262</v>
      </c>
      <c r="H13" s="289"/>
      <c r="I13" s="289"/>
      <c r="J13" s="291"/>
      <c r="K13" s="289">
        <v>8</v>
      </c>
    </row>
    <row r="14" spans="2:15" ht="15.5" customHeight="1">
      <c r="B14" s="305">
        <v>286343097</v>
      </c>
      <c r="C14" s="305">
        <v>232417</v>
      </c>
      <c r="D14" s="340" t="s">
        <v>280</v>
      </c>
      <c r="E14" s="305">
        <v>286343091</v>
      </c>
      <c r="F14" s="305">
        <v>72806</v>
      </c>
      <c r="G14" s="340" t="s">
        <v>280</v>
      </c>
      <c r="H14" s="305">
        <v>0</v>
      </c>
      <c r="I14" s="305">
        <v>26</v>
      </c>
      <c r="J14" s="291">
        <v>46081</v>
      </c>
      <c r="K14" s="494">
        <v>9</v>
      </c>
    </row>
    <row r="15" spans="2:15" ht="15.5" customHeight="1">
      <c r="B15" s="311">
        <v>286459024</v>
      </c>
      <c r="C15" s="311">
        <v>1243</v>
      </c>
      <c r="D15" s="314">
        <v>46082</v>
      </c>
      <c r="E15" s="311">
        <v>286489905</v>
      </c>
      <c r="F15" s="311">
        <v>5815</v>
      </c>
      <c r="G15" s="341">
        <v>46082</v>
      </c>
      <c r="H15" s="311"/>
      <c r="I15" s="311"/>
      <c r="J15" s="291"/>
      <c r="K15" s="495"/>
    </row>
    <row r="16" spans="2:15" ht="15.5" customHeight="1">
      <c r="B16" s="355">
        <v>287708507</v>
      </c>
      <c r="C16" s="355">
        <v>74484</v>
      </c>
      <c r="D16" s="364" t="s">
        <v>298</v>
      </c>
      <c r="E16" s="355">
        <v>287655729</v>
      </c>
      <c r="F16" s="355">
        <v>252853</v>
      </c>
      <c r="G16" s="364" t="s">
        <v>298</v>
      </c>
      <c r="H16" s="355"/>
      <c r="I16" s="355"/>
      <c r="J16" s="291"/>
      <c r="K16" s="355">
        <v>10</v>
      </c>
    </row>
    <row r="17" spans="2:11" ht="15.5" customHeight="1">
      <c r="B17" s="368">
        <v>288763309</v>
      </c>
      <c r="C17" s="368">
        <v>304803</v>
      </c>
      <c r="D17" s="410" t="s">
        <v>306</v>
      </c>
      <c r="E17" s="368">
        <v>288777227</v>
      </c>
      <c r="F17" s="368">
        <v>178004</v>
      </c>
      <c r="G17" s="382" t="s">
        <v>306</v>
      </c>
      <c r="H17" s="368">
        <v>0</v>
      </c>
      <c r="I17" s="368">
        <v>46</v>
      </c>
      <c r="J17" s="291">
        <v>46091</v>
      </c>
      <c r="K17" s="368">
        <v>11</v>
      </c>
    </row>
    <row r="18" spans="2:11" ht="15.5" customHeight="1">
      <c r="B18" s="368">
        <v>289700671</v>
      </c>
      <c r="C18" s="368">
        <v>48225</v>
      </c>
      <c r="D18" s="385" t="s">
        <v>307</v>
      </c>
      <c r="E18" s="368">
        <v>289749174</v>
      </c>
      <c r="F18" s="368">
        <v>468432</v>
      </c>
      <c r="G18" s="386" t="s">
        <v>307</v>
      </c>
      <c r="H18" s="368"/>
      <c r="I18" s="368"/>
      <c r="J18" s="291"/>
      <c r="K18" s="367">
        <v>12</v>
      </c>
    </row>
    <row r="19" spans="2:11" ht="14.5" customHeight="1">
      <c r="B19" s="384">
        <v>290703200</v>
      </c>
      <c r="C19" s="384">
        <v>88346</v>
      </c>
      <c r="D19" s="394" t="s">
        <v>310</v>
      </c>
      <c r="E19" s="384">
        <v>290753220</v>
      </c>
      <c r="F19" s="384">
        <v>464760</v>
      </c>
      <c r="G19" s="395" t="s">
        <v>310</v>
      </c>
      <c r="H19" s="384"/>
      <c r="I19" s="384"/>
      <c r="J19" s="291"/>
      <c r="K19" s="383">
        <v>13</v>
      </c>
    </row>
    <row r="20" spans="2:11" ht="14.5" customHeight="1">
      <c r="B20" s="387">
        <v>291680098</v>
      </c>
      <c r="C20" s="387">
        <v>7470</v>
      </c>
      <c r="D20" s="410" t="s">
        <v>316</v>
      </c>
      <c r="E20" s="387">
        <v>291680097</v>
      </c>
      <c r="F20" s="387">
        <v>197884</v>
      </c>
      <c r="G20" s="411" t="s">
        <v>316</v>
      </c>
      <c r="H20" s="387"/>
      <c r="I20" s="387"/>
      <c r="J20" s="291"/>
      <c r="K20" s="494">
        <v>14</v>
      </c>
    </row>
    <row r="21" spans="2:11">
      <c r="B21" s="409">
        <v>291826234</v>
      </c>
      <c r="C21" s="409">
        <v>2212</v>
      </c>
      <c r="D21" s="411" t="s">
        <v>317</v>
      </c>
      <c r="E21" s="409">
        <v>291909845</v>
      </c>
      <c r="F21" s="409">
        <v>303004</v>
      </c>
      <c r="G21" s="411" t="s">
        <v>318</v>
      </c>
      <c r="H21" s="409"/>
      <c r="I21" s="409"/>
      <c r="J21" s="291"/>
      <c r="K21" s="495"/>
    </row>
    <row r="22" spans="2:11">
      <c r="B22" s="409">
        <v>292843081</v>
      </c>
      <c r="C22" s="409">
        <v>2405</v>
      </c>
      <c r="D22" s="428" t="s">
        <v>331</v>
      </c>
      <c r="E22" s="409">
        <v>292896526</v>
      </c>
      <c r="F22" s="409">
        <v>301236</v>
      </c>
      <c r="G22" s="428" t="s">
        <v>332</v>
      </c>
      <c r="H22" s="409"/>
      <c r="I22" s="409"/>
      <c r="J22" s="291"/>
      <c r="K22" s="408">
        <v>15</v>
      </c>
    </row>
    <row r="23" spans="2:11">
      <c r="B23" s="413">
        <v>293929962</v>
      </c>
      <c r="C23" s="413">
        <v>43580</v>
      </c>
      <c r="D23" s="465" t="s">
        <v>339</v>
      </c>
      <c r="E23" s="413">
        <v>293877308</v>
      </c>
      <c r="F23" s="413">
        <v>287584</v>
      </c>
      <c r="G23" s="466" t="s">
        <v>339</v>
      </c>
      <c r="H23" s="413"/>
      <c r="I23" s="413"/>
      <c r="J23" s="291"/>
      <c r="K23" s="412">
        <v>16</v>
      </c>
    </row>
    <row r="24" spans="2:11">
      <c r="B24" s="413">
        <v>294860190</v>
      </c>
      <c r="C24" s="413">
        <v>6217</v>
      </c>
      <c r="D24" s="549" t="s">
        <v>353</v>
      </c>
      <c r="E24" s="413">
        <v>294949927</v>
      </c>
      <c r="F24" s="413">
        <v>172288</v>
      </c>
      <c r="G24" s="550" t="s">
        <v>353</v>
      </c>
      <c r="H24" s="413">
        <v>0</v>
      </c>
      <c r="I24" s="413">
        <v>215420</v>
      </c>
      <c r="J24" s="551" t="s">
        <v>354</v>
      </c>
      <c r="K24" s="412">
        <v>17</v>
      </c>
    </row>
    <row r="25" spans="2:11">
      <c r="B25" s="413"/>
      <c r="C25" s="413"/>
      <c r="D25" s="314"/>
      <c r="E25" s="413"/>
      <c r="F25" s="413"/>
      <c r="G25" s="364"/>
      <c r="H25" s="413"/>
      <c r="I25" s="413"/>
      <c r="J25" s="291"/>
      <c r="K25" s="412"/>
    </row>
    <row r="26" spans="2:11">
      <c r="B26" s="413"/>
      <c r="C26" s="413"/>
      <c r="D26" s="314"/>
      <c r="E26" s="413"/>
      <c r="F26" s="413"/>
      <c r="G26" s="364"/>
      <c r="H26" s="413"/>
      <c r="I26" s="413"/>
      <c r="J26" s="291"/>
      <c r="K26" s="412"/>
    </row>
    <row r="27" spans="2:11">
      <c r="B27" s="413"/>
      <c r="C27" s="413"/>
      <c r="D27" s="314"/>
      <c r="E27" s="413"/>
      <c r="F27" s="413"/>
      <c r="G27" s="364"/>
      <c r="H27" s="413"/>
      <c r="I27" s="413"/>
      <c r="J27" s="291"/>
      <c r="K27" s="412"/>
    </row>
    <row r="39" spans="8:8">
      <c r="H39" t="s">
        <v>101</v>
      </c>
    </row>
  </sheetData>
  <mergeCells count="8">
    <mergeCell ref="B2:D2"/>
    <mergeCell ref="E2:G2"/>
    <mergeCell ref="H2:J2"/>
    <mergeCell ref="K20:K21"/>
    <mergeCell ref="K9:K10"/>
    <mergeCell ref="K14:K15"/>
    <mergeCell ref="K2:K3"/>
    <mergeCell ref="K4:K5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2DC3-EE34-43C7-9BE2-E82A947AEF61}">
  <sheetPr>
    <tabColor rgb="FFFFFF00"/>
  </sheetPr>
  <dimension ref="A1:AK38"/>
  <sheetViews>
    <sheetView zoomScale="50" zoomScaleNormal="50" workbookViewId="0">
      <pane xSplit="5" ySplit="3" topLeftCell="U20" activePane="bottomRight" state="frozen"/>
      <selection pane="topRight" activeCell="F1" sqref="F1"/>
      <selection pane="bottomLeft" activeCell="A4" sqref="A4"/>
      <selection pane="bottomRight" activeCell="AA41" sqref="AA41"/>
    </sheetView>
  </sheetViews>
  <sheetFormatPr defaultColWidth="12.08984375" defaultRowHeight="13.5"/>
  <cols>
    <col min="1" max="1" width="3.08984375" style="2" customWidth="1"/>
    <col min="2" max="2" width="19.54296875" style="3" customWidth="1"/>
    <col min="3" max="3" width="12.6328125" style="3" customWidth="1"/>
    <col min="4" max="4" width="10.08984375" style="4" customWidth="1"/>
    <col min="5" max="5" width="13.6328125" style="5" hidden="1" customWidth="1"/>
    <col min="6" max="6" width="17" style="2" customWidth="1"/>
    <col min="7" max="7" width="11.36328125" style="2" customWidth="1"/>
    <col min="8" max="8" width="10.90625" style="2" customWidth="1"/>
    <col min="9" max="9" width="12.90625" style="2" customWidth="1"/>
    <col min="10" max="10" width="19.36328125" style="2" customWidth="1"/>
    <col min="11" max="11" width="16.26953125" style="2" customWidth="1"/>
    <col min="12" max="12" width="19.36328125" style="2" customWidth="1"/>
    <col min="13" max="13" width="18.36328125" style="2" customWidth="1"/>
    <col min="14" max="14" width="16.54296875" style="2" customWidth="1"/>
    <col min="15" max="15" width="19.6328125" style="2" customWidth="1"/>
    <col min="16" max="16" width="18.08984375" style="2" customWidth="1"/>
    <col min="17" max="17" width="17.90625" style="2" customWidth="1"/>
    <col min="18" max="18" width="17.36328125" style="2" customWidth="1"/>
    <col min="19" max="19" width="15.54296875" style="2" customWidth="1"/>
    <col min="20" max="20" width="15.90625" style="2" customWidth="1"/>
    <col min="21" max="21" width="14.453125" style="2" bestFit="1" customWidth="1"/>
    <col min="22" max="22" width="18.81640625" style="2" customWidth="1"/>
    <col min="23" max="23" width="15.6328125" style="2" customWidth="1"/>
    <col min="24" max="25" width="18.26953125" style="2" customWidth="1"/>
    <col min="26" max="28" width="15.7265625" style="2" customWidth="1"/>
    <col min="29" max="29" width="16.1796875" style="2" customWidth="1"/>
    <col min="30" max="30" width="15" style="2" customWidth="1"/>
    <col min="31" max="31" width="17.54296875" style="2" customWidth="1"/>
    <col min="32" max="32" width="19.81640625" style="2" customWidth="1"/>
    <col min="33" max="33" width="16.90625" style="2" customWidth="1"/>
    <col min="34" max="34" width="18.26953125" style="2" customWidth="1"/>
    <col min="35" max="37" width="18.26953125" style="6" customWidth="1"/>
    <col min="38" max="16384" width="12.08984375" style="2"/>
  </cols>
  <sheetData>
    <row r="1" spans="1:37" ht="14" thickBot="1"/>
    <row r="2" spans="1:37" s="427" customFormat="1" ht="26" customHeight="1">
      <c r="B2" s="498" t="s">
        <v>11</v>
      </c>
      <c r="C2" s="499"/>
      <c r="D2" s="499"/>
      <c r="E2" s="500" t="s">
        <v>12</v>
      </c>
      <c r="F2" s="502" t="s">
        <v>13</v>
      </c>
      <c r="G2" s="504" t="s">
        <v>14</v>
      </c>
      <c r="H2" s="505"/>
      <c r="I2" s="506"/>
      <c r="J2" s="507" t="s">
        <v>15</v>
      </c>
      <c r="K2" s="507"/>
      <c r="L2" s="507"/>
      <c r="M2" s="497" t="s">
        <v>16</v>
      </c>
      <c r="N2" s="497"/>
      <c r="O2" s="497"/>
      <c r="P2" s="510" t="s">
        <v>17</v>
      </c>
      <c r="Q2" s="512" t="s">
        <v>18</v>
      </c>
      <c r="R2" s="512" t="s">
        <v>19</v>
      </c>
      <c r="S2" s="512" t="s">
        <v>20</v>
      </c>
      <c r="T2" s="512" t="s">
        <v>21</v>
      </c>
      <c r="U2" s="512" t="s">
        <v>22</v>
      </c>
      <c r="V2" s="512" t="s">
        <v>23</v>
      </c>
      <c r="W2" s="512" t="s">
        <v>24</v>
      </c>
      <c r="X2" s="510" t="s">
        <v>25</v>
      </c>
      <c r="Y2" s="508" t="s">
        <v>352</v>
      </c>
      <c r="Z2" s="514" t="s">
        <v>26</v>
      </c>
      <c r="AA2" s="508" t="s">
        <v>319</v>
      </c>
      <c r="AB2" s="508" t="s">
        <v>320</v>
      </c>
      <c r="AC2" s="512" t="s">
        <v>27</v>
      </c>
      <c r="AD2" s="512" t="s">
        <v>28</v>
      </c>
      <c r="AE2" s="516" t="s">
        <v>111</v>
      </c>
      <c r="AF2" s="518" t="s">
        <v>112</v>
      </c>
      <c r="AG2" s="520" t="s">
        <v>30</v>
      </c>
      <c r="AH2" s="528" t="s">
        <v>31</v>
      </c>
      <c r="AI2" s="525" t="s">
        <v>32</v>
      </c>
      <c r="AJ2" s="525" t="s">
        <v>33</v>
      </c>
      <c r="AK2" s="525" t="s">
        <v>34</v>
      </c>
    </row>
    <row r="3" spans="1:37" s="427" customFormat="1" ht="24" customHeight="1" thickBot="1">
      <c r="B3" s="9" t="s">
        <v>35</v>
      </c>
      <c r="C3" s="10" t="s">
        <v>5</v>
      </c>
      <c r="D3" s="11" t="s">
        <v>36</v>
      </c>
      <c r="E3" s="501"/>
      <c r="F3" s="503"/>
      <c r="G3" s="12" t="s">
        <v>37</v>
      </c>
      <c r="H3" s="12" t="s">
        <v>38</v>
      </c>
      <c r="I3" s="12" t="s">
        <v>9</v>
      </c>
      <c r="J3" s="13" t="s">
        <v>38</v>
      </c>
      <c r="K3" s="13" t="s">
        <v>9</v>
      </c>
      <c r="L3" s="13" t="s">
        <v>39</v>
      </c>
      <c r="M3" s="14" t="s">
        <v>38</v>
      </c>
      <c r="N3" s="14" t="s">
        <v>9</v>
      </c>
      <c r="O3" s="14" t="s">
        <v>39</v>
      </c>
      <c r="P3" s="511"/>
      <c r="Q3" s="513"/>
      <c r="R3" s="513"/>
      <c r="S3" s="513"/>
      <c r="T3" s="513"/>
      <c r="U3" s="513"/>
      <c r="V3" s="513"/>
      <c r="W3" s="513"/>
      <c r="X3" s="511"/>
      <c r="Y3" s="509"/>
      <c r="Z3" s="515"/>
      <c r="AA3" s="509"/>
      <c r="AB3" s="509"/>
      <c r="AC3" s="513"/>
      <c r="AD3" s="513"/>
      <c r="AE3" s="517"/>
      <c r="AF3" s="519"/>
      <c r="AG3" s="521"/>
      <c r="AH3" s="528"/>
      <c r="AI3" s="525"/>
      <c r="AJ3" s="525"/>
      <c r="AK3" s="525"/>
    </row>
    <row r="4" spans="1:37" s="15" customFormat="1" ht="25.75" customHeight="1" thickBot="1">
      <c r="B4" s="26" t="s">
        <v>244</v>
      </c>
      <c r="C4" s="16" t="s">
        <v>241</v>
      </c>
      <c r="D4" s="24" t="s">
        <v>40</v>
      </c>
      <c r="E4" s="35"/>
      <c r="F4" s="34">
        <f t="shared" ref="F4" si="0">IFERROR(O4-SUM(Q4:W4)+AD4,0)</f>
        <v>0</v>
      </c>
      <c r="G4" s="27"/>
      <c r="H4" s="27"/>
      <c r="I4" s="27"/>
      <c r="J4" s="17"/>
      <c r="K4" s="18"/>
      <c r="L4" s="19"/>
      <c r="M4" s="17"/>
      <c r="N4" s="18"/>
      <c r="O4" s="329"/>
      <c r="P4" s="184"/>
      <c r="Q4" s="185"/>
      <c r="R4" s="18"/>
      <c r="S4" s="185"/>
      <c r="T4" s="184"/>
      <c r="U4" s="18"/>
      <c r="V4" s="184"/>
      <c r="W4" s="20"/>
      <c r="X4" s="21"/>
      <c r="Y4" s="552"/>
      <c r="Z4" s="21"/>
      <c r="AA4" s="21"/>
      <c r="AB4" s="21"/>
      <c r="AC4" s="327"/>
      <c r="AD4" s="21"/>
      <c r="AE4" s="335"/>
      <c r="AF4" s="28"/>
      <c r="AG4" s="526">
        <f>SUM(AF4:AF5)</f>
        <v>0</v>
      </c>
      <c r="AH4" s="342" t="e">
        <f t="shared" ref="AH4:AH20" si="1">P4/O4</f>
        <v>#DIV/0!</v>
      </c>
      <c r="AI4" s="342" t="e">
        <f t="shared" ref="AI4:AI20" si="2">AF4/P4</f>
        <v>#DIV/0!</v>
      </c>
      <c r="AJ4" s="342" t="e">
        <f t="shared" ref="AJ4:AJ20" si="3">AF4/O4</f>
        <v>#DIV/0!</v>
      </c>
      <c r="AK4" s="342" t="e">
        <f t="shared" ref="AK4:AK20" si="4">(W4+X4+Z4)/O4</f>
        <v>#DIV/0!</v>
      </c>
    </row>
    <row r="5" spans="1:37" s="15" customFormat="1" ht="25.75" customHeight="1" thickBot="1">
      <c r="B5" s="189" t="s">
        <v>247</v>
      </c>
      <c r="C5" s="279" t="s">
        <v>241</v>
      </c>
      <c r="D5" s="280" t="s">
        <v>40</v>
      </c>
      <c r="E5" s="199"/>
      <c r="F5" s="31">
        <f t="shared" ref="F5:F8" si="5">IFERROR(O5-SUM(Q5:W5)+AD5,0)</f>
        <v>0</v>
      </c>
      <c r="G5" s="190"/>
      <c r="H5" s="190"/>
      <c r="I5" s="190"/>
      <c r="J5" s="191"/>
      <c r="K5" s="192"/>
      <c r="L5" s="193"/>
      <c r="M5" s="191"/>
      <c r="N5" s="192"/>
      <c r="O5" s="330"/>
      <c r="P5" s="194"/>
      <c r="Q5" s="273"/>
      <c r="R5" s="192"/>
      <c r="S5" s="273"/>
      <c r="T5" s="194"/>
      <c r="U5" s="192"/>
      <c r="V5" s="194"/>
      <c r="W5" s="195"/>
      <c r="X5" s="196"/>
      <c r="Y5" s="196"/>
      <c r="Z5" s="196"/>
      <c r="AA5" s="196"/>
      <c r="AB5" s="196"/>
      <c r="AC5" s="328"/>
      <c r="AD5" s="196"/>
      <c r="AE5" s="336"/>
      <c r="AF5" s="281"/>
      <c r="AG5" s="527"/>
      <c r="AH5" s="342" t="e">
        <f t="shared" si="1"/>
        <v>#DIV/0!</v>
      </c>
      <c r="AI5" s="342" t="e">
        <f t="shared" si="2"/>
        <v>#DIV/0!</v>
      </c>
      <c r="AJ5" s="342" t="e">
        <f t="shared" si="3"/>
        <v>#DIV/0!</v>
      </c>
      <c r="AK5" s="342" t="e">
        <f t="shared" si="4"/>
        <v>#DIV/0!</v>
      </c>
    </row>
    <row r="6" spans="1:37" s="15" customFormat="1" ht="25.75" customHeight="1">
      <c r="B6" s="26" t="s">
        <v>245</v>
      </c>
      <c r="C6" s="16" t="s">
        <v>242</v>
      </c>
      <c r="D6" s="24" t="s">
        <v>243</v>
      </c>
      <c r="E6" s="35"/>
      <c r="F6" s="34">
        <f t="shared" si="5"/>
        <v>0</v>
      </c>
      <c r="G6" s="27"/>
      <c r="H6" s="27"/>
      <c r="I6" s="27"/>
      <c r="J6" s="17"/>
      <c r="K6" s="18"/>
      <c r="L6" s="19"/>
      <c r="M6" s="17"/>
      <c r="N6" s="18"/>
      <c r="O6" s="329"/>
      <c r="P6" s="184"/>
      <c r="Q6" s="286"/>
      <c r="R6" s="18"/>
      <c r="S6" s="185"/>
      <c r="T6" s="184"/>
      <c r="U6" s="18"/>
      <c r="V6" s="184"/>
      <c r="W6" s="20"/>
      <c r="X6" s="17"/>
      <c r="Y6" s="17"/>
      <c r="Z6" s="21"/>
      <c r="AA6" s="21"/>
      <c r="AB6" s="21"/>
      <c r="AC6" s="327"/>
      <c r="AD6" s="21"/>
      <c r="AE6" s="335"/>
      <c r="AF6" s="28"/>
      <c r="AG6" s="522">
        <f>SUM(AF6:AF8)</f>
        <v>0</v>
      </c>
      <c r="AH6" s="342" t="e">
        <f t="shared" si="1"/>
        <v>#DIV/0!</v>
      </c>
      <c r="AI6" s="342" t="e">
        <f t="shared" si="2"/>
        <v>#DIV/0!</v>
      </c>
      <c r="AJ6" s="342" t="e">
        <f t="shared" si="3"/>
        <v>#DIV/0!</v>
      </c>
      <c r="AK6" s="342" t="e">
        <f t="shared" si="4"/>
        <v>#DIV/0!</v>
      </c>
    </row>
    <row r="7" spans="1:37" s="15" customFormat="1" ht="25.75" customHeight="1">
      <c r="B7" s="26" t="s">
        <v>246</v>
      </c>
      <c r="C7" s="16" t="s">
        <v>242</v>
      </c>
      <c r="D7" s="24" t="s">
        <v>243</v>
      </c>
      <c r="E7" s="285"/>
      <c r="F7" s="34">
        <f t="shared" si="5"/>
        <v>0</v>
      </c>
      <c r="G7" s="27"/>
      <c r="H7" s="27"/>
      <c r="I7" s="27"/>
      <c r="J7" s="17"/>
      <c r="K7" s="18"/>
      <c r="L7" s="19"/>
      <c r="M7" s="17"/>
      <c r="N7" s="18"/>
      <c r="O7" s="329"/>
      <c r="P7" s="184"/>
      <c r="Q7" s="286"/>
      <c r="R7" s="18"/>
      <c r="S7" s="185"/>
      <c r="T7" s="184"/>
      <c r="U7" s="18"/>
      <c r="V7" s="184"/>
      <c r="W7" s="20"/>
      <c r="X7" s="21"/>
      <c r="Y7" s="21"/>
      <c r="Z7" s="21"/>
      <c r="AA7" s="21"/>
      <c r="AB7" s="21"/>
      <c r="AC7" s="327"/>
      <c r="AD7" s="21"/>
      <c r="AE7" s="335"/>
      <c r="AF7" s="28"/>
      <c r="AG7" s="523"/>
      <c r="AH7" s="342" t="e">
        <f t="shared" si="1"/>
        <v>#DIV/0!</v>
      </c>
      <c r="AI7" s="342" t="e">
        <f t="shared" si="2"/>
        <v>#DIV/0!</v>
      </c>
      <c r="AJ7" s="342" t="e">
        <f t="shared" si="3"/>
        <v>#DIV/0!</v>
      </c>
      <c r="AK7" s="342" t="e">
        <f t="shared" si="4"/>
        <v>#DIV/0!</v>
      </c>
    </row>
    <row r="8" spans="1:37" s="15" customFormat="1" ht="25.75" customHeight="1" thickBot="1">
      <c r="B8" s="26" t="s">
        <v>250</v>
      </c>
      <c r="C8" s="279" t="s">
        <v>242</v>
      </c>
      <c r="D8" s="280" t="s">
        <v>243</v>
      </c>
      <c r="E8" s="199"/>
      <c r="F8" s="284">
        <f t="shared" si="5"/>
        <v>0</v>
      </c>
      <c r="G8" s="190"/>
      <c r="H8" s="190"/>
      <c r="I8" s="190"/>
      <c r="J8" s="191"/>
      <c r="K8" s="192"/>
      <c r="L8" s="193"/>
      <c r="M8" s="191"/>
      <c r="N8" s="192"/>
      <c r="O8" s="330"/>
      <c r="P8" s="194"/>
      <c r="Q8" s="287"/>
      <c r="R8" s="192"/>
      <c r="S8" s="273"/>
      <c r="T8" s="194"/>
      <c r="U8" s="192"/>
      <c r="V8" s="194"/>
      <c r="W8" s="195"/>
      <c r="X8" s="196"/>
      <c r="Y8" s="196"/>
      <c r="Z8" s="196"/>
      <c r="AA8" s="196"/>
      <c r="AB8" s="196"/>
      <c r="AC8" s="328"/>
      <c r="AD8" s="196"/>
      <c r="AE8" s="336"/>
      <c r="AF8" s="281"/>
      <c r="AG8" s="524"/>
      <c r="AH8" s="342" t="e">
        <f t="shared" si="1"/>
        <v>#DIV/0!</v>
      </c>
      <c r="AI8" s="342" t="e">
        <f t="shared" si="2"/>
        <v>#DIV/0!</v>
      </c>
      <c r="AJ8" s="342" t="e">
        <f t="shared" si="3"/>
        <v>#DIV/0!</v>
      </c>
      <c r="AK8" s="342" t="e">
        <f t="shared" si="4"/>
        <v>#DIV/0!</v>
      </c>
    </row>
    <row r="9" spans="1:37" s="15" customFormat="1" ht="25.5" customHeight="1">
      <c r="A9" s="200"/>
      <c r="B9" s="201" t="s">
        <v>268</v>
      </c>
      <c r="C9" s="202" t="s">
        <v>103</v>
      </c>
      <c r="D9" s="35" t="s">
        <v>107</v>
      </c>
      <c r="E9" s="198"/>
      <c r="F9" s="34">
        <f t="shared" ref="F9" si="6">IFERROR(O9-SUM(Q9:W9)+AD9,0)</f>
        <v>0</v>
      </c>
      <c r="G9" s="27"/>
      <c r="H9" s="27"/>
      <c r="I9" s="27"/>
      <c r="J9" s="17"/>
      <c r="K9" s="18"/>
      <c r="L9" s="19"/>
      <c r="M9" s="17"/>
      <c r="N9" s="18"/>
      <c r="O9" s="329"/>
      <c r="P9" s="184"/>
      <c r="Q9" s="286"/>
      <c r="R9" s="18"/>
      <c r="S9" s="185"/>
      <c r="T9" s="184"/>
      <c r="U9" s="18"/>
      <c r="V9" s="184"/>
      <c r="W9" s="20"/>
      <c r="X9" s="17"/>
      <c r="Y9" s="17"/>
      <c r="Z9" s="21"/>
      <c r="AA9" s="21"/>
      <c r="AB9" s="21"/>
      <c r="AC9" s="327"/>
      <c r="AD9" s="21"/>
      <c r="AE9" s="335"/>
      <c r="AF9" s="28"/>
      <c r="AG9" s="522">
        <f>SUM(AF9:AF16)</f>
        <v>0</v>
      </c>
      <c r="AH9" s="342" t="e">
        <f t="shared" si="1"/>
        <v>#DIV/0!</v>
      </c>
      <c r="AI9" s="342" t="e">
        <f t="shared" si="2"/>
        <v>#DIV/0!</v>
      </c>
      <c r="AJ9" s="342" t="e">
        <f t="shared" si="3"/>
        <v>#DIV/0!</v>
      </c>
      <c r="AK9" s="342" t="e">
        <f t="shared" si="4"/>
        <v>#DIV/0!</v>
      </c>
    </row>
    <row r="10" spans="1:37" s="15" customFormat="1" ht="25.5" customHeight="1">
      <c r="A10" s="312"/>
      <c r="B10" s="26" t="s">
        <v>269</v>
      </c>
      <c r="C10" s="22" t="s">
        <v>103</v>
      </c>
      <c r="D10" s="23" t="s">
        <v>107</v>
      </c>
      <c r="E10" s="36"/>
      <c r="F10" s="34">
        <f t="shared" ref="F10" si="7">IFERROR(O10-SUM(Q10:W10)+AD10,0)</f>
        <v>0</v>
      </c>
      <c r="G10" s="27"/>
      <c r="H10" s="27"/>
      <c r="I10" s="27"/>
      <c r="J10" s="17"/>
      <c r="K10" s="18"/>
      <c r="L10" s="19"/>
      <c r="M10" s="17"/>
      <c r="N10" s="18"/>
      <c r="O10" s="329"/>
      <c r="P10" s="184"/>
      <c r="Q10" s="286"/>
      <c r="R10" s="18"/>
      <c r="S10" s="185"/>
      <c r="T10" s="184"/>
      <c r="U10" s="18"/>
      <c r="V10" s="184"/>
      <c r="W10" s="20"/>
      <c r="X10" s="17"/>
      <c r="Y10" s="17"/>
      <c r="Z10" s="21"/>
      <c r="AA10" s="21"/>
      <c r="AB10" s="21"/>
      <c r="AC10" s="327"/>
      <c r="AD10" s="21"/>
      <c r="AE10" s="335"/>
      <c r="AF10" s="28"/>
      <c r="AG10" s="523"/>
      <c r="AH10" s="342" t="e">
        <f t="shared" si="1"/>
        <v>#DIV/0!</v>
      </c>
      <c r="AI10" s="342" t="e">
        <f t="shared" si="2"/>
        <v>#DIV/0!</v>
      </c>
      <c r="AJ10" s="342" t="e">
        <f t="shared" si="3"/>
        <v>#DIV/0!</v>
      </c>
      <c r="AK10" s="342" t="e">
        <f t="shared" si="4"/>
        <v>#DIV/0!</v>
      </c>
    </row>
    <row r="11" spans="1:37" s="15" customFormat="1" ht="25.5" customHeight="1">
      <c r="B11" s="26" t="s">
        <v>272</v>
      </c>
      <c r="C11" s="22" t="s">
        <v>104</v>
      </c>
      <c r="D11" s="23" t="s">
        <v>108</v>
      </c>
      <c r="E11" s="36"/>
      <c r="F11" s="34">
        <f t="shared" ref="F11" si="8">IFERROR(O11-SUM(Q11:W11)+AD11,0)</f>
        <v>0</v>
      </c>
      <c r="G11" s="27"/>
      <c r="H11" s="27"/>
      <c r="I11" s="27"/>
      <c r="J11" s="17"/>
      <c r="K11" s="18"/>
      <c r="L11" s="19"/>
      <c r="M11" s="17"/>
      <c r="N11" s="18"/>
      <c r="O11" s="329"/>
      <c r="P11" s="184"/>
      <c r="Q11" s="286"/>
      <c r="R11" s="18"/>
      <c r="S11" s="185"/>
      <c r="T11" s="184"/>
      <c r="U11" s="18"/>
      <c r="V11" s="184"/>
      <c r="W11" s="20"/>
      <c r="X11" s="17"/>
      <c r="Y11" s="17"/>
      <c r="Z11" s="21"/>
      <c r="AA11" s="21"/>
      <c r="AB11" s="21"/>
      <c r="AC11" s="327"/>
      <c r="AD11" s="21"/>
      <c r="AE11" s="335"/>
      <c r="AF11" s="28"/>
      <c r="AG11" s="523"/>
      <c r="AH11" s="342" t="e">
        <f t="shared" si="1"/>
        <v>#DIV/0!</v>
      </c>
      <c r="AI11" s="342" t="e">
        <f t="shared" si="2"/>
        <v>#DIV/0!</v>
      </c>
      <c r="AJ11" s="342" t="e">
        <f t="shared" si="3"/>
        <v>#DIV/0!</v>
      </c>
      <c r="AK11" s="342" t="e">
        <f t="shared" si="4"/>
        <v>#DIV/0!</v>
      </c>
    </row>
    <row r="12" spans="1:37" s="15" customFormat="1" ht="25.5" customHeight="1">
      <c r="B12" s="26" t="s">
        <v>273</v>
      </c>
      <c r="C12" s="22" t="s">
        <v>104</v>
      </c>
      <c r="D12" s="23" t="s">
        <v>108</v>
      </c>
      <c r="E12" s="36"/>
      <c r="F12" s="34">
        <f t="shared" ref="F12" si="9">IFERROR(O12-SUM(Q12:W12)+AD12,0)</f>
        <v>0</v>
      </c>
      <c r="G12" s="27"/>
      <c r="H12" s="27"/>
      <c r="I12" s="27"/>
      <c r="J12" s="17"/>
      <c r="K12" s="18"/>
      <c r="L12" s="19"/>
      <c r="M12" s="17"/>
      <c r="N12" s="18"/>
      <c r="O12" s="329"/>
      <c r="P12" s="184"/>
      <c r="Q12" s="286"/>
      <c r="R12" s="18"/>
      <c r="S12" s="185"/>
      <c r="T12" s="184"/>
      <c r="U12" s="18"/>
      <c r="V12" s="184"/>
      <c r="W12" s="20"/>
      <c r="X12" s="17"/>
      <c r="Y12" s="17"/>
      <c r="Z12" s="21"/>
      <c r="AA12" s="21"/>
      <c r="AB12" s="21"/>
      <c r="AC12" s="327"/>
      <c r="AD12" s="21"/>
      <c r="AE12" s="335"/>
      <c r="AF12" s="28"/>
      <c r="AG12" s="523"/>
      <c r="AH12" s="342" t="e">
        <f t="shared" si="1"/>
        <v>#DIV/0!</v>
      </c>
      <c r="AI12" s="342" t="e">
        <f t="shared" si="2"/>
        <v>#DIV/0!</v>
      </c>
      <c r="AJ12" s="342" t="e">
        <f t="shared" si="3"/>
        <v>#DIV/0!</v>
      </c>
      <c r="AK12" s="342" t="e">
        <f t="shared" si="4"/>
        <v>#DIV/0!</v>
      </c>
    </row>
    <row r="13" spans="1:37" s="15" customFormat="1" ht="25.5" customHeight="1">
      <c r="B13" s="26" t="s">
        <v>263</v>
      </c>
      <c r="C13" s="22" t="s">
        <v>105</v>
      </c>
      <c r="D13" s="23" t="s">
        <v>109</v>
      </c>
      <c r="E13" s="36"/>
      <c r="F13" s="34">
        <f t="shared" ref="F13" si="10">IFERROR(O13-SUM(Q13:W13)+AD13,0)</f>
        <v>0</v>
      </c>
      <c r="G13" s="27"/>
      <c r="H13" s="27"/>
      <c r="I13" s="27"/>
      <c r="J13" s="17"/>
      <c r="K13" s="18"/>
      <c r="L13" s="19"/>
      <c r="M13" s="17"/>
      <c r="N13" s="18"/>
      <c r="O13" s="329"/>
      <c r="P13" s="184"/>
      <c r="Q13" s="286"/>
      <c r="R13" s="18"/>
      <c r="S13" s="185"/>
      <c r="T13" s="184"/>
      <c r="U13" s="18"/>
      <c r="V13" s="184"/>
      <c r="W13" s="20"/>
      <c r="X13" s="17"/>
      <c r="Y13" s="17"/>
      <c r="Z13" s="21"/>
      <c r="AA13" s="21"/>
      <c r="AB13" s="21"/>
      <c r="AC13" s="327"/>
      <c r="AD13" s="21"/>
      <c r="AE13" s="335"/>
      <c r="AF13" s="28"/>
      <c r="AG13" s="523"/>
      <c r="AH13" s="342" t="e">
        <f t="shared" si="1"/>
        <v>#DIV/0!</v>
      </c>
      <c r="AI13" s="342" t="e">
        <f t="shared" si="2"/>
        <v>#DIV/0!</v>
      </c>
      <c r="AJ13" s="342" t="e">
        <f t="shared" si="3"/>
        <v>#DIV/0!</v>
      </c>
      <c r="AK13" s="342" t="e">
        <f t="shared" si="4"/>
        <v>#DIV/0!</v>
      </c>
    </row>
    <row r="14" spans="1:37" s="15" customFormat="1" ht="25.5" customHeight="1">
      <c r="B14" s="26" t="s">
        <v>264</v>
      </c>
      <c r="C14" s="22" t="s">
        <v>105</v>
      </c>
      <c r="D14" s="23" t="s">
        <v>109</v>
      </c>
      <c r="E14" s="36"/>
      <c r="F14" s="34">
        <f t="shared" ref="F14" si="11">IFERROR(O14-SUM(Q14:W14)+AD14,0)</f>
        <v>0</v>
      </c>
      <c r="G14" s="27"/>
      <c r="H14" s="27"/>
      <c r="I14" s="27"/>
      <c r="J14" s="17"/>
      <c r="K14" s="18"/>
      <c r="L14" s="19"/>
      <c r="M14" s="17"/>
      <c r="N14" s="18"/>
      <c r="O14" s="329"/>
      <c r="P14" s="184"/>
      <c r="Q14" s="286"/>
      <c r="R14" s="18"/>
      <c r="S14" s="185"/>
      <c r="T14" s="184"/>
      <c r="U14" s="18"/>
      <c r="V14" s="184"/>
      <c r="W14" s="20"/>
      <c r="X14" s="17"/>
      <c r="Y14" s="17"/>
      <c r="Z14" s="21"/>
      <c r="AA14" s="21"/>
      <c r="AB14" s="21"/>
      <c r="AC14" s="327"/>
      <c r="AD14" s="21"/>
      <c r="AE14" s="335"/>
      <c r="AF14" s="28"/>
      <c r="AG14" s="523"/>
      <c r="AH14" s="342" t="e">
        <f t="shared" si="1"/>
        <v>#DIV/0!</v>
      </c>
      <c r="AI14" s="342" t="e">
        <f t="shared" si="2"/>
        <v>#DIV/0!</v>
      </c>
      <c r="AJ14" s="342" t="e">
        <f t="shared" si="3"/>
        <v>#DIV/0!</v>
      </c>
      <c r="AK14" s="342" t="e">
        <f t="shared" si="4"/>
        <v>#DIV/0!</v>
      </c>
    </row>
    <row r="15" spans="1:37" s="15" customFormat="1" ht="25.5" customHeight="1">
      <c r="B15" s="26" t="s">
        <v>274</v>
      </c>
      <c r="C15" s="22" t="s">
        <v>106</v>
      </c>
      <c r="D15" s="23" t="s">
        <v>110</v>
      </c>
      <c r="E15" s="36"/>
      <c r="F15" s="34">
        <f t="shared" ref="F15:F17" si="12">IFERROR(O15-SUM(Q15:W15)+AD15,0)</f>
        <v>0</v>
      </c>
      <c r="G15" s="27"/>
      <c r="H15" s="27"/>
      <c r="I15" s="27"/>
      <c r="J15" s="17"/>
      <c r="K15" s="18"/>
      <c r="L15" s="19"/>
      <c r="M15" s="17"/>
      <c r="N15" s="18"/>
      <c r="O15" s="329"/>
      <c r="P15" s="184"/>
      <c r="Q15" s="286"/>
      <c r="R15" s="18"/>
      <c r="S15" s="185"/>
      <c r="T15" s="184"/>
      <c r="U15" s="18"/>
      <c r="V15" s="184"/>
      <c r="W15" s="20"/>
      <c r="X15" s="17"/>
      <c r="Y15" s="17"/>
      <c r="Z15" s="21"/>
      <c r="AA15" s="21"/>
      <c r="AB15" s="21"/>
      <c r="AC15" s="327"/>
      <c r="AD15" s="21"/>
      <c r="AE15" s="335"/>
      <c r="AF15" s="28"/>
      <c r="AG15" s="523"/>
      <c r="AH15" s="342" t="e">
        <f t="shared" si="1"/>
        <v>#DIV/0!</v>
      </c>
      <c r="AI15" s="342" t="e">
        <f t="shared" si="2"/>
        <v>#DIV/0!</v>
      </c>
      <c r="AJ15" s="342" t="e">
        <f t="shared" si="3"/>
        <v>#DIV/0!</v>
      </c>
      <c r="AK15" s="342" t="e">
        <f t="shared" si="4"/>
        <v>#DIV/0!</v>
      </c>
    </row>
    <row r="16" spans="1:37" s="15" customFormat="1" ht="25.5" customHeight="1" thickBot="1">
      <c r="B16" s="189" t="s">
        <v>283</v>
      </c>
      <c r="C16" s="29" t="s">
        <v>106</v>
      </c>
      <c r="D16" s="30" t="s">
        <v>110</v>
      </c>
      <c r="E16" s="199"/>
      <c r="F16" s="31">
        <f t="shared" si="12"/>
        <v>0</v>
      </c>
      <c r="G16" s="317"/>
      <c r="H16" s="317"/>
      <c r="I16" s="317"/>
      <c r="J16" s="318"/>
      <c r="K16" s="319"/>
      <c r="L16" s="320"/>
      <c r="M16" s="318"/>
      <c r="N16" s="319"/>
      <c r="O16" s="331"/>
      <c r="P16" s="321"/>
      <c r="Q16" s="322"/>
      <c r="R16" s="319"/>
      <c r="S16" s="323"/>
      <c r="T16" s="321"/>
      <c r="U16" s="319"/>
      <c r="V16" s="321"/>
      <c r="W16" s="324"/>
      <c r="X16" s="318"/>
      <c r="Y16" s="318"/>
      <c r="Z16" s="32"/>
      <c r="AA16" s="32"/>
      <c r="AB16" s="32"/>
      <c r="AC16" s="366"/>
      <c r="AD16" s="32"/>
      <c r="AE16" s="337"/>
      <c r="AF16" s="33"/>
      <c r="AG16" s="524"/>
      <c r="AH16" s="342" t="e">
        <f t="shared" si="1"/>
        <v>#DIV/0!</v>
      </c>
      <c r="AI16" s="342" t="e">
        <f t="shared" si="2"/>
        <v>#DIV/0!</v>
      </c>
      <c r="AJ16" s="342" t="e">
        <f t="shared" si="3"/>
        <v>#DIV/0!</v>
      </c>
      <c r="AK16" s="342" t="e">
        <f t="shared" si="4"/>
        <v>#DIV/0!</v>
      </c>
    </row>
    <row r="17" spans="2:37" s="15" customFormat="1" ht="25.5" customHeight="1">
      <c r="B17" s="201" t="s">
        <v>296</v>
      </c>
      <c r="C17" s="202" t="s">
        <v>322</v>
      </c>
      <c r="D17" s="356">
        <v>10</v>
      </c>
      <c r="E17" s="198"/>
      <c r="F17" s="34">
        <f t="shared" si="12"/>
        <v>0</v>
      </c>
      <c r="G17" s="27"/>
      <c r="H17" s="27"/>
      <c r="I17" s="27"/>
      <c r="J17" s="17"/>
      <c r="K17" s="18"/>
      <c r="L17" s="19"/>
      <c r="M17" s="17"/>
      <c r="N17" s="18"/>
      <c r="O17" s="329"/>
      <c r="P17" s="184"/>
      <c r="Q17" s="286"/>
      <c r="R17" s="18"/>
      <c r="S17" s="185"/>
      <c r="T17" s="184"/>
      <c r="U17" s="18"/>
      <c r="V17" s="184"/>
      <c r="W17" s="20"/>
      <c r="X17" s="17"/>
      <c r="Y17" s="17"/>
      <c r="Z17" s="21"/>
      <c r="AA17" s="21"/>
      <c r="AB17" s="21"/>
      <c r="AC17" s="210"/>
      <c r="AD17" s="21"/>
      <c r="AE17" s="335"/>
      <c r="AF17" s="397"/>
      <c r="AG17" s="522">
        <f>SUM(AF17:AF20)</f>
        <v>0</v>
      </c>
      <c r="AH17" s="342" t="e">
        <f t="shared" si="1"/>
        <v>#DIV/0!</v>
      </c>
      <c r="AI17" s="342" t="e">
        <f t="shared" si="2"/>
        <v>#DIV/0!</v>
      </c>
      <c r="AJ17" s="342" t="e">
        <f t="shared" si="3"/>
        <v>#DIV/0!</v>
      </c>
      <c r="AK17" s="342" t="e">
        <f t="shared" si="4"/>
        <v>#DIV/0!</v>
      </c>
    </row>
    <row r="18" spans="2:37" s="15" customFormat="1" ht="25.5" customHeight="1">
      <c r="B18" s="363" t="s">
        <v>299</v>
      </c>
      <c r="C18" s="357" t="s">
        <v>323</v>
      </c>
      <c r="D18" s="358" t="s">
        <v>301</v>
      </c>
      <c r="E18" s="36"/>
      <c r="F18" s="34">
        <f t="shared" ref="F18" si="13">IFERROR(O18-SUM(Q18:W18)+AD18,0)</f>
        <v>0</v>
      </c>
      <c r="G18" s="27"/>
      <c r="H18" s="27"/>
      <c r="I18" s="27"/>
      <c r="J18" s="17"/>
      <c r="K18" s="18"/>
      <c r="L18" s="19"/>
      <c r="M18" s="17"/>
      <c r="N18" s="18"/>
      <c r="O18" s="329"/>
      <c r="P18" s="184"/>
      <c r="Q18" s="286"/>
      <c r="R18" s="18"/>
      <c r="S18" s="185"/>
      <c r="T18" s="184"/>
      <c r="U18" s="18"/>
      <c r="V18" s="184"/>
      <c r="W18" s="20"/>
      <c r="X18" s="17"/>
      <c r="Y18" s="17"/>
      <c r="Z18" s="21"/>
      <c r="AA18" s="21"/>
      <c r="AB18" s="21"/>
      <c r="AC18" s="210"/>
      <c r="AD18" s="21"/>
      <c r="AE18" s="335"/>
      <c r="AF18" s="397"/>
      <c r="AG18" s="523"/>
      <c r="AH18" s="342" t="e">
        <f t="shared" si="1"/>
        <v>#DIV/0!</v>
      </c>
      <c r="AI18" s="342" t="e">
        <f t="shared" si="2"/>
        <v>#DIV/0!</v>
      </c>
      <c r="AJ18" s="342" t="e">
        <f t="shared" si="3"/>
        <v>#DIV/0!</v>
      </c>
      <c r="AK18" s="342" t="e">
        <f t="shared" si="4"/>
        <v>#DIV/0!</v>
      </c>
    </row>
    <row r="19" spans="2:37" s="15" customFormat="1" ht="25.5" customHeight="1">
      <c r="B19" s="26" t="s">
        <v>300</v>
      </c>
      <c r="C19" s="16" t="s">
        <v>324</v>
      </c>
      <c r="D19" s="24" t="s">
        <v>302</v>
      </c>
      <c r="E19" s="285"/>
      <c r="F19" s="34">
        <f t="shared" ref="F19" si="14">IFERROR(O19-SUM(Q19:W19)+AD19,0)</f>
        <v>0</v>
      </c>
      <c r="G19" s="27"/>
      <c r="H19" s="27"/>
      <c r="I19" s="27"/>
      <c r="J19" s="17"/>
      <c r="K19" s="18"/>
      <c r="L19" s="19"/>
      <c r="M19" s="17"/>
      <c r="N19" s="18"/>
      <c r="O19" s="329"/>
      <c r="P19" s="184"/>
      <c r="Q19" s="286"/>
      <c r="R19" s="18"/>
      <c r="S19" s="185"/>
      <c r="T19" s="184"/>
      <c r="U19" s="18"/>
      <c r="V19" s="184"/>
      <c r="W19" s="20"/>
      <c r="X19" s="17"/>
      <c r="Y19" s="17"/>
      <c r="Z19" s="21"/>
      <c r="AA19" s="21"/>
      <c r="AB19" s="21"/>
      <c r="AC19" s="210"/>
      <c r="AD19" s="21"/>
      <c r="AE19" s="335"/>
      <c r="AF19" s="397"/>
      <c r="AG19" s="523"/>
      <c r="AH19" s="342" t="e">
        <f t="shared" si="1"/>
        <v>#DIV/0!</v>
      </c>
      <c r="AI19" s="342" t="e">
        <f t="shared" si="2"/>
        <v>#DIV/0!</v>
      </c>
      <c r="AJ19" s="342" t="e">
        <f t="shared" si="3"/>
        <v>#DIV/0!</v>
      </c>
      <c r="AK19" s="342" t="e">
        <f t="shared" si="4"/>
        <v>#DIV/0!</v>
      </c>
    </row>
    <row r="20" spans="2:37" s="15" customFormat="1" ht="25.5" customHeight="1" thickBot="1">
      <c r="B20" s="26" t="s">
        <v>304</v>
      </c>
      <c r="C20" s="29" t="s">
        <v>325</v>
      </c>
      <c r="D20" s="30" t="s">
        <v>303</v>
      </c>
      <c r="E20" s="369"/>
      <c r="F20" s="31">
        <f t="shared" ref="F20" si="15">IFERROR(O20-SUM(Q20:W20)+AD20,0)</f>
        <v>0</v>
      </c>
      <c r="G20" s="317"/>
      <c r="H20" s="317"/>
      <c r="I20" s="317"/>
      <c r="J20" s="318"/>
      <c r="K20" s="319"/>
      <c r="L20" s="320"/>
      <c r="M20" s="318"/>
      <c r="N20" s="319"/>
      <c r="O20" s="331"/>
      <c r="P20" s="321"/>
      <c r="Q20" s="322"/>
      <c r="R20" s="319"/>
      <c r="S20" s="323"/>
      <c r="T20" s="321"/>
      <c r="U20" s="319"/>
      <c r="V20" s="321"/>
      <c r="W20" s="324"/>
      <c r="X20" s="318"/>
      <c r="Y20" s="318"/>
      <c r="Z20" s="32"/>
      <c r="AA20" s="32"/>
      <c r="AB20" s="32"/>
      <c r="AC20" s="396"/>
      <c r="AD20" s="32"/>
      <c r="AE20" s="337"/>
      <c r="AF20" s="398"/>
      <c r="AG20" s="524"/>
      <c r="AH20" s="342" t="e">
        <f t="shared" si="1"/>
        <v>#DIV/0!</v>
      </c>
      <c r="AI20" s="342" t="e">
        <f t="shared" si="2"/>
        <v>#DIV/0!</v>
      </c>
      <c r="AJ20" s="342" t="e">
        <f t="shared" si="3"/>
        <v>#DIV/0!</v>
      </c>
      <c r="AK20" s="342" t="e">
        <f t="shared" si="4"/>
        <v>#DIV/0!</v>
      </c>
    </row>
    <row r="21" spans="2:37" s="15" customFormat="1" ht="25.5" customHeight="1">
      <c r="B21" s="201" t="s">
        <v>321</v>
      </c>
      <c r="C21" s="202" t="s">
        <v>326</v>
      </c>
      <c r="D21" s="356">
        <v>14</v>
      </c>
      <c r="E21" s="198"/>
      <c r="F21" s="34">
        <f>IFERROR(O21-SUM(Q21:W21)-AA21-AB21+AD21,0)</f>
        <v>2248395.9754442577</v>
      </c>
      <c r="G21" s="27">
        <f>'Юнит 14'!N$125</f>
        <v>4971</v>
      </c>
      <c r="H21" s="27">
        <f>'Юнит 14'!S$125</f>
        <v>2810</v>
      </c>
      <c r="I21" s="27">
        <f>'Юнит 14'!T$125</f>
        <v>-71</v>
      </c>
      <c r="J21" s="17">
        <f>'Юнит 14'!V$125</f>
        <v>2849625.8</v>
      </c>
      <c r="K21" s="18">
        <f>'Юнит 14'!W$125</f>
        <v>-71864.03</v>
      </c>
      <c r="L21" s="19">
        <f t="shared" ref="L21:L24" si="16">IFERROR(J21+K21,0)</f>
        <v>2777761.77</v>
      </c>
      <c r="M21" s="17">
        <f>'Юнит 14'!Y$125</f>
        <v>4320373.5899999989</v>
      </c>
      <c r="N21" s="18">
        <f>'Юнит 14'!Z$125</f>
        <v>-108465.8</v>
      </c>
      <c r="O21" s="329">
        <f t="shared" ref="O21:O24" si="17">IFERROR(M21+N21,0)</f>
        <v>4211907.7899999991</v>
      </c>
      <c r="P21" s="184">
        <f>'Юнит 14'!AD$125</f>
        <v>339512.76</v>
      </c>
      <c r="Q21" s="286">
        <f>'Юнит 14'!AG$125</f>
        <v>363484.23000000004</v>
      </c>
      <c r="R21" s="18">
        <f>'Юнит 14'!AE$125</f>
        <v>1585688.1899999976</v>
      </c>
      <c r="S21" s="185">
        <f>'Юнит 14'!AL$125</f>
        <v>6774.7745557441995</v>
      </c>
      <c r="T21" s="184"/>
      <c r="U21" s="18">
        <f>'Юнит 14'!AM$125</f>
        <v>950</v>
      </c>
      <c r="V21" s="184">
        <v>702.72</v>
      </c>
      <c r="W21" s="20">
        <f>'Юнит 14'!AH$125</f>
        <v>4494</v>
      </c>
      <c r="X21" s="17">
        <f>'Юнит 14'!AI$125</f>
        <v>455354</v>
      </c>
      <c r="Y21" s="17"/>
      <c r="Z21" s="21">
        <f>'Юнит 14'!AK$125</f>
        <v>0</v>
      </c>
      <c r="AA21" s="335">
        <v>128.9</v>
      </c>
      <c r="AB21" s="335">
        <v>1289</v>
      </c>
      <c r="AC21" s="210">
        <f>'Юнит 14'!AN$125</f>
        <v>158610.19706700003</v>
      </c>
      <c r="AD21" s="21"/>
      <c r="AE21" s="335">
        <f>O21-SUM(P21:AB21)+AD21</f>
        <v>1453529.215444257</v>
      </c>
      <c r="AF21" s="397">
        <f t="shared" ref="AF21:AF24" si="18">O21-SUM(P21:AC21)+AD21</f>
        <v>1294919.018377257</v>
      </c>
      <c r="AG21" s="361"/>
      <c r="AH21" s="342">
        <f t="shared" ref="AH21:AH24" si="19">P21/O21</f>
        <v>8.0607833059897091E-2</v>
      </c>
      <c r="AI21" s="342">
        <f t="shared" ref="AI21:AI24" si="20">AF21/P21</f>
        <v>3.8140511077617729</v>
      </c>
      <c r="AJ21" s="342">
        <f t="shared" ref="AJ21:AJ24" si="21">AF21/O21</f>
        <v>0.30744239497637654</v>
      </c>
      <c r="AK21" s="342">
        <f t="shared" ref="AK21:AK24" si="22">(W21+X21+Z21)/O21</f>
        <v>0.10917807865874483</v>
      </c>
    </row>
    <row r="22" spans="2:37" s="15" customFormat="1" ht="25.5" customHeight="1">
      <c r="B22" s="363" t="s">
        <v>334</v>
      </c>
      <c r="C22" s="441" t="s">
        <v>335</v>
      </c>
      <c r="D22" s="442">
        <v>15</v>
      </c>
      <c r="E22" s="198"/>
      <c r="F22" s="34">
        <f>IFERROR(O22-SUM(Q22:W22)-AA22-AB22+AD22,0)</f>
        <v>1600934.5036054861</v>
      </c>
      <c r="G22" s="27">
        <f>'Юнит 15'!N$125</f>
        <v>3297</v>
      </c>
      <c r="H22" s="27">
        <f>'Юнит 15'!S$125</f>
        <v>2059</v>
      </c>
      <c r="I22" s="27">
        <f>'Юнит 15'!T$125</f>
        <v>-47</v>
      </c>
      <c r="J22" s="17">
        <f>'Юнит 15'!V$125</f>
        <v>2106763.08</v>
      </c>
      <c r="K22" s="18">
        <f>'Юнит 15'!W$125</f>
        <v>-48891.37</v>
      </c>
      <c r="L22" s="19">
        <f t="shared" si="16"/>
        <v>2057871.71</v>
      </c>
      <c r="M22" s="17">
        <f>'Юнит 15'!Y$125</f>
        <v>3166314.9199999995</v>
      </c>
      <c r="N22" s="18">
        <f>'Юнит 15'!Z$125</f>
        <v>-74091.17</v>
      </c>
      <c r="O22" s="329">
        <f t="shared" si="17"/>
        <v>3092223.7499999995</v>
      </c>
      <c r="P22" s="184">
        <f>'Юнит 15'!AD$125</f>
        <v>248851.65000000002</v>
      </c>
      <c r="Q22" s="286">
        <f>'Юнит 15'!AG$125</f>
        <v>274874.63999999966</v>
      </c>
      <c r="R22" s="18">
        <f>'Юнит 15'!AE$125</f>
        <v>1169082.6799999997</v>
      </c>
      <c r="S22" s="185">
        <f>'Юнит 15'!AL$125</f>
        <v>7404.9463945139896</v>
      </c>
      <c r="T22" s="184"/>
      <c r="U22" s="18">
        <f>'Юнит 15'!AM$125</f>
        <v>4873.9799999999996</v>
      </c>
      <c r="V22" s="184">
        <v>22990</v>
      </c>
      <c r="W22" s="20">
        <f>'Юнит 15'!AH$125</f>
        <v>2405</v>
      </c>
      <c r="X22" s="17">
        <f>'Юнит 15'!AI$125</f>
        <v>289210</v>
      </c>
      <c r="Y22" s="17"/>
      <c r="Z22" s="21">
        <f>'Юнит 15'!AK$125</f>
        <v>0</v>
      </c>
      <c r="AA22" s="335">
        <v>878</v>
      </c>
      <c r="AB22" s="335">
        <v>8780</v>
      </c>
      <c r="AC22" s="210">
        <f>'Юнит 15'!AN$125</f>
        <v>117504.47464100002</v>
      </c>
      <c r="AD22" s="21"/>
      <c r="AE22" s="335">
        <f>O22-SUM(P22:AB22)+AD22</f>
        <v>1062872.8536054862</v>
      </c>
      <c r="AF22" s="397">
        <f t="shared" si="18"/>
        <v>945368.37896448607</v>
      </c>
      <c r="AG22" s="360"/>
      <c r="AH22" s="342">
        <f t="shared" si="19"/>
        <v>8.0476598758417811E-2</v>
      </c>
      <c r="AI22" s="342">
        <f t="shared" si="20"/>
        <v>3.7989234910216028</v>
      </c>
      <c r="AJ22" s="342">
        <f t="shared" si="21"/>
        <v>0.30572444150087336</v>
      </c>
      <c r="AK22" s="342">
        <f t="shared" si="22"/>
        <v>9.4305918192368859E-2</v>
      </c>
    </row>
    <row r="23" spans="2:37" s="15" customFormat="1" ht="25.5" customHeight="1">
      <c r="B23" s="363" t="s">
        <v>340</v>
      </c>
      <c r="C23" s="441" t="s">
        <v>341</v>
      </c>
      <c r="D23" s="442">
        <v>16</v>
      </c>
      <c r="E23" s="198"/>
      <c r="F23" s="34">
        <f>IFERROR(O23-SUM(Q23:W23)-AA23-AB23+AD23,0)</f>
        <v>1437468.9734344375</v>
      </c>
      <c r="G23" s="27">
        <f>'Юнит 16'!N$126</f>
        <v>3224</v>
      </c>
      <c r="H23" s="27">
        <f>'Юнит 16'!S$126</f>
        <v>1892</v>
      </c>
      <c r="I23" s="27">
        <f>'Юнит 16'!T$126</f>
        <v>-41</v>
      </c>
      <c r="J23" s="17">
        <f>'Юнит 16'!V$126</f>
        <v>1903067.2599999995</v>
      </c>
      <c r="K23" s="18">
        <f>'Юнит 16'!W$126</f>
        <v>-40767.589999999997</v>
      </c>
      <c r="L23" s="19">
        <f t="shared" si="16"/>
        <v>1862299.6699999995</v>
      </c>
      <c r="M23" s="17">
        <f>'Юнит 16'!Y$126</f>
        <v>2844861.52</v>
      </c>
      <c r="N23" s="18">
        <f>'Юнит 16'!Z$126</f>
        <v>-60944.33</v>
      </c>
      <c r="O23" s="329">
        <f t="shared" si="17"/>
        <v>2783917.19</v>
      </c>
      <c r="P23" s="184">
        <f>'Юнит 16'!AD$126</f>
        <v>228955.77000000002</v>
      </c>
      <c r="Q23" s="286">
        <f>'Юнит 16'!AG$126</f>
        <v>234083.09000000011</v>
      </c>
      <c r="R23" s="18">
        <f>'Юнит 16'!AE$126</f>
        <v>1050005.7799999996</v>
      </c>
      <c r="S23" s="185">
        <f>'Юнит 16'!AL$126</f>
        <v>9009.0465655626886</v>
      </c>
      <c r="T23" s="184"/>
      <c r="U23" s="18">
        <f>'Юнит 16'!AM$126</f>
        <v>2269</v>
      </c>
      <c r="V23" s="184"/>
      <c r="W23" s="20">
        <f>'Юнит 16'!AH$126</f>
        <v>41816</v>
      </c>
      <c r="X23" s="17">
        <f>'Юнит 16'!AI$126</f>
        <v>275395</v>
      </c>
      <c r="Y23" s="17"/>
      <c r="Z23" s="21">
        <f>'Юнит 16'!AK$126</f>
        <v>0</v>
      </c>
      <c r="AA23" s="335">
        <v>842.3</v>
      </c>
      <c r="AB23" s="335">
        <v>8423</v>
      </c>
      <c r="AC23" s="210">
        <f>'Юнит 16'!AN$126</f>
        <v>106337.31115699999</v>
      </c>
      <c r="AD23" s="21"/>
      <c r="AE23" s="335">
        <f>O23-SUM(P23:AB23)+AD23</f>
        <v>933118.20343443751</v>
      </c>
      <c r="AF23" s="397">
        <f t="shared" si="18"/>
        <v>826780.8922774375</v>
      </c>
      <c r="AG23" s="360"/>
      <c r="AH23" s="342">
        <f t="shared" si="19"/>
        <v>8.2242306208828012E-2</v>
      </c>
      <c r="AI23" s="342">
        <f t="shared" si="20"/>
        <v>3.6110943710981269</v>
      </c>
      <c r="AJ23" s="342">
        <f t="shared" si="21"/>
        <v>0.29698472901682738</v>
      </c>
      <c r="AK23" s="342">
        <f t="shared" si="22"/>
        <v>0.11394412202325602</v>
      </c>
    </row>
    <row r="24" spans="2:37" s="15" customFormat="1" ht="25.5" customHeight="1">
      <c r="B24" s="363" t="s">
        <v>342</v>
      </c>
      <c r="C24" s="441" t="s">
        <v>344</v>
      </c>
      <c r="D24" s="442">
        <v>17</v>
      </c>
      <c r="E24" s="444"/>
      <c r="F24" s="34">
        <f>IFERROR(O24-SUM(Q24:W24)-AA24-AB24+AD24,0)</f>
        <v>1205095.8017753749</v>
      </c>
      <c r="G24" s="27">
        <f>'Юнит 17'!N$126</f>
        <v>2848</v>
      </c>
      <c r="H24" s="27">
        <f>'Юнит 17'!S$126</f>
        <v>1645</v>
      </c>
      <c r="I24" s="27">
        <f>'Юнит 17'!T$126</f>
        <v>-32</v>
      </c>
      <c r="J24" s="17">
        <f>'Юнит 17'!V$126</f>
        <v>1612009.31</v>
      </c>
      <c r="K24" s="18">
        <f>'Юнит 17'!W$126</f>
        <v>-33188</v>
      </c>
      <c r="L24" s="19">
        <f t="shared" si="16"/>
        <v>1578821.31</v>
      </c>
      <c r="M24" s="17">
        <f>'Юнит 17'!Y$126</f>
        <v>2353906.9299999992</v>
      </c>
      <c r="N24" s="18">
        <f>'Юнит 17'!Z$126</f>
        <v>-49562.13</v>
      </c>
      <c r="O24" s="329">
        <f t="shared" si="17"/>
        <v>2304344.7999999993</v>
      </c>
      <c r="P24" s="184">
        <f>'Юнит 17'!AD$126</f>
        <v>199750.43999999997</v>
      </c>
      <c r="Q24" s="286">
        <f>'Юнит 17'!AG$126</f>
        <v>210197.65999999974</v>
      </c>
      <c r="R24" s="18">
        <f>'Юнит 17'!AE$126</f>
        <v>872396.0900000009</v>
      </c>
      <c r="S24" s="185">
        <f>'Юнит 17'!AL$126</f>
        <v>8583.5482246236988</v>
      </c>
      <c r="T24" s="184"/>
      <c r="U24" s="18">
        <f>'Юнит 17'!AM$126</f>
        <v>1310</v>
      </c>
      <c r="V24" s="184"/>
      <c r="W24" s="20">
        <f>'Юнит 17'!AH$126</f>
        <v>5159</v>
      </c>
      <c r="X24" s="17">
        <f>'Юнит 17'!AI$126</f>
        <v>163766</v>
      </c>
      <c r="Y24" s="17">
        <f>'Юнит 17'!AJ126</f>
        <v>212040</v>
      </c>
      <c r="Z24" s="21">
        <f>'Юнит 17'!AK$126</f>
        <v>0</v>
      </c>
      <c r="AA24" s="335">
        <v>145.69999999999999</v>
      </c>
      <c r="AB24" s="335">
        <v>1457</v>
      </c>
      <c r="AC24" s="210">
        <f>'Юнит 17'!AN$126</f>
        <v>90150.696801000013</v>
      </c>
      <c r="AD24" s="21"/>
      <c r="AE24" s="335">
        <f>O24-SUM(P24:AB24)+AD24</f>
        <v>629539.36177537497</v>
      </c>
      <c r="AF24" s="397">
        <f t="shared" si="18"/>
        <v>539388.66497437493</v>
      </c>
      <c r="AG24" s="360"/>
      <c r="AH24" s="342">
        <f t="shared" si="19"/>
        <v>8.6684267041980886E-2</v>
      </c>
      <c r="AI24" s="342">
        <f t="shared" si="20"/>
        <v>2.7003127751527107</v>
      </c>
      <c r="AJ24" s="342">
        <f t="shared" si="21"/>
        <v>0.23407463369821005</v>
      </c>
      <c r="AK24" s="342">
        <f t="shared" si="22"/>
        <v>7.3307171739229321E-2</v>
      </c>
    </row>
    <row r="25" spans="2:37" s="15" customFormat="1" ht="25.5" customHeight="1">
      <c r="B25" s="26"/>
      <c r="C25" s="202"/>
      <c r="D25" s="443"/>
      <c r="E25" s="444"/>
      <c r="F25" s="198"/>
      <c r="G25" s="27"/>
      <c r="H25" s="27"/>
      <c r="I25" s="27"/>
      <c r="J25" s="17"/>
      <c r="K25" s="18"/>
      <c r="L25" s="19"/>
      <c r="M25" s="17"/>
      <c r="N25" s="18"/>
      <c r="O25" s="329"/>
      <c r="P25" s="184"/>
      <c r="Q25" s="286"/>
      <c r="R25" s="18"/>
      <c r="S25" s="185"/>
      <c r="T25" s="184"/>
      <c r="U25" s="18"/>
      <c r="V25" s="184"/>
      <c r="W25" s="20"/>
      <c r="X25" s="17"/>
      <c r="Y25" s="17"/>
      <c r="Z25" s="21"/>
      <c r="AA25" s="335"/>
      <c r="AB25" s="335"/>
      <c r="AC25" s="210"/>
      <c r="AD25" s="21"/>
      <c r="AE25" s="335"/>
      <c r="AF25" s="397"/>
      <c r="AG25" s="360"/>
      <c r="AH25" s="6"/>
      <c r="AI25" s="6"/>
      <c r="AJ25" s="6"/>
      <c r="AK25" s="6"/>
    </row>
    <row r="26" spans="2:37" s="15" customFormat="1" ht="25.5" customHeight="1">
      <c r="B26" s="26"/>
      <c r="C26" s="202"/>
      <c r="D26" s="443"/>
      <c r="E26" s="444"/>
      <c r="F26" s="198"/>
      <c r="G26" s="27"/>
      <c r="H26" s="27"/>
      <c r="I26" s="27"/>
      <c r="J26" s="17"/>
      <c r="K26" s="18"/>
      <c r="L26" s="19"/>
      <c r="M26" s="17"/>
      <c r="N26" s="18"/>
      <c r="O26" s="329"/>
      <c r="P26" s="184"/>
      <c r="Q26" s="286"/>
      <c r="R26" s="18"/>
      <c r="S26" s="185"/>
      <c r="T26" s="184"/>
      <c r="U26" s="18"/>
      <c r="V26" s="184"/>
      <c r="W26" s="20"/>
      <c r="X26" s="17"/>
      <c r="Y26" s="17"/>
      <c r="Z26" s="21"/>
      <c r="AA26" s="335"/>
      <c r="AB26" s="335"/>
      <c r="AC26" s="210"/>
      <c r="AD26" s="21"/>
      <c r="AE26" s="335"/>
      <c r="AF26" s="397"/>
      <c r="AG26" s="360"/>
      <c r="AH26" s="6"/>
      <c r="AI26" s="6"/>
      <c r="AJ26" s="6"/>
      <c r="AK26" s="6"/>
    </row>
    <row r="27" spans="2:37" s="15" customFormat="1" ht="25.5" customHeight="1">
      <c r="B27" s="26"/>
      <c r="C27" s="16"/>
      <c r="D27" s="24"/>
      <c r="E27" s="285"/>
      <c r="F27" s="198"/>
      <c r="G27" s="27"/>
      <c r="H27" s="27"/>
      <c r="I27" s="27"/>
      <c r="J27" s="17"/>
      <c r="K27" s="18"/>
      <c r="L27" s="19"/>
      <c r="M27" s="17"/>
      <c r="N27" s="18"/>
      <c r="O27" s="329"/>
      <c r="P27" s="184"/>
      <c r="Q27" s="286"/>
      <c r="R27" s="18"/>
      <c r="S27" s="185"/>
      <c r="T27" s="184"/>
      <c r="U27" s="18"/>
      <c r="V27" s="184"/>
      <c r="W27" s="20"/>
      <c r="X27" s="17"/>
      <c r="Y27" s="17"/>
      <c r="Z27" s="21"/>
      <c r="AA27" s="21"/>
      <c r="AB27" s="21"/>
      <c r="AC27" s="209"/>
      <c r="AD27" s="17"/>
      <c r="AE27" s="209"/>
      <c r="AF27" s="359"/>
      <c r="AG27" s="362"/>
      <c r="AH27" s="6"/>
      <c r="AI27" s="6"/>
      <c r="AJ27" s="6"/>
      <c r="AK27" s="6"/>
    </row>
    <row r="28" spans="2:37" s="15" customFormat="1" ht="25.5" customHeight="1" thickBot="1">
      <c r="B28" s="380"/>
      <c r="C28" s="29"/>
      <c r="D28" s="30"/>
      <c r="E28" s="369"/>
      <c r="F28" s="31"/>
      <c r="G28" s="317"/>
      <c r="H28" s="317"/>
      <c r="I28" s="317"/>
      <c r="J28" s="318"/>
      <c r="K28" s="319"/>
      <c r="L28" s="320"/>
      <c r="M28" s="318"/>
      <c r="N28" s="319"/>
      <c r="O28" s="331"/>
      <c r="P28" s="321"/>
      <c r="Q28" s="370"/>
      <c r="R28" s="319"/>
      <c r="S28" s="323"/>
      <c r="T28" s="321"/>
      <c r="U28" s="319"/>
      <c r="V28" s="321"/>
      <c r="W28" s="324"/>
      <c r="X28" s="32"/>
      <c r="Y28" s="32"/>
      <c r="Z28" s="32"/>
      <c r="AA28" s="32"/>
      <c r="AB28" s="32"/>
      <c r="AC28" s="371"/>
      <c r="AD28" s="32"/>
      <c r="AE28" s="337"/>
      <c r="AF28" s="33"/>
      <c r="AG28" s="197"/>
      <c r="AH28" s="6"/>
      <c r="AI28" s="6"/>
      <c r="AJ28" s="6"/>
      <c r="AK28" s="6"/>
    </row>
    <row r="29" spans="2:37" ht="22" customHeight="1" thickBot="1">
      <c r="B29" s="37" t="s">
        <v>29</v>
      </c>
      <c r="C29" s="38"/>
      <c r="D29" s="39"/>
      <c r="E29" s="40"/>
      <c r="F29" s="41">
        <f t="shared" ref="F29:Z29" si="23">SUM(F4:F28)</f>
        <v>6491895.2542595565</v>
      </c>
      <c r="G29" s="42">
        <f t="shared" si="23"/>
        <v>14340</v>
      </c>
      <c r="H29" s="42">
        <f t="shared" si="23"/>
        <v>8406</v>
      </c>
      <c r="I29" s="42">
        <f t="shared" si="23"/>
        <v>-191</v>
      </c>
      <c r="J29" s="41">
        <f t="shared" si="23"/>
        <v>8471465.4499999993</v>
      </c>
      <c r="K29" s="41">
        <f t="shared" si="23"/>
        <v>-194710.99</v>
      </c>
      <c r="L29" s="41">
        <f t="shared" si="23"/>
        <v>8276754.4600000009</v>
      </c>
      <c r="M29" s="41">
        <f t="shared" si="23"/>
        <v>12685456.959999997</v>
      </c>
      <c r="N29" s="41">
        <f t="shared" si="23"/>
        <v>-293063.43</v>
      </c>
      <c r="O29" s="332">
        <f t="shared" si="23"/>
        <v>12392393.529999997</v>
      </c>
      <c r="P29" s="41">
        <f t="shared" si="23"/>
        <v>1017070.62</v>
      </c>
      <c r="Q29" s="41">
        <f t="shared" si="23"/>
        <v>1082639.6199999994</v>
      </c>
      <c r="R29" s="41">
        <f t="shared" si="23"/>
        <v>4677172.7399999974</v>
      </c>
      <c r="S29" s="211">
        <f t="shared" si="23"/>
        <v>31772.315740444581</v>
      </c>
      <c r="T29" s="211">
        <f t="shared" si="23"/>
        <v>0</v>
      </c>
      <c r="U29" s="41">
        <f t="shared" si="23"/>
        <v>9402.98</v>
      </c>
      <c r="V29" s="41">
        <f t="shared" si="23"/>
        <v>23692.720000000001</v>
      </c>
      <c r="W29" s="41">
        <f t="shared" si="23"/>
        <v>53874</v>
      </c>
      <c r="X29" s="41">
        <f t="shared" si="23"/>
        <v>1183725</v>
      </c>
      <c r="Y29" s="41"/>
      <c r="Z29" s="41">
        <f t="shared" si="23"/>
        <v>0</v>
      </c>
      <c r="AA29" s="41"/>
      <c r="AB29" s="41"/>
      <c r="AC29" s="211">
        <f>SUM(AC4:AC28)</f>
        <v>472602.67966600007</v>
      </c>
      <c r="AD29" s="41">
        <f>SUM(AD4:AD28)</f>
        <v>0</v>
      </c>
      <c r="AE29" s="211">
        <f>SUM(AE4:AE28)</f>
        <v>4079059.6342595555</v>
      </c>
      <c r="AF29" s="41">
        <f>SUM(AF4:AF28)</f>
        <v>3606456.9545935551</v>
      </c>
      <c r="AG29" s="41">
        <f>SUM(AG4:AG28)</f>
        <v>0</v>
      </c>
      <c r="AH29" s="43">
        <f>P29/O29</f>
        <v>8.2072169314009846E-2</v>
      </c>
      <c r="AI29" s="43">
        <f t="shared" ref="AI29" si="24">AF29/P29</f>
        <v>3.5459258026680143</v>
      </c>
      <c r="AJ29" s="43">
        <f t="shared" ref="AJ29" si="25">AF29/O29</f>
        <v>0.29102182285148553</v>
      </c>
      <c r="AK29" s="43">
        <f>(W29+X29+Z29)/O29</f>
        <v>9.9867632270067216E-2</v>
      </c>
    </row>
    <row r="30" spans="2:37" ht="13.5" customHeight="1">
      <c r="B30" s="44"/>
      <c r="C30" s="44"/>
      <c r="D30" s="25"/>
      <c r="E30" s="45"/>
      <c r="F30" s="46"/>
      <c r="G30" s="46"/>
      <c r="H30" s="46"/>
      <c r="I30" s="46"/>
      <c r="J30" s="46"/>
      <c r="K30" s="46"/>
      <c r="L30" s="46"/>
      <c r="M30" s="47" t="s">
        <v>41</v>
      </c>
      <c r="N30" s="47"/>
      <c r="O30" s="47"/>
      <c r="P30" s="46"/>
      <c r="Q30" s="46"/>
      <c r="R30" s="46"/>
      <c r="S30" s="274"/>
      <c r="T30" s="274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3"/>
      <c r="AI30" s="43"/>
      <c r="AJ30" s="43"/>
      <c r="AK30" s="43"/>
    </row>
    <row r="31" spans="2:37" s="4" customFormat="1">
      <c r="B31" s="48"/>
      <c r="C31" s="48"/>
      <c r="E31" s="49"/>
      <c r="F31" s="50"/>
      <c r="G31" s="51"/>
      <c r="H31" s="51"/>
      <c r="I31" s="51"/>
      <c r="J31" s="51"/>
      <c r="K31" s="51"/>
      <c r="L31" s="51"/>
      <c r="M31" s="47"/>
      <c r="N31" s="52">
        <f>-N29/M29</f>
        <v>2.3102315582646544E-2</v>
      </c>
      <c r="O31" s="53"/>
      <c r="P31" s="186">
        <f t="shared" ref="P31:AC31" si="26">P29/$O$29</f>
        <v>8.2072169314009846E-2</v>
      </c>
      <c r="Q31" s="186">
        <f t="shared" si="26"/>
        <v>8.736323756819879E-2</v>
      </c>
      <c r="R31" s="186">
        <f t="shared" si="26"/>
        <v>0.37742287062441265</v>
      </c>
      <c r="S31" s="275">
        <f t="shared" si="26"/>
        <v>2.5638562609821016E-3</v>
      </c>
      <c r="T31" s="275">
        <f t="shared" si="26"/>
        <v>0</v>
      </c>
      <c r="U31" s="186">
        <f t="shared" si="26"/>
        <v>7.587702873732094E-4</v>
      </c>
      <c r="V31" s="186">
        <f t="shared" si="26"/>
        <v>1.9118760183530104E-3</v>
      </c>
      <c r="W31" s="186">
        <f t="shared" si="26"/>
        <v>4.3473441889639551E-3</v>
      </c>
      <c r="X31" s="186">
        <f t="shared" si="26"/>
        <v>9.5520288081103272E-2</v>
      </c>
      <c r="Y31" s="186"/>
      <c r="Z31" s="186">
        <f t="shared" si="26"/>
        <v>0</v>
      </c>
      <c r="AA31" s="186"/>
      <c r="AB31" s="186"/>
      <c r="AC31" s="186">
        <f t="shared" si="26"/>
        <v>3.8136513218524314E-2</v>
      </c>
      <c r="AD31" s="54"/>
      <c r="AE31" s="54"/>
      <c r="AG31" s="52">
        <f>AF29/P29</f>
        <v>3.5459258026680143</v>
      </c>
      <c r="AH31" s="8" t="s">
        <v>32</v>
      </c>
      <c r="AI31" s="55"/>
      <c r="AJ31" s="55"/>
      <c r="AK31" s="55"/>
    </row>
    <row r="32" spans="2:37" s="4" customFormat="1">
      <c r="B32" s="56"/>
      <c r="C32" s="56"/>
      <c r="D32" s="57"/>
      <c r="E32" s="58"/>
      <c r="F32" s="59"/>
      <c r="G32" s="204"/>
      <c r="H32" s="204"/>
      <c r="I32" s="204"/>
      <c r="J32" s="59"/>
      <c r="K32" s="59"/>
      <c r="L32" s="59"/>
      <c r="M32" s="60"/>
      <c r="N32" s="61"/>
      <c r="O32" s="62"/>
      <c r="P32" s="187"/>
      <c r="Q32" s="187"/>
      <c r="R32" s="187"/>
      <c r="S32" s="276"/>
      <c r="T32" s="276"/>
      <c r="U32" s="187"/>
      <c r="V32" s="187"/>
      <c r="W32" s="187">
        <f>(W29+X29)/O29</f>
        <v>9.9867632270067216E-2</v>
      </c>
      <c r="X32" s="187"/>
      <c r="Y32" s="187"/>
      <c r="Z32" s="188"/>
      <c r="AA32" s="188"/>
      <c r="AB32" s="188"/>
      <c r="AC32" s="187"/>
      <c r="AD32" s="63"/>
      <c r="AE32" s="63"/>
      <c r="AF32" s="63"/>
      <c r="AG32" s="61">
        <f>AF29/O29</f>
        <v>0.29102182285148553</v>
      </c>
      <c r="AH32" s="64" t="s">
        <v>33</v>
      </c>
      <c r="AI32" s="55"/>
      <c r="AJ32" s="55"/>
      <c r="AK32" s="55"/>
    </row>
    <row r="33" spans="2:37" s="4" customFormat="1">
      <c r="B33" s="372"/>
      <c r="C33" s="372"/>
      <c r="D33" s="373"/>
      <c r="E33" s="374"/>
      <c r="F33" s="375"/>
      <c r="G33" s="376"/>
      <c r="H33" s="376"/>
      <c r="I33" s="376"/>
      <c r="J33" s="375"/>
      <c r="K33" s="375"/>
      <c r="L33" s="375"/>
      <c r="M33" s="377"/>
      <c r="N33" s="52"/>
      <c r="O33" s="53"/>
      <c r="P33" s="186"/>
      <c r="Q33" s="186"/>
      <c r="R33" s="186"/>
      <c r="S33" s="275"/>
      <c r="T33" s="275"/>
      <c r="U33" s="186"/>
      <c r="V33" s="186"/>
      <c r="W33" s="186"/>
      <c r="X33" s="186"/>
      <c r="Y33" s="186"/>
      <c r="Z33" s="378"/>
      <c r="AA33" s="378"/>
      <c r="AB33" s="378"/>
      <c r="AC33" s="186"/>
      <c r="AD33" s="379"/>
      <c r="AE33" s="379"/>
      <c r="AF33" s="52"/>
      <c r="AG33" s="54"/>
      <c r="AH33" s="54"/>
      <c r="AI33" s="55"/>
      <c r="AJ33" s="55"/>
      <c r="AK33" s="55"/>
    </row>
    <row r="35" spans="2:37">
      <c r="B35" s="3" t="s">
        <v>346</v>
      </c>
      <c r="W35" s="343">
        <f>W21/O21</f>
        <v>1.0669749253936066E-3</v>
      </c>
      <c r="X35" s="343">
        <f>X21/O21</f>
        <v>0.10811110373335123</v>
      </c>
      <c r="Y35" s="343"/>
    </row>
    <row r="36" spans="2:37">
      <c r="B36" s="3" t="s">
        <v>347</v>
      </c>
      <c r="W36" s="343">
        <f t="shared" ref="W36:W37" si="27">W22/O22</f>
        <v>7.7775743103971706E-4</v>
      </c>
      <c r="X36" s="343">
        <f t="shared" ref="X36:X37" si="28">X22/O22</f>
        <v>9.3528160761329138E-2</v>
      </c>
      <c r="Y36" s="343"/>
    </row>
    <row r="37" spans="2:37">
      <c r="B37" s="3" t="s">
        <v>348</v>
      </c>
      <c r="W37" s="343">
        <f t="shared" si="27"/>
        <v>1.5020561728705731E-2</v>
      </c>
      <c r="X37" s="343">
        <f t="shared" si="28"/>
        <v>9.8923560294550281E-2</v>
      </c>
      <c r="Y37" s="343"/>
    </row>
    <row r="38" spans="2:37">
      <c r="B38" s="3" t="s">
        <v>355</v>
      </c>
      <c r="W38" s="343">
        <f>W24/O24</f>
        <v>2.2388142607825015E-3</v>
      </c>
      <c r="X38" s="343">
        <f t="shared" ref="X38:Y38" si="29">X24/O24</f>
        <v>7.1068357478446822E-2</v>
      </c>
      <c r="Y38" s="343">
        <f>Y24/O24</f>
        <v>9.2017479328614385E-2</v>
      </c>
    </row>
  </sheetData>
  <mergeCells count="32">
    <mergeCell ref="AG17:AG20"/>
    <mergeCell ref="AI2:AI3"/>
    <mergeCell ref="AJ2:AJ3"/>
    <mergeCell ref="AK2:AK3"/>
    <mergeCell ref="AG4:AG5"/>
    <mergeCell ref="AG6:AG8"/>
    <mergeCell ref="AG9:AG16"/>
    <mergeCell ref="AH2:AH3"/>
    <mergeCell ref="AC2:AC3"/>
    <mergeCell ref="AD2:AD3"/>
    <mergeCell ref="AE2:AE3"/>
    <mergeCell ref="AF2:AF3"/>
    <mergeCell ref="AG2:AG3"/>
    <mergeCell ref="AB2:AB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Z2:Z3"/>
    <mergeCell ref="AA2:AA3"/>
    <mergeCell ref="Y2:Y3"/>
    <mergeCell ref="M2:O2"/>
    <mergeCell ref="B2:D2"/>
    <mergeCell ref="E2:E3"/>
    <mergeCell ref="F2:F3"/>
    <mergeCell ref="G2:I2"/>
    <mergeCell ref="J2:L2"/>
  </mergeCells>
  <conditionalFormatting sqref="O3">
    <cfRule type="dataBar" priority="1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{92274E7D-AAE8-4BBD-BB40-FC36FFBA575A}</x14:id>
        </ext>
      </extLst>
    </cfRule>
  </conditionalFormatting>
  <conditionalFormatting sqref="L3">
    <cfRule type="dataBar" priority="12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{A612AD2F-E229-4A26-A10E-829B45794388}</x14:id>
        </ext>
      </extLst>
    </cfRule>
  </conditionalFormatting>
  <conditionalFormatting sqref="AI4:AI6 AI8:AI22 AI25:AI28">
    <cfRule type="dataBar" priority="1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{FE1ABCE9-B0CC-4D05-A0F4-7B96A954F762}</x14:id>
        </ext>
      </extLst>
    </cfRule>
  </conditionalFormatting>
  <conditionalFormatting sqref="AJ4:AJ6 AJ8:AJ22 AJ25:AJ28">
    <cfRule type="dataBar" priority="1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{0B172376-3926-420F-AE97-77D6F2076F0E}</x14:id>
        </ext>
      </extLst>
    </cfRule>
  </conditionalFormatting>
  <conditionalFormatting sqref="AK4:AK6 AK8:AK22 AK25:AK28">
    <cfRule type="dataBar" priority="12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{072A364A-7D46-4434-B1F9-5917038B4D8E}</x14:id>
        </ext>
      </extLst>
    </cfRule>
  </conditionalFormatting>
  <conditionalFormatting sqref="Q4">
    <cfRule type="dataBar" priority="11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{A4E5047D-CE44-40CA-B979-F83ED9D3D9D7}</x14:id>
        </ext>
      </extLst>
    </cfRule>
  </conditionalFormatting>
  <conditionalFormatting sqref="Q4">
    <cfRule type="dataBar" priority="1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{3BE71A71-7CA1-406C-A66B-5C3C1AE87A4E}</x14:id>
        </ext>
      </extLst>
    </cfRule>
  </conditionalFormatting>
  <conditionalFormatting sqref="R4">
    <cfRule type="dataBar" priority="1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{FEDE661F-D108-4F04-8082-E42CF2B33635}</x14:id>
        </ext>
      </extLst>
    </cfRule>
    <cfRule type="dataBar" priority="11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{74A51BCD-EF13-4A15-B1C2-0EF333055C68}</x14:id>
        </ext>
      </extLst>
    </cfRule>
  </conditionalFormatting>
  <conditionalFormatting sqref="Q4">
    <cfRule type="dataBar" priority="1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{101579F2-5D50-4C35-ABEC-A65391DAB880}</x14:id>
        </ext>
      </extLst>
    </cfRule>
  </conditionalFormatting>
  <conditionalFormatting sqref="R4">
    <cfRule type="dataBar" priority="1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{1DDF8423-A208-4FB9-90A9-FB02FC9A86B9}</x14:id>
        </ext>
      </extLst>
    </cfRule>
  </conditionalFormatting>
  <conditionalFormatting sqref="Q4">
    <cfRule type="dataBar" priority="1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{920CB782-A572-4E90-8402-47DAC3D0462A}</x14:id>
        </ext>
      </extLst>
    </cfRule>
  </conditionalFormatting>
  <conditionalFormatting sqref="R4">
    <cfRule type="dataBar" priority="11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{A4EC24F4-5857-4464-8B12-464FBE7A0C41}</x14:id>
        </ext>
      </extLst>
    </cfRule>
  </conditionalFormatting>
  <conditionalFormatting sqref="Q4">
    <cfRule type="dataBar" priority="1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{216CBE19-5FA2-48AC-B0B9-D57ACDE47DB6}</x14:id>
        </ext>
      </extLst>
    </cfRule>
  </conditionalFormatting>
  <conditionalFormatting sqref="R4">
    <cfRule type="dataBar" priority="11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{301BAEB5-921A-443E-BC78-48EA7290E806}</x14:id>
        </ext>
      </extLst>
    </cfRule>
  </conditionalFormatting>
  <conditionalFormatting sqref="R4">
    <cfRule type="dataBar" priority="11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{F5449473-5605-48EE-95E9-5C6E44FE11E1}</x14:id>
        </ext>
      </extLst>
    </cfRule>
  </conditionalFormatting>
  <conditionalFormatting sqref="O4">
    <cfRule type="dataBar" priority="1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{53F11DD3-5315-47D3-9CCE-1B2670D06EF2}</x14:id>
        </ext>
      </extLst>
    </cfRule>
    <cfRule type="dataBar" priority="11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{C5A3499E-C47A-4D69-8D4C-B647036E1590}</x14:id>
        </ext>
      </extLst>
    </cfRule>
  </conditionalFormatting>
  <conditionalFormatting sqref="O4">
    <cfRule type="dataBar" priority="1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{D2C99480-3661-43D4-B7B1-F5E74525D18F}</x14:id>
        </ext>
      </extLst>
    </cfRule>
  </conditionalFormatting>
  <conditionalFormatting sqref="O4">
    <cfRule type="dataBar" priority="1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{6A7C1E07-1854-46F1-8F10-BDD87DB5B79A}</x14:id>
        </ext>
      </extLst>
    </cfRule>
  </conditionalFormatting>
  <conditionalFormatting sqref="L4">
    <cfRule type="dataBar" priority="11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{E1CF4F83-7865-44E1-8201-DE9F99AC6B3B}</x14:id>
        </ext>
      </extLst>
    </cfRule>
    <cfRule type="dataBar" priority="11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{9996EB10-5934-4290-BB88-ECABE5377C50}</x14:id>
        </ext>
      </extLst>
    </cfRule>
  </conditionalFormatting>
  <conditionalFormatting sqref="L4">
    <cfRule type="dataBar" priority="1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{322764F3-0727-471F-A5B2-A973D459DE2C}</x14:id>
        </ext>
      </extLst>
    </cfRule>
  </conditionalFormatting>
  <conditionalFormatting sqref="L4">
    <cfRule type="dataBar" priority="1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{473F8A40-A58D-47D1-AB16-DAC36CF65DB8}</x14:id>
        </ext>
      </extLst>
    </cfRule>
  </conditionalFormatting>
  <conditionalFormatting sqref="O4">
    <cfRule type="dataBar" priority="1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{F5B92DB2-82E4-4F33-803E-17DE4146AF9A}</x14:id>
        </ext>
      </extLst>
    </cfRule>
  </conditionalFormatting>
  <conditionalFormatting sqref="Q4">
    <cfRule type="dataBar" priority="1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{B7C4BA90-DD64-41FB-ADA7-E1D236179C86}</x14:id>
        </ext>
      </extLst>
    </cfRule>
  </conditionalFormatting>
  <conditionalFormatting sqref="R4">
    <cfRule type="dataBar" priority="11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{E6164650-1567-4AC4-8DF3-7FED3EE42244}</x14:id>
        </ext>
      </extLst>
    </cfRule>
  </conditionalFormatting>
  <conditionalFormatting sqref="L4">
    <cfRule type="dataBar" priority="1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{F01A86E2-7900-448B-B28E-65EACD3199C2}</x14:id>
        </ext>
      </extLst>
    </cfRule>
  </conditionalFormatting>
  <conditionalFormatting sqref="L4">
    <cfRule type="dataBar" priority="11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{9306A8F7-DD34-4867-B8B8-1E33FD431275}</x14:id>
        </ext>
      </extLst>
    </cfRule>
  </conditionalFormatting>
  <conditionalFormatting sqref="O4">
    <cfRule type="dataBar" priority="1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{FADE0341-3AF4-4D11-85A8-7B63740977AD}</x14:id>
        </ext>
      </extLst>
    </cfRule>
  </conditionalFormatting>
  <conditionalFormatting sqref="Q4">
    <cfRule type="dataBar" priority="1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{6CEA8506-3314-49E8-9E74-3D67609D3D69}</x14:id>
        </ext>
      </extLst>
    </cfRule>
  </conditionalFormatting>
  <conditionalFormatting sqref="R4">
    <cfRule type="dataBar" priority="11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{1F3896F9-C371-42A0-BDC6-F490C1DF0039}</x14:id>
        </ext>
      </extLst>
    </cfRule>
  </conditionalFormatting>
  <conditionalFormatting sqref="L4">
    <cfRule type="dataBar" priority="11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{14DE84E2-FF39-47D4-B598-ECC4B947C7AB}</x14:id>
        </ext>
      </extLst>
    </cfRule>
  </conditionalFormatting>
  <conditionalFormatting sqref="O4">
    <cfRule type="dataBar" priority="1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{E5742851-2704-4960-8378-B8F651BD0243}</x14:id>
        </ext>
      </extLst>
    </cfRule>
  </conditionalFormatting>
  <conditionalFormatting sqref="Q4">
    <cfRule type="dataBar" priority="1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{87C5D747-D583-488B-B90F-79A4E626C716}</x14:id>
        </ext>
      </extLst>
    </cfRule>
  </conditionalFormatting>
  <conditionalFormatting sqref="R4">
    <cfRule type="dataBar" priority="1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{D26D5F0E-61E9-44B4-82A7-C93987D1DDB5}</x14:id>
        </ext>
      </extLst>
    </cfRule>
  </conditionalFormatting>
  <conditionalFormatting sqref="L4">
    <cfRule type="dataBar" priority="11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{D6640B04-E2D4-4671-8F57-409A1784E1D0}</x14:id>
        </ext>
      </extLst>
    </cfRule>
  </conditionalFormatting>
  <conditionalFormatting sqref="O4">
    <cfRule type="dataBar" priority="1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{1E45AF0B-5A4E-4153-946C-903155BDEE1D}</x14:id>
        </ext>
      </extLst>
    </cfRule>
  </conditionalFormatting>
  <conditionalFormatting sqref="Q4">
    <cfRule type="dataBar" priority="1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{9AFE0F70-3791-48A5-AD0E-E7277E74D0FD}</x14:id>
        </ext>
      </extLst>
    </cfRule>
  </conditionalFormatting>
  <conditionalFormatting sqref="R4">
    <cfRule type="dataBar" priority="1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{522AB006-C6FA-4582-AFD8-9F159C41443F}</x14:id>
        </ext>
      </extLst>
    </cfRule>
  </conditionalFormatting>
  <conditionalFormatting sqref="AI29:AI30">
    <cfRule type="dataBar" priority="1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{BEA97B3B-D884-4021-A95C-3B2B5047CE0B}</x14:id>
        </ext>
      </extLst>
    </cfRule>
  </conditionalFormatting>
  <conditionalFormatting sqref="AJ29:AJ30">
    <cfRule type="dataBar" priority="1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{156A945F-FEAD-4B7E-BC63-D91E4EC43626}</x14:id>
        </ext>
      </extLst>
    </cfRule>
  </conditionalFormatting>
  <conditionalFormatting sqref="AK29:AK30">
    <cfRule type="dataBar" priority="1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{87AA915B-CBFF-43DF-BC64-0B76506E7696}</x14:id>
        </ext>
      </extLst>
    </cfRule>
  </conditionalFormatting>
  <conditionalFormatting sqref="Q5">
    <cfRule type="dataBar" priority="11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{74748E3D-A9A0-4145-97D0-737973A30836}</x14:id>
        </ext>
      </extLst>
    </cfRule>
  </conditionalFormatting>
  <conditionalFormatting sqref="Q5">
    <cfRule type="dataBar" priority="1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{20D06A96-BD98-4378-BC6D-0A8F0089B049}</x14:id>
        </ext>
      </extLst>
    </cfRule>
  </conditionalFormatting>
  <conditionalFormatting sqref="R5">
    <cfRule type="dataBar" priority="11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{EA2DC3B3-246E-459B-A93E-7D339640A4B1}</x14:id>
        </ext>
      </extLst>
    </cfRule>
    <cfRule type="dataBar" priority="11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{721102F5-0FBA-4C5D-8B7F-3C4CABD85D40}</x14:id>
        </ext>
      </extLst>
    </cfRule>
  </conditionalFormatting>
  <conditionalFormatting sqref="Q5">
    <cfRule type="dataBar" priority="1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{C460B9FB-4B79-4A19-BFAF-0412693B6049}</x14:id>
        </ext>
      </extLst>
    </cfRule>
  </conditionalFormatting>
  <conditionalFormatting sqref="R5">
    <cfRule type="dataBar" priority="1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{2D6097DE-1543-46EC-BCD3-E9C72A03E5FC}</x14:id>
        </ext>
      </extLst>
    </cfRule>
  </conditionalFormatting>
  <conditionalFormatting sqref="Q5">
    <cfRule type="dataBar" priority="1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{19A6ED55-F85C-489B-8DC7-6AB7E6E97BD8}</x14:id>
        </ext>
      </extLst>
    </cfRule>
  </conditionalFormatting>
  <conditionalFormatting sqref="R5">
    <cfRule type="dataBar" priority="11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{1D0F7ADE-81BD-4C57-8F88-C2C3F69B131A}</x14:id>
        </ext>
      </extLst>
    </cfRule>
  </conditionalFormatting>
  <conditionalFormatting sqref="Q5">
    <cfRule type="dataBar" priority="1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{6484E816-5396-4AC0-9BF2-E0F80B7B8DCA}</x14:id>
        </ext>
      </extLst>
    </cfRule>
  </conditionalFormatting>
  <conditionalFormatting sqref="R5">
    <cfRule type="dataBar" priority="11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{19501B7D-D870-4740-A28B-CC53E473C70B}</x14:id>
        </ext>
      </extLst>
    </cfRule>
  </conditionalFormatting>
  <conditionalFormatting sqref="R5">
    <cfRule type="dataBar" priority="11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{5E90EFFF-BAD6-4896-AA23-27CA7216B329}</x14:id>
        </ext>
      </extLst>
    </cfRule>
  </conditionalFormatting>
  <conditionalFormatting sqref="O5">
    <cfRule type="dataBar" priority="1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{E5453BA7-4A42-4B9A-A213-C9FC914AB454}</x14:id>
        </ext>
      </extLst>
    </cfRule>
    <cfRule type="dataBar" priority="1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{025C158B-8EF0-4A88-9D42-BFC9BA4472C9}</x14:id>
        </ext>
      </extLst>
    </cfRule>
  </conditionalFormatting>
  <conditionalFormatting sqref="O5">
    <cfRule type="dataBar" priority="1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{96370655-F77C-4F87-8D33-6E862A451FAF}</x14:id>
        </ext>
      </extLst>
    </cfRule>
  </conditionalFormatting>
  <conditionalFormatting sqref="O5">
    <cfRule type="dataBar" priority="1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{4EC29F42-DD70-4DFA-B7BB-F91581E83A10}</x14:id>
        </ext>
      </extLst>
    </cfRule>
  </conditionalFormatting>
  <conditionalFormatting sqref="L5">
    <cfRule type="dataBar" priority="1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{6A010469-D0B8-45C7-AF33-C64D7B1F0A35}</x14:id>
        </ext>
      </extLst>
    </cfRule>
    <cfRule type="dataBar" priority="1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{5425FC7D-6D89-49A1-B6DF-B551A8DBD87F}</x14:id>
        </ext>
      </extLst>
    </cfRule>
  </conditionalFormatting>
  <conditionalFormatting sqref="L5">
    <cfRule type="dataBar" priority="1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{39494DE1-D5C2-4BF4-89D6-0D743D463D82}</x14:id>
        </ext>
      </extLst>
    </cfRule>
  </conditionalFormatting>
  <conditionalFormatting sqref="L5">
    <cfRule type="dataBar" priority="1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{99C85CF4-6FFD-4FB2-880F-46BB0EA1CF4D}</x14:id>
        </ext>
      </extLst>
    </cfRule>
  </conditionalFormatting>
  <conditionalFormatting sqref="O5">
    <cfRule type="dataBar" priority="1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{F6C70431-09AD-4D51-BDFE-8B177E31CBF0}</x14:id>
        </ext>
      </extLst>
    </cfRule>
  </conditionalFormatting>
  <conditionalFormatting sqref="Q5">
    <cfRule type="dataBar" priority="1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{6F086B75-1127-44A4-8DF2-71080DC2A9A5}</x14:id>
        </ext>
      </extLst>
    </cfRule>
  </conditionalFormatting>
  <conditionalFormatting sqref="R5">
    <cfRule type="dataBar" priority="1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{B18680D9-BD26-42BD-A505-9C951052608C}</x14:id>
        </ext>
      </extLst>
    </cfRule>
  </conditionalFormatting>
  <conditionalFormatting sqref="L5">
    <cfRule type="dataBar" priority="1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{6F049CE6-EF3D-41A2-9216-BA0E48B26C45}</x14:id>
        </ext>
      </extLst>
    </cfRule>
  </conditionalFormatting>
  <conditionalFormatting sqref="L5">
    <cfRule type="dataBar" priority="11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{38F1038F-094B-4F90-88BE-CCCA11849F7E}</x14:id>
        </ext>
      </extLst>
    </cfRule>
  </conditionalFormatting>
  <conditionalFormatting sqref="O5">
    <cfRule type="dataBar" priority="1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{FBC703BB-0363-49C0-B7B4-F316FBEE85A7}</x14:id>
        </ext>
      </extLst>
    </cfRule>
  </conditionalFormatting>
  <conditionalFormatting sqref="Q5">
    <cfRule type="dataBar" priority="1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{0C7B56B1-4CA3-466D-BAFA-61D1ED342CF0}</x14:id>
        </ext>
      </extLst>
    </cfRule>
  </conditionalFormatting>
  <conditionalFormatting sqref="R5">
    <cfRule type="dataBar" priority="1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{A3A8528A-D8C6-4650-AAFA-77A0D3D73B5E}</x14:id>
        </ext>
      </extLst>
    </cfRule>
  </conditionalFormatting>
  <conditionalFormatting sqref="L5">
    <cfRule type="dataBar" priority="11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{BD3E1257-6B5D-4917-A152-BEA25CFE4BD5}</x14:id>
        </ext>
      </extLst>
    </cfRule>
  </conditionalFormatting>
  <conditionalFormatting sqref="O5">
    <cfRule type="dataBar" priority="1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{101BE662-34AB-4217-8778-A8677C13FFDB}</x14:id>
        </ext>
      </extLst>
    </cfRule>
  </conditionalFormatting>
  <conditionalFormatting sqref="Q5">
    <cfRule type="dataBar" priority="1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{4B168573-A15E-4FAD-B35C-07941A19B1B2}</x14:id>
        </ext>
      </extLst>
    </cfRule>
  </conditionalFormatting>
  <conditionalFormatting sqref="R5">
    <cfRule type="dataBar" priority="11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{13D8DA4E-67FE-4E56-836B-893F05E5291E}</x14:id>
        </ext>
      </extLst>
    </cfRule>
  </conditionalFormatting>
  <conditionalFormatting sqref="L5">
    <cfRule type="dataBar" priority="11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{A8ED1054-9BD1-4068-A385-23F923E1E2B7}</x14:id>
        </ext>
      </extLst>
    </cfRule>
  </conditionalFormatting>
  <conditionalFormatting sqref="O5">
    <cfRule type="dataBar" priority="1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{320083DB-3C46-40BD-9459-584E36480D20}</x14:id>
        </ext>
      </extLst>
    </cfRule>
  </conditionalFormatting>
  <conditionalFormatting sqref="Q5">
    <cfRule type="dataBar" priority="1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{5ECEFFAD-184F-4EDC-AF19-0B7C8154F099}</x14:id>
        </ext>
      </extLst>
    </cfRule>
  </conditionalFormatting>
  <conditionalFormatting sqref="R5">
    <cfRule type="dataBar" priority="1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{32176610-1693-4646-923F-1A551ABCCC3A}</x14:id>
        </ext>
      </extLst>
    </cfRule>
  </conditionalFormatting>
  <conditionalFormatting sqref="Q6">
    <cfRule type="dataBar" priority="1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{5B78386D-CC34-41E5-8133-5B2D90D75B74}</x14:id>
        </ext>
      </extLst>
    </cfRule>
  </conditionalFormatting>
  <conditionalFormatting sqref="Q6">
    <cfRule type="dataBar" priority="1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{CA313F94-B0BC-464F-B8E0-75102690AAD7}</x14:id>
        </ext>
      </extLst>
    </cfRule>
  </conditionalFormatting>
  <conditionalFormatting sqref="R6">
    <cfRule type="dataBar" priority="1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{30D40483-00BB-4820-AD43-02A350DCFC4D}</x14:id>
        </ext>
      </extLst>
    </cfRule>
    <cfRule type="dataBar" priority="11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{7092E604-32FF-4ABB-8B36-661E6AFBF706}</x14:id>
        </ext>
      </extLst>
    </cfRule>
  </conditionalFormatting>
  <conditionalFormatting sqref="Q6">
    <cfRule type="dataBar" priority="1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{251455C8-D754-4468-89BD-2F27DFB9DFDC}</x14:id>
        </ext>
      </extLst>
    </cfRule>
  </conditionalFormatting>
  <conditionalFormatting sqref="R6">
    <cfRule type="dataBar" priority="1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{117C1406-D771-4290-906A-D1205B3FFB05}</x14:id>
        </ext>
      </extLst>
    </cfRule>
  </conditionalFormatting>
  <conditionalFormatting sqref="Q6">
    <cfRule type="dataBar" priority="1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{A0A72628-473F-4C59-8A49-7051F1C6968B}</x14:id>
        </ext>
      </extLst>
    </cfRule>
  </conditionalFormatting>
  <conditionalFormatting sqref="R6">
    <cfRule type="dataBar" priority="1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{ACFB1C90-AE30-46D5-B6F8-FF171931506D}</x14:id>
        </ext>
      </extLst>
    </cfRule>
  </conditionalFormatting>
  <conditionalFormatting sqref="Q6">
    <cfRule type="dataBar" priority="1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{3D4B3381-99BE-41CD-92E3-70756213E00F}</x14:id>
        </ext>
      </extLst>
    </cfRule>
  </conditionalFormatting>
  <conditionalFormatting sqref="R6">
    <cfRule type="dataBar" priority="1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{99860A32-CD00-4B73-87B1-C493D3891B01}</x14:id>
        </ext>
      </extLst>
    </cfRule>
  </conditionalFormatting>
  <conditionalFormatting sqref="R6">
    <cfRule type="dataBar" priority="1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{C63F999B-89CD-4762-81DC-11D72AE5B194}</x14:id>
        </ext>
      </extLst>
    </cfRule>
  </conditionalFormatting>
  <conditionalFormatting sqref="O6">
    <cfRule type="dataBar" priority="1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{B82D5FE9-68D3-46BB-8DFB-78CF18084437}</x14:id>
        </ext>
      </extLst>
    </cfRule>
    <cfRule type="dataBar" priority="1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{69114A03-33FA-4823-B026-50CC342AB65D}</x14:id>
        </ext>
      </extLst>
    </cfRule>
  </conditionalFormatting>
  <conditionalFormatting sqref="O6">
    <cfRule type="dataBar" priority="1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{5C4A6BE5-8FD6-4A8A-AADD-C722673000DB}</x14:id>
        </ext>
      </extLst>
    </cfRule>
  </conditionalFormatting>
  <conditionalFormatting sqref="O6">
    <cfRule type="dataBar" priority="1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{FD23B535-6C71-4A63-A6A8-6D1906861D73}</x14:id>
        </ext>
      </extLst>
    </cfRule>
  </conditionalFormatting>
  <conditionalFormatting sqref="L6">
    <cfRule type="dataBar" priority="1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{4ED3B2C9-06B1-49A9-8E0B-09ED6523F286}</x14:id>
        </ext>
      </extLst>
    </cfRule>
    <cfRule type="dataBar" priority="1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{E12747B8-A963-440E-A374-6C5D892F0710}</x14:id>
        </ext>
      </extLst>
    </cfRule>
  </conditionalFormatting>
  <conditionalFormatting sqref="L6">
    <cfRule type="dataBar" priority="1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{3EA78B38-30E8-4B23-AE87-70EADD0E7ABD}</x14:id>
        </ext>
      </extLst>
    </cfRule>
  </conditionalFormatting>
  <conditionalFormatting sqref="L6">
    <cfRule type="dataBar" priority="1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{9BCB9481-BCFF-4341-9AF7-46718923EB16}</x14:id>
        </ext>
      </extLst>
    </cfRule>
  </conditionalFormatting>
  <conditionalFormatting sqref="O6">
    <cfRule type="dataBar" priority="1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{938D01DE-AAA5-4C24-88F1-8226241604C7}</x14:id>
        </ext>
      </extLst>
    </cfRule>
  </conditionalFormatting>
  <conditionalFormatting sqref="Q6">
    <cfRule type="dataBar" priority="11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{872A79E8-34A5-476D-AAEF-B0EEE8801F65}</x14:id>
        </ext>
      </extLst>
    </cfRule>
  </conditionalFormatting>
  <conditionalFormatting sqref="R6">
    <cfRule type="dataBar" priority="1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{03C2EB45-DF45-49C4-9EB5-F9B47F3E12A3}</x14:id>
        </ext>
      </extLst>
    </cfRule>
  </conditionalFormatting>
  <conditionalFormatting sqref="L6">
    <cfRule type="dataBar" priority="1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{31725ABF-47D1-4B0F-BABA-0584E1AEE95D}</x14:id>
        </ext>
      </extLst>
    </cfRule>
  </conditionalFormatting>
  <conditionalFormatting sqref="L6">
    <cfRule type="dataBar" priority="11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{F04D33EE-5872-4245-BED0-0112A75B7AC0}</x14:id>
        </ext>
      </extLst>
    </cfRule>
  </conditionalFormatting>
  <conditionalFormatting sqref="O6">
    <cfRule type="dataBar" priority="1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{25D95EDD-9281-4501-B307-0F6CE60B5218}</x14:id>
        </ext>
      </extLst>
    </cfRule>
  </conditionalFormatting>
  <conditionalFormatting sqref="Q6">
    <cfRule type="dataBar" priority="1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{697F97F8-692C-4E0A-B4C5-B2706C130EFC}</x14:id>
        </ext>
      </extLst>
    </cfRule>
  </conditionalFormatting>
  <conditionalFormatting sqref="R6">
    <cfRule type="dataBar" priority="11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{4FB429D3-E5FA-4445-B153-5ACF74C725A0}</x14:id>
        </ext>
      </extLst>
    </cfRule>
  </conditionalFormatting>
  <conditionalFormatting sqref="L6">
    <cfRule type="dataBar" priority="11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{811AFB96-6702-4B62-962A-04AEF2C48305}</x14:id>
        </ext>
      </extLst>
    </cfRule>
  </conditionalFormatting>
  <conditionalFormatting sqref="O6">
    <cfRule type="dataBar" priority="1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{ECD88F53-258D-431B-9A1B-2AF827CB065A}</x14:id>
        </ext>
      </extLst>
    </cfRule>
  </conditionalFormatting>
  <conditionalFormatting sqref="Q6">
    <cfRule type="dataBar" priority="1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{0E9FCDD7-12E6-4E28-8A04-738CFF010561}</x14:id>
        </ext>
      </extLst>
    </cfRule>
  </conditionalFormatting>
  <conditionalFormatting sqref="R6">
    <cfRule type="dataBar" priority="10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{914713C4-B2A2-4494-8F6E-A8A23C83CDD6}</x14:id>
        </ext>
      </extLst>
    </cfRule>
  </conditionalFormatting>
  <conditionalFormatting sqref="L6">
    <cfRule type="dataBar" priority="10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{568470A9-AB99-4739-BDFC-D64296BF05D0}</x14:id>
        </ext>
      </extLst>
    </cfRule>
  </conditionalFormatting>
  <conditionalFormatting sqref="O6">
    <cfRule type="dataBar" priority="10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{A2DFABC6-9001-491B-9401-AE290E71281F}</x14:id>
        </ext>
      </extLst>
    </cfRule>
  </conditionalFormatting>
  <conditionalFormatting sqref="Q6">
    <cfRule type="dataBar" priority="10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{6C1835EA-917F-410F-9647-F88162929AC7}</x14:id>
        </ext>
      </extLst>
    </cfRule>
  </conditionalFormatting>
  <conditionalFormatting sqref="R6">
    <cfRule type="dataBar" priority="10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{5F1923A0-8E9C-44F9-923A-574823C63D84}</x14:id>
        </ext>
      </extLst>
    </cfRule>
  </conditionalFormatting>
  <conditionalFormatting sqref="Q8">
    <cfRule type="dataBar" priority="10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{351D1766-805A-4BF7-A867-716BA02CE469}</x14:id>
        </ext>
      </extLst>
    </cfRule>
  </conditionalFormatting>
  <conditionalFormatting sqref="Q8">
    <cfRule type="dataBar" priority="10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{0AE804FB-FE3B-4D03-B4CA-ECF113C5B4CF}</x14:id>
        </ext>
      </extLst>
    </cfRule>
  </conditionalFormatting>
  <conditionalFormatting sqref="R8">
    <cfRule type="dataBar" priority="10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{C76E98FE-2239-4B71-A227-27B0EF18F74B}</x14:id>
        </ext>
      </extLst>
    </cfRule>
    <cfRule type="dataBar" priority="10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{0DD61E4B-AC5E-4E2F-BCBC-9DBCDACC98B4}</x14:id>
        </ext>
      </extLst>
    </cfRule>
  </conditionalFormatting>
  <conditionalFormatting sqref="Q8">
    <cfRule type="dataBar" priority="10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{E743D9C5-6E29-4F8B-B06E-96608B6E300B}</x14:id>
        </ext>
      </extLst>
    </cfRule>
  </conditionalFormatting>
  <conditionalFormatting sqref="R8">
    <cfRule type="dataBar" priority="10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{D3171420-6BF7-4FE9-BB5D-DCBFAD1D1F01}</x14:id>
        </ext>
      </extLst>
    </cfRule>
  </conditionalFormatting>
  <conditionalFormatting sqref="Q8">
    <cfRule type="dataBar" priority="10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{6B5A0783-7BF2-48AD-A261-DE455C4F6EDF}</x14:id>
        </ext>
      </extLst>
    </cfRule>
  </conditionalFormatting>
  <conditionalFormatting sqref="R8">
    <cfRule type="dataBar" priority="10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{F07DA4ED-1ECC-49B4-9252-E5F5A2AC916A}</x14:id>
        </ext>
      </extLst>
    </cfRule>
  </conditionalFormatting>
  <conditionalFormatting sqref="Q8">
    <cfRule type="dataBar" priority="10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{FF428823-83FE-441F-8F03-2E394CC3BFE5}</x14:id>
        </ext>
      </extLst>
    </cfRule>
  </conditionalFormatting>
  <conditionalFormatting sqref="R8">
    <cfRule type="dataBar" priority="10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{CC4D7F1E-B335-4E34-8E6C-C8B06C904E23}</x14:id>
        </ext>
      </extLst>
    </cfRule>
  </conditionalFormatting>
  <conditionalFormatting sqref="R8">
    <cfRule type="dataBar" priority="10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{EEE1567C-3AF5-48E8-890D-6EAF5EA2BE16}</x14:id>
        </ext>
      </extLst>
    </cfRule>
  </conditionalFormatting>
  <conditionalFormatting sqref="O8">
    <cfRule type="dataBar" priority="10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{50B178DE-02EC-4EC7-9A56-2C1223FDEB50}</x14:id>
        </ext>
      </extLst>
    </cfRule>
    <cfRule type="dataBar" priority="10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{4F908D2D-AC32-45EB-9BD9-5C4C4480EF95}</x14:id>
        </ext>
      </extLst>
    </cfRule>
  </conditionalFormatting>
  <conditionalFormatting sqref="O8">
    <cfRule type="dataBar" priority="10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{6B58FBAE-5CD5-4B13-9700-924EF8F418BF}</x14:id>
        </ext>
      </extLst>
    </cfRule>
  </conditionalFormatting>
  <conditionalFormatting sqref="O8">
    <cfRule type="dataBar" priority="10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{EC504438-D866-4EC3-9DB5-E10BA2CDC1E7}</x14:id>
        </ext>
      </extLst>
    </cfRule>
  </conditionalFormatting>
  <conditionalFormatting sqref="L8">
    <cfRule type="dataBar" priority="10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{9B2E2EAD-2B3E-48D6-9DA7-ADC09E81B329}</x14:id>
        </ext>
      </extLst>
    </cfRule>
    <cfRule type="dataBar" priority="10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{B5A57A1A-6F59-4DB4-AF9F-DCD838DAD3DD}</x14:id>
        </ext>
      </extLst>
    </cfRule>
  </conditionalFormatting>
  <conditionalFormatting sqref="L8">
    <cfRule type="dataBar" priority="10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{D9032B68-CBC0-48BB-9912-7C01A1C6FDC9}</x14:id>
        </ext>
      </extLst>
    </cfRule>
  </conditionalFormatting>
  <conditionalFormatting sqref="L8">
    <cfRule type="dataBar" priority="10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{ACB4180D-2FB0-41A9-BECE-FCCE853A9166}</x14:id>
        </ext>
      </extLst>
    </cfRule>
  </conditionalFormatting>
  <conditionalFormatting sqref="O8">
    <cfRule type="dataBar" priority="10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{CB6B4E8B-239E-4AB8-A08B-323A0E11C4FE}</x14:id>
        </ext>
      </extLst>
    </cfRule>
  </conditionalFormatting>
  <conditionalFormatting sqref="Q8">
    <cfRule type="dataBar" priority="10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{D38AF53F-0220-4F8D-8D7F-5CB55DE9E78F}</x14:id>
        </ext>
      </extLst>
    </cfRule>
  </conditionalFormatting>
  <conditionalFormatting sqref="R8">
    <cfRule type="dataBar" priority="10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{F5353AC1-2B7A-40FF-BFCE-640545DD8CE0}</x14:id>
        </ext>
      </extLst>
    </cfRule>
  </conditionalFormatting>
  <conditionalFormatting sqref="L8">
    <cfRule type="dataBar" priority="10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{BFFE5EED-933C-4F1B-A180-D48F951DDE90}</x14:id>
        </ext>
      </extLst>
    </cfRule>
  </conditionalFormatting>
  <conditionalFormatting sqref="L8">
    <cfRule type="dataBar" priority="10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{B2DB59F2-7CD8-4435-834D-8FF53516113F}</x14:id>
        </ext>
      </extLst>
    </cfRule>
  </conditionalFormatting>
  <conditionalFormatting sqref="O8">
    <cfRule type="dataBar" priority="10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{1751B1DA-D27E-4188-98EE-EC13C5F7258A}</x14:id>
        </ext>
      </extLst>
    </cfRule>
  </conditionalFormatting>
  <conditionalFormatting sqref="Q8">
    <cfRule type="dataBar" priority="10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{FEAF4479-FCB8-49F8-A9DB-D14BE73FF81C}</x14:id>
        </ext>
      </extLst>
    </cfRule>
  </conditionalFormatting>
  <conditionalFormatting sqref="R8">
    <cfRule type="dataBar" priority="10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{9A2210E1-F712-4D41-8560-95CB417B8FBC}</x14:id>
        </ext>
      </extLst>
    </cfRule>
  </conditionalFormatting>
  <conditionalFormatting sqref="L8">
    <cfRule type="dataBar" priority="10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{FE7E0CB2-559B-4E5F-BEB0-2F9D6ADA6085}</x14:id>
        </ext>
      </extLst>
    </cfRule>
  </conditionalFormatting>
  <conditionalFormatting sqref="O8">
    <cfRule type="dataBar" priority="10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{C58530B1-66CA-461C-83B2-1590D29E29C0}</x14:id>
        </ext>
      </extLst>
    </cfRule>
  </conditionalFormatting>
  <conditionalFormatting sqref="Q8">
    <cfRule type="dataBar" priority="10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{90884E75-B70C-4E9B-AE1E-10BF6B19D67E}</x14:id>
        </ext>
      </extLst>
    </cfRule>
  </conditionalFormatting>
  <conditionalFormatting sqref="R8">
    <cfRule type="dataBar" priority="10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{F712012F-1A0A-4192-956F-6425CE100852}</x14:id>
        </ext>
      </extLst>
    </cfRule>
  </conditionalFormatting>
  <conditionalFormatting sqref="L8">
    <cfRule type="dataBar" priority="10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{E2DAE92E-22DE-44E4-8E99-AF2A9AC91CC8}</x14:id>
        </ext>
      </extLst>
    </cfRule>
  </conditionalFormatting>
  <conditionalFormatting sqref="O8">
    <cfRule type="dataBar" priority="10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{CFDE5EE5-6603-4D74-B3A2-95AAF8672BCF}</x14:id>
        </ext>
      </extLst>
    </cfRule>
  </conditionalFormatting>
  <conditionalFormatting sqref="Q8">
    <cfRule type="dataBar" priority="10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{C59EFBB7-E4C8-4852-942B-559D7E7D0E1B}</x14:id>
        </ext>
      </extLst>
    </cfRule>
  </conditionalFormatting>
  <conditionalFormatting sqref="R8">
    <cfRule type="dataBar" priority="10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{AC53A2D1-E7E0-4BC3-9F79-E5DCCC5F4331}</x14:id>
        </ext>
      </extLst>
    </cfRule>
  </conditionalFormatting>
  <conditionalFormatting sqref="AI7">
    <cfRule type="dataBar" priority="10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{CD52B029-02CF-4CE3-82BB-1EBF6E6C1819}</x14:id>
        </ext>
      </extLst>
    </cfRule>
  </conditionalFormatting>
  <conditionalFormatting sqref="AJ7">
    <cfRule type="dataBar" priority="10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{D9F4CB9C-BF11-491E-81D0-FEF307967CBA}</x14:id>
        </ext>
      </extLst>
    </cfRule>
  </conditionalFormatting>
  <conditionalFormatting sqref="AK7">
    <cfRule type="dataBar" priority="10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{269B911B-8D8A-4EA4-BA78-C2C6983AA9CB}</x14:id>
        </ext>
      </extLst>
    </cfRule>
  </conditionalFormatting>
  <conditionalFormatting sqref="Q7">
    <cfRule type="dataBar" priority="10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{39FC4E48-9BD4-46C2-85DB-45E6530E452F}</x14:id>
        </ext>
      </extLst>
    </cfRule>
  </conditionalFormatting>
  <conditionalFormatting sqref="Q7">
    <cfRule type="dataBar" priority="10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{8ADFFBBB-8120-4454-87D0-AD58D3765C2C}</x14:id>
        </ext>
      </extLst>
    </cfRule>
  </conditionalFormatting>
  <conditionalFormatting sqref="R7">
    <cfRule type="dataBar" priority="10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{3F521F17-7FFB-4572-8AA6-149DAF0CB48F}</x14:id>
        </ext>
      </extLst>
    </cfRule>
    <cfRule type="dataBar" priority="10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{5E42E88B-D5B7-49C4-9EB3-62DF85130A58}</x14:id>
        </ext>
      </extLst>
    </cfRule>
  </conditionalFormatting>
  <conditionalFormatting sqref="Q7">
    <cfRule type="dataBar" priority="10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{92557CF9-2F59-42F3-BC21-EC350155E40C}</x14:id>
        </ext>
      </extLst>
    </cfRule>
  </conditionalFormatting>
  <conditionalFormatting sqref="R7">
    <cfRule type="dataBar" priority="10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{DC1E47CD-1CE3-4A25-B2C3-CDD07640AD97}</x14:id>
        </ext>
      </extLst>
    </cfRule>
  </conditionalFormatting>
  <conditionalFormatting sqref="Q7">
    <cfRule type="dataBar" priority="10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{D67A19E7-1B8C-47FB-A9B7-83F643AD3C1A}</x14:id>
        </ext>
      </extLst>
    </cfRule>
  </conditionalFormatting>
  <conditionalFormatting sqref="R7">
    <cfRule type="dataBar" priority="10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{734D2D45-D675-4F55-9F44-B4FD96F56E09}</x14:id>
        </ext>
      </extLst>
    </cfRule>
  </conditionalFormatting>
  <conditionalFormatting sqref="Q7">
    <cfRule type="dataBar" priority="10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{A304A1FD-FD66-4167-84C5-630294D619E1}</x14:id>
        </ext>
      </extLst>
    </cfRule>
  </conditionalFormatting>
  <conditionalFormatting sqref="R7">
    <cfRule type="dataBar" priority="10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{ADB167B1-863E-43ED-B3CA-0A7B3053B1DA}</x14:id>
        </ext>
      </extLst>
    </cfRule>
  </conditionalFormatting>
  <conditionalFormatting sqref="R7">
    <cfRule type="dataBar" priority="10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{0BE381E6-78CA-465E-8EC0-6149A634EABA}</x14:id>
        </ext>
      </extLst>
    </cfRule>
  </conditionalFormatting>
  <conditionalFormatting sqref="O7">
    <cfRule type="dataBar" priority="10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{C08283FB-FE47-4233-ADC7-7FB7455EB67F}</x14:id>
        </ext>
      </extLst>
    </cfRule>
    <cfRule type="dataBar" priority="10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{94F19A52-AF71-4872-9166-C75FAA660753}</x14:id>
        </ext>
      </extLst>
    </cfRule>
  </conditionalFormatting>
  <conditionalFormatting sqref="O7">
    <cfRule type="dataBar" priority="10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{3BD79CC7-1F59-4F8F-ABDE-8BB9C1BC4245}</x14:id>
        </ext>
      </extLst>
    </cfRule>
  </conditionalFormatting>
  <conditionalFormatting sqref="O7">
    <cfRule type="dataBar" priority="10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{D8487703-FFF3-42EE-A6AE-4171FB70094B}</x14:id>
        </ext>
      </extLst>
    </cfRule>
  </conditionalFormatting>
  <conditionalFormatting sqref="L7">
    <cfRule type="dataBar" priority="10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{F7A73D7A-E998-4C34-80A0-58901666BBBE}</x14:id>
        </ext>
      </extLst>
    </cfRule>
    <cfRule type="dataBar" priority="10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{472D0ECB-CCCF-4BE4-A2FB-8187CC7FE9F2}</x14:id>
        </ext>
      </extLst>
    </cfRule>
  </conditionalFormatting>
  <conditionalFormatting sqref="L7">
    <cfRule type="dataBar" priority="10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{EBF90BE0-C635-4510-8C6A-D9AB84E9CD09}</x14:id>
        </ext>
      </extLst>
    </cfRule>
  </conditionalFormatting>
  <conditionalFormatting sqref="L7">
    <cfRule type="dataBar" priority="10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{DE043CE4-577F-4F6F-B74E-03EC69CDD460}</x14:id>
        </ext>
      </extLst>
    </cfRule>
  </conditionalFormatting>
  <conditionalFormatting sqref="O7">
    <cfRule type="dataBar" priority="10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{3F4B91B2-E500-4C14-9A89-F486A9C0C282}</x14:id>
        </ext>
      </extLst>
    </cfRule>
  </conditionalFormatting>
  <conditionalFormatting sqref="Q7">
    <cfRule type="dataBar" priority="10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{D2617B53-94AD-47DF-A2CF-ACCA20AC58B2}</x14:id>
        </ext>
      </extLst>
    </cfRule>
  </conditionalFormatting>
  <conditionalFormatting sqref="R7">
    <cfRule type="dataBar" priority="10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{4C54FE04-714A-4BF3-9B8E-B0F328E5E18F}</x14:id>
        </ext>
      </extLst>
    </cfRule>
  </conditionalFormatting>
  <conditionalFormatting sqref="L7">
    <cfRule type="dataBar" priority="10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{889A3019-9049-47DB-8ADA-BCFCE7FA132A}</x14:id>
        </ext>
      </extLst>
    </cfRule>
  </conditionalFormatting>
  <conditionalFormatting sqref="L7">
    <cfRule type="dataBar" priority="10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{DBAA5654-6A43-43EB-B425-4952EF5EB371}</x14:id>
        </ext>
      </extLst>
    </cfRule>
  </conditionalFormatting>
  <conditionalFormatting sqref="O7">
    <cfRule type="dataBar" priority="10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{7F1B9022-76B6-497A-80EF-AF49D7A03B2D}</x14:id>
        </ext>
      </extLst>
    </cfRule>
  </conditionalFormatting>
  <conditionalFormatting sqref="Q7">
    <cfRule type="dataBar" priority="10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{D2BC90D1-A52B-42F7-9550-5AD1948B2879}</x14:id>
        </ext>
      </extLst>
    </cfRule>
  </conditionalFormatting>
  <conditionalFormatting sqref="R7">
    <cfRule type="dataBar" priority="10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{315A1A52-3E7D-41A1-8E31-BAE7B7131FEF}</x14:id>
        </ext>
      </extLst>
    </cfRule>
  </conditionalFormatting>
  <conditionalFormatting sqref="L7">
    <cfRule type="dataBar" priority="10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{0F280588-9018-4B42-9C27-B974026D803A}</x14:id>
        </ext>
      </extLst>
    </cfRule>
  </conditionalFormatting>
  <conditionalFormatting sqref="O7">
    <cfRule type="dataBar" priority="10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{BD5674AB-5810-400F-8952-15CF93692677}</x14:id>
        </ext>
      </extLst>
    </cfRule>
  </conditionalFormatting>
  <conditionalFormatting sqref="Q7">
    <cfRule type="dataBar" priority="10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{C6F945A2-5C09-4886-BB20-555BE18BDC58}</x14:id>
        </ext>
      </extLst>
    </cfRule>
  </conditionalFormatting>
  <conditionalFormatting sqref="R7">
    <cfRule type="dataBar" priority="10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{B86E6CE2-65C3-4414-A23D-B935D790D76E}</x14:id>
        </ext>
      </extLst>
    </cfRule>
  </conditionalFormatting>
  <conditionalFormatting sqref="L7">
    <cfRule type="dataBar" priority="10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{76183D7A-ED93-44CD-B5E6-6A4455345336}</x14:id>
        </ext>
      </extLst>
    </cfRule>
  </conditionalFormatting>
  <conditionalFormatting sqref="O7">
    <cfRule type="dataBar" priority="10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{ED71F00F-667F-481E-99FE-BA3FA5AE2B45}</x14:id>
        </ext>
      </extLst>
    </cfRule>
  </conditionalFormatting>
  <conditionalFormatting sqref="Q7">
    <cfRule type="dataBar" priority="10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{76F5185B-E89E-48E7-A6BE-66F586216F59}</x14:id>
        </ext>
      </extLst>
    </cfRule>
  </conditionalFormatting>
  <conditionalFormatting sqref="R7">
    <cfRule type="dataBar" priority="10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{532A8143-8E61-4D28-9FC4-FD95CA179849}</x14:id>
        </ext>
      </extLst>
    </cfRule>
  </conditionalFormatting>
  <conditionalFormatting sqref="Q13">
    <cfRule type="dataBar" priority="10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{1B5E76D1-6FFC-42D3-920D-C9CBD3E4FA6F}</x14:id>
        </ext>
      </extLst>
    </cfRule>
  </conditionalFormatting>
  <conditionalFormatting sqref="Q13">
    <cfRule type="dataBar" priority="1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{84513CAE-FF51-425A-B504-4D1FAD8CFCAC}</x14:id>
        </ext>
      </extLst>
    </cfRule>
  </conditionalFormatting>
  <conditionalFormatting sqref="R13">
    <cfRule type="dataBar" priority="10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{69C9FD63-4C09-4862-B4E9-31A2A16403B0}</x14:id>
        </ext>
      </extLst>
    </cfRule>
    <cfRule type="dataBar" priority="10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{47D3EEE9-3589-4A3D-9D9F-B5AB8FF6B5D0}</x14:id>
        </ext>
      </extLst>
    </cfRule>
  </conditionalFormatting>
  <conditionalFormatting sqref="Q13">
    <cfRule type="dataBar" priority="10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{417A88ED-4723-40AF-8F26-F1BA61EBC4FD}</x14:id>
        </ext>
      </extLst>
    </cfRule>
  </conditionalFormatting>
  <conditionalFormatting sqref="R13">
    <cfRule type="dataBar" priority="10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{4C3F833A-96CC-4426-B47D-D6AA500DF48C}</x14:id>
        </ext>
      </extLst>
    </cfRule>
  </conditionalFormatting>
  <conditionalFormatting sqref="Q13">
    <cfRule type="dataBar" priority="10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{D04F21FE-A099-4C73-A6B8-8207BED6D429}</x14:id>
        </ext>
      </extLst>
    </cfRule>
  </conditionalFormatting>
  <conditionalFormatting sqref="R13">
    <cfRule type="dataBar" priority="10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{8BAC873D-DFE8-426B-9194-55192659B53F}</x14:id>
        </ext>
      </extLst>
    </cfRule>
  </conditionalFormatting>
  <conditionalFormatting sqref="Q13">
    <cfRule type="dataBar" priority="1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{71FFDAC1-1401-4956-A5ED-E0FE7D3F9002}</x14:id>
        </ext>
      </extLst>
    </cfRule>
  </conditionalFormatting>
  <conditionalFormatting sqref="R13">
    <cfRule type="dataBar" priority="10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{63B8E546-7B6F-4983-9968-DE844651EBDB}</x14:id>
        </ext>
      </extLst>
    </cfRule>
  </conditionalFormatting>
  <conditionalFormatting sqref="R13">
    <cfRule type="dataBar" priority="10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{3F78030F-5BC5-42C2-A8C3-A25388E59CFC}</x14:id>
        </ext>
      </extLst>
    </cfRule>
  </conditionalFormatting>
  <conditionalFormatting sqref="O13">
    <cfRule type="dataBar" priority="10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{DE22F760-9C32-4F13-A251-20A2A678AD65}</x14:id>
        </ext>
      </extLst>
    </cfRule>
    <cfRule type="dataBar" priority="10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{CCF6DDE5-F187-458C-B0D2-FC12879B04C2}</x14:id>
        </ext>
      </extLst>
    </cfRule>
  </conditionalFormatting>
  <conditionalFormatting sqref="O13">
    <cfRule type="dataBar" priority="10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{7EAA5920-6089-449B-9108-9CD3C1DC52F3}</x14:id>
        </ext>
      </extLst>
    </cfRule>
  </conditionalFormatting>
  <conditionalFormatting sqref="O13">
    <cfRule type="dataBar" priority="10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{095FF0EB-06D8-41BB-ADB9-FC178A15F26E}</x14:id>
        </ext>
      </extLst>
    </cfRule>
  </conditionalFormatting>
  <conditionalFormatting sqref="L13">
    <cfRule type="dataBar" priority="10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{6E539C2F-68BD-410E-AC79-38DA092FC7EA}</x14:id>
        </ext>
      </extLst>
    </cfRule>
    <cfRule type="dataBar" priority="10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{70602C7E-F585-4D6A-AF43-A31EB2647916}</x14:id>
        </ext>
      </extLst>
    </cfRule>
  </conditionalFormatting>
  <conditionalFormatting sqref="L13">
    <cfRule type="dataBar" priority="10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{C6E30920-5291-4A41-8913-47BA84B38BD4}</x14:id>
        </ext>
      </extLst>
    </cfRule>
  </conditionalFormatting>
  <conditionalFormatting sqref="L13">
    <cfRule type="dataBar" priority="10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{C87BF746-4B48-4B5F-8DAE-459B266D9F7D}</x14:id>
        </ext>
      </extLst>
    </cfRule>
  </conditionalFormatting>
  <conditionalFormatting sqref="O13">
    <cfRule type="dataBar" priority="1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{87DCA009-59CD-4C02-8F6E-3C4E1A7519DC}</x14:id>
        </ext>
      </extLst>
    </cfRule>
  </conditionalFormatting>
  <conditionalFormatting sqref="Q13">
    <cfRule type="dataBar" priority="10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{016F053D-B2A3-4EA1-86D3-A10CCD2D30F7}</x14:id>
        </ext>
      </extLst>
    </cfRule>
  </conditionalFormatting>
  <conditionalFormatting sqref="R13">
    <cfRule type="dataBar" priority="10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{23F245E1-6EC7-467B-897E-EC46DDBB750E}</x14:id>
        </ext>
      </extLst>
    </cfRule>
  </conditionalFormatting>
  <conditionalFormatting sqref="L13">
    <cfRule type="dataBar" priority="9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{96C6723D-355E-4C86-8126-AAE63EFA4902}</x14:id>
        </ext>
      </extLst>
    </cfRule>
  </conditionalFormatting>
  <conditionalFormatting sqref="L13">
    <cfRule type="dataBar" priority="9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{978779E2-7524-4448-8D82-0E6FDC22DFAA}</x14:id>
        </ext>
      </extLst>
    </cfRule>
  </conditionalFormatting>
  <conditionalFormatting sqref="O13">
    <cfRule type="dataBar" priority="9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{B2A09BB7-C689-45EA-8A05-943142BCEDF4}</x14:id>
        </ext>
      </extLst>
    </cfRule>
  </conditionalFormatting>
  <conditionalFormatting sqref="Q13">
    <cfRule type="dataBar" priority="9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{CFCA8ADB-C215-46EA-982D-144E3D4799BA}</x14:id>
        </ext>
      </extLst>
    </cfRule>
  </conditionalFormatting>
  <conditionalFormatting sqref="R13">
    <cfRule type="dataBar" priority="9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{D09EAEFF-833C-44D2-87C0-AE0B3DD0BB92}</x14:id>
        </ext>
      </extLst>
    </cfRule>
  </conditionalFormatting>
  <conditionalFormatting sqref="L13">
    <cfRule type="dataBar" priority="9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{04875254-5559-4573-B2BE-D23704E8CC13}</x14:id>
        </ext>
      </extLst>
    </cfRule>
  </conditionalFormatting>
  <conditionalFormatting sqref="O13">
    <cfRule type="dataBar" priority="9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{3C419EA9-5896-4231-9A5E-85A57BAC8A33}</x14:id>
        </ext>
      </extLst>
    </cfRule>
  </conditionalFormatting>
  <conditionalFormatting sqref="Q13">
    <cfRule type="dataBar" priority="9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{F81A6A06-A63D-43A5-BA7F-E236207F617B}</x14:id>
        </ext>
      </extLst>
    </cfRule>
  </conditionalFormatting>
  <conditionalFormatting sqref="R13">
    <cfRule type="dataBar" priority="9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{9CE77647-B227-4317-A509-C6E6B3FD0022}</x14:id>
        </ext>
      </extLst>
    </cfRule>
  </conditionalFormatting>
  <conditionalFormatting sqref="L13">
    <cfRule type="dataBar" priority="9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{00469DE7-2A5D-4B88-B5B6-0737ACBB23DF}</x14:id>
        </ext>
      </extLst>
    </cfRule>
  </conditionalFormatting>
  <conditionalFormatting sqref="O13">
    <cfRule type="dataBar" priority="9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{5C896667-E98C-4155-8B23-68AD3F27C6B2}</x14:id>
        </ext>
      </extLst>
    </cfRule>
  </conditionalFormatting>
  <conditionalFormatting sqref="Q13">
    <cfRule type="dataBar" priority="9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{6F757A13-19DE-4290-A95F-80158712E78D}</x14:id>
        </ext>
      </extLst>
    </cfRule>
  </conditionalFormatting>
  <conditionalFormatting sqref="R13">
    <cfRule type="dataBar" priority="9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{5BCBBE52-E093-4265-9FCD-CB9420BF32BF}</x14:id>
        </ext>
      </extLst>
    </cfRule>
  </conditionalFormatting>
  <conditionalFormatting sqref="Q14">
    <cfRule type="dataBar" priority="9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{7397436A-45C8-4771-9BD1-661D83D2F808}</x14:id>
        </ext>
      </extLst>
    </cfRule>
  </conditionalFormatting>
  <conditionalFormatting sqref="Q14">
    <cfRule type="dataBar" priority="9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{7327CA80-4C84-458E-95C6-D37102F3EDF1}</x14:id>
        </ext>
      </extLst>
    </cfRule>
  </conditionalFormatting>
  <conditionalFormatting sqref="R14">
    <cfRule type="dataBar" priority="9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{6D7C3842-8510-4A4F-AED5-63DC5A7588CA}</x14:id>
        </ext>
      </extLst>
    </cfRule>
    <cfRule type="dataBar" priority="9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{ED9941F0-F9AA-4E47-A0C5-9A4AA7B42C5D}</x14:id>
        </ext>
      </extLst>
    </cfRule>
  </conditionalFormatting>
  <conditionalFormatting sqref="Q14">
    <cfRule type="dataBar" priority="9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{AF4ECC93-BA3D-4954-A2EB-24556ACFEDEC}</x14:id>
        </ext>
      </extLst>
    </cfRule>
  </conditionalFormatting>
  <conditionalFormatting sqref="R14">
    <cfRule type="dataBar" priority="9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{FA172203-FA56-469E-A31C-A1A6E36F205F}</x14:id>
        </ext>
      </extLst>
    </cfRule>
  </conditionalFormatting>
  <conditionalFormatting sqref="Q14">
    <cfRule type="dataBar" priority="9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{2870C895-12F8-4A65-9924-98570FD6D85E}</x14:id>
        </ext>
      </extLst>
    </cfRule>
  </conditionalFormatting>
  <conditionalFormatting sqref="R14">
    <cfRule type="dataBar" priority="9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{5D323CA0-FC1E-4A15-B200-B9E7E55FD01F}</x14:id>
        </ext>
      </extLst>
    </cfRule>
  </conditionalFormatting>
  <conditionalFormatting sqref="Q14">
    <cfRule type="dataBar" priority="9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{767D1176-C6E7-4883-9B25-2BAD80B63865}</x14:id>
        </ext>
      </extLst>
    </cfRule>
  </conditionalFormatting>
  <conditionalFormatting sqref="R14">
    <cfRule type="dataBar" priority="9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{F1A7E0FA-1F68-4D80-886B-F781BD747799}</x14:id>
        </ext>
      </extLst>
    </cfRule>
  </conditionalFormatting>
  <conditionalFormatting sqref="R14">
    <cfRule type="dataBar" priority="9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{7CC2226E-C7C6-4858-83D2-954999132597}</x14:id>
        </ext>
      </extLst>
    </cfRule>
  </conditionalFormatting>
  <conditionalFormatting sqref="O14">
    <cfRule type="dataBar" priority="9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{95A6E0B7-CA2F-4C93-863D-F5232D827141}</x14:id>
        </ext>
      </extLst>
    </cfRule>
    <cfRule type="dataBar" priority="9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{24D0BFE7-BE11-4F44-9FC8-B2A1A9A99532}</x14:id>
        </ext>
      </extLst>
    </cfRule>
  </conditionalFormatting>
  <conditionalFormatting sqref="O14">
    <cfRule type="dataBar" priority="9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{3C58FF50-0A20-4309-BF1A-E3136DD69B45}</x14:id>
        </ext>
      </extLst>
    </cfRule>
  </conditionalFormatting>
  <conditionalFormatting sqref="O14">
    <cfRule type="dataBar" priority="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{C3236B9C-4D73-42B3-830D-DEBD7BA91EC1}</x14:id>
        </ext>
      </extLst>
    </cfRule>
  </conditionalFormatting>
  <conditionalFormatting sqref="L14">
    <cfRule type="dataBar" priority="9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{18832857-FE3E-4588-B4CC-56B4152BFA41}</x14:id>
        </ext>
      </extLst>
    </cfRule>
    <cfRule type="dataBar" priority="9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{F3F03413-01E3-41BD-9FC3-784D55587816}</x14:id>
        </ext>
      </extLst>
    </cfRule>
  </conditionalFormatting>
  <conditionalFormatting sqref="L14">
    <cfRule type="dataBar" priority="9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{0DE28F80-1366-470E-BAB5-776BD910CFE0}</x14:id>
        </ext>
      </extLst>
    </cfRule>
  </conditionalFormatting>
  <conditionalFormatting sqref="L14">
    <cfRule type="dataBar" priority="9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{172250DD-AB2F-4F0A-88D4-C9F737E262E8}</x14:id>
        </ext>
      </extLst>
    </cfRule>
  </conditionalFormatting>
  <conditionalFormatting sqref="O14">
    <cfRule type="dataBar" priority="9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{E970379C-5DDC-4003-8286-14BB9CAADC73}</x14:id>
        </ext>
      </extLst>
    </cfRule>
  </conditionalFormatting>
  <conditionalFormatting sqref="Q14">
    <cfRule type="dataBar" priority="9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{70D537A0-C42E-4BC7-8F0C-A663A62CB775}</x14:id>
        </ext>
      </extLst>
    </cfRule>
  </conditionalFormatting>
  <conditionalFormatting sqref="R14">
    <cfRule type="dataBar" priority="9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{C2E21704-FB60-4558-9A4F-B18140EEED85}</x14:id>
        </ext>
      </extLst>
    </cfRule>
  </conditionalFormatting>
  <conditionalFormatting sqref="L14">
    <cfRule type="dataBar" priority="9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{DFA62B14-DADD-468E-A419-7EAA993959BA}</x14:id>
        </ext>
      </extLst>
    </cfRule>
  </conditionalFormatting>
  <conditionalFormatting sqref="L14">
    <cfRule type="dataBar" priority="9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{81F57B94-BBED-499A-8A3D-C4E58C1C2386}</x14:id>
        </ext>
      </extLst>
    </cfRule>
  </conditionalFormatting>
  <conditionalFormatting sqref="O14">
    <cfRule type="dataBar" priority="9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{EDDD6A60-84E1-4599-833F-836A6D6F5911}</x14:id>
        </ext>
      </extLst>
    </cfRule>
  </conditionalFormatting>
  <conditionalFormatting sqref="Q14">
    <cfRule type="dataBar" priority="9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{14DCA895-0A86-4B40-B69D-876F4E921646}</x14:id>
        </ext>
      </extLst>
    </cfRule>
  </conditionalFormatting>
  <conditionalFormatting sqref="R14">
    <cfRule type="dataBar" priority="9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{BD81B968-7A7A-4F40-90F5-C411578CF1B4}</x14:id>
        </ext>
      </extLst>
    </cfRule>
  </conditionalFormatting>
  <conditionalFormatting sqref="L14">
    <cfRule type="dataBar" priority="9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{72D404E9-5B25-4971-8434-85B85BA7876A}</x14:id>
        </ext>
      </extLst>
    </cfRule>
  </conditionalFormatting>
  <conditionalFormatting sqref="O14">
    <cfRule type="dataBar" priority="9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{B253973C-11B8-4C02-8392-7A989D9A3C18}</x14:id>
        </ext>
      </extLst>
    </cfRule>
  </conditionalFormatting>
  <conditionalFormatting sqref="Q14">
    <cfRule type="dataBar" priority="9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{36CDE39A-E885-4FA6-92C6-A8EE50A9740A}</x14:id>
        </ext>
      </extLst>
    </cfRule>
  </conditionalFormatting>
  <conditionalFormatting sqref="R14">
    <cfRule type="dataBar" priority="9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{EB63DCDE-E46A-40F3-98D9-C704597466FC}</x14:id>
        </ext>
      </extLst>
    </cfRule>
  </conditionalFormatting>
  <conditionalFormatting sqref="L14">
    <cfRule type="dataBar" priority="9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{DB317134-9A5E-44AA-A2D6-8E8AC174D7EB}</x14:id>
        </ext>
      </extLst>
    </cfRule>
  </conditionalFormatting>
  <conditionalFormatting sqref="O14">
    <cfRule type="dataBar" priority="9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{E7067C2C-7327-4173-9615-E7FF09235077}</x14:id>
        </ext>
      </extLst>
    </cfRule>
  </conditionalFormatting>
  <conditionalFormatting sqref="Q14">
    <cfRule type="dataBar" priority="9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{2822A279-E281-44B6-95B9-1DD967A770C5}</x14:id>
        </ext>
      </extLst>
    </cfRule>
  </conditionalFormatting>
  <conditionalFormatting sqref="R14">
    <cfRule type="dataBar" priority="9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{FAC203C8-999B-4EE9-9836-0593188BE5F8}</x14:id>
        </ext>
      </extLst>
    </cfRule>
  </conditionalFormatting>
  <conditionalFormatting sqref="Q9">
    <cfRule type="dataBar" priority="9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{32F57C67-2439-459D-9C7C-09EE9A79A04D}</x14:id>
        </ext>
      </extLst>
    </cfRule>
  </conditionalFormatting>
  <conditionalFormatting sqref="Q9">
    <cfRule type="dataBar" priority="9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{D66C337B-6938-415C-A13D-BC41B41142C3}</x14:id>
        </ext>
      </extLst>
    </cfRule>
  </conditionalFormatting>
  <conditionalFormatting sqref="R9">
    <cfRule type="dataBar" priority="9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{34BD933C-9CDE-47FC-B698-EFECCDAD7BDD}</x14:id>
        </ext>
      </extLst>
    </cfRule>
    <cfRule type="dataBar" priority="9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{F848312F-F510-45FA-9FE1-B12F2ADCC53F}</x14:id>
        </ext>
      </extLst>
    </cfRule>
  </conditionalFormatting>
  <conditionalFormatting sqref="Q9">
    <cfRule type="dataBar" priority="9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{486490BA-FCDB-45CE-B752-6ACF2A097154}</x14:id>
        </ext>
      </extLst>
    </cfRule>
  </conditionalFormatting>
  <conditionalFormatting sqref="R9">
    <cfRule type="dataBar" priority="9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{A913C778-D9BB-412E-84B1-1D6956B1343E}</x14:id>
        </ext>
      </extLst>
    </cfRule>
  </conditionalFormatting>
  <conditionalFormatting sqref="Q9">
    <cfRule type="dataBar" priority="9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{D0E8A361-B12F-4C84-BF62-ADCBDA852B2B}</x14:id>
        </ext>
      </extLst>
    </cfRule>
  </conditionalFormatting>
  <conditionalFormatting sqref="R9">
    <cfRule type="dataBar" priority="9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{F00B4DB3-853A-4909-910D-17AA43397A46}</x14:id>
        </ext>
      </extLst>
    </cfRule>
  </conditionalFormatting>
  <conditionalFormatting sqref="Q9">
    <cfRule type="dataBar" priority="9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{07CD3CD8-9A92-4732-9777-A72BDDB9365A}</x14:id>
        </ext>
      </extLst>
    </cfRule>
  </conditionalFormatting>
  <conditionalFormatting sqref="R9">
    <cfRule type="dataBar" priority="9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{04D4D17C-B028-45AD-B61A-D65696C299BE}</x14:id>
        </ext>
      </extLst>
    </cfRule>
  </conditionalFormatting>
  <conditionalFormatting sqref="R9">
    <cfRule type="dataBar" priority="9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{18443F7C-64DC-4F0F-9E09-52A96CAD3FC1}</x14:id>
        </ext>
      </extLst>
    </cfRule>
  </conditionalFormatting>
  <conditionalFormatting sqref="O9">
    <cfRule type="dataBar" priority="9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{8214E917-6388-4238-88AA-DB8909E9A6FF}</x14:id>
        </ext>
      </extLst>
    </cfRule>
    <cfRule type="dataBar" priority="9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{6A43E13A-5C67-4315-8421-D0BD4B179706}</x14:id>
        </ext>
      </extLst>
    </cfRule>
  </conditionalFormatting>
  <conditionalFormatting sqref="O9">
    <cfRule type="dataBar" priority="9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{9CC917E5-5D2B-405D-8E64-E43BDC78F24E}</x14:id>
        </ext>
      </extLst>
    </cfRule>
  </conditionalFormatting>
  <conditionalFormatting sqref="O9">
    <cfRule type="dataBar" priority="9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{24A6B3FA-3662-4D67-9C37-5C9D1342286E}</x14:id>
        </ext>
      </extLst>
    </cfRule>
  </conditionalFormatting>
  <conditionalFormatting sqref="L9">
    <cfRule type="dataBar" priority="9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{D128830E-63CA-45A6-92F7-7333BDDDE74E}</x14:id>
        </ext>
      </extLst>
    </cfRule>
    <cfRule type="dataBar" priority="9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{718939F0-7EDD-4600-AE68-683BD134D096}</x14:id>
        </ext>
      </extLst>
    </cfRule>
  </conditionalFormatting>
  <conditionalFormatting sqref="L9">
    <cfRule type="dataBar" priority="9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{8F491574-A630-4632-B2A5-EAA589E60BF2}</x14:id>
        </ext>
      </extLst>
    </cfRule>
  </conditionalFormatting>
  <conditionalFormatting sqref="L9">
    <cfRule type="dataBar" priority="9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{11112438-0838-4C0F-918F-C857CCA1E275}</x14:id>
        </ext>
      </extLst>
    </cfRule>
  </conditionalFormatting>
  <conditionalFormatting sqref="O9">
    <cfRule type="dataBar" priority="9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{2BC299C5-F55E-43C0-B5EC-24D19D553DA5}</x14:id>
        </ext>
      </extLst>
    </cfRule>
  </conditionalFormatting>
  <conditionalFormatting sqref="Q9">
    <cfRule type="dataBar" priority="9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{772EBD01-2DF9-441B-A6BD-7C513E32EFA7}</x14:id>
        </ext>
      </extLst>
    </cfRule>
  </conditionalFormatting>
  <conditionalFormatting sqref="R9">
    <cfRule type="dataBar" priority="9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{52933034-43B1-4236-A59B-1BAFBDC9C4EA}</x14:id>
        </ext>
      </extLst>
    </cfRule>
  </conditionalFormatting>
  <conditionalFormatting sqref="L9">
    <cfRule type="dataBar" priority="9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{CF642E0E-726A-4861-B7D6-13368314CC77}</x14:id>
        </ext>
      </extLst>
    </cfRule>
  </conditionalFormatting>
  <conditionalFormatting sqref="L9">
    <cfRule type="dataBar" priority="9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{BD857991-1EF1-4748-B60E-6B03A606B88F}</x14:id>
        </ext>
      </extLst>
    </cfRule>
  </conditionalFormatting>
  <conditionalFormatting sqref="O9">
    <cfRule type="dataBar" priority="9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{9CEF480F-9DBE-4BD6-8868-A193B7A23AD2}</x14:id>
        </ext>
      </extLst>
    </cfRule>
  </conditionalFormatting>
  <conditionalFormatting sqref="Q9">
    <cfRule type="dataBar" priority="9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{175FD72F-F6E6-4EB5-8188-E2D0E3023A2C}</x14:id>
        </ext>
      </extLst>
    </cfRule>
  </conditionalFormatting>
  <conditionalFormatting sqref="R9">
    <cfRule type="dataBar" priority="9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{ADB934A1-024E-433C-8969-0FD9283B2EB6}</x14:id>
        </ext>
      </extLst>
    </cfRule>
  </conditionalFormatting>
  <conditionalFormatting sqref="L9">
    <cfRule type="dataBar" priority="9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{C1D78622-D2B2-4626-94C7-ECC7C8D27DF7}</x14:id>
        </ext>
      </extLst>
    </cfRule>
  </conditionalFormatting>
  <conditionalFormatting sqref="O9">
    <cfRule type="dataBar" priority="9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{6767CD49-40B0-4CE5-935D-EB34A9F4D256}</x14:id>
        </ext>
      </extLst>
    </cfRule>
  </conditionalFormatting>
  <conditionalFormatting sqref="Q9">
    <cfRule type="dataBar" priority="9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{2401BDD4-95C9-4090-A4F8-2EB2838AAB39}</x14:id>
        </ext>
      </extLst>
    </cfRule>
  </conditionalFormatting>
  <conditionalFormatting sqref="R9">
    <cfRule type="dataBar" priority="9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{E137E686-31DF-403D-8162-4A97FD591C95}</x14:id>
        </ext>
      </extLst>
    </cfRule>
  </conditionalFormatting>
  <conditionalFormatting sqref="L9">
    <cfRule type="dataBar" priority="9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{57D82C75-AF3C-478E-B602-DC1D4B729F78}</x14:id>
        </ext>
      </extLst>
    </cfRule>
  </conditionalFormatting>
  <conditionalFormatting sqref="O9">
    <cfRule type="dataBar" priority="9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{AD9F6405-1FDE-40DB-94ED-9D06E669D994}</x14:id>
        </ext>
      </extLst>
    </cfRule>
  </conditionalFormatting>
  <conditionalFormatting sqref="Q9">
    <cfRule type="dataBar" priority="9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{5103E8FD-7A6B-4B6C-A1F9-FB34ACECF599}</x14:id>
        </ext>
      </extLst>
    </cfRule>
  </conditionalFormatting>
  <conditionalFormatting sqref="R9">
    <cfRule type="dataBar" priority="9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{3B4BD5BE-27D5-4248-8D4A-6A76920D7F4D}</x14:id>
        </ext>
      </extLst>
    </cfRule>
  </conditionalFormatting>
  <conditionalFormatting sqref="Q10">
    <cfRule type="dataBar" priority="9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{68035BEC-4B5D-4EA9-B51A-2A161022D388}</x14:id>
        </ext>
      </extLst>
    </cfRule>
  </conditionalFormatting>
  <conditionalFormatting sqref="Q10">
    <cfRule type="dataBar" priority="9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{C46F11B2-642F-41BD-8E03-138AD18AD67F}</x14:id>
        </ext>
      </extLst>
    </cfRule>
  </conditionalFormatting>
  <conditionalFormatting sqref="R10">
    <cfRule type="dataBar" priority="9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{A1AC52FB-B5C7-4E97-952C-57AAB022ADD6}</x14:id>
        </ext>
      </extLst>
    </cfRule>
    <cfRule type="dataBar" priority="9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{07A501D9-AC38-468F-BDD6-D3BF251DA357}</x14:id>
        </ext>
      </extLst>
    </cfRule>
  </conditionalFormatting>
  <conditionalFormatting sqref="Q10">
    <cfRule type="dataBar" priority="9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{3C455BF6-7B7E-46E7-A78D-6AC0B05D6F93}</x14:id>
        </ext>
      </extLst>
    </cfRule>
  </conditionalFormatting>
  <conditionalFormatting sqref="R10">
    <cfRule type="dataBar" priority="9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{6080D185-7A69-4ACD-96A1-857EC7699034}</x14:id>
        </ext>
      </extLst>
    </cfRule>
  </conditionalFormatting>
  <conditionalFormatting sqref="Q10">
    <cfRule type="dataBar" priority="9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{D1AC65AA-4E68-4854-8E1B-A9C7ED06F77F}</x14:id>
        </ext>
      </extLst>
    </cfRule>
  </conditionalFormatting>
  <conditionalFormatting sqref="R10">
    <cfRule type="dataBar" priority="9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{E36F4516-168A-4F25-9D97-F8C645858002}</x14:id>
        </ext>
      </extLst>
    </cfRule>
  </conditionalFormatting>
  <conditionalFormatting sqref="Q10">
    <cfRule type="dataBar" priority="9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{A299549A-D4B5-4266-92FF-5932C60C6090}</x14:id>
        </ext>
      </extLst>
    </cfRule>
  </conditionalFormatting>
  <conditionalFormatting sqref="R10">
    <cfRule type="dataBar" priority="9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{FA9A3E59-FD67-426B-A896-A0FA0213DB5E}</x14:id>
        </ext>
      </extLst>
    </cfRule>
  </conditionalFormatting>
  <conditionalFormatting sqref="R10">
    <cfRule type="dataBar" priority="9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{071678D4-8AF1-43C5-AB44-6B0947D74704}</x14:id>
        </ext>
      </extLst>
    </cfRule>
  </conditionalFormatting>
  <conditionalFormatting sqref="O10">
    <cfRule type="dataBar" priority="9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{D405F9E4-0AD9-45EE-A8AB-7478ABBE7649}</x14:id>
        </ext>
      </extLst>
    </cfRule>
    <cfRule type="dataBar" priority="9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{D299C5B7-491F-451F-95F2-4DC82E4A2963}</x14:id>
        </ext>
      </extLst>
    </cfRule>
  </conditionalFormatting>
  <conditionalFormatting sqref="O10">
    <cfRule type="dataBar" priority="9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{AC014C4D-C1F8-4667-9A44-1720A47DCD5B}</x14:id>
        </ext>
      </extLst>
    </cfRule>
  </conditionalFormatting>
  <conditionalFormatting sqref="O10">
    <cfRule type="dataBar" priority="9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{5FC6CD89-BDE3-4C5B-BDBD-787897160198}</x14:id>
        </ext>
      </extLst>
    </cfRule>
  </conditionalFormatting>
  <conditionalFormatting sqref="L10">
    <cfRule type="dataBar" priority="8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{C5BC1FD1-831E-4CFB-BA74-DC20BB48711A}</x14:id>
        </ext>
      </extLst>
    </cfRule>
    <cfRule type="dataBar" priority="8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{B23D397C-5031-48B5-9F85-26AE93136807}</x14:id>
        </ext>
      </extLst>
    </cfRule>
  </conditionalFormatting>
  <conditionalFormatting sqref="L10">
    <cfRule type="dataBar" priority="9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{B71C09EB-5139-42D9-9028-FD401B3332BE}</x14:id>
        </ext>
      </extLst>
    </cfRule>
  </conditionalFormatting>
  <conditionalFormatting sqref="L10">
    <cfRule type="dataBar" priority="9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{955CECCC-3D88-4158-9808-19298CF38473}</x14:id>
        </ext>
      </extLst>
    </cfRule>
  </conditionalFormatting>
  <conditionalFormatting sqref="O10">
    <cfRule type="dataBar" priority="8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{C62EA0CA-4785-44E5-A53D-48C4116E1C7B}</x14:id>
        </ext>
      </extLst>
    </cfRule>
  </conditionalFormatting>
  <conditionalFormatting sqref="Q10">
    <cfRule type="dataBar" priority="8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{45001ABB-FF34-467D-B495-575FE95B9E9B}</x14:id>
        </ext>
      </extLst>
    </cfRule>
  </conditionalFormatting>
  <conditionalFormatting sqref="R10">
    <cfRule type="dataBar" priority="8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{356264FD-71FD-4E46-A4BD-993CA83B01B3}</x14:id>
        </ext>
      </extLst>
    </cfRule>
  </conditionalFormatting>
  <conditionalFormatting sqref="L10">
    <cfRule type="dataBar" priority="8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{CB313074-AD30-471F-928C-CFC511C3BF72}</x14:id>
        </ext>
      </extLst>
    </cfRule>
  </conditionalFormatting>
  <conditionalFormatting sqref="L10">
    <cfRule type="dataBar" priority="8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{E9BCAACA-0D88-4645-88BD-B6D3678E4872}</x14:id>
        </ext>
      </extLst>
    </cfRule>
  </conditionalFormatting>
  <conditionalFormatting sqref="O10">
    <cfRule type="dataBar" priority="8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{66A3DE7C-5D7F-4B49-A946-8A74DD682D6F}</x14:id>
        </ext>
      </extLst>
    </cfRule>
  </conditionalFormatting>
  <conditionalFormatting sqref="Q10">
    <cfRule type="dataBar" priority="8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{F0EC2797-B01D-495E-92CF-F2C1004BD179}</x14:id>
        </ext>
      </extLst>
    </cfRule>
  </conditionalFormatting>
  <conditionalFormatting sqref="R10">
    <cfRule type="dataBar" priority="8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{BCC557CC-0582-4368-BBE6-E173A8B1FE43}</x14:id>
        </ext>
      </extLst>
    </cfRule>
  </conditionalFormatting>
  <conditionalFormatting sqref="L10">
    <cfRule type="dataBar" priority="8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{5D13A013-A7AB-4998-9106-0842BB65A64E}</x14:id>
        </ext>
      </extLst>
    </cfRule>
  </conditionalFormatting>
  <conditionalFormatting sqref="O10">
    <cfRule type="dataBar" priority="8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{6FB1F591-52C6-4B3A-866E-B71D3A599EEA}</x14:id>
        </ext>
      </extLst>
    </cfRule>
  </conditionalFormatting>
  <conditionalFormatting sqref="Q10">
    <cfRule type="dataBar" priority="8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{A3013F51-6DC6-4ACF-8966-FA38521F2BEA}</x14:id>
        </ext>
      </extLst>
    </cfRule>
  </conditionalFormatting>
  <conditionalFormatting sqref="R10">
    <cfRule type="dataBar" priority="8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{6E384062-FB15-478A-B36A-33DCC0FEE834}</x14:id>
        </ext>
      </extLst>
    </cfRule>
  </conditionalFormatting>
  <conditionalFormatting sqref="L10">
    <cfRule type="dataBar" priority="8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{E65DE4C1-A81E-476C-B2CF-D19B8A27D3C3}</x14:id>
        </ext>
      </extLst>
    </cfRule>
  </conditionalFormatting>
  <conditionalFormatting sqref="O10">
    <cfRule type="dataBar" priority="8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{2AE7157C-5843-4C30-AF8E-E94FBE844E4A}</x14:id>
        </ext>
      </extLst>
    </cfRule>
  </conditionalFormatting>
  <conditionalFormatting sqref="Q10">
    <cfRule type="dataBar" priority="8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{78B371A2-5C32-40BB-B03D-F8A62E3271D9}</x14:id>
        </ext>
      </extLst>
    </cfRule>
  </conditionalFormatting>
  <conditionalFormatting sqref="R10">
    <cfRule type="dataBar" priority="8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{96BFA317-038F-42D6-A5D7-D5D98CD29F80}</x14:id>
        </ext>
      </extLst>
    </cfRule>
  </conditionalFormatting>
  <conditionalFormatting sqref="Q11">
    <cfRule type="dataBar" priority="8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{D1981594-709F-456E-A8C4-E3E0491DE82A}</x14:id>
        </ext>
      </extLst>
    </cfRule>
  </conditionalFormatting>
  <conditionalFormatting sqref="Q11">
    <cfRule type="dataBar" priority="8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{730605CC-E71B-4451-B33E-13C9614D2128}</x14:id>
        </ext>
      </extLst>
    </cfRule>
  </conditionalFormatting>
  <conditionalFormatting sqref="R11">
    <cfRule type="dataBar" priority="8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{1A4F2EB6-2CE4-48C8-9ADF-76AA17086C71}</x14:id>
        </ext>
      </extLst>
    </cfRule>
    <cfRule type="dataBar" priority="8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{A11D8543-9031-48F2-8435-F2C11A046719}</x14:id>
        </ext>
      </extLst>
    </cfRule>
  </conditionalFormatting>
  <conditionalFormatting sqref="Q11">
    <cfRule type="dataBar" priority="8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{0293E29B-492F-47A5-983F-396C4A3FBC66}</x14:id>
        </ext>
      </extLst>
    </cfRule>
  </conditionalFormatting>
  <conditionalFormatting sqref="R11">
    <cfRule type="dataBar" priority="8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{F0F159D0-3998-4628-B4BA-23E82416DB90}</x14:id>
        </ext>
      </extLst>
    </cfRule>
  </conditionalFormatting>
  <conditionalFormatting sqref="Q11">
    <cfRule type="dataBar" priority="8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{2A0947AB-9ACB-4C23-AC37-8984EEEC6101}</x14:id>
        </ext>
      </extLst>
    </cfRule>
  </conditionalFormatting>
  <conditionalFormatting sqref="R11">
    <cfRule type="dataBar" priority="8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{0A08DF1C-F286-45BE-AEFD-4B372843CA40}</x14:id>
        </ext>
      </extLst>
    </cfRule>
  </conditionalFormatting>
  <conditionalFormatting sqref="Q11">
    <cfRule type="dataBar" priority="8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{B9B381E5-C3EE-48BB-AAF5-BD7F96727AAA}</x14:id>
        </ext>
      </extLst>
    </cfRule>
  </conditionalFormatting>
  <conditionalFormatting sqref="R11">
    <cfRule type="dataBar" priority="8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{48F7181A-98E9-4985-A982-FF260B564CBF}</x14:id>
        </ext>
      </extLst>
    </cfRule>
  </conditionalFormatting>
  <conditionalFormatting sqref="R11">
    <cfRule type="dataBar" priority="8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{2EF109E5-7380-4FB8-81F8-A46FBAC28211}</x14:id>
        </ext>
      </extLst>
    </cfRule>
  </conditionalFormatting>
  <conditionalFormatting sqref="O11">
    <cfRule type="dataBar" priority="8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{B69235B6-8628-4032-89E5-4C94C77A756E}</x14:id>
        </ext>
      </extLst>
    </cfRule>
    <cfRule type="dataBar" priority="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{A93FD4CB-4B2A-441A-9C7D-DDCC9341845F}</x14:id>
        </ext>
      </extLst>
    </cfRule>
  </conditionalFormatting>
  <conditionalFormatting sqref="O11">
    <cfRule type="dataBar" priority="8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{8FF2A0AA-8B5B-4D99-B821-7BE5E856179E}</x14:id>
        </ext>
      </extLst>
    </cfRule>
  </conditionalFormatting>
  <conditionalFormatting sqref="O11">
    <cfRule type="dataBar" priority="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{ECB47C91-B1CF-465B-9F4F-BB68E613937C}</x14:id>
        </ext>
      </extLst>
    </cfRule>
  </conditionalFormatting>
  <conditionalFormatting sqref="L11">
    <cfRule type="dataBar" priority="8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{B3E85375-8DD6-4859-952C-330009BC5049}</x14:id>
        </ext>
      </extLst>
    </cfRule>
    <cfRule type="dataBar" priority="8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{DA1F2BE9-C615-46EA-B2BE-19E732525411}</x14:id>
        </ext>
      </extLst>
    </cfRule>
  </conditionalFormatting>
  <conditionalFormatting sqref="L11">
    <cfRule type="dataBar" priority="8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{18E92557-EF22-4749-986F-B3E4EFD4799B}</x14:id>
        </ext>
      </extLst>
    </cfRule>
  </conditionalFormatting>
  <conditionalFormatting sqref="L11">
    <cfRule type="dataBar" priority="8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{5C425E0B-1B6F-47B0-9C4C-07B824A3C3B4}</x14:id>
        </ext>
      </extLst>
    </cfRule>
  </conditionalFormatting>
  <conditionalFormatting sqref="O11">
    <cfRule type="dataBar" priority="8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{19010E57-D091-4524-B67E-F718F7D22B66}</x14:id>
        </ext>
      </extLst>
    </cfRule>
  </conditionalFormatting>
  <conditionalFormatting sqref="Q11">
    <cfRule type="dataBar" priority="8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{19D8A15C-DE2B-454E-9B88-C4FCFDD30D15}</x14:id>
        </ext>
      </extLst>
    </cfRule>
  </conditionalFormatting>
  <conditionalFormatting sqref="R11">
    <cfRule type="dataBar" priority="8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{38C7004B-B2B1-4B44-961C-C141A52CC388}</x14:id>
        </ext>
      </extLst>
    </cfRule>
  </conditionalFormatting>
  <conditionalFormatting sqref="L11">
    <cfRule type="dataBar" priority="8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{040AA699-6992-479D-9A2E-407A17BF3D9F}</x14:id>
        </ext>
      </extLst>
    </cfRule>
  </conditionalFormatting>
  <conditionalFormatting sqref="L11">
    <cfRule type="dataBar" priority="8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{7276F752-07E7-40FF-BBBE-53D40A6C6593}</x14:id>
        </ext>
      </extLst>
    </cfRule>
  </conditionalFormatting>
  <conditionalFormatting sqref="O11">
    <cfRule type="dataBar" priority="8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{1E50646A-C146-40FE-B64E-AEBCCB2E7EB5}</x14:id>
        </ext>
      </extLst>
    </cfRule>
  </conditionalFormatting>
  <conditionalFormatting sqref="Q11">
    <cfRule type="dataBar" priority="8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{D9475855-BE59-4146-954D-B1CE2A7D5226}</x14:id>
        </ext>
      </extLst>
    </cfRule>
  </conditionalFormatting>
  <conditionalFormatting sqref="R11">
    <cfRule type="dataBar" priority="8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{2DD9D340-E8C4-45B2-9304-76EDD65266CC}</x14:id>
        </ext>
      </extLst>
    </cfRule>
  </conditionalFormatting>
  <conditionalFormatting sqref="L11">
    <cfRule type="dataBar" priority="8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{8A3BA3CE-34A8-4509-8DFF-47605C3DFCA6}</x14:id>
        </ext>
      </extLst>
    </cfRule>
  </conditionalFormatting>
  <conditionalFormatting sqref="O11">
    <cfRule type="dataBar" priority="8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{092FDB47-910C-41FF-B2B5-06E9E2834091}</x14:id>
        </ext>
      </extLst>
    </cfRule>
  </conditionalFormatting>
  <conditionalFormatting sqref="Q11">
    <cfRule type="dataBar" priority="8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{A7BD753B-4133-42BC-B4B3-4A2D9C19304F}</x14:id>
        </ext>
      </extLst>
    </cfRule>
  </conditionalFormatting>
  <conditionalFormatting sqref="R11">
    <cfRule type="dataBar" priority="8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{87622D56-EC74-4CA1-A59B-A8110C401EBD}</x14:id>
        </ext>
      </extLst>
    </cfRule>
  </conditionalFormatting>
  <conditionalFormatting sqref="L11">
    <cfRule type="dataBar" priority="8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{70F3C320-F008-4F39-88F0-931E39AC22E4}</x14:id>
        </ext>
      </extLst>
    </cfRule>
  </conditionalFormatting>
  <conditionalFormatting sqref="O11">
    <cfRule type="dataBar" priority="8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{CD918B33-EE0D-4340-A532-3166E40226F0}</x14:id>
        </ext>
      </extLst>
    </cfRule>
  </conditionalFormatting>
  <conditionalFormatting sqref="Q11">
    <cfRule type="dataBar" priority="8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{2EC160CC-075A-4425-88F0-934CD49F7D6C}</x14:id>
        </ext>
      </extLst>
    </cfRule>
  </conditionalFormatting>
  <conditionalFormatting sqref="R11">
    <cfRule type="dataBar" priority="8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{37D77BC6-5589-4BEE-AA34-A73D72E8F2CE}</x14:id>
        </ext>
      </extLst>
    </cfRule>
  </conditionalFormatting>
  <conditionalFormatting sqref="Q12">
    <cfRule type="dataBar" priority="8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{F303A8BD-A306-4F74-B786-DEDAD763505A}</x14:id>
        </ext>
      </extLst>
    </cfRule>
  </conditionalFormatting>
  <conditionalFormatting sqref="Q12">
    <cfRule type="dataBar" priority="8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{8DA9255B-BD7A-4894-8DE6-C51ED86D94FC}</x14:id>
        </ext>
      </extLst>
    </cfRule>
  </conditionalFormatting>
  <conditionalFormatting sqref="R12">
    <cfRule type="dataBar" priority="8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{115D62F6-B036-4C94-A7A4-DB9DEA133B48}</x14:id>
        </ext>
      </extLst>
    </cfRule>
    <cfRule type="dataBar" priority="8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{ECA0B21C-CBA1-43AC-972F-49A5FE9B8070}</x14:id>
        </ext>
      </extLst>
    </cfRule>
  </conditionalFormatting>
  <conditionalFormatting sqref="Q12">
    <cfRule type="dataBar" priority="8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{C42C4B60-D3D4-4EA0-97A8-84DE1407874B}</x14:id>
        </ext>
      </extLst>
    </cfRule>
  </conditionalFormatting>
  <conditionalFormatting sqref="R12">
    <cfRule type="dataBar" priority="8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{41CC2C75-2EB6-4157-BA63-8DC092DB5525}</x14:id>
        </ext>
      </extLst>
    </cfRule>
  </conditionalFormatting>
  <conditionalFormatting sqref="Q12">
    <cfRule type="dataBar" priority="8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{E1E09FA8-2062-4A2D-9615-05468218F41B}</x14:id>
        </ext>
      </extLst>
    </cfRule>
  </conditionalFormatting>
  <conditionalFormatting sqref="R12">
    <cfRule type="dataBar" priority="8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{A711A9CD-0149-432D-818E-5DC64AD15C73}</x14:id>
        </ext>
      </extLst>
    </cfRule>
  </conditionalFormatting>
  <conditionalFormatting sqref="Q12">
    <cfRule type="dataBar" priority="8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{299E2F55-64A1-4F57-84C8-A7323CFB00A2}</x14:id>
        </ext>
      </extLst>
    </cfRule>
  </conditionalFormatting>
  <conditionalFormatting sqref="R12">
    <cfRule type="dataBar" priority="8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{B43E094E-DFCE-4B15-889D-5D7C6E79933F}</x14:id>
        </ext>
      </extLst>
    </cfRule>
  </conditionalFormatting>
  <conditionalFormatting sqref="R12">
    <cfRule type="dataBar" priority="8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{21A8EEDC-5C70-4BAD-B2E9-610B297029A7}</x14:id>
        </ext>
      </extLst>
    </cfRule>
  </conditionalFormatting>
  <conditionalFormatting sqref="O12">
    <cfRule type="dataBar" priority="8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{A0C6335C-94B7-4D7B-A9BD-4D6C8A0BD3B8}</x14:id>
        </ext>
      </extLst>
    </cfRule>
    <cfRule type="dataBar" priority="8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{5AE19C74-82E1-425C-A3BA-9145E2B84AB7}</x14:id>
        </ext>
      </extLst>
    </cfRule>
  </conditionalFormatting>
  <conditionalFormatting sqref="O12">
    <cfRule type="dataBar" priority="8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{F8DB8313-C37F-4875-AB3B-0B13F0E18012}</x14:id>
        </ext>
      </extLst>
    </cfRule>
  </conditionalFormatting>
  <conditionalFormatting sqref="O12">
    <cfRule type="dataBar" priority="8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{B132E921-D11C-488D-AE48-A6E57F3851E0}</x14:id>
        </ext>
      </extLst>
    </cfRule>
  </conditionalFormatting>
  <conditionalFormatting sqref="L12">
    <cfRule type="dataBar" priority="8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{34C994EE-4F1D-4C7F-882B-D546CC2B5CA8}</x14:id>
        </ext>
      </extLst>
    </cfRule>
    <cfRule type="dataBar" priority="8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{90FB877C-C138-42C1-9F1A-9802479B3986}</x14:id>
        </ext>
      </extLst>
    </cfRule>
  </conditionalFormatting>
  <conditionalFormatting sqref="L12">
    <cfRule type="dataBar" priority="8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{372A6F5D-7B8E-4911-92E3-8704C672ADB1}</x14:id>
        </ext>
      </extLst>
    </cfRule>
  </conditionalFormatting>
  <conditionalFormatting sqref="L12">
    <cfRule type="dataBar" priority="8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{8561A9E5-4BC8-4EC5-B3B6-B7E7E8500B07}</x14:id>
        </ext>
      </extLst>
    </cfRule>
  </conditionalFormatting>
  <conditionalFormatting sqref="O12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{ADBF8801-0CAC-4D0B-9F7B-171DD834AE33}</x14:id>
        </ext>
      </extLst>
    </cfRule>
  </conditionalFormatting>
  <conditionalFormatting sqref="Q12">
    <cfRule type="dataBar" priority="8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{F8B21B9F-D1E4-4300-AEA8-4EF81AF91CF8}</x14:id>
        </ext>
      </extLst>
    </cfRule>
  </conditionalFormatting>
  <conditionalFormatting sqref="R12">
    <cfRule type="dataBar" priority="8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{A36F090C-8B5A-404C-A313-36282E7FEA2B}</x14:id>
        </ext>
      </extLst>
    </cfRule>
  </conditionalFormatting>
  <conditionalFormatting sqref="L12">
    <cfRule type="dataBar" priority="8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{AE1A7A3B-C293-463B-8C47-20A139600492}</x14:id>
        </ext>
      </extLst>
    </cfRule>
  </conditionalFormatting>
  <conditionalFormatting sqref="L12">
    <cfRule type="dataBar" priority="8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{E29A84B4-052E-4B5C-BF1E-12CEE2677A78}</x14:id>
        </ext>
      </extLst>
    </cfRule>
  </conditionalFormatting>
  <conditionalFormatting sqref="O12">
    <cfRule type="dataBar" priority="8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{6D67980B-A8EE-40E8-9D89-FBE04E7AB624}</x14:id>
        </ext>
      </extLst>
    </cfRule>
  </conditionalFormatting>
  <conditionalFormatting sqref="Q12">
    <cfRule type="dataBar" priority="8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{EE0686B8-05BF-4CAC-A758-ACA27EB5F6E5}</x14:id>
        </ext>
      </extLst>
    </cfRule>
  </conditionalFormatting>
  <conditionalFormatting sqref="R12">
    <cfRule type="dataBar" priority="8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{906358C6-7506-45BD-810A-934AEA0CDEC6}</x14:id>
        </ext>
      </extLst>
    </cfRule>
  </conditionalFormatting>
  <conditionalFormatting sqref="L12">
    <cfRule type="dataBar" priority="8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{C8FF1052-E713-477D-820C-ED6A38082CF1}</x14:id>
        </ext>
      </extLst>
    </cfRule>
  </conditionalFormatting>
  <conditionalFormatting sqref="O12">
    <cfRule type="dataBar" priority="8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{041798A3-7A54-49D9-94EC-9B896784B56D}</x14:id>
        </ext>
      </extLst>
    </cfRule>
  </conditionalFormatting>
  <conditionalFormatting sqref="Q12">
    <cfRule type="dataBar" priority="8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{214F701F-B7AE-40CC-A13A-4147CE920200}</x14:id>
        </ext>
      </extLst>
    </cfRule>
  </conditionalFormatting>
  <conditionalFormatting sqref="R12">
    <cfRule type="dataBar" priority="8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{6ED2D207-53F9-4EC4-B7A4-EFCA4BD4C09E}</x14:id>
        </ext>
      </extLst>
    </cfRule>
  </conditionalFormatting>
  <conditionalFormatting sqref="L12">
    <cfRule type="dataBar" priority="8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{F138F84F-7EB6-453D-86FF-B57663436C78}</x14:id>
        </ext>
      </extLst>
    </cfRule>
  </conditionalFormatting>
  <conditionalFormatting sqref="O12">
    <cfRule type="dataBar" priority="8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{0F392515-BB93-4353-962C-B5F8F47F8752}</x14:id>
        </ext>
      </extLst>
    </cfRule>
  </conditionalFormatting>
  <conditionalFormatting sqref="Q12">
    <cfRule type="dataBar" priority="8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{3EAF4AF1-92B1-4A59-94F6-4751D5B5743B}</x14:id>
        </ext>
      </extLst>
    </cfRule>
  </conditionalFormatting>
  <conditionalFormatting sqref="R12">
    <cfRule type="dataBar" priority="8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{88B238B8-9EEF-4433-8EEB-0CD2B694E0D4}</x14:id>
        </ext>
      </extLst>
    </cfRule>
  </conditionalFormatting>
  <conditionalFormatting sqref="Q15:Q16">
    <cfRule type="dataBar" priority="8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{3203556F-6D34-4079-BBBF-5230C9ADAEC5}</x14:id>
        </ext>
      </extLst>
    </cfRule>
  </conditionalFormatting>
  <conditionalFormatting sqref="Q15:Q16">
    <cfRule type="dataBar" priority="8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{1FEAE716-A80A-42DA-89B4-3BCF44334CA9}</x14:id>
        </ext>
      </extLst>
    </cfRule>
  </conditionalFormatting>
  <conditionalFormatting sqref="R15:R16">
    <cfRule type="dataBar" priority="8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{7C00EB1F-A870-4CD9-9B48-555A99DC02A9}</x14:id>
        </ext>
      </extLst>
    </cfRule>
    <cfRule type="dataBar" priority="8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{1ACD5265-A1A4-4A37-A5E6-7AD029535CD5}</x14:id>
        </ext>
      </extLst>
    </cfRule>
  </conditionalFormatting>
  <conditionalFormatting sqref="Q15:Q16">
    <cfRule type="dataBar" priority="8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{6FC0AD6F-B322-4DB9-9D1B-6F80717BD247}</x14:id>
        </ext>
      </extLst>
    </cfRule>
  </conditionalFormatting>
  <conditionalFormatting sqref="R15:R16">
    <cfRule type="dataBar" priority="8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{16DC9373-AA81-47D7-8CCC-DED53BCA46A2}</x14:id>
        </ext>
      </extLst>
    </cfRule>
  </conditionalFormatting>
  <conditionalFormatting sqref="Q15:Q16">
    <cfRule type="dataBar" priority="8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{E22D6527-D96B-44CD-938A-F16CB6CD7B02}</x14:id>
        </ext>
      </extLst>
    </cfRule>
  </conditionalFormatting>
  <conditionalFormatting sqref="R15:R16">
    <cfRule type="dataBar" priority="7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{D621A42E-1F84-4558-95AF-FCA026DDF38D}</x14:id>
        </ext>
      </extLst>
    </cfRule>
  </conditionalFormatting>
  <conditionalFormatting sqref="Q15:Q16">
    <cfRule type="dataBar" priority="7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{22AB684F-20EC-4D58-9CD1-78779FDEF0C4}</x14:id>
        </ext>
      </extLst>
    </cfRule>
  </conditionalFormatting>
  <conditionalFormatting sqref="R15:R16">
    <cfRule type="dataBar" priority="7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{DE50F0C0-A615-41F7-BC81-17A06943045D}</x14:id>
        </ext>
      </extLst>
    </cfRule>
  </conditionalFormatting>
  <conditionalFormatting sqref="R15:R16">
    <cfRule type="dataBar" priority="8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{17FD9B02-8501-492F-A4FD-A8799DF19887}</x14:id>
        </ext>
      </extLst>
    </cfRule>
  </conditionalFormatting>
  <conditionalFormatting sqref="O15:O16">
    <cfRule type="dataBar" priority="8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{1161E684-2B5D-4D2B-93BC-8322E23BE3BA}</x14:id>
        </ext>
      </extLst>
    </cfRule>
    <cfRule type="dataBar" priority="8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{5F08EC5E-4B5B-4BFD-B9C0-B315105DB538}</x14:id>
        </ext>
      </extLst>
    </cfRule>
  </conditionalFormatting>
  <conditionalFormatting sqref="O15:O16">
    <cfRule type="dataBar" priority="8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{0A16E698-A54A-4C52-8BC3-0450078457D3}</x14:id>
        </ext>
      </extLst>
    </cfRule>
  </conditionalFormatting>
  <conditionalFormatting sqref="O15:O16">
    <cfRule type="dataBar" priority="8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{9C9BFCAC-7755-4FAD-B9F5-623D257F1049}</x14:id>
        </ext>
      </extLst>
    </cfRule>
  </conditionalFormatting>
  <conditionalFormatting sqref="L15:L16">
    <cfRule type="dataBar" priority="7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{7634BCC1-5B56-4E97-9741-9A123F611AD8}</x14:id>
        </ext>
      </extLst>
    </cfRule>
    <cfRule type="dataBar" priority="7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{46D2FD70-95AB-4646-9E24-2785256E5EEA}</x14:id>
        </ext>
      </extLst>
    </cfRule>
  </conditionalFormatting>
  <conditionalFormatting sqref="L15:L16">
    <cfRule type="dataBar" priority="7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{3ABF17DF-E57E-4C48-BA3B-DAB35D1F9329}</x14:id>
        </ext>
      </extLst>
    </cfRule>
  </conditionalFormatting>
  <conditionalFormatting sqref="L15:L16">
    <cfRule type="dataBar" priority="7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{C6103EC3-C481-4238-A9DE-E3FB1D6E6430}</x14:id>
        </ext>
      </extLst>
    </cfRule>
  </conditionalFormatting>
  <conditionalFormatting sqref="O15:O16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{3A78B5F2-1431-40E6-A1C2-0AFE0FF06514}</x14:id>
        </ext>
      </extLst>
    </cfRule>
  </conditionalFormatting>
  <conditionalFormatting sqref="Q15:Q16">
    <cfRule type="dataBar" priority="7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{B226599F-63A4-4BF7-AEB7-3A8F1DCD701B}</x14:id>
        </ext>
      </extLst>
    </cfRule>
  </conditionalFormatting>
  <conditionalFormatting sqref="R15:R16">
    <cfRule type="dataBar" priority="7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{10DA411C-2CB7-4922-899A-2E5EBA0290B6}</x14:id>
        </ext>
      </extLst>
    </cfRule>
  </conditionalFormatting>
  <conditionalFormatting sqref="L15:L16">
    <cfRule type="dataBar" priority="7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{F4787DCF-10FC-468F-963B-A820E81EB1D7}</x14:id>
        </ext>
      </extLst>
    </cfRule>
  </conditionalFormatting>
  <conditionalFormatting sqref="L15:L16">
    <cfRule type="dataBar" priority="7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{9E44CD13-FD6F-4F22-B6CE-615AFA320275}</x14:id>
        </ext>
      </extLst>
    </cfRule>
  </conditionalFormatting>
  <conditionalFormatting sqref="O15:O16">
    <cfRule type="dataBar" priority="7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{52F1D342-6A18-4D9F-9886-8F699A4C069B}</x14:id>
        </ext>
      </extLst>
    </cfRule>
  </conditionalFormatting>
  <conditionalFormatting sqref="Q15:Q16">
    <cfRule type="dataBar" priority="7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{6B824E0D-34ED-4BD8-97A0-0309592630F3}</x14:id>
        </ext>
      </extLst>
    </cfRule>
  </conditionalFormatting>
  <conditionalFormatting sqref="R15:R16">
    <cfRule type="dataBar" priority="7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{8832D6BB-B736-479F-A359-08C54B13C192}</x14:id>
        </ext>
      </extLst>
    </cfRule>
  </conditionalFormatting>
  <conditionalFormatting sqref="L15:L16">
    <cfRule type="dataBar" priority="7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{51720EFC-E695-4D52-A80B-D21C1EFBDDFD}</x14:id>
        </ext>
      </extLst>
    </cfRule>
  </conditionalFormatting>
  <conditionalFormatting sqref="O15:O16">
    <cfRule type="dataBar" priority="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{8FF5BB70-2EF8-4633-B44C-4468E0169157}</x14:id>
        </ext>
      </extLst>
    </cfRule>
  </conditionalFormatting>
  <conditionalFormatting sqref="Q15:Q16">
    <cfRule type="dataBar" priority="7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{A6611BC7-C844-4F01-ADCD-68F24FBDCEC5}</x14:id>
        </ext>
      </extLst>
    </cfRule>
  </conditionalFormatting>
  <conditionalFormatting sqref="R15:R16">
    <cfRule type="dataBar" priority="7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{1AE34109-A9D5-466F-BFD5-C29D8FEBEC1D}</x14:id>
        </ext>
      </extLst>
    </cfRule>
  </conditionalFormatting>
  <conditionalFormatting sqref="L15:L16">
    <cfRule type="dataBar" priority="7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{D9078679-A446-48FA-BC0C-0529BC7083AE}</x14:id>
        </ext>
      </extLst>
    </cfRule>
  </conditionalFormatting>
  <conditionalFormatting sqref="O15:O16">
    <cfRule type="dataBar" priority="7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{AB55DA29-F637-4783-A3C1-93B192D74065}</x14:id>
        </ext>
      </extLst>
    </cfRule>
  </conditionalFormatting>
  <conditionalFormatting sqref="Q15:Q16">
    <cfRule type="dataBar" priority="7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{4D261C70-39AA-466D-8FB3-10E28B52B4C0}</x14:id>
        </ext>
      </extLst>
    </cfRule>
  </conditionalFormatting>
  <conditionalFormatting sqref="R15:R16">
    <cfRule type="dataBar" priority="7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{CDC99CC0-BF88-4987-A751-16408467F101}</x14:id>
        </ext>
      </extLst>
    </cfRule>
  </conditionalFormatting>
  <conditionalFormatting sqref="Q15">
    <cfRule type="dataBar" priority="7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{90DCB6E4-B95D-49B7-9A0D-078060C2397C}</x14:id>
        </ext>
      </extLst>
    </cfRule>
  </conditionalFormatting>
  <conditionalFormatting sqref="Q15">
    <cfRule type="dataBar" priority="7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{5553BD11-D134-4370-86B8-097F6901F3FC}</x14:id>
        </ext>
      </extLst>
    </cfRule>
  </conditionalFormatting>
  <conditionalFormatting sqref="R15">
    <cfRule type="dataBar" priority="7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{7DCE0BAE-4FA3-4ECB-BF75-D8B491E9DCB5}</x14:id>
        </ext>
      </extLst>
    </cfRule>
    <cfRule type="dataBar" priority="7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{919A791F-4844-462D-ABE1-6E36B35C16E5}</x14:id>
        </ext>
      </extLst>
    </cfRule>
  </conditionalFormatting>
  <conditionalFormatting sqref="Q15">
    <cfRule type="dataBar" priority="7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{B735C497-502F-4CDC-AEE9-3E9555AB9BD1}</x14:id>
        </ext>
      </extLst>
    </cfRule>
  </conditionalFormatting>
  <conditionalFormatting sqref="R15">
    <cfRule type="dataBar" priority="7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{AAF7B94E-DE7A-41D8-9000-E99EE210B6E8}</x14:id>
        </ext>
      </extLst>
    </cfRule>
  </conditionalFormatting>
  <conditionalFormatting sqref="Q15">
    <cfRule type="dataBar" priority="7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{422598BC-198D-4379-BD57-20734446D6BC}</x14:id>
        </ext>
      </extLst>
    </cfRule>
  </conditionalFormatting>
  <conditionalFormatting sqref="R15">
    <cfRule type="dataBar" priority="7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{BD55110E-7A9E-48F7-8D8F-FEB4E9FF3146}</x14:id>
        </ext>
      </extLst>
    </cfRule>
  </conditionalFormatting>
  <conditionalFormatting sqref="Q15">
    <cfRule type="dataBar" priority="7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{C63CFAA3-BAEE-4C9B-8A18-0E463FB47361}</x14:id>
        </ext>
      </extLst>
    </cfRule>
  </conditionalFormatting>
  <conditionalFormatting sqref="R15">
    <cfRule type="dataBar" priority="7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{BD321B79-5D01-42D8-BA9B-8FED59394E98}</x14:id>
        </ext>
      </extLst>
    </cfRule>
  </conditionalFormatting>
  <conditionalFormatting sqref="R15">
    <cfRule type="dataBar" priority="7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{29AEF5A0-B4E1-4240-9A1B-33CADE168CC3}</x14:id>
        </ext>
      </extLst>
    </cfRule>
  </conditionalFormatting>
  <conditionalFormatting sqref="O15">
    <cfRule type="dataBar" priority="7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{4CD877F5-8455-4B03-BF03-B6DB35705B1C}</x14:id>
        </ext>
      </extLst>
    </cfRule>
    <cfRule type="dataBar" priority="7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{989E4A1E-FCC0-4A6A-A0A2-D46365AB7A5B}</x14:id>
        </ext>
      </extLst>
    </cfRule>
  </conditionalFormatting>
  <conditionalFormatting sqref="O15">
    <cfRule type="dataBar" priority="7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{66F64775-1B29-4573-8C25-914781AEF1DE}</x14:id>
        </ext>
      </extLst>
    </cfRule>
  </conditionalFormatting>
  <conditionalFormatting sqref="O15">
    <cfRule type="dataBar" priority="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{4918D1E8-509E-415D-A656-65551270B10C}</x14:id>
        </ext>
      </extLst>
    </cfRule>
  </conditionalFormatting>
  <conditionalFormatting sqref="L15">
    <cfRule type="dataBar" priority="7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{D279BC2B-81E6-45FD-9775-69F3310DE145}</x14:id>
        </ext>
      </extLst>
    </cfRule>
    <cfRule type="dataBar" priority="7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{D51BC360-F8FE-41B9-B3C4-096E6511048E}</x14:id>
        </ext>
      </extLst>
    </cfRule>
  </conditionalFormatting>
  <conditionalFormatting sqref="L15">
    <cfRule type="dataBar" priority="7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{AC221D27-EF8B-4935-95CF-FEA3A5028BFA}</x14:id>
        </ext>
      </extLst>
    </cfRule>
  </conditionalFormatting>
  <conditionalFormatting sqref="L15">
    <cfRule type="dataBar" priority="7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{26298DF4-19C5-4219-8988-AE4C53CAA29D}</x14:id>
        </ext>
      </extLst>
    </cfRule>
  </conditionalFormatting>
  <conditionalFormatting sqref="O15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{42C4EB9D-AA40-426B-BC94-5BFD22EC0C02}</x14:id>
        </ext>
      </extLst>
    </cfRule>
  </conditionalFormatting>
  <conditionalFormatting sqref="Q15">
    <cfRule type="dataBar" priority="7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{20F55A76-0AC5-46D0-A49B-BCAAA63BE8DB}</x14:id>
        </ext>
      </extLst>
    </cfRule>
  </conditionalFormatting>
  <conditionalFormatting sqref="R15">
    <cfRule type="dataBar" priority="7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{2D171E34-C3D1-4F56-9C5D-B34217F2DC47}</x14:id>
        </ext>
      </extLst>
    </cfRule>
  </conditionalFormatting>
  <conditionalFormatting sqref="L15">
    <cfRule type="dataBar" priority="7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{345CCBA2-73D7-4944-B38F-C7796B3AD77B}</x14:id>
        </ext>
      </extLst>
    </cfRule>
  </conditionalFormatting>
  <conditionalFormatting sqref="L15">
    <cfRule type="dataBar" priority="7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{CD416903-5FE9-4E16-BC78-2AF7B67318EB}</x14:id>
        </ext>
      </extLst>
    </cfRule>
  </conditionalFormatting>
  <conditionalFormatting sqref="O15">
    <cfRule type="dataBar" priority="7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{5C8F4CCC-B12E-45CC-AB59-737AF3B3CC7A}</x14:id>
        </ext>
      </extLst>
    </cfRule>
  </conditionalFormatting>
  <conditionalFormatting sqref="Q15">
    <cfRule type="dataBar" priority="7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{ACE9F7E3-E28E-4D98-8900-1B78C97A2BFC}</x14:id>
        </ext>
      </extLst>
    </cfRule>
  </conditionalFormatting>
  <conditionalFormatting sqref="R15">
    <cfRule type="dataBar" priority="7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{04BEC940-E1A2-419C-8993-5C57223B88F6}</x14:id>
        </ext>
      </extLst>
    </cfRule>
  </conditionalFormatting>
  <conditionalFormatting sqref="L15">
    <cfRule type="dataBar" priority="7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{0FFD9099-FEB8-45EA-8A5F-747AE5CD155E}</x14:id>
        </ext>
      </extLst>
    </cfRule>
  </conditionalFormatting>
  <conditionalFormatting sqref="O15">
    <cfRule type="dataBar" priority="7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{45FA775D-4149-4749-BDA8-6ABDC7C69273}</x14:id>
        </ext>
      </extLst>
    </cfRule>
  </conditionalFormatting>
  <conditionalFormatting sqref="Q15">
    <cfRule type="dataBar" priority="7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{51F20523-26E6-4B20-8BE0-15F03C792ED9}</x14:id>
        </ext>
      </extLst>
    </cfRule>
  </conditionalFormatting>
  <conditionalFormatting sqref="R15">
    <cfRule type="dataBar" priority="7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{EAAC6D39-F08C-41A4-8866-A9E112920293}</x14:id>
        </ext>
      </extLst>
    </cfRule>
  </conditionalFormatting>
  <conditionalFormatting sqref="L15">
    <cfRule type="dataBar" priority="7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{2553148C-B102-4864-9A4D-A70487E172F5}</x14:id>
        </ext>
      </extLst>
    </cfRule>
  </conditionalFormatting>
  <conditionalFormatting sqref="O15">
    <cfRule type="dataBar" priority="7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{B141D66F-EAE7-4EC9-A088-15900A7D8729}</x14:id>
        </ext>
      </extLst>
    </cfRule>
  </conditionalFormatting>
  <conditionalFormatting sqref="Q15">
    <cfRule type="dataBar" priority="7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{F4B66A99-4BF2-410A-8298-C7A453D9448F}</x14:id>
        </ext>
      </extLst>
    </cfRule>
  </conditionalFormatting>
  <conditionalFormatting sqref="R15">
    <cfRule type="dataBar" priority="7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{FFDDD2D6-B0CE-44D1-BC39-16DBA2DF702D}</x14:id>
        </ext>
      </extLst>
    </cfRule>
  </conditionalFormatting>
  <conditionalFormatting sqref="Q17">
    <cfRule type="dataBar" priority="7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{10CD2EA9-1143-4AD9-ABC2-3F827CA0CF78}</x14:id>
        </ext>
      </extLst>
    </cfRule>
  </conditionalFormatting>
  <conditionalFormatting sqref="Q17">
    <cfRule type="dataBar" priority="7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{1824A9C2-932B-43AF-B2E7-86962357BF23}</x14:id>
        </ext>
      </extLst>
    </cfRule>
  </conditionalFormatting>
  <conditionalFormatting sqref="R17">
    <cfRule type="dataBar" priority="7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{BC3BFEDA-045B-44F6-BA41-441C078B0B38}</x14:id>
        </ext>
      </extLst>
    </cfRule>
    <cfRule type="dataBar" priority="7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{7EC99892-1C44-498B-96C9-3EB3F8F4D198}</x14:id>
        </ext>
      </extLst>
    </cfRule>
  </conditionalFormatting>
  <conditionalFormatting sqref="Q17">
    <cfRule type="dataBar" priority="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{58095EED-3D92-4729-9008-09E0FA5570E8}</x14:id>
        </ext>
      </extLst>
    </cfRule>
  </conditionalFormatting>
  <conditionalFormatting sqref="R17">
    <cfRule type="dataBar" priority="7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{8D0FB2CD-5769-4DFA-A110-ADAD9E5E99E4}</x14:id>
        </ext>
      </extLst>
    </cfRule>
  </conditionalFormatting>
  <conditionalFormatting sqref="Q17">
    <cfRule type="dataBar" priority="7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{B92A74B1-265C-487C-A52B-4A83C1EBDB78}</x14:id>
        </ext>
      </extLst>
    </cfRule>
  </conditionalFormatting>
  <conditionalFormatting sqref="R17">
    <cfRule type="dataBar" priority="7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{0E3F7D83-CE20-4EF9-AE23-BC39AD4111FF}</x14:id>
        </ext>
      </extLst>
    </cfRule>
  </conditionalFormatting>
  <conditionalFormatting sqref="Q17">
    <cfRule type="dataBar" priority="7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{3C2F48F6-6B09-4608-BEFB-2C949319223F}</x14:id>
        </ext>
      </extLst>
    </cfRule>
  </conditionalFormatting>
  <conditionalFormatting sqref="R17">
    <cfRule type="dataBar" priority="7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{CCB2FB55-0773-46EB-B736-84EDA3905CA9}</x14:id>
        </ext>
      </extLst>
    </cfRule>
  </conditionalFormatting>
  <conditionalFormatting sqref="R17">
    <cfRule type="dataBar" priority="7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{61385B27-EF05-4C37-87E1-CD6EF347625B}</x14:id>
        </ext>
      </extLst>
    </cfRule>
  </conditionalFormatting>
  <conditionalFormatting sqref="O17">
    <cfRule type="dataBar" priority="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{D85A675B-7B30-4DFA-B272-64272488A3B9}</x14:id>
        </ext>
      </extLst>
    </cfRule>
    <cfRule type="dataBar" priority="7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{E64D1EEC-2B81-4F18-8FCE-423506C0F716}</x14:id>
        </ext>
      </extLst>
    </cfRule>
  </conditionalFormatting>
  <conditionalFormatting sqref="O17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{38700521-52B8-4DFF-9194-84E90CE587AF}</x14:id>
        </ext>
      </extLst>
    </cfRule>
  </conditionalFormatting>
  <conditionalFormatting sqref="O17">
    <cfRule type="dataBar" priority="7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{70F42EDC-089C-47C0-AA99-7BDA372438EB}</x14:id>
        </ext>
      </extLst>
    </cfRule>
  </conditionalFormatting>
  <conditionalFormatting sqref="L17">
    <cfRule type="dataBar" priority="7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{6AEC1282-832E-4367-B091-698F4EAC1C89}</x14:id>
        </ext>
      </extLst>
    </cfRule>
    <cfRule type="dataBar" priority="7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{5F0455BA-F29B-416D-9E57-8CB339FF48F5}</x14:id>
        </ext>
      </extLst>
    </cfRule>
  </conditionalFormatting>
  <conditionalFormatting sqref="L17">
    <cfRule type="dataBar" priority="7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{E3A5C13F-D7D3-4147-909C-1FBD86E60819}</x14:id>
        </ext>
      </extLst>
    </cfRule>
  </conditionalFormatting>
  <conditionalFormatting sqref="L17">
    <cfRule type="dataBar" priority="7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{A12E6D62-7B5B-4FDB-A7AD-20E917970315}</x14:id>
        </ext>
      </extLst>
    </cfRule>
  </conditionalFormatting>
  <conditionalFormatting sqref="O17">
    <cfRule type="dataBar" priority="7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{D3F55FDD-1636-4363-840F-1854027FF34F}</x14:id>
        </ext>
      </extLst>
    </cfRule>
  </conditionalFormatting>
  <conditionalFormatting sqref="Q17">
    <cfRule type="dataBar" priority="7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{D821C196-FF0E-49CD-8E1A-BEB547DDDF3F}</x14:id>
        </ext>
      </extLst>
    </cfRule>
  </conditionalFormatting>
  <conditionalFormatting sqref="R17">
    <cfRule type="dataBar" priority="7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{54D059FF-D0FF-44A2-B950-0425F8DA4E10}</x14:id>
        </ext>
      </extLst>
    </cfRule>
  </conditionalFormatting>
  <conditionalFormatting sqref="L17">
    <cfRule type="dataBar" priority="7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{EF6F40C7-8C22-46E7-B4B6-51092174E3EA}</x14:id>
        </ext>
      </extLst>
    </cfRule>
  </conditionalFormatting>
  <conditionalFormatting sqref="L17">
    <cfRule type="dataBar" priority="7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{E086BD16-4377-4FDF-82DF-E50F9CA61303}</x14:id>
        </ext>
      </extLst>
    </cfRule>
  </conditionalFormatting>
  <conditionalFormatting sqref="O17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{AAC558D5-AB8D-4BD2-929A-EF545DE60737}</x14:id>
        </ext>
      </extLst>
    </cfRule>
  </conditionalFormatting>
  <conditionalFormatting sqref="Q17">
    <cfRule type="dataBar" priority="7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{2E3513B9-2097-4834-A8E3-CC6252AA7432}</x14:id>
        </ext>
      </extLst>
    </cfRule>
  </conditionalFormatting>
  <conditionalFormatting sqref="R17">
    <cfRule type="dataBar" priority="7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{8046E877-3263-44FC-9E50-4D858FD240B6}</x14:id>
        </ext>
      </extLst>
    </cfRule>
  </conditionalFormatting>
  <conditionalFormatting sqref="L17">
    <cfRule type="dataBar" priority="7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{378BED94-A3CE-4A66-B845-FBFF60BC34A5}</x14:id>
        </ext>
      </extLst>
    </cfRule>
  </conditionalFormatting>
  <conditionalFormatting sqref="O17">
    <cfRule type="dataBar" priority="7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{932F0372-26D4-4178-BF5F-B418EF97077B}</x14:id>
        </ext>
      </extLst>
    </cfRule>
  </conditionalFormatting>
  <conditionalFormatting sqref="Q17">
    <cfRule type="dataBar" priority="7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{7540DD79-2C96-4832-9B23-D686DBF9C7CB}</x14:id>
        </ext>
      </extLst>
    </cfRule>
  </conditionalFormatting>
  <conditionalFormatting sqref="R17">
    <cfRule type="dataBar" priority="7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{E0826CE3-1809-45B7-B440-77DAB1FF0C50}</x14:id>
        </ext>
      </extLst>
    </cfRule>
  </conditionalFormatting>
  <conditionalFormatting sqref="L17">
    <cfRule type="dataBar" priority="7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{3C40FE96-51F9-4C0E-953D-52A29BE3A108}</x14:id>
        </ext>
      </extLst>
    </cfRule>
  </conditionalFormatting>
  <conditionalFormatting sqref="O17">
    <cfRule type="dataBar" priority="7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{D5204A12-67B5-44E0-B6F9-B51CFD92D6AB}</x14:id>
        </ext>
      </extLst>
    </cfRule>
  </conditionalFormatting>
  <conditionalFormatting sqref="Q17">
    <cfRule type="dataBar" priority="7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{8362F19E-4EA2-4D72-8A8E-409FF95DE3C5}</x14:id>
        </ext>
      </extLst>
    </cfRule>
  </conditionalFormatting>
  <conditionalFormatting sqref="R17">
    <cfRule type="dataBar" priority="7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{6BCE81C7-88E4-44BE-9E2D-FDCE2A5A6047}</x14:id>
        </ext>
      </extLst>
    </cfRule>
  </conditionalFormatting>
  <conditionalFormatting sqref="Q17">
    <cfRule type="dataBar" priority="7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{E18DAAAE-10CA-459E-AD2F-740E1280BBC5}</x14:id>
        </ext>
      </extLst>
    </cfRule>
  </conditionalFormatting>
  <conditionalFormatting sqref="Q17"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{A3821DC0-554C-44D5-8F8F-08BEF823AF81}</x14:id>
        </ext>
      </extLst>
    </cfRule>
  </conditionalFormatting>
  <conditionalFormatting sqref="R17">
    <cfRule type="dataBar" priority="6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{80A4297D-8E16-4F95-ADCB-0E692EFFE275}</x14:id>
        </ext>
      </extLst>
    </cfRule>
    <cfRule type="dataBar" priority="7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{87166DEB-2DE5-41BD-90C8-65247F5BAEDE}</x14:id>
        </ext>
      </extLst>
    </cfRule>
  </conditionalFormatting>
  <conditionalFormatting sqref="Q17"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{A9693F6C-057F-4F76-8E03-2484045639BE}</x14:id>
        </ext>
      </extLst>
    </cfRule>
  </conditionalFormatting>
  <conditionalFormatting sqref="R17">
    <cfRule type="dataBar" priority="6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{CBB9300B-9E21-4F7A-B528-6570943563F3}</x14:id>
        </ext>
      </extLst>
    </cfRule>
  </conditionalFormatting>
  <conditionalFormatting sqref="Q17">
    <cfRule type="dataBar" priority="6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{81816196-669E-4CBA-B995-EE28BCCC18B8}</x14:id>
        </ext>
      </extLst>
    </cfRule>
  </conditionalFormatting>
  <conditionalFormatting sqref="R17">
    <cfRule type="dataBar" priority="6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{1CAE5087-DAE9-4328-8BAA-3B4D9CADB7E2}</x14:id>
        </ext>
      </extLst>
    </cfRule>
  </conditionalFormatting>
  <conditionalFormatting sqref="Q17">
    <cfRule type="dataBar" priority="6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{2B3E315E-838F-4319-BFEA-917FF640DBBE}</x14:id>
        </ext>
      </extLst>
    </cfRule>
  </conditionalFormatting>
  <conditionalFormatting sqref="R17">
    <cfRule type="dataBar" priority="6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{C7916E45-67BB-4C3A-BAA7-F602C7F97192}</x14:id>
        </ext>
      </extLst>
    </cfRule>
  </conditionalFormatting>
  <conditionalFormatting sqref="R17">
    <cfRule type="dataBar" priority="6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{F4C4EED2-DAA2-4557-BD2F-F1A1EA0E116F}</x14:id>
        </ext>
      </extLst>
    </cfRule>
  </conditionalFormatting>
  <conditionalFormatting sqref="O17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{36ABA456-6F4D-42C8-8602-4CB364D59D05}</x14:id>
        </ext>
      </extLst>
    </cfRule>
    <cfRule type="dataBar" priority="7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{69240C72-92CB-4E13-B73D-275094F0FC09}</x14:id>
        </ext>
      </extLst>
    </cfRule>
  </conditionalFormatting>
  <conditionalFormatting sqref="O17">
    <cfRule type="dataBar" priority="7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{EAED34ED-8CA0-4CD2-8AAE-F6DA87336907}</x14:id>
        </ext>
      </extLst>
    </cfRule>
  </conditionalFormatting>
  <conditionalFormatting sqref="O17"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{3A41DCD9-5F63-460F-A29E-18B13033347A}</x14:id>
        </ext>
      </extLst>
    </cfRule>
  </conditionalFormatting>
  <conditionalFormatting sqref="L17">
    <cfRule type="dataBar" priority="6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{4A050BE8-EEA4-4FEA-8807-BE497A9F2F86}</x14:id>
        </ext>
      </extLst>
    </cfRule>
    <cfRule type="dataBar" priority="6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{7D0D5BC5-BB24-44CA-B0E3-6B3161774972}</x14:id>
        </ext>
      </extLst>
    </cfRule>
  </conditionalFormatting>
  <conditionalFormatting sqref="L17">
    <cfRule type="dataBar" priority="6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{AB6B3650-C889-4B1B-BE84-C0A682E790B2}</x14:id>
        </ext>
      </extLst>
    </cfRule>
  </conditionalFormatting>
  <conditionalFormatting sqref="L17">
    <cfRule type="dataBar" priority="6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{0DA6E8F4-30AC-4B56-A212-B986F8DF1FF5}</x14:id>
        </ext>
      </extLst>
    </cfRule>
  </conditionalFormatting>
  <conditionalFormatting sqref="O17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{F7127CB0-2241-432F-8B21-4B13D5898792}</x14:id>
        </ext>
      </extLst>
    </cfRule>
  </conditionalFormatting>
  <conditionalFormatting sqref="Q17">
    <cfRule type="dataBar" priority="6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{51751777-5BD4-4841-8ACF-40855E185BA7}</x14:id>
        </ext>
      </extLst>
    </cfRule>
  </conditionalFormatting>
  <conditionalFormatting sqref="R17">
    <cfRule type="dataBar" priority="6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{D12EC348-BDDB-4410-918B-F1D13E446465}</x14:id>
        </ext>
      </extLst>
    </cfRule>
  </conditionalFormatting>
  <conditionalFormatting sqref="L17">
    <cfRule type="dataBar" priority="6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{7DC8F9D7-C913-4ABA-97B6-791A62861B2C}</x14:id>
        </ext>
      </extLst>
    </cfRule>
  </conditionalFormatting>
  <conditionalFormatting sqref="L17">
    <cfRule type="dataBar" priority="6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{20C3B626-7944-4872-9416-73F033422B0C}</x14:id>
        </ext>
      </extLst>
    </cfRule>
  </conditionalFormatting>
  <conditionalFormatting sqref="O17">
    <cfRule type="dataBar" priority="6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{216AA252-A103-49B6-9902-E0A439B68D31}</x14:id>
        </ext>
      </extLst>
    </cfRule>
  </conditionalFormatting>
  <conditionalFormatting sqref="Q17">
    <cfRule type="dataBar" priority="6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{8C387BD9-D430-44EB-9B2D-2537DCAE7AFB}</x14:id>
        </ext>
      </extLst>
    </cfRule>
  </conditionalFormatting>
  <conditionalFormatting sqref="R17">
    <cfRule type="dataBar" priority="6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{6BA58954-3C44-4BDA-BD1B-981D19C1476D}</x14:id>
        </ext>
      </extLst>
    </cfRule>
  </conditionalFormatting>
  <conditionalFormatting sqref="L17">
    <cfRule type="dataBar" priority="6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{C6FCC297-F2E5-4422-8BC4-423CD6189ED0}</x14:id>
        </ext>
      </extLst>
    </cfRule>
  </conditionalFormatting>
  <conditionalFormatting sqref="O17">
    <cfRule type="dataBar" priority="6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{483B3552-4768-47BC-BD14-AE6DB873F29F}</x14:id>
        </ext>
      </extLst>
    </cfRule>
  </conditionalFormatting>
  <conditionalFormatting sqref="Q17">
    <cfRule type="dataBar" priority="6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{BD4CB91E-7A2B-4B02-B1A0-D78A1527DA61}</x14:id>
        </ext>
      </extLst>
    </cfRule>
  </conditionalFormatting>
  <conditionalFormatting sqref="R17">
    <cfRule type="dataBar" priority="6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{B0A349BF-056D-465D-BEA5-0D01DB230A80}</x14:id>
        </ext>
      </extLst>
    </cfRule>
  </conditionalFormatting>
  <conditionalFormatting sqref="L17">
    <cfRule type="dataBar" priority="6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{625FC7B2-C9ED-4AAC-8E6F-C0B935330A73}</x14:id>
        </ext>
      </extLst>
    </cfRule>
  </conditionalFormatting>
  <conditionalFormatting sqref="O17">
    <cfRule type="dataBar" priority="6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{EA4AFE9F-6966-4772-A3AA-9CFA1DABD8FF}</x14:id>
        </ext>
      </extLst>
    </cfRule>
  </conditionalFormatting>
  <conditionalFormatting sqref="Q17">
    <cfRule type="dataBar" priority="6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{049EC6BA-625A-40FC-95E6-30C1AE828784}</x14:id>
        </ext>
      </extLst>
    </cfRule>
  </conditionalFormatting>
  <conditionalFormatting sqref="R17">
    <cfRule type="dataBar" priority="6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{A0B44441-759E-4323-8E59-C60FC823AAFB}</x14:id>
        </ext>
      </extLst>
    </cfRule>
  </conditionalFormatting>
  <conditionalFormatting sqref="O28">
    <cfRule type="dataBar" priority="6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{5D5FA6C9-4286-4656-AB67-3CF138D7E5A9}</x14:id>
        </ext>
      </extLst>
    </cfRule>
    <cfRule type="dataBar" priority="6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{26EB7925-2CFB-48EF-9564-D95AFCE0A6B5}</x14:id>
        </ext>
      </extLst>
    </cfRule>
  </conditionalFormatting>
  <conditionalFormatting sqref="O28">
    <cfRule type="dataBar" priority="6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{CE55539B-5431-4609-A9E7-62E3F12C4313}</x14:id>
        </ext>
      </extLst>
    </cfRule>
  </conditionalFormatting>
  <conditionalFormatting sqref="O28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{8BD0C911-3D26-41C7-B4F6-7F20260F3726}</x14:id>
        </ext>
      </extLst>
    </cfRule>
  </conditionalFormatting>
  <conditionalFormatting sqref="L28">
    <cfRule type="dataBar" priority="6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{98B9A5ED-3E94-4634-8577-B461E5FCAD44}</x14:id>
        </ext>
      </extLst>
    </cfRule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{FC9A1B6A-5DF2-4499-BAE1-B8328F7DBEF5}</x14:id>
        </ext>
      </extLst>
    </cfRule>
  </conditionalFormatting>
  <conditionalFormatting sqref="L28">
    <cfRule type="dataBar" priority="6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{F474353C-D7EB-4662-8E39-6410CB839D57}</x14:id>
        </ext>
      </extLst>
    </cfRule>
  </conditionalFormatting>
  <conditionalFormatting sqref="L28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{A86FD0B3-2FF9-46B8-B271-7A843368E7BE}</x14:id>
        </ext>
      </extLst>
    </cfRule>
  </conditionalFormatting>
  <conditionalFormatting sqref="O28">
    <cfRule type="dataBar" priority="6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{150BC3FB-4FD8-4D32-932B-39DD0A493672}</x14:id>
        </ext>
      </extLst>
    </cfRule>
  </conditionalFormatting>
  <conditionalFormatting sqref="L28">
    <cfRule type="dataBar" priority="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{5C806FB3-B923-410E-94F8-1A2BABA01944}</x14:id>
        </ext>
      </extLst>
    </cfRule>
  </conditionalFormatting>
  <conditionalFormatting sqref="L28">
    <cfRule type="dataBar" priority="66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{0C2EA8D4-C7B0-4A74-B0FB-8995E5DDF682}</x14:id>
        </ext>
      </extLst>
    </cfRule>
  </conditionalFormatting>
  <conditionalFormatting sqref="O28">
    <cfRule type="dataBar" priority="6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{CCC30F18-B9E3-49D7-8B02-30FF274F49B1}</x14:id>
        </ext>
      </extLst>
    </cfRule>
  </conditionalFormatting>
  <conditionalFormatting sqref="L28">
    <cfRule type="dataBar" priority="6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{4D4EECAB-9ADC-41EF-83BE-F6520C6A8817}</x14:id>
        </ext>
      </extLst>
    </cfRule>
  </conditionalFormatting>
  <conditionalFormatting sqref="O28">
    <cfRule type="dataBar" priority="6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{EDDBA628-D343-487E-8869-D36C5C12D811}</x14:id>
        </ext>
      </extLst>
    </cfRule>
  </conditionalFormatting>
  <conditionalFormatting sqref="L28">
    <cfRule type="dataBar" priority="6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{31DC6C2E-93FE-4DCB-A5F0-B9440BF52957}</x14:id>
        </ext>
      </extLst>
    </cfRule>
  </conditionalFormatting>
  <conditionalFormatting sqref="O28">
    <cfRule type="dataBar" priority="6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{692973CD-BB51-4A88-821C-E69430D53E78}</x14:id>
        </ext>
      </extLst>
    </cfRule>
  </conditionalFormatting>
  <conditionalFormatting sqref="Q28">
    <cfRule type="dataBar" priority="6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{E3B494B8-801D-46D9-8C2B-B5496A0617D8}</x14:id>
        </ext>
      </extLst>
    </cfRule>
  </conditionalFormatting>
  <conditionalFormatting sqref="Q28">
    <cfRule type="dataBar" priority="6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{022E0B9F-58AE-49A2-9794-6EBF28F9953C}</x14:id>
        </ext>
      </extLst>
    </cfRule>
  </conditionalFormatting>
  <conditionalFormatting sqref="R28">
    <cfRule type="dataBar" priority="6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{B0F3BB61-FE69-4D15-A4A5-5CBEC4BE7D0E}</x14:id>
        </ext>
      </extLst>
    </cfRule>
    <cfRule type="dataBar" priority="6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{AEFE4656-C929-4F21-B0E3-7C188B238906}</x14:id>
        </ext>
      </extLst>
    </cfRule>
  </conditionalFormatting>
  <conditionalFormatting sqref="Q28">
    <cfRule type="dataBar" priority="6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{68A8B0A2-5334-45FF-9371-0A94D5826135}</x14:id>
        </ext>
      </extLst>
    </cfRule>
  </conditionalFormatting>
  <conditionalFormatting sqref="R28">
    <cfRule type="dataBar" priority="6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{4B9AA1AA-CE4A-45B3-A997-91ACFC210C7D}</x14:id>
        </ext>
      </extLst>
    </cfRule>
  </conditionalFormatting>
  <conditionalFormatting sqref="Q28">
    <cfRule type="dataBar" priority="6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{AFA1B417-7CED-480C-AB26-D02922FFFDC5}</x14:id>
        </ext>
      </extLst>
    </cfRule>
  </conditionalFormatting>
  <conditionalFormatting sqref="R28">
    <cfRule type="dataBar" priority="6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{35522111-2B62-4BF2-B4FD-5561FDF8A923}</x14:id>
        </ext>
      </extLst>
    </cfRule>
  </conditionalFormatting>
  <conditionalFormatting sqref="Q28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{B8930253-67D5-4AD4-AFD6-D4193850C10F}</x14:id>
        </ext>
      </extLst>
    </cfRule>
  </conditionalFormatting>
  <conditionalFormatting sqref="R28">
    <cfRule type="dataBar" priority="6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{AC00B565-14CC-444B-9659-CFD251A595FB}</x14:id>
        </ext>
      </extLst>
    </cfRule>
  </conditionalFormatting>
  <conditionalFormatting sqref="R28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{96212BFA-D2B2-4F82-9DAF-476B0BADA7FF}</x14:id>
        </ext>
      </extLst>
    </cfRule>
  </conditionalFormatting>
  <conditionalFormatting sqref="Q28">
    <cfRule type="dataBar" priority="6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{16FDA16E-BC72-48EA-835B-1B10D6B417BE}</x14:id>
        </ext>
      </extLst>
    </cfRule>
  </conditionalFormatting>
  <conditionalFormatting sqref="R28">
    <cfRule type="dataBar" priority="6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{4B2319CA-0930-4832-8119-DD5599234AB1}</x14:id>
        </ext>
      </extLst>
    </cfRule>
  </conditionalFormatting>
  <conditionalFormatting sqref="Q28">
    <cfRule type="dataBar" priority="6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{4DC5ECDA-B996-4345-A79A-B0502C41FA32}</x14:id>
        </ext>
      </extLst>
    </cfRule>
  </conditionalFormatting>
  <conditionalFormatting sqref="R28">
    <cfRule type="dataBar" priority="6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{FDE0CF3E-3376-4966-AB45-23EF5939F14E}</x14:id>
        </ext>
      </extLst>
    </cfRule>
  </conditionalFormatting>
  <conditionalFormatting sqref="Q28">
    <cfRule type="dataBar" priority="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{2520BD39-BABA-49BC-8423-5312847D7C61}</x14:id>
        </ext>
      </extLst>
    </cfRule>
  </conditionalFormatting>
  <conditionalFormatting sqref="R28">
    <cfRule type="dataBar" priority="6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{F7968F93-C569-4FF1-A61B-A186BB03E11C}</x14:id>
        </ext>
      </extLst>
    </cfRule>
  </conditionalFormatting>
  <conditionalFormatting sqref="Q28">
    <cfRule type="dataBar" priority="6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{A65367B3-B3B6-4050-92AA-E8E48750DA3B}</x14:id>
        </ext>
      </extLst>
    </cfRule>
  </conditionalFormatting>
  <conditionalFormatting sqref="R28">
    <cfRule type="dataBar" priority="6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{DEABB4FC-8E3F-4DCF-8A17-F73A5A558A68}</x14:id>
        </ext>
      </extLst>
    </cfRule>
  </conditionalFormatting>
  <conditionalFormatting sqref="Q27">
    <cfRule type="dataBar" priority="6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{1F11365E-0EAE-4697-9A28-8BC8C6930D29}</x14:id>
        </ext>
      </extLst>
    </cfRule>
  </conditionalFormatting>
  <conditionalFormatting sqref="Q27">
    <cfRule type="dataBar" priority="6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{A272220F-12D9-462C-819D-79F681209358}</x14:id>
        </ext>
      </extLst>
    </cfRule>
  </conditionalFormatting>
  <conditionalFormatting sqref="R27">
    <cfRule type="dataBar" priority="6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{297B901C-D71E-40D2-A840-67DC68B7D1A3}</x14:id>
        </ext>
      </extLst>
    </cfRule>
    <cfRule type="dataBar" priority="6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{9B40967A-32BA-4FCB-AFDA-5CDA672FF033}</x14:id>
        </ext>
      </extLst>
    </cfRule>
  </conditionalFormatting>
  <conditionalFormatting sqref="Q27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{9E64A47E-90C1-48FE-B887-CD239D125D7E}</x14:id>
        </ext>
      </extLst>
    </cfRule>
  </conditionalFormatting>
  <conditionalFormatting sqref="R27">
    <cfRule type="dataBar" priority="6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{4B59DCA9-DB81-4F93-B48E-9C6754DAB11A}</x14:id>
        </ext>
      </extLst>
    </cfRule>
  </conditionalFormatting>
  <conditionalFormatting sqref="Q27">
    <cfRule type="dataBar" priority="6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{FD0AED6A-C896-41C5-8FB8-F28B705528E3}</x14:id>
        </ext>
      </extLst>
    </cfRule>
  </conditionalFormatting>
  <conditionalFormatting sqref="R27">
    <cfRule type="dataBar" priority="6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{65B84FD8-1F45-4B3E-8A49-7EAA329E5896}</x14:id>
        </ext>
      </extLst>
    </cfRule>
  </conditionalFormatting>
  <conditionalFormatting sqref="Q27">
    <cfRule type="dataBar" priority="6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{370D67F5-CD2C-4374-A1AB-BAFB43F8EE52}</x14:id>
        </ext>
      </extLst>
    </cfRule>
  </conditionalFormatting>
  <conditionalFormatting sqref="R27">
    <cfRule type="dataBar" priority="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{18E7E99A-F664-40A3-BD20-4280F32C5CEE}</x14:id>
        </ext>
      </extLst>
    </cfRule>
  </conditionalFormatting>
  <conditionalFormatting sqref="R27">
    <cfRule type="dataBar" priority="6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{9E38899C-E660-4E24-BF27-5351997525BD}</x14:id>
        </ext>
      </extLst>
    </cfRule>
  </conditionalFormatting>
  <conditionalFormatting sqref="O27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{AF09CF84-9C7C-4AAE-8B6D-2DD347F57BCB}</x14:id>
        </ext>
      </extLst>
    </cfRule>
    <cfRule type="dataBar" priority="6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{CA67BB2E-3FE1-4222-8A96-56E79D18E575}</x14:id>
        </ext>
      </extLst>
    </cfRule>
  </conditionalFormatting>
  <conditionalFormatting sqref="O27">
    <cfRule type="dataBar" priority="6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{2785AEDF-E819-4AA2-BCBE-96BF8D26DF6D}</x14:id>
        </ext>
      </extLst>
    </cfRule>
  </conditionalFormatting>
  <conditionalFormatting sqref="O27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{D23D0D95-61CA-4186-A299-3C6333FC14F3}</x14:id>
        </ext>
      </extLst>
    </cfRule>
  </conditionalFormatting>
  <conditionalFormatting sqref="L27">
    <cfRule type="dataBar" priority="6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{BDAD478F-8723-46A9-96C6-ACA0A3F81DE9}</x14:id>
        </ext>
      </extLst>
    </cfRule>
    <cfRule type="dataBar" priority="6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{587BECE4-EA6A-4C86-950E-724FD9383378}</x14:id>
        </ext>
      </extLst>
    </cfRule>
  </conditionalFormatting>
  <conditionalFormatting sqref="L27">
    <cfRule type="dataBar" priority="6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{847D4ABB-5D8E-4AF0-8963-56A72353E7B1}</x14:id>
        </ext>
      </extLst>
    </cfRule>
  </conditionalFormatting>
  <conditionalFormatting sqref="L27">
    <cfRule type="dataBar" priority="6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{8AFDCCB1-5879-4CC1-96C4-57FBCD956FF6}</x14:id>
        </ext>
      </extLst>
    </cfRule>
  </conditionalFormatting>
  <conditionalFormatting sqref="O27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{4ED1F75B-9D48-4CEA-9DD4-4AA69AC64C64}</x14:id>
        </ext>
      </extLst>
    </cfRule>
  </conditionalFormatting>
  <conditionalFormatting sqref="Q27">
    <cfRule type="dataBar" priority="6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{1AFAA61F-F994-4259-8D2C-9A9AB0692D19}</x14:id>
        </ext>
      </extLst>
    </cfRule>
  </conditionalFormatting>
  <conditionalFormatting sqref="R27">
    <cfRule type="dataBar" priority="6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{815C952F-0F1E-497A-BCC9-3CB2ECEA9EA8}</x14:id>
        </ext>
      </extLst>
    </cfRule>
  </conditionalFormatting>
  <conditionalFormatting sqref="L27">
    <cfRule type="dataBar" priority="6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{19122D3F-0F18-47ED-AAC3-6BA4F2EE035C}</x14:id>
        </ext>
      </extLst>
    </cfRule>
  </conditionalFormatting>
  <conditionalFormatting sqref="L27">
    <cfRule type="dataBar" priority="6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{90E188C8-03FB-4938-9EF2-FABC5F987114}</x14:id>
        </ext>
      </extLst>
    </cfRule>
  </conditionalFormatting>
  <conditionalFormatting sqref="O27"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{99B2EAD6-5B0A-47D0-B94D-F98A2B094F82}</x14:id>
        </ext>
      </extLst>
    </cfRule>
  </conditionalFormatting>
  <conditionalFormatting sqref="Q27">
    <cfRule type="dataBar" priority="6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{B0608D64-C023-4327-B5F6-F7AB0960D7DE}</x14:id>
        </ext>
      </extLst>
    </cfRule>
  </conditionalFormatting>
  <conditionalFormatting sqref="R27">
    <cfRule type="dataBar" priority="6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{5079DBFA-DBEB-4B39-BE90-7B16F0E6170C}</x14:id>
        </ext>
      </extLst>
    </cfRule>
  </conditionalFormatting>
  <conditionalFormatting sqref="L27">
    <cfRule type="dataBar" priority="6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{CE514FAC-0274-42AB-9710-51787C25E825}</x14:id>
        </ext>
      </extLst>
    </cfRule>
  </conditionalFormatting>
  <conditionalFormatting sqref="O27">
    <cfRule type="dataBar" priority="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{46D704AA-6EE8-44B7-B0C2-1D5D5E9D24B0}</x14:id>
        </ext>
      </extLst>
    </cfRule>
  </conditionalFormatting>
  <conditionalFormatting sqref="Q27">
    <cfRule type="dataBar" priority="6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{CD001ADF-DE44-4E1A-8F70-39E0E68E9DFB}</x14:id>
        </ext>
      </extLst>
    </cfRule>
  </conditionalFormatting>
  <conditionalFormatting sqref="R27">
    <cfRule type="dataBar" priority="6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{97F9465C-D35C-4B0E-AD64-D58681FB42CF}</x14:id>
        </ext>
      </extLst>
    </cfRule>
  </conditionalFormatting>
  <conditionalFormatting sqref="L27">
    <cfRule type="dataBar" priority="6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{B5EBE321-51D0-4891-AEDA-3E7BAE27D99E}</x14:id>
        </ext>
      </extLst>
    </cfRule>
  </conditionalFormatting>
  <conditionalFormatting sqref="O27">
    <cfRule type="dataBar" priority="6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{41EE02CD-34C6-4E0B-8541-2489F1F2BAE7}</x14:id>
        </ext>
      </extLst>
    </cfRule>
  </conditionalFormatting>
  <conditionalFormatting sqref="Q27">
    <cfRule type="dataBar" priority="6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{EF77A8CB-2C5D-4702-932B-A4DA1992F90D}</x14:id>
        </ext>
      </extLst>
    </cfRule>
  </conditionalFormatting>
  <conditionalFormatting sqref="R27">
    <cfRule type="dataBar" priority="6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{4DEAEEAB-5EA4-41D0-ACDF-75599F4D8895}</x14:id>
        </ext>
      </extLst>
    </cfRule>
  </conditionalFormatting>
  <conditionalFormatting sqref="Q18">
    <cfRule type="dataBar" priority="5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{1611956C-733C-45FB-B43B-26547A921833}</x14:id>
        </ext>
      </extLst>
    </cfRule>
  </conditionalFormatting>
  <conditionalFormatting sqref="Q18">
    <cfRule type="dataBar" priority="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{62AA1512-FE35-448C-A050-179D8442EF43}</x14:id>
        </ext>
      </extLst>
    </cfRule>
  </conditionalFormatting>
  <conditionalFormatting sqref="R18">
    <cfRule type="dataBar" priority="5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{F96D385D-788B-4214-9ACC-9F2AA25CAE2E}</x14:id>
        </ext>
      </extLst>
    </cfRule>
    <cfRule type="dataBar" priority="5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{08F776BF-C0FB-40A8-BABA-FBB63DFEA0F8}</x14:id>
        </ext>
      </extLst>
    </cfRule>
  </conditionalFormatting>
  <conditionalFormatting sqref="Q18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{BCD427E3-7162-4627-A03B-D7C0D96AC0D1}</x14:id>
        </ext>
      </extLst>
    </cfRule>
  </conditionalFormatting>
  <conditionalFormatting sqref="R18">
    <cfRule type="dataBar" priority="5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{768C68D5-3C26-45BD-A9E1-DB18526EE3D6}</x14:id>
        </ext>
      </extLst>
    </cfRule>
  </conditionalFormatting>
  <conditionalFormatting sqref="Q18">
    <cfRule type="dataBar" priority="5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{C3B5EC46-DBFA-4D54-8D02-C19DA6C9F891}</x14:id>
        </ext>
      </extLst>
    </cfRule>
  </conditionalFormatting>
  <conditionalFormatting sqref="R18">
    <cfRule type="dataBar" priority="5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{CF9A0F0B-56EB-4EE0-86FD-801AE4585191}</x14:id>
        </ext>
      </extLst>
    </cfRule>
  </conditionalFormatting>
  <conditionalFormatting sqref="Q18">
    <cfRule type="dataBar" priority="5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{94A40D82-C5DB-469C-A795-96DDB09E3B8E}</x14:id>
        </ext>
      </extLst>
    </cfRule>
  </conditionalFormatting>
  <conditionalFormatting sqref="R18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{9E3C86DA-B005-4C1E-A203-B0AEE69D8B7D}</x14:id>
        </ext>
      </extLst>
    </cfRule>
  </conditionalFormatting>
  <conditionalFormatting sqref="R18">
    <cfRule type="dataBar" priority="5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{2A067192-6DB8-4F5E-BAC6-5C5FA258E543}</x14:id>
        </ext>
      </extLst>
    </cfRule>
  </conditionalFormatting>
  <conditionalFormatting sqref="O18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{D558D3AA-43FF-4A75-9C5A-C22A4D240515}</x14:id>
        </ext>
      </extLst>
    </cfRule>
    <cfRule type="dataBar" priority="5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{D9E4B32B-C766-4F15-B857-182E23A9187F}</x14:id>
        </ext>
      </extLst>
    </cfRule>
  </conditionalFormatting>
  <conditionalFormatting sqref="O18">
    <cfRule type="dataBar" priority="5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{FD742D88-CE8F-43EB-AF1E-621781DE3238}</x14:id>
        </ext>
      </extLst>
    </cfRule>
  </conditionalFormatting>
  <conditionalFormatting sqref="O18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{D5F2BD54-839E-4FF5-8197-6E20CCD3565D}</x14:id>
        </ext>
      </extLst>
    </cfRule>
  </conditionalFormatting>
  <conditionalFormatting sqref="L18">
    <cfRule type="dataBar" priority="5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{6A959DFF-A491-4080-BBA3-A14876584971}</x14:id>
        </ext>
      </extLst>
    </cfRule>
    <cfRule type="dataBar" priority="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{9AD3A09C-7422-46B9-AC98-1C195342FE33}</x14:id>
        </ext>
      </extLst>
    </cfRule>
  </conditionalFormatting>
  <conditionalFormatting sqref="L18">
    <cfRule type="dataBar" priority="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{94A154E5-F240-4BD9-8C9E-2B0D7AFBB291}</x14:id>
        </ext>
      </extLst>
    </cfRule>
  </conditionalFormatting>
  <conditionalFormatting sqref="L18">
    <cfRule type="dataBar" priority="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{E83F4D5B-9AE0-4D83-B0F1-D25574DBA7E7}</x14:id>
        </ext>
      </extLst>
    </cfRule>
  </conditionalFormatting>
  <conditionalFormatting sqref="O18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{81136FA8-C226-4091-80BB-8CEAFDA91C82}</x14:id>
        </ext>
      </extLst>
    </cfRule>
  </conditionalFormatting>
  <conditionalFormatting sqref="Q18">
    <cfRule type="dataBar" priority="5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{D3B8C3D6-46DE-4AD3-8450-6D5D165B8461}</x14:id>
        </ext>
      </extLst>
    </cfRule>
  </conditionalFormatting>
  <conditionalFormatting sqref="R18">
    <cfRule type="dataBar" priority="5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{EFEF96E4-2942-4CC1-A736-82FEE9B49F96}</x14:id>
        </ext>
      </extLst>
    </cfRule>
  </conditionalFormatting>
  <conditionalFormatting sqref="L18">
    <cfRule type="dataBar" priority="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{4C28F613-0E0B-4009-A87D-CA245B261C48}</x14:id>
        </ext>
      </extLst>
    </cfRule>
  </conditionalFormatting>
  <conditionalFormatting sqref="L18">
    <cfRule type="dataBar" priority="5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{F014756A-E35A-4AA6-A269-E91C7D958786}</x14:id>
        </ext>
      </extLst>
    </cfRule>
  </conditionalFormatting>
  <conditionalFormatting sqref="O18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{26F27462-A7DC-410F-BF09-4EBA3AA94948}</x14:id>
        </ext>
      </extLst>
    </cfRule>
  </conditionalFormatting>
  <conditionalFormatting sqref="Q18">
    <cfRule type="dataBar" priority="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{7C707AA3-B4A6-4D1C-A025-9F0FA2EF9230}</x14:id>
        </ext>
      </extLst>
    </cfRule>
  </conditionalFormatting>
  <conditionalFormatting sqref="R18">
    <cfRule type="dataBar" priority="5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{04C0A60D-AB74-4980-9294-855B1AAA5E4C}</x14:id>
        </ext>
      </extLst>
    </cfRule>
  </conditionalFormatting>
  <conditionalFormatting sqref="L18">
    <cfRule type="dataBar" priority="5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{4A67E65A-3A0E-4B39-809A-6F8DD164A359}</x14:id>
        </ext>
      </extLst>
    </cfRule>
  </conditionalFormatting>
  <conditionalFormatting sqref="O18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{74D27DE1-1AC3-4E7D-B6A6-722016BCC278}</x14:id>
        </ext>
      </extLst>
    </cfRule>
  </conditionalFormatting>
  <conditionalFormatting sqref="Q18">
    <cfRule type="dataBar" priority="5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{99BEBEAA-0FD7-46E5-AEDD-873054F1706A}</x14:id>
        </ext>
      </extLst>
    </cfRule>
  </conditionalFormatting>
  <conditionalFormatting sqref="R18">
    <cfRule type="dataBar" priority="5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{1CDC3910-A7DB-4DA2-9FD6-961F6C8BB4E2}</x14:id>
        </ext>
      </extLst>
    </cfRule>
  </conditionalFormatting>
  <conditionalFormatting sqref="L18">
    <cfRule type="dataBar" priority="5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{0BAD3E6A-94E7-432A-AF0E-6BF2665B458D}</x14:id>
        </ext>
      </extLst>
    </cfRule>
  </conditionalFormatting>
  <conditionalFormatting sqref="O18">
    <cfRule type="dataBar" priority="5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{FD1F3F32-7B27-47AC-A1D5-BC7A14DA5A89}</x14:id>
        </ext>
      </extLst>
    </cfRule>
  </conditionalFormatting>
  <conditionalFormatting sqref="Q18">
    <cfRule type="dataBar" priority="5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{9A11F5C8-1FE7-4AD2-882F-05F7907227BD}</x14:id>
        </ext>
      </extLst>
    </cfRule>
  </conditionalFormatting>
  <conditionalFormatting sqref="R18">
    <cfRule type="dataBar" priority="5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{188FA359-BAF3-45B5-AC32-06E433842F41}</x14:id>
        </ext>
      </extLst>
    </cfRule>
  </conditionalFormatting>
  <conditionalFormatting sqref="Q18">
    <cfRule type="dataBar" priority="5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{316BCD37-E8E5-4D6A-B50B-B76849F43BCB}</x14:id>
        </ext>
      </extLst>
    </cfRule>
  </conditionalFormatting>
  <conditionalFormatting sqref="Q18">
    <cfRule type="dataBar" priority="5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{4F0EBDD1-4809-41F6-B887-2E17A401BF8E}</x14:id>
        </ext>
      </extLst>
    </cfRule>
  </conditionalFormatting>
  <conditionalFormatting sqref="R18">
    <cfRule type="dataBar" priority="5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{C0D66974-F438-47DE-BB31-4A7DAC7A8FBB}</x14:id>
        </ext>
      </extLst>
    </cfRule>
    <cfRule type="dataBar" priority="5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{CFF9F89E-EB18-4D64-AEE3-8F3D541FFFC1}</x14:id>
        </ext>
      </extLst>
    </cfRule>
  </conditionalFormatting>
  <conditionalFormatting sqref="Q18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{1572E21E-9BBC-4C9A-9AEE-9325778CF7E4}</x14:id>
        </ext>
      </extLst>
    </cfRule>
  </conditionalFormatting>
  <conditionalFormatting sqref="R18">
    <cfRule type="dataBar" priority="5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{9354FB3F-62D5-4FD3-90D2-0D89FC9A163A}</x14:id>
        </ext>
      </extLst>
    </cfRule>
  </conditionalFormatting>
  <conditionalFormatting sqref="Q18">
    <cfRule type="dataBar" priority="5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{89CF3069-6080-462B-B11F-8C92B3F2DDA9}</x14:id>
        </ext>
      </extLst>
    </cfRule>
  </conditionalFormatting>
  <conditionalFormatting sqref="R18">
    <cfRule type="dataBar" priority="5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{09FC9BAD-DA6D-4331-8556-C651ED5CD5AA}</x14:id>
        </ext>
      </extLst>
    </cfRule>
  </conditionalFormatting>
  <conditionalFormatting sqref="Q18">
    <cfRule type="dataBar" priority="5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{90C5CCB9-59EB-49CC-A7EF-03B2C76B9FC8}</x14:id>
        </ext>
      </extLst>
    </cfRule>
  </conditionalFormatting>
  <conditionalFormatting sqref="R18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{51092486-DC42-47FC-9AF9-2A35ABB4B56E}</x14:id>
        </ext>
      </extLst>
    </cfRule>
  </conditionalFormatting>
  <conditionalFormatting sqref="R18">
    <cfRule type="dataBar" priority="5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{F4AB0EC3-F8C5-456A-9A7E-B2188A46DAD0}</x14:id>
        </ext>
      </extLst>
    </cfRule>
  </conditionalFormatting>
  <conditionalFormatting sqref="O18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{0DB09E9C-90D9-4276-A342-AC1C8049051F}</x14:id>
        </ext>
      </extLst>
    </cfRule>
    <cfRule type="dataBar" priority="5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{C8038224-A585-4796-91D7-288B84F38A50}</x14:id>
        </ext>
      </extLst>
    </cfRule>
  </conditionalFormatting>
  <conditionalFormatting sqref="O18">
    <cfRule type="dataBar" priority="5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{B99CA018-4421-4E80-AEE1-7A7C779C2AD4}</x14:id>
        </ext>
      </extLst>
    </cfRule>
  </conditionalFormatting>
  <conditionalFormatting sqref="O18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{049D85F1-102D-4468-AA1E-6AD0AC8BFC4E}</x14:id>
        </ext>
      </extLst>
    </cfRule>
  </conditionalFormatting>
  <conditionalFormatting sqref="L18">
    <cfRule type="dataBar" priority="5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{DEB6A53A-AACD-48D4-AA26-7AAF0BFCC3F1}</x14:id>
        </ext>
      </extLst>
    </cfRule>
    <cfRule type="dataBar" priority="5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{BC318B20-DF83-47C9-89EB-B8261423AB24}</x14:id>
        </ext>
      </extLst>
    </cfRule>
  </conditionalFormatting>
  <conditionalFormatting sqref="L18">
    <cfRule type="dataBar" priority="5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{9F8ED592-30DF-4DDE-9CF2-812A094AFFCF}</x14:id>
        </ext>
      </extLst>
    </cfRule>
  </conditionalFormatting>
  <conditionalFormatting sqref="L18">
    <cfRule type="dataBar" priority="5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{7F95D370-6F84-448F-9515-4E1B1C1A6317}</x14:id>
        </ext>
      </extLst>
    </cfRule>
  </conditionalFormatting>
  <conditionalFormatting sqref="O18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{7F582849-A60C-4CB0-96C8-FB88E6C85FEA}</x14:id>
        </ext>
      </extLst>
    </cfRule>
  </conditionalFormatting>
  <conditionalFormatting sqref="Q18">
    <cfRule type="dataBar" priority="5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{8160406E-CE6E-454C-8FAB-2D7796DADDCD}</x14:id>
        </ext>
      </extLst>
    </cfRule>
  </conditionalFormatting>
  <conditionalFormatting sqref="R18">
    <cfRule type="dataBar" priority="5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{529DB150-644C-4C4E-AE0C-394EE4E0C861}</x14:id>
        </ext>
      </extLst>
    </cfRule>
  </conditionalFormatting>
  <conditionalFormatting sqref="L18">
    <cfRule type="dataBar" priority="5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{E9396E80-9D94-4708-80BC-BA1AA84D841D}</x14:id>
        </ext>
      </extLst>
    </cfRule>
  </conditionalFormatting>
  <conditionalFormatting sqref="L18">
    <cfRule type="dataBar" priority="5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{71F4FE72-5AE8-43C3-8003-7E6421071457}</x14:id>
        </ext>
      </extLst>
    </cfRule>
  </conditionalFormatting>
  <conditionalFormatting sqref="O18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{CF511D07-80A4-43CB-AAC7-6DD1A31D75BB}</x14:id>
        </ext>
      </extLst>
    </cfRule>
  </conditionalFormatting>
  <conditionalFormatting sqref="Q18">
    <cfRule type="dataBar" priority="5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{51BC66B0-691C-4A21-A877-375C9810BB77}</x14:id>
        </ext>
      </extLst>
    </cfRule>
  </conditionalFormatting>
  <conditionalFormatting sqref="R18">
    <cfRule type="dataBar" priority="5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{38606CBB-F4AA-4A14-A808-2E77404971F7}</x14:id>
        </ext>
      </extLst>
    </cfRule>
  </conditionalFormatting>
  <conditionalFormatting sqref="L18">
    <cfRule type="dataBar" priority="5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{E3985A34-AD98-4392-9ED5-82181C20F87B}</x14:id>
        </ext>
      </extLst>
    </cfRule>
  </conditionalFormatting>
  <conditionalFormatting sqref="O18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{7AA6B390-0D8B-49A2-A225-FA58EF96E10E}</x14:id>
        </ext>
      </extLst>
    </cfRule>
  </conditionalFormatting>
  <conditionalFormatting sqref="Q18">
    <cfRule type="dataBar" priority="5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{CC8932FF-D07A-430A-93BA-BFE17D4785CB}</x14:id>
        </ext>
      </extLst>
    </cfRule>
  </conditionalFormatting>
  <conditionalFormatting sqref="R18">
    <cfRule type="dataBar" priority="5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{2AED896B-DB0A-4641-8C59-C3668F696819}</x14:id>
        </ext>
      </extLst>
    </cfRule>
  </conditionalFormatting>
  <conditionalFormatting sqref="L18">
    <cfRule type="dataBar" priority="5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{04C52C4D-9E97-48E3-A0AC-E5258C532A58}</x14:id>
        </ext>
      </extLst>
    </cfRule>
  </conditionalFormatting>
  <conditionalFormatting sqref="O18">
    <cfRule type="dataBar" priority="4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{F7457CF4-C60D-453B-8CA9-27FA0786992F}</x14:id>
        </ext>
      </extLst>
    </cfRule>
  </conditionalFormatting>
  <conditionalFormatting sqref="Q18">
    <cfRule type="dataBar" priority="4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{D59D2D9A-CFC0-4A77-BD0B-2607B09EA523}</x14:id>
        </ext>
      </extLst>
    </cfRule>
  </conditionalFormatting>
  <conditionalFormatting sqref="R18">
    <cfRule type="dataBar" priority="4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{C2CAA6EF-B010-4AAF-BBA8-1A18E787B2D8}</x14:id>
        </ext>
      </extLst>
    </cfRule>
  </conditionalFormatting>
  <conditionalFormatting sqref="Q19">
    <cfRule type="dataBar" priority="4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{6AAD2DCE-F52A-4FEB-A824-EE4CF28B4240}</x14:id>
        </ext>
      </extLst>
    </cfRule>
  </conditionalFormatting>
  <conditionalFormatting sqref="Q19">
    <cfRule type="dataBar" priority="4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{5B0672B5-9BA3-4110-867B-C9F54F0E1169}</x14:id>
        </ext>
      </extLst>
    </cfRule>
  </conditionalFormatting>
  <conditionalFormatting sqref="R19">
    <cfRule type="dataBar" priority="4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{B1133143-BF33-4BCF-9AD5-BBD6D7D71AFE}</x14:id>
        </ext>
      </extLst>
    </cfRule>
    <cfRule type="dataBar" priority="4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{C9D2C82A-8BD8-49DE-B0DB-E68BE8C5CB94}</x14:id>
        </ext>
      </extLst>
    </cfRule>
  </conditionalFormatting>
  <conditionalFormatting sqref="Q19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{47D31499-6823-4F28-85FB-928BF7F75686}</x14:id>
        </ext>
      </extLst>
    </cfRule>
  </conditionalFormatting>
  <conditionalFormatting sqref="R19">
    <cfRule type="dataBar" priority="4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{1AF5A26A-5E08-4ED4-B43D-B229B018DD2C}</x14:id>
        </ext>
      </extLst>
    </cfRule>
  </conditionalFormatting>
  <conditionalFormatting sqref="Q19">
    <cfRule type="dataBar" priority="4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{BEF4E74B-5055-4681-A2A1-A1D23451D251}</x14:id>
        </ext>
      </extLst>
    </cfRule>
  </conditionalFormatting>
  <conditionalFormatting sqref="R19">
    <cfRule type="dataBar" priority="4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{EA5F8B1F-1D26-4BFB-8FF2-A9E36DB0A0C3}</x14:id>
        </ext>
      </extLst>
    </cfRule>
  </conditionalFormatting>
  <conditionalFormatting sqref="Q19">
    <cfRule type="dataBar" priority="4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{D734C768-FFB5-4410-95A0-2D8DF3064F91}</x14:id>
        </ext>
      </extLst>
    </cfRule>
  </conditionalFormatting>
  <conditionalFormatting sqref="R19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{75CAC20D-7230-469E-9C4A-D47390BC966C}</x14:id>
        </ext>
      </extLst>
    </cfRule>
  </conditionalFormatting>
  <conditionalFormatting sqref="R19">
    <cfRule type="dataBar" priority="4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{9583B98E-6588-4DDB-9BB8-912CD6726C9C}</x14:id>
        </ext>
      </extLst>
    </cfRule>
  </conditionalFormatting>
  <conditionalFormatting sqref="O19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{55F07C84-34F5-4C53-8C88-8E0C36DCD1A1}</x14:id>
        </ext>
      </extLst>
    </cfRule>
    <cfRule type="dataBar" priority="4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{246D4C40-0165-4973-8A26-01EFF1CC3664}</x14:id>
        </ext>
      </extLst>
    </cfRule>
  </conditionalFormatting>
  <conditionalFormatting sqref="O19">
    <cfRule type="dataBar" priority="4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{9635415C-67B9-468E-8FA5-5E94C448CC7C}</x14:id>
        </ext>
      </extLst>
    </cfRule>
  </conditionalFormatting>
  <conditionalFormatting sqref="O19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{1CB2016B-DF91-4FC3-AFB8-DE6949F3945A}</x14:id>
        </ext>
      </extLst>
    </cfRule>
  </conditionalFormatting>
  <conditionalFormatting sqref="L19"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{2468FBC1-037E-4672-9911-4D2F662B0F11}</x14:id>
        </ext>
      </extLst>
    </cfRule>
    <cfRule type="dataBar" priority="4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{763D03FB-D6FC-42BB-8CFB-D95CAD474593}</x14:id>
        </ext>
      </extLst>
    </cfRule>
  </conditionalFormatting>
  <conditionalFormatting sqref="L19">
    <cfRule type="dataBar" priority="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{BB227717-5AFE-4CA3-8D8B-5EADC78FC7B6}</x14:id>
        </ext>
      </extLst>
    </cfRule>
  </conditionalFormatting>
  <conditionalFormatting sqref="L19">
    <cfRule type="dataBar" priority="4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{6E9B2DD4-13FB-4691-8A58-475FE634DF7F}</x14:id>
        </ext>
      </extLst>
    </cfRule>
  </conditionalFormatting>
  <conditionalFormatting sqref="O19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{36D30CF8-BF0F-4E0A-BFC1-04787A9E62B4}</x14:id>
        </ext>
      </extLst>
    </cfRule>
  </conditionalFormatting>
  <conditionalFormatting sqref="Q19">
    <cfRule type="dataBar" priority="4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{6DE32197-E4FC-40E0-8A99-56B2B9BEECA9}</x14:id>
        </ext>
      </extLst>
    </cfRule>
  </conditionalFormatting>
  <conditionalFormatting sqref="R19">
    <cfRule type="dataBar" priority="4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{49C16228-2739-4B80-89E3-A0EB1D5528B7}</x14:id>
        </ext>
      </extLst>
    </cfRule>
  </conditionalFormatting>
  <conditionalFormatting sqref="L19">
    <cfRule type="dataBar" priority="4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{7D5757CC-C559-4ABD-8D9A-7F658E625DDB}</x14:id>
        </ext>
      </extLst>
    </cfRule>
  </conditionalFormatting>
  <conditionalFormatting sqref="L19">
    <cfRule type="dataBar" priority="4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{854C1073-3A62-4A46-BCB0-3312D270360A}</x14:id>
        </ext>
      </extLst>
    </cfRule>
  </conditionalFormatting>
  <conditionalFormatting sqref="O19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{EE9294D4-D910-469F-99A3-732195ABE1D7}</x14:id>
        </ext>
      </extLst>
    </cfRule>
  </conditionalFormatting>
  <conditionalFormatting sqref="Q19">
    <cfRule type="dataBar" priority="4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{E2D60D8E-5C2B-4DFB-80FC-C444D2BA9024}</x14:id>
        </ext>
      </extLst>
    </cfRule>
  </conditionalFormatting>
  <conditionalFormatting sqref="R19">
    <cfRule type="dataBar" priority="4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{B0764388-76E7-4C52-A409-DA667ADBB8CA}</x14:id>
        </ext>
      </extLst>
    </cfRule>
  </conditionalFormatting>
  <conditionalFormatting sqref="L19">
    <cfRule type="dataBar" priority="4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{AA488E43-29DD-4B09-B7B4-FAAA80F54360}</x14:id>
        </ext>
      </extLst>
    </cfRule>
  </conditionalFormatting>
  <conditionalFormatting sqref="O19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{1D8FE32B-DA1F-4F53-80C5-D6B9A0725A45}</x14:id>
        </ext>
      </extLst>
    </cfRule>
  </conditionalFormatting>
  <conditionalFormatting sqref="Q19">
    <cfRule type="dataBar" priority="4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{E5245BA3-26B8-45F1-9FB9-1AC32836255A}</x14:id>
        </ext>
      </extLst>
    </cfRule>
  </conditionalFormatting>
  <conditionalFormatting sqref="R19">
    <cfRule type="dataBar" priority="4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{2B39CBFD-9F27-415F-AD2E-9D4741412294}</x14:id>
        </ext>
      </extLst>
    </cfRule>
  </conditionalFormatting>
  <conditionalFormatting sqref="L19">
    <cfRule type="dataBar" priority="4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{205450D5-20B8-469E-93D4-00C488F8823D}</x14:id>
        </ext>
      </extLst>
    </cfRule>
  </conditionalFormatting>
  <conditionalFormatting sqref="O19">
    <cfRule type="dataBar" priority="4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{20ECF5C0-D372-405E-9984-A24E0FA18989}</x14:id>
        </ext>
      </extLst>
    </cfRule>
  </conditionalFormatting>
  <conditionalFormatting sqref="Q19">
    <cfRule type="dataBar" priority="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{E66A25AB-5A75-45B2-A91A-DD76C561F5EA}</x14:id>
        </ext>
      </extLst>
    </cfRule>
  </conditionalFormatting>
  <conditionalFormatting sqref="R19">
    <cfRule type="dataBar" priority="4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{E5B5708A-B46F-4BB5-8C2A-07363868E4ED}</x14:id>
        </ext>
      </extLst>
    </cfRule>
  </conditionalFormatting>
  <conditionalFormatting sqref="Q19">
    <cfRule type="dataBar" priority="4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{270778D2-9BDA-45A2-BBA1-5CC60318EB25}</x14:id>
        </ext>
      </extLst>
    </cfRule>
  </conditionalFormatting>
  <conditionalFormatting sqref="Q19">
    <cfRule type="dataBar" priority="4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{EB1FF8F9-0D30-409C-BA9C-7A96BF2D7B61}</x14:id>
        </ext>
      </extLst>
    </cfRule>
  </conditionalFormatting>
  <conditionalFormatting sqref="R19">
    <cfRule type="dataBar" priority="4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{DD8C0B8D-9FA3-4234-944E-16E79F054C1C}</x14:id>
        </ext>
      </extLst>
    </cfRule>
    <cfRule type="dataBar" priority="4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{53E124DE-DF11-40F0-82EB-B62C50E5A7CE}</x14:id>
        </ext>
      </extLst>
    </cfRule>
  </conditionalFormatting>
  <conditionalFormatting sqref="Q19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{6756C787-04E1-427C-89E6-CCBD5869904F}</x14:id>
        </ext>
      </extLst>
    </cfRule>
  </conditionalFormatting>
  <conditionalFormatting sqref="R19">
    <cfRule type="dataBar" priority="4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{28A7FF09-D221-4125-A031-2D2744A50828}</x14:id>
        </ext>
      </extLst>
    </cfRule>
  </conditionalFormatting>
  <conditionalFormatting sqref="Q19">
    <cfRule type="dataBar" priority="4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{EB674CD0-4CFB-458A-9A24-F83E73BE259C}</x14:id>
        </ext>
      </extLst>
    </cfRule>
  </conditionalFormatting>
  <conditionalFormatting sqref="R19">
    <cfRule type="dataBar" priority="4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{DA2C3E51-7057-468A-8E86-8F8BBE2E33DA}</x14:id>
        </ext>
      </extLst>
    </cfRule>
  </conditionalFormatting>
  <conditionalFormatting sqref="Q19">
    <cfRule type="dataBar" priority="4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{7400BAFE-F763-405A-A7B7-019F698B827A}</x14:id>
        </ext>
      </extLst>
    </cfRule>
  </conditionalFormatting>
  <conditionalFormatting sqref="R19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{B1BE9100-03FA-4D07-A42B-F8EA9F81F781}</x14:id>
        </ext>
      </extLst>
    </cfRule>
  </conditionalFormatting>
  <conditionalFormatting sqref="R19">
    <cfRule type="dataBar" priority="4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{2833937C-8CC7-4223-99F6-A9964B4CF27C}</x14:id>
        </ext>
      </extLst>
    </cfRule>
  </conditionalFormatting>
  <conditionalFormatting sqref="O19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{8A620633-6C49-4422-A50D-E9BEC5042CE9}</x14:id>
        </ext>
      </extLst>
    </cfRule>
    <cfRule type="dataBar" priority="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{1B604317-066D-4571-A691-39AC868F49BF}</x14:id>
        </ext>
      </extLst>
    </cfRule>
  </conditionalFormatting>
  <conditionalFormatting sqref="O19">
    <cfRule type="dataBar" priority="4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{6AA76534-4162-4827-83D2-E1260399A446}</x14:id>
        </ext>
      </extLst>
    </cfRule>
  </conditionalFormatting>
  <conditionalFormatting sqref="O19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{3331EACB-741A-4709-BF61-5CC0A7D34339}</x14:id>
        </ext>
      </extLst>
    </cfRule>
  </conditionalFormatting>
  <conditionalFormatting sqref="L19">
    <cfRule type="dataBar" priority="4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{10CCEC9B-220B-41BE-BDBD-D9E57F87E2F6}</x14:id>
        </ext>
      </extLst>
    </cfRule>
    <cfRule type="dataBar" priority="4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{198CEB9F-B87C-4359-82E8-74582401066B}</x14:id>
        </ext>
      </extLst>
    </cfRule>
  </conditionalFormatting>
  <conditionalFormatting sqref="L19">
    <cfRule type="dataBar" priority="4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{0B1536C3-77B5-4151-B96B-7EE78D2666EA}</x14:id>
        </ext>
      </extLst>
    </cfRule>
  </conditionalFormatting>
  <conditionalFormatting sqref="L19">
    <cfRule type="dataBar" priority="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{60277E43-F2F3-4240-9BF1-ABDE3593D351}</x14:id>
        </ext>
      </extLst>
    </cfRule>
  </conditionalFormatting>
  <conditionalFormatting sqref="O19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{DE0B465E-6B5B-4782-A432-CF57C6295354}</x14:id>
        </ext>
      </extLst>
    </cfRule>
  </conditionalFormatting>
  <conditionalFormatting sqref="Q19">
    <cfRule type="dataBar" priority="4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{DB6980DB-5984-48B8-91ED-629E41624537}</x14:id>
        </ext>
      </extLst>
    </cfRule>
  </conditionalFormatting>
  <conditionalFormatting sqref="R19">
    <cfRule type="dataBar" priority="4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{6551A6C4-4F39-4EFE-97AC-F7B4C105AD28}</x14:id>
        </ext>
      </extLst>
    </cfRule>
  </conditionalFormatting>
  <conditionalFormatting sqref="L19">
    <cfRule type="dataBar" priority="4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{8777ADEB-2A1B-40F8-ADD7-5A382646EC1F}</x14:id>
        </ext>
      </extLst>
    </cfRule>
  </conditionalFormatting>
  <conditionalFormatting sqref="L19">
    <cfRule type="dataBar" priority="4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{508DF361-B597-44AE-9E07-E71A9C58B1A8}</x14:id>
        </ext>
      </extLst>
    </cfRule>
  </conditionalFormatting>
  <conditionalFormatting sqref="O19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{E1882745-6A33-4DB5-B043-BE80F5B3F325}</x14:id>
        </ext>
      </extLst>
    </cfRule>
  </conditionalFormatting>
  <conditionalFormatting sqref="Q19">
    <cfRule type="dataBar" priority="4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{ABEB35D4-E4BB-4EE8-82E9-AE8B375BEA1D}</x14:id>
        </ext>
      </extLst>
    </cfRule>
  </conditionalFormatting>
  <conditionalFormatting sqref="R19">
    <cfRule type="dataBar" priority="4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{98288C0E-5884-4D4D-8DE8-FC8D9D3FDBAC}</x14:id>
        </ext>
      </extLst>
    </cfRule>
  </conditionalFormatting>
  <conditionalFormatting sqref="L19">
    <cfRule type="dataBar" priority="4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{E55CFB0E-40BD-49B4-A30E-F8F1BAF34041}</x14:id>
        </ext>
      </extLst>
    </cfRule>
  </conditionalFormatting>
  <conditionalFormatting sqref="O19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{8E389DC0-F28B-41DD-8AE9-AC34379C4A69}</x14:id>
        </ext>
      </extLst>
    </cfRule>
  </conditionalFormatting>
  <conditionalFormatting sqref="Q19">
    <cfRule type="dataBar" priority="4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{4559E62A-BB7D-40F9-BB4C-DCF7629D919C}</x14:id>
        </ext>
      </extLst>
    </cfRule>
  </conditionalFormatting>
  <conditionalFormatting sqref="R19">
    <cfRule type="dataBar" priority="4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{C65F729B-125B-4A48-A47C-B0B45972A50F}</x14:id>
        </ext>
      </extLst>
    </cfRule>
  </conditionalFormatting>
  <conditionalFormatting sqref="L19">
    <cfRule type="dataBar" priority="4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{83295890-A621-4999-8F3C-BC430305AD20}</x14:id>
        </ext>
      </extLst>
    </cfRule>
  </conditionalFormatting>
  <conditionalFormatting sqref="O19">
    <cfRule type="dataBar" priority="4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{854D36C1-BD8F-4B5B-A57A-5EB267DC1B9D}</x14:id>
        </ext>
      </extLst>
    </cfRule>
  </conditionalFormatting>
  <conditionalFormatting sqref="Q19">
    <cfRule type="dataBar" priority="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{6B95835E-D5D2-4947-8DAE-E0151B3FF9D1}</x14:id>
        </ext>
      </extLst>
    </cfRule>
  </conditionalFormatting>
  <conditionalFormatting sqref="R19">
    <cfRule type="dataBar" priority="4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{B7868B5C-049A-46AA-8FCB-EB7ADA9094C2}</x14:id>
        </ext>
      </extLst>
    </cfRule>
  </conditionalFormatting>
  <conditionalFormatting sqref="Q20">
    <cfRule type="dataBar" priority="4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{10504F1C-B043-4658-88C0-E392590D99D7}</x14:id>
        </ext>
      </extLst>
    </cfRule>
  </conditionalFormatting>
  <conditionalFormatting sqref="Q20">
    <cfRule type="dataBar" priority="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{B3BD1579-7213-4FE6-9C16-1BD6836336EE}</x14:id>
        </ext>
      </extLst>
    </cfRule>
  </conditionalFormatting>
  <conditionalFormatting sqref="R20">
    <cfRule type="dataBar" priority="4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{F85BF1E9-2554-4537-B25F-520E93F20ED0}</x14:id>
        </ext>
      </extLst>
    </cfRule>
    <cfRule type="dataBar" priority="4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{D9BE80BF-B146-48A3-8780-0F656EF376F3}</x14:id>
        </ext>
      </extLst>
    </cfRule>
  </conditionalFormatting>
  <conditionalFormatting sqref="Q20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{0380AB62-69CE-4662-840E-EF74311A2C24}</x14:id>
        </ext>
      </extLst>
    </cfRule>
  </conditionalFormatting>
  <conditionalFormatting sqref="R20">
    <cfRule type="dataBar" priority="4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{24C59CE1-8F5F-4077-95AE-91D244121EC2}</x14:id>
        </ext>
      </extLst>
    </cfRule>
  </conditionalFormatting>
  <conditionalFormatting sqref="Q20">
    <cfRule type="dataBar" priority="4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{204F8D05-484E-40BB-B955-D75D91C5FADC}</x14:id>
        </ext>
      </extLst>
    </cfRule>
  </conditionalFormatting>
  <conditionalFormatting sqref="R20">
    <cfRule type="dataBar" priority="4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{FA631F70-1274-4627-B037-B6A36D0FCC5F}</x14:id>
        </ext>
      </extLst>
    </cfRule>
  </conditionalFormatting>
  <conditionalFormatting sqref="Q20">
    <cfRule type="dataBar" priority="4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{6BF344FF-A396-4015-80B3-5C257DA23EF0}</x14:id>
        </ext>
      </extLst>
    </cfRule>
  </conditionalFormatting>
  <conditionalFormatting sqref="R20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{DB404977-6A51-4AA9-B71E-AF428C7D70F5}</x14:id>
        </ext>
      </extLst>
    </cfRule>
  </conditionalFormatting>
  <conditionalFormatting sqref="R20">
    <cfRule type="dataBar" priority="4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{281E209A-6511-4919-B0A9-369266A26DC4}</x14:id>
        </ext>
      </extLst>
    </cfRule>
  </conditionalFormatting>
  <conditionalFormatting sqref="O20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{AC05E264-40B0-4284-A639-8C550CE0E896}</x14:id>
        </ext>
      </extLst>
    </cfRule>
    <cfRule type="dataBar" priority="4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{ABC92FC1-A547-460B-9CC2-DA0CAC68D2A2}</x14:id>
        </ext>
      </extLst>
    </cfRule>
  </conditionalFormatting>
  <conditionalFormatting sqref="O20">
    <cfRule type="dataBar" priority="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{01A5BBB4-78D6-4B31-9C0A-C74F061DF771}</x14:id>
        </ext>
      </extLst>
    </cfRule>
  </conditionalFormatting>
  <conditionalFormatting sqref="O20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{2E3962DD-1678-40E3-BB02-E270E0CE4CCD}</x14:id>
        </ext>
      </extLst>
    </cfRule>
  </conditionalFormatting>
  <conditionalFormatting sqref="L20">
    <cfRule type="dataBar" priority="4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{9EB82DC0-CA13-4FC5-A90C-9D74D66477E4}</x14:id>
        </ext>
      </extLst>
    </cfRule>
    <cfRule type="dataBar" priority="4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{A89BE625-2B72-434D-AA80-FB89BE43CDB7}</x14:id>
        </ext>
      </extLst>
    </cfRule>
  </conditionalFormatting>
  <conditionalFormatting sqref="L20">
    <cfRule type="dataBar" priority="4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{E28EDD04-DEE6-49A6-902F-D6DB4953631A}</x14:id>
        </ext>
      </extLst>
    </cfRule>
  </conditionalFormatting>
  <conditionalFormatting sqref="L20">
    <cfRule type="dataBar" priority="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{AB707F55-06BA-4489-9749-2EA8FD500977}</x14:id>
        </ext>
      </extLst>
    </cfRule>
  </conditionalFormatting>
  <conditionalFormatting sqref="O20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{9D395D25-D843-4565-94D2-ADB247E1DD40}</x14:id>
        </ext>
      </extLst>
    </cfRule>
  </conditionalFormatting>
  <conditionalFormatting sqref="Q20">
    <cfRule type="dataBar" priority="4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{4284FBE5-19A7-4ACD-8A27-FE5B522A6264}</x14:id>
        </ext>
      </extLst>
    </cfRule>
  </conditionalFormatting>
  <conditionalFormatting sqref="R20">
    <cfRule type="dataBar" priority="4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{E828E194-3D69-41CF-8245-CEAECCFB5124}</x14:id>
        </ext>
      </extLst>
    </cfRule>
  </conditionalFormatting>
  <conditionalFormatting sqref="L20">
    <cfRule type="dataBar" priority="4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{5A793311-1F6A-46D7-A1BA-F6EBB813E489}</x14:id>
        </ext>
      </extLst>
    </cfRule>
  </conditionalFormatting>
  <conditionalFormatting sqref="L20">
    <cfRule type="dataBar" priority="4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{7BF5BDF1-3088-4BB8-B3F4-21FAFADAE58D}</x14:id>
        </ext>
      </extLst>
    </cfRule>
  </conditionalFormatting>
  <conditionalFormatting sqref="O20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{EEB13264-5B73-49FE-8EAB-C77EBE9A1647}</x14:id>
        </ext>
      </extLst>
    </cfRule>
  </conditionalFormatting>
  <conditionalFormatting sqref="Q20">
    <cfRule type="dataBar" priority="4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{9A697941-C56E-422E-A782-CCED8B0A8E46}</x14:id>
        </ext>
      </extLst>
    </cfRule>
  </conditionalFormatting>
  <conditionalFormatting sqref="R20">
    <cfRule type="dataBar" priority="4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{151F189D-9CE3-4DBD-8259-B5DAA6EF2FA8}</x14:id>
        </ext>
      </extLst>
    </cfRule>
  </conditionalFormatting>
  <conditionalFormatting sqref="L20">
    <cfRule type="dataBar" priority="3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{5BF28928-C331-4EB3-BCE9-913F41F06491}</x14:id>
        </ext>
      </extLst>
    </cfRule>
  </conditionalFormatting>
  <conditionalFormatting sqref="O20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{51C0863B-AC2B-4604-BBF8-1B265F433547}</x14:id>
        </ext>
      </extLst>
    </cfRule>
  </conditionalFormatting>
  <conditionalFormatting sqref="Q20">
    <cfRule type="dataBar" priority="3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{E37C8F8E-3543-452A-9148-99BF64A7B823}</x14:id>
        </ext>
      </extLst>
    </cfRule>
  </conditionalFormatting>
  <conditionalFormatting sqref="R20">
    <cfRule type="dataBar" priority="3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{CA16E548-BA4B-4964-8C81-2E912B1085C6}</x14:id>
        </ext>
      </extLst>
    </cfRule>
  </conditionalFormatting>
  <conditionalFormatting sqref="L20">
    <cfRule type="dataBar" priority="3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{449B789C-AEA4-4DCB-B134-58F454B94AFC}</x14:id>
        </ext>
      </extLst>
    </cfRule>
  </conditionalFormatting>
  <conditionalFormatting sqref="O20">
    <cfRule type="dataBar" priority="3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{918A6C32-0789-42DA-B1F1-4EA342EEFD4F}</x14:id>
        </ext>
      </extLst>
    </cfRule>
  </conditionalFormatting>
  <conditionalFormatting sqref="Q20">
    <cfRule type="dataBar" priority="3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{AF497C9B-9B1F-4DE6-A2E5-55B81ECB5A95}</x14:id>
        </ext>
      </extLst>
    </cfRule>
  </conditionalFormatting>
  <conditionalFormatting sqref="R20">
    <cfRule type="dataBar" priority="3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{BC337157-002E-444D-AA49-9B8C86A7AEBD}</x14:id>
        </ext>
      </extLst>
    </cfRule>
  </conditionalFormatting>
  <conditionalFormatting sqref="Q20">
    <cfRule type="dataBar" priority="3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{9690E36C-B012-4F94-897E-BC8F13C9078C}</x14:id>
        </ext>
      </extLst>
    </cfRule>
  </conditionalFormatting>
  <conditionalFormatting sqref="Q20">
    <cfRule type="dataBar" priority="3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{81BC017D-F3B0-4959-AF1C-A3FA9B42E0EE}</x14:id>
        </ext>
      </extLst>
    </cfRule>
  </conditionalFormatting>
  <conditionalFormatting sqref="R20">
    <cfRule type="dataBar" priority="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{B2060ABB-66BE-4E7C-B1EF-5A59FF1B1895}</x14:id>
        </ext>
      </extLst>
    </cfRule>
    <cfRule type="dataBar" priority="3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{213221B6-DDF2-417E-AC2B-63203E854A04}</x14:id>
        </ext>
      </extLst>
    </cfRule>
  </conditionalFormatting>
  <conditionalFormatting sqref="Q20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{76229CEC-C3B6-4F1E-8D8E-C9E28EBBB4EC}</x14:id>
        </ext>
      </extLst>
    </cfRule>
  </conditionalFormatting>
  <conditionalFormatting sqref="R20">
    <cfRule type="dataBar" priority="3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{FC3D19B2-7AEB-4B0A-BE83-2B9909D55F6F}</x14:id>
        </ext>
      </extLst>
    </cfRule>
  </conditionalFormatting>
  <conditionalFormatting sqref="Q20">
    <cfRule type="dataBar" priority="3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{F2FFFE5E-FEAD-4F62-B5C0-31F9AB82F060}</x14:id>
        </ext>
      </extLst>
    </cfRule>
  </conditionalFormatting>
  <conditionalFormatting sqref="R20">
    <cfRule type="dataBar" priority="3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{910DBDC5-1A17-4314-B38A-BF5B55BC34FE}</x14:id>
        </ext>
      </extLst>
    </cfRule>
  </conditionalFormatting>
  <conditionalFormatting sqref="Q20">
    <cfRule type="dataBar" priority="3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{346C553E-66CE-4FC2-8874-624968094F9B}</x14:id>
        </ext>
      </extLst>
    </cfRule>
  </conditionalFormatting>
  <conditionalFormatting sqref="R20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{43B810DB-9C4A-423D-88D0-1B20837CC2CF}</x14:id>
        </ext>
      </extLst>
    </cfRule>
  </conditionalFormatting>
  <conditionalFormatting sqref="R20">
    <cfRule type="dataBar" priority="3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{96893827-8B8D-482D-ACBC-9E5B5072E3DA}</x14:id>
        </ext>
      </extLst>
    </cfRule>
  </conditionalFormatting>
  <conditionalFormatting sqref="O20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{58CDF26D-1390-4FAF-B85F-1FB9C739AA7A}</x14:id>
        </ext>
      </extLst>
    </cfRule>
    <cfRule type="dataBar" priority="3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{384C7D01-8631-4E12-A2F8-7FCBA72D27A0}</x14:id>
        </ext>
      </extLst>
    </cfRule>
  </conditionalFormatting>
  <conditionalFormatting sqref="O20">
    <cfRule type="dataBar" priority="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{FD313880-9CE6-4D4E-B06C-ABA915912EF7}</x14:id>
        </ext>
      </extLst>
    </cfRule>
  </conditionalFormatting>
  <conditionalFormatting sqref="O20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{5769A17C-B49A-4F69-ADBF-77722B872EA3}</x14:id>
        </ext>
      </extLst>
    </cfRule>
  </conditionalFormatting>
  <conditionalFormatting sqref="L20">
    <cfRule type="dataBar" priority="3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{B8BD2349-AA0C-4A14-83F2-AAD52612BC46}</x14:id>
        </ext>
      </extLst>
    </cfRule>
    <cfRule type="dataBar" priority="3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{0203726E-C66B-4949-ABEC-FC38413858F3}</x14:id>
        </ext>
      </extLst>
    </cfRule>
  </conditionalFormatting>
  <conditionalFormatting sqref="L20">
    <cfRule type="dataBar" priority="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{A576EAE8-1D12-4D4C-95B3-D20110F50FC7}</x14:id>
        </ext>
      </extLst>
    </cfRule>
  </conditionalFormatting>
  <conditionalFormatting sqref="L20">
    <cfRule type="dataBar" priority="3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{01F5DC88-9FF2-41D3-B690-3587A0F26B9B}</x14:id>
        </ext>
      </extLst>
    </cfRule>
  </conditionalFormatting>
  <conditionalFormatting sqref="O20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{7C863346-EDDF-40CF-ADB0-0ECEC27EF742}</x14:id>
        </ext>
      </extLst>
    </cfRule>
  </conditionalFormatting>
  <conditionalFormatting sqref="Q20"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{14805BDB-5A28-4E13-84BE-9CF0B1B1C212}</x14:id>
        </ext>
      </extLst>
    </cfRule>
  </conditionalFormatting>
  <conditionalFormatting sqref="R20">
    <cfRule type="dataBar" priority="3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{FC912E0F-2074-44BC-9B57-28C50BB186A1}</x14:id>
        </ext>
      </extLst>
    </cfRule>
  </conditionalFormatting>
  <conditionalFormatting sqref="L20"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{108CB31B-1833-46C4-9FDB-B7E07CF70A8E}</x14:id>
        </ext>
      </extLst>
    </cfRule>
  </conditionalFormatting>
  <conditionalFormatting sqref="L20">
    <cfRule type="dataBar" priority="3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{605161C3-F819-4DB7-96FA-07F514C5EE45}</x14:id>
        </ext>
      </extLst>
    </cfRule>
  </conditionalFormatting>
  <conditionalFormatting sqref="O20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{F511EF61-6934-4C83-993F-461E5EBA2D18}</x14:id>
        </ext>
      </extLst>
    </cfRule>
  </conditionalFormatting>
  <conditionalFormatting sqref="Q20">
    <cfRule type="dataBar" priority="3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{6D30B199-2457-4B3C-8A23-AC97A39C5D66}</x14:id>
        </ext>
      </extLst>
    </cfRule>
  </conditionalFormatting>
  <conditionalFormatting sqref="R20">
    <cfRule type="dataBar" priority="3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{CD746DBD-70C0-4921-BF35-19B9C4451812}</x14:id>
        </ext>
      </extLst>
    </cfRule>
  </conditionalFormatting>
  <conditionalFormatting sqref="L20">
    <cfRule type="dataBar" priority="3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{0CCA7F8B-9405-4224-8502-587CB719483E}</x14:id>
        </ext>
      </extLst>
    </cfRule>
  </conditionalFormatting>
  <conditionalFormatting sqref="O20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{FB3DF68D-FC22-44E5-B4DB-CB05CC8793EA}</x14:id>
        </ext>
      </extLst>
    </cfRule>
  </conditionalFormatting>
  <conditionalFormatting sqref="Q20">
    <cfRule type="dataBar" priority="3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{F40D2CA6-0C0B-4F82-B4F5-A2EA41A57456}</x14:id>
        </ext>
      </extLst>
    </cfRule>
  </conditionalFormatting>
  <conditionalFormatting sqref="R20">
    <cfRule type="dataBar" priority="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{6DC09BBA-7BFC-4925-8A18-797F319110B0}</x14:id>
        </ext>
      </extLst>
    </cfRule>
  </conditionalFormatting>
  <conditionalFormatting sqref="L20">
    <cfRule type="dataBar" priority="3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{78A10957-749E-4BA0-83EB-2084E48C1F4F}</x14:id>
        </ext>
      </extLst>
    </cfRule>
  </conditionalFormatting>
  <conditionalFormatting sqref="O20"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{433B5695-89F8-4962-8929-3308FA023D70}</x14:id>
        </ext>
      </extLst>
    </cfRule>
  </conditionalFormatting>
  <conditionalFormatting sqref="Q20">
    <cfRule type="dataBar" priority="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{08583466-4921-4087-8CA9-CF2A707A939C}</x14:id>
        </ext>
      </extLst>
    </cfRule>
  </conditionalFormatting>
  <conditionalFormatting sqref="R20">
    <cfRule type="dataBar" priority="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{41F679FD-1818-4DDB-8A65-C67794595623}</x14:id>
        </ext>
      </extLst>
    </cfRule>
  </conditionalFormatting>
  <conditionalFormatting sqref="Q21">
    <cfRule type="dataBar" priority="3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{61AA89F4-D648-448C-987F-9E6B9D293360}</x14:id>
        </ext>
      </extLst>
    </cfRule>
  </conditionalFormatting>
  <conditionalFormatting sqref="Q21"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{4222730F-D7D3-4D63-8020-CA1F2C2A4F8C}</x14:id>
        </ext>
      </extLst>
    </cfRule>
  </conditionalFormatting>
  <conditionalFormatting sqref="R21">
    <cfRule type="dataBar" priority="3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{BEF3C4F3-8233-4844-B6ED-D422DDC5B77D}</x14:id>
        </ext>
      </extLst>
    </cfRule>
    <cfRule type="dataBar" priority="3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{CE7014C6-3AC6-45AE-A675-CA9A5850070E}</x14:id>
        </ext>
      </extLst>
    </cfRule>
  </conditionalFormatting>
  <conditionalFormatting sqref="Q21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{93A33A54-3C84-4390-8729-BEE1AB443009}</x14:id>
        </ext>
      </extLst>
    </cfRule>
  </conditionalFormatting>
  <conditionalFormatting sqref="R21">
    <cfRule type="dataBar" priority="3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{ED4CAD99-6F07-455B-B2A1-881A0E734514}</x14:id>
        </ext>
      </extLst>
    </cfRule>
  </conditionalFormatting>
  <conditionalFormatting sqref="Q21">
    <cfRule type="dataBar" priority="3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{D748E8C8-BE2B-4BF6-84A2-8A73B985D386}</x14:id>
        </ext>
      </extLst>
    </cfRule>
  </conditionalFormatting>
  <conditionalFormatting sqref="R21">
    <cfRule type="dataBar" priority="3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{5266FE9D-9C5F-4BB5-8A18-10FA2EE0801F}</x14:id>
        </ext>
      </extLst>
    </cfRule>
  </conditionalFormatting>
  <conditionalFormatting sqref="Q21">
    <cfRule type="dataBar" priority="3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{F6141962-DEB7-400E-9ADB-B788010C9877}</x14:id>
        </ext>
      </extLst>
    </cfRule>
  </conditionalFormatting>
  <conditionalFormatting sqref="R21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{69418845-728A-4BA7-A8C2-0EA933FBB987}</x14:id>
        </ext>
      </extLst>
    </cfRule>
  </conditionalFormatting>
  <conditionalFormatting sqref="R21"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{B3748548-AD58-478D-A4B4-533664B3B7BB}</x14:id>
        </ext>
      </extLst>
    </cfRule>
  </conditionalFormatting>
  <conditionalFormatting sqref="O21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{889052BC-47CD-4F5F-9843-62A351ACEABD}</x14:id>
        </ext>
      </extLst>
    </cfRule>
    <cfRule type="dataBar" priority="3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{9BEF1C58-73A3-4800-86CE-A6EBCDDB1CC2}</x14:id>
        </ext>
      </extLst>
    </cfRule>
  </conditionalFormatting>
  <conditionalFormatting sqref="O21">
    <cfRule type="dataBar" priority="3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{1589FB2B-3EB6-4E8E-B3E1-AB8F94C16DE4}</x14:id>
        </ext>
      </extLst>
    </cfRule>
  </conditionalFormatting>
  <conditionalFormatting sqref="O21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{C20D9CF2-A48A-4CDD-A7EB-F4AE82765E1C}</x14:id>
        </ext>
      </extLst>
    </cfRule>
  </conditionalFormatting>
  <conditionalFormatting sqref="L21">
    <cfRule type="dataBar" priority="3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{1F2F6F35-0BC6-4C88-AEF7-6BEBB731938F}</x14:id>
        </ext>
      </extLst>
    </cfRule>
    <cfRule type="dataBar" priority="3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{93F172EC-A5A3-41A2-874C-B6EB8B1DF82F}</x14:id>
        </ext>
      </extLst>
    </cfRule>
  </conditionalFormatting>
  <conditionalFormatting sqref="L21">
    <cfRule type="dataBar" priority="3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{87ADF94F-B1AC-435B-AFD7-CCB30B49D1D1}</x14:id>
        </ext>
      </extLst>
    </cfRule>
  </conditionalFormatting>
  <conditionalFormatting sqref="L21">
    <cfRule type="dataBar" priority="3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{17D41CE9-500A-4C80-935D-DD5C76CE5AF1}</x14:id>
        </ext>
      </extLst>
    </cfRule>
  </conditionalFormatting>
  <conditionalFormatting sqref="O21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{80DAEB5B-A095-4939-B925-B3035F230DDB}</x14:id>
        </ext>
      </extLst>
    </cfRule>
  </conditionalFormatting>
  <conditionalFormatting sqref="Q21">
    <cfRule type="dataBar" priority="3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{2DBDCEA9-CBC6-4F10-9C5A-FE61CA2B22C2}</x14:id>
        </ext>
      </extLst>
    </cfRule>
  </conditionalFormatting>
  <conditionalFormatting sqref="R21">
    <cfRule type="dataBar" priority="3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{B79FB842-7212-4708-94FD-41DD364E93C9}</x14:id>
        </ext>
      </extLst>
    </cfRule>
  </conditionalFormatting>
  <conditionalFormatting sqref="L21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{B503F722-9267-40A3-822A-0730F34CC6E7}</x14:id>
        </ext>
      </extLst>
    </cfRule>
  </conditionalFormatting>
  <conditionalFormatting sqref="L21">
    <cfRule type="dataBar" priority="3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{0051D992-8ACC-4724-A250-BEBA9A5C4C00}</x14:id>
        </ext>
      </extLst>
    </cfRule>
  </conditionalFormatting>
  <conditionalFormatting sqref="O21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{E7EE33BD-4A62-41D4-9753-95C8989D0E20}</x14:id>
        </ext>
      </extLst>
    </cfRule>
  </conditionalFormatting>
  <conditionalFormatting sqref="Q21">
    <cfRule type="dataBar" priority="3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{394E5395-49CE-4A3C-8148-5799EC7D1671}</x14:id>
        </ext>
      </extLst>
    </cfRule>
  </conditionalFormatting>
  <conditionalFormatting sqref="R21"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{E8D50291-9754-4148-B625-5E5E3E51F773}</x14:id>
        </ext>
      </extLst>
    </cfRule>
  </conditionalFormatting>
  <conditionalFormatting sqref="L21">
    <cfRule type="dataBar" priority="3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{1C4553D6-7766-4A79-8E02-013B4789876C}</x14:id>
        </ext>
      </extLst>
    </cfRule>
  </conditionalFormatting>
  <conditionalFormatting sqref="O21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{D6CA18C5-AF74-4DB6-89A2-DBF80A2F8FA1}</x14:id>
        </ext>
      </extLst>
    </cfRule>
  </conditionalFormatting>
  <conditionalFormatting sqref="Q21"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{7BD490E3-F1F8-4CFE-ACFA-71E42BA27767}</x14:id>
        </ext>
      </extLst>
    </cfRule>
  </conditionalFormatting>
  <conditionalFormatting sqref="R21">
    <cfRule type="dataBar" priority="3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{350C37DF-04AD-4EDC-BB6F-AFEE5F7F1BA7}</x14:id>
        </ext>
      </extLst>
    </cfRule>
  </conditionalFormatting>
  <conditionalFormatting sqref="L21">
    <cfRule type="dataBar" priority="3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{59FA3AD8-B3D4-48C0-A9EB-ACC18921D51E}</x14:id>
        </ext>
      </extLst>
    </cfRule>
  </conditionalFormatting>
  <conditionalFormatting sqref="O21">
    <cfRule type="dataBar" priority="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{6033B68A-75C8-43F5-B42A-926A3BA71E35}</x14:id>
        </ext>
      </extLst>
    </cfRule>
  </conditionalFormatting>
  <conditionalFormatting sqref="Q21">
    <cfRule type="dataBar" priority="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{2CA5B948-F34C-4C65-9834-F22DA7F5B970}</x14:id>
        </ext>
      </extLst>
    </cfRule>
  </conditionalFormatting>
  <conditionalFormatting sqref="R21">
    <cfRule type="dataBar" priority="3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{125869F1-9DDC-4F0B-A7D2-0E66D70A03CD}</x14:id>
        </ext>
      </extLst>
    </cfRule>
  </conditionalFormatting>
  <conditionalFormatting sqref="Q21">
    <cfRule type="dataBar" priority="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{94904A44-1881-4A10-99B7-4A8246A40018}</x14:id>
        </ext>
      </extLst>
    </cfRule>
  </conditionalFormatting>
  <conditionalFormatting sqref="Q21">
    <cfRule type="dataBar" priority="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{DFDAF11B-4969-4876-AABA-20EEAA829D2E}</x14:id>
        </ext>
      </extLst>
    </cfRule>
  </conditionalFormatting>
  <conditionalFormatting sqref="R21">
    <cfRule type="dataBar" priority="3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{0828EA4F-F78B-4362-B64B-5DE7B5D0663A}</x14:id>
        </ext>
      </extLst>
    </cfRule>
    <cfRule type="dataBar" priority="3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{598F2FA4-5DD0-4B5E-9DF8-C500E906D5C7}</x14:id>
        </ext>
      </extLst>
    </cfRule>
  </conditionalFormatting>
  <conditionalFormatting sqref="Q21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{21F94090-E70C-4ECF-81A0-1891EED82765}</x14:id>
        </ext>
      </extLst>
    </cfRule>
  </conditionalFormatting>
  <conditionalFormatting sqref="R21">
    <cfRule type="dataBar" priority="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{1DD16A23-D467-4A87-9024-0C262FE1B24A}</x14:id>
        </ext>
      </extLst>
    </cfRule>
  </conditionalFormatting>
  <conditionalFormatting sqref="Q21"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{E766B447-77B3-4C37-9896-C7937B1D5CD7}</x14:id>
        </ext>
      </extLst>
    </cfRule>
  </conditionalFormatting>
  <conditionalFormatting sqref="R21"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{7E4F2D7A-1104-4E37-98F8-7B238C642EC1}</x14:id>
        </ext>
      </extLst>
    </cfRule>
  </conditionalFormatting>
  <conditionalFormatting sqref="Q21">
    <cfRule type="dataBar" priority="3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{F852BED2-A226-4550-A7B1-2AA3775E71C9}</x14:id>
        </ext>
      </extLst>
    </cfRule>
  </conditionalFormatting>
  <conditionalFormatting sqref="R21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{31060056-0835-4499-AF9D-50EE9ED7D4A5}</x14:id>
        </ext>
      </extLst>
    </cfRule>
  </conditionalFormatting>
  <conditionalFormatting sqref="R21"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{FDBB41B0-9F5D-4B52-80F8-F733ABB6CACE}</x14:id>
        </ext>
      </extLst>
    </cfRule>
  </conditionalFormatting>
  <conditionalFormatting sqref="O21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{B5BF9A6E-21D9-4DA7-AEF2-461913A8BFFC}</x14:id>
        </ext>
      </extLst>
    </cfRule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{9CA0F693-AF7D-47C7-9EC5-890C81CC7B7A}</x14:id>
        </ext>
      </extLst>
    </cfRule>
  </conditionalFormatting>
  <conditionalFormatting sqref="O21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{9CB80B54-C285-487C-9332-39DB88E1A00C}</x14:id>
        </ext>
      </extLst>
    </cfRule>
  </conditionalFormatting>
  <conditionalFormatting sqref="O21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{396B89C4-57D9-4ADA-BEBC-E29D392F1A3C}</x14:id>
        </ext>
      </extLst>
    </cfRule>
  </conditionalFormatting>
  <conditionalFormatting sqref="L21">
    <cfRule type="dataBar" priority="3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{4B694E28-4900-4F51-9835-F8DD1EB6B1BC}</x14:id>
        </ext>
      </extLst>
    </cfRule>
    <cfRule type="dataBar" priority="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{1AF16F2A-20D4-493A-80DB-34571234AC23}</x14:id>
        </ext>
      </extLst>
    </cfRule>
  </conditionalFormatting>
  <conditionalFormatting sqref="L21">
    <cfRule type="dataBar" priority="3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{1339F911-29DA-488E-A0B6-C8DDACFBCD79}</x14:id>
        </ext>
      </extLst>
    </cfRule>
  </conditionalFormatting>
  <conditionalFormatting sqref="L21">
    <cfRule type="dataBar" priority="3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{3DDD4BC0-0B2E-48FC-93EE-D48C30E6CCEB}</x14:id>
        </ext>
      </extLst>
    </cfRule>
  </conditionalFormatting>
  <conditionalFormatting sqref="O21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{F12AA8A3-F4E0-4B5B-9526-D25D50E91245}</x14:id>
        </ext>
      </extLst>
    </cfRule>
  </conditionalFormatting>
  <conditionalFormatting sqref="Q21">
    <cfRule type="dataBar" priority="3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{BF1824C8-3204-4D61-BA9F-C2DA11E9A629}</x14:id>
        </ext>
      </extLst>
    </cfRule>
  </conditionalFormatting>
  <conditionalFormatting sqref="R21"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{E4602027-7FFE-4C6A-BDB4-934BD7559518}</x14:id>
        </ext>
      </extLst>
    </cfRule>
  </conditionalFormatting>
  <conditionalFormatting sqref="L21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{1335A70D-EC35-41E6-80C6-04AF3EA209D4}</x14:id>
        </ext>
      </extLst>
    </cfRule>
  </conditionalFormatting>
  <conditionalFormatting sqref="L21">
    <cfRule type="dataBar" priority="2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{1406323E-3824-4187-B3C3-EBEDABE3DC9C}</x14:id>
        </ext>
      </extLst>
    </cfRule>
  </conditionalFormatting>
  <conditionalFormatting sqref="O21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{EE4B34C3-17FB-45F5-BCE1-58F8738AFC4A}</x14:id>
        </ext>
      </extLst>
    </cfRule>
  </conditionalFormatting>
  <conditionalFormatting sqref="Q21">
    <cfRule type="dataBar" priority="2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{6402D21A-0DD2-4ABB-B9AF-9350BADEB502}</x14:id>
        </ext>
      </extLst>
    </cfRule>
  </conditionalFormatting>
  <conditionalFormatting sqref="R21">
    <cfRule type="dataBar" priority="2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{765D45F9-D9CA-4C75-8A25-586D6C0084D8}</x14:id>
        </ext>
      </extLst>
    </cfRule>
  </conditionalFormatting>
  <conditionalFormatting sqref="L21">
    <cfRule type="dataBar" priority="2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{8171A6A9-A161-4747-92FF-8AF04F3A80F8}</x14:id>
        </ext>
      </extLst>
    </cfRule>
  </conditionalFormatting>
  <conditionalFormatting sqref="O21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{87D76E51-CF26-4F8F-90DF-A3629716B304}</x14:id>
        </ext>
      </extLst>
    </cfRule>
  </conditionalFormatting>
  <conditionalFormatting sqref="Q21">
    <cfRule type="dataBar" priority="2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{4322D45A-9817-4446-AB8C-519F13311EB3}</x14:id>
        </ext>
      </extLst>
    </cfRule>
  </conditionalFormatting>
  <conditionalFormatting sqref="R21"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{6A644DD3-9B2A-44D4-9103-D18C3C0C85B1}</x14:id>
        </ext>
      </extLst>
    </cfRule>
  </conditionalFormatting>
  <conditionalFormatting sqref="L21">
    <cfRule type="dataBar" priority="2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{7516515C-E189-4286-900C-C18E372C15D3}</x14:id>
        </ext>
      </extLst>
    </cfRule>
  </conditionalFormatting>
  <conditionalFormatting sqref="O21">
    <cfRule type="dataBar" priority="2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{86E6DFA8-80AA-4AE5-99C9-1E1C6F213B26}</x14:id>
        </ext>
      </extLst>
    </cfRule>
  </conditionalFormatting>
  <conditionalFormatting sqref="Q21">
    <cfRule type="dataBar" priority="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{E4D2CCB8-3588-4940-A994-A5D32E1D22DA}</x14:id>
        </ext>
      </extLst>
    </cfRule>
  </conditionalFormatting>
  <conditionalFormatting sqref="R21">
    <cfRule type="dataBar" priority="2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{2F1DAC10-4D90-467F-958E-0F6BD53FFE32}</x14:id>
        </ext>
      </extLst>
    </cfRule>
  </conditionalFormatting>
  <conditionalFormatting sqref="Q25:Q26 Q22">
    <cfRule type="dataBar" priority="2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{99DE5748-4263-4CDB-B6C9-01E455686C9F}</x14:id>
        </ext>
      </extLst>
    </cfRule>
  </conditionalFormatting>
  <conditionalFormatting sqref="Q25:Q26 Q22">
    <cfRule type="dataBar" priority="2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{ADED3396-EE97-4B39-9885-06A2DE10210E}</x14:id>
        </ext>
      </extLst>
    </cfRule>
  </conditionalFormatting>
  <conditionalFormatting sqref="R25:R26 R22">
    <cfRule type="dataBar" priority="2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{6E52A335-99CF-4A42-994B-C228C8313501}</x14:id>
        </ext>
      </extLst>
    </cfRule>
    <cfRule type="dataBar" priority="2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{D64AAB65-BA47-4F26-9185-8193E4B963FA}</x14:id>
        </ext>
      </extLst>
    </cfRule>
  </conditionalFormatting>
  <conditionalFormatting sqref="Q25:Q26 Q22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{27AD2452-2593-42E9-8B69-4985AD240E2F}</x14:id>
        </ext>
      </extLst>
    </cfRule>
  </conditionalFormatting>
  <conditionalFormatting sqref="R25:R26 R22">
    <cfRule type="dataBar" priority="2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{0020B289-224E-4A6E-A1A0-3C3030CFB82B}</x14:id>
        </ext>
      </extLst>
    </cfRule>
  </conditionalFormatting>
  <conditionalFormatting sqref="Q25:Q26 Q22">
    <cfRule type="dataBar" priority="2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{25220FD1-7E67-4B79-A453-BA920D36618F}</x14:id>
        </ext>
      </extLst>
    </cfRule>
  </conditionalFormatting>
  <conditionalFormatting sqref="R25:R26 R22">
    <cfRule type="dataBar" priority="2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{967B5B95-37DD-44DB-9036-1F42641CE075}</x14:id>
        </ext>
      </extLst>
    </cfRule>
  </conditionalFormatting>
  <conditionalFormatting sqref="Q25:Q26 Q22">
    <cfRule type="dataBar" priority="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{88011CD9-DE57-4E2A-8DDC-59205DE6FBCB}</x14:id>
        </ext>
      </extLst>
    </cfRule>
  </conditionalFormatting>
  <conditionalFormatting sqref="R25:R26 R22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{3B3BE350-1F2C-4ED9-81D3-4206EBCC9B93}</x14:id>
        </ext>
      </extLst>
    </cfRule>
  </conditionalFormatting>
  <conditionalFormatting sqref="R25:R26 R22">
    <cfRule type="dataBar" priority="2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{50E9D4E2-2554-46C6-9A2E-CE67ED8D3CC4}</x14:id>
        </ext>
      </extLst>
    </cfRule>
  </conditionalFormatting>
  <conditionalFormatting sqref="O25:O26 O22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{17DAB6B0-4DF5-4F63-ABF5-0723E646E1C9}</x14:id>
        </ext>
      </extLst>
    </cfRule>
    <cfRule type="dataBar" priority="2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{D7D3360E-21BB-41DC-8680-6ABB215F528B}</x14:id>
        </ext>
      </extLst>
    </cfRule>
  </conditionalFormatting>
  <conditionalFormatting sqref="O25:O26 O22">
    <cfRule type="dataBar" priority="2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{39FAB49B-C451-4BA0-AF1A-6E6AECF8DDC4}</x14:id>
        </ext>
      </extLst>
    </cfRule>
  </conditionalFormatting>
  <conditionalFormatting sqref="O25:O26 O22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{BD94399F-6DE1-4EF8-ABCB-040F1285652C}</x14:id>
        </ext>
      </extLst>
    </cfRule>
  </conditionalFormatting>
  <conditionalFormatting sqref="L25:L26 L22">
    <cfRule type="dataBar" priority="2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{CD91A100-E4E1-45C6-BB49-6D2CD4E73BC3}</x14:id>
        </ext>
      </extLst>
    </cfRule>
    <cfRule type="dataBar" priority="2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{D649F06E-A1D1-4216-81F8-FFC79F86BECC}</x14:id>
        </ext>
      </extLst>
    </cfRule>
  </conditionalFormatting>
  <conditionalFormatting sqref="L25:L26 L22">
    <cfRule type="dataBar" priority="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{8EA73A21-D89C-4D72-B814-313A6823D62F}</x14:id>
        </ext>
      </extLst>
    </cfRule>
  </conditionalFormatting>
  <conditionalFormatting sqref="L25:L26 L22">
    <cfRule type="dataBar" priority="2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{0BBA844D-8FDD-4BF5-B507-FE79F55A6718}</x14:id>
        </ext>
      </extLst>
    </cfRule>
  </conditionalFormatting>
  <conditionalFormatting sqref="O25:O26 O22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{8F018205-EBCD-4EAC-A5D2-D95C4FD0F029}</x14:id>
        </ext>
      </extLst>
    </cfRule>
  </conditionalFormatting>
  <conditionalFormatting sqref="Q25:Q26 Q22">
    <cfRule type="dataBar" priority="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{0F55EA48-F387-4264-A85E-E871E4F83FF5}</x14:id>
        </ext>
      </extLst>
    </cfRule>
  </conditionalFormatting>
  <conditionalFormatting sqref="R25:R26 R22">
    <cfRule type="dataBar" priority="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{0A57F105-F36A-46E4-9342-2A6D5EC07D85}</x14:id>
        </ext>
      </extLst>
    </cfRule>
  </conditionalFormatting>
  <conditionalFormatting sqref="L25:L26 L22"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{9E816C5F-4A74-44AD-A01C-96F67AB5EE37}</x14:id>
        </ext>
      </extLst>
    </cfRule>
  </conditionalFormatting>
  <conditionalFormatting sqref="L25:L26 L22">
    <cfRule type="dataBar" priority="2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{823C027E-724B-4E8C-B614-375B1BF712C9}</x14:id>
        </ext>
      </extLst>
    </cfRule>
  </conditionalFormatting>
  <conditionalFormatting sqref="O25:O26 O22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{24307E27-1999-49F2-8D26-3771DEC1E4BB}</x14:id>
        </ext>
      </extLst>
    </cfRule>
  </conditionalFormatting>
  <conditionalFormatting sqref="Q25:Q26 Q22">
    <cfRule type="dataBar" priority="2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{D8A6CB53-3A71-4128-9027-9CFC5E4C43D5}</x14:id>
        </ext>
      </extLst>
    </cfRule>
  </conditionalFormatting>
  <conditionalFormatting sqref="R25:R26 R22">
    <cfRule type="dataBar" priority="2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{377FCFDE-29A8-4571-A8E7-AAACC4605A13}</x14:id>
        </ext>
      </extLst>
    </cfRule>
  </conditionalFormatting>
  <conditionalFormatting sqref="L25:L26 L22">
    <cfRule type="dataBar" priority="2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{2FFBED23-C685-4DED-B227-A9EE31389614}</x14:id>
        </ext>
      </extLst>
    </cfRule>
  </conditionalFormatting>
  <conditionalFormatting sqref="O25:O26 O22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{F12337D2-6858-4F0F-B518-15DA5870B570}</x14:id>
        </ext>
      </extLst>
    </cfRule>
  </conditionalFormatting>
  <conditionalFormatting sqref="Q25:Q26 Q22">
    <cfRule type="dataBar" priority="2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{090654C1-826C-4231-82F1-DF12229ECC2D}</x14:id>
        </ext>
      </extLst>
    </cfRule>
  </conditionalFormatting>
  <conditionalFormatting sqref="R25:R26 R22">
    <cfRule type="dataBar" priority="2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{0AF18701-CF33-4583-B35D-2FF071174FDA}</x14:id>
        </ext>
      </extLst>
    </cfRule>
  </conditionalFormatting>
  <conditionalFormatting sqref="L25:L26 L22">
    <cfRule type="dataBar" priority="2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{87914670-D8CD-4E19-A08D-61DE2D333AEE}</x14:id>
        </ext>
      </extLst>
    </cfRule>
  </conditionalFormatting>
  <conditionalFormatting sqref="O25:O26 O22">
    <cfRule type="dataBar" priority="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{D5B2D5DF-9F5F-4A74-BB14-6104B58B001A}</x14:id>
        </ext>
      </extLst>
    </cfRule>
  </conditionalFormatting>
  <conditionalFormatting sqref="Q25:Q26 Q22">
    <cfRule type="dataBar" priority="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{53486C2C-2DC1-4FFB-9120-3BBA5CAECCE8}</x14:id>
        </ext>
      </extLst>
    </cfRule>
  </conditionalFormatting>
  <conditionalFormatting sqref="R25:R26 R22">
    <cfRule type="dataBar" priority="2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{85343B93-A8C1-4E40-9AD7-0FD49C26C00E}</x14:id>
        </ext>
      </extLst>
    </cfRule>
  </conditionalFormatting>
  <conditionalFormatting sqref="Q25:Q26 Q22">
    <cfRule type="dataBar" priority="2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{67C18D8D-2AA9-4158-AF22-46853C2A218E}</x14:id>
        </ext>
      </extLst>
    </cfRule>
  </conditionalFormatting>
  <conditionalFormatting sqref="Q25:Q26 Q22"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{53B18259-55AC-4686-A71F-59CE34804260}</x14:id>
        </ext>
      </extLst>
    </cfRule>
  </conditionalFormatting>
  <conditionalFormatting sqref="R25:R26 R22">
    <cfRule type="dataBar" priority="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{D1F4B0C6-0DAE-45DD-966A-82981C795061}</x14:id>
        </ext>
      </extLst>
    </cfRule>
    <cfRule type="dataBar" priority="2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{C2136515-1E5B-4877-A1B6-D8253A95DE63}</x14:id>
        </ext>
      </extLst>
    </cfRule>
  </conditionalFormatting>
  <conditionalFormatting sqref="Q25:Q26 Q22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{DB61FB43-0255-4F15-81CA-74E1EE5F5BDD}</x14:id>
        </ext>
      </extLst>
    </cfRule>
  </conditionalFormatting>
  <conditionalFormatting sqref="R25:R26 R22">
    <cfRule type="dataBar" priority="2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{25B4DB23-E8E3-41B0-8FB8-DC90A4CA0230}</x14:id>
        </ext>
      </extLst>
    </cfRule>
  </conditionalFormatting>
  <conditionalFormatting sqref="Q25:Q26 Q22">
    <cfRule type="dataBar" priority="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{FAE62710-4108-4EDC-AEB6-19A37A3F0C00}</x14:id>
        </ext>
      </extLst>
    </cfRule>
  </conditionalFormatting>
  <conditionalFormatting sqref="R25:R26 R22">
    <cfRule type="dataBar" priority="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{13E5AFCB-4FDD-44F8-AF5B-56545AFC0103}</x14:id>
        </ext>
      </extLst>
    </cfRule>
  </conditionalFormatting>
  <conditionalFormatting sqref="Q25:Q26 Q22"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{B48AE314-487B-486D-AA60-ED75BE633D39}</x14:id>
        </ext>
      </extLst>
    </cfRule>
  </conditionalFormatting>
  <conditionalFormatting sqref="R25:R26 R22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{9B72380C-3CA5-4256-AF6E-477DF9B212B7}</x14:id>
        </ext>
      </extLst>
    </cfRule>
  </conditionalFormatting>
  <conditionalFormatting sqref="R25:R26 R22">
    <cfRule type="dataBar" priority="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{C4DDABF5-6E04-4D0A-ABE1-E06BB143A735}</x14:id>
        </ext>
      </extLst>
    </cfRule>
  </conditionalFormatting>
  <conditionalFormatting sqref="O25:O26 O22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{C760EFA0-48B0-428E-AFD5-FBD506F7A9E0}</x14:id>
        </ext>
      </extLst>
    </cfRule>
    <cfRule type="dataBar" priority="2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{13295232-6D9E-48C4-9F95-8537C19C7003}</x14:id>
        </ext>
      </extLst>
    </cfRule>
  </conditionalFormatting>
  <conditionalFormatting sqref="O25:O26 O22">
    <cfRule type="dataBar" priority="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{46A781E5-DFC2-4737-8FC1-EE14F6549F68}</x14:id>
        </ext>
      </extLst>
    </cfRule>
  </conditionalFormatting>
  <conditionalFormatting sqref="O25:O26 O22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{4131BACB-384C-44AE-B38C-2D0B378327AF}</x14:id>
        </ext>
      </extLst>
    </cfRule>
  </conditionalFormatting>
  <conditionalFormatting sqref="L25:L26 L22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{2DE3C8C5-2019-4252-AD1C-996D256C9C17}</x14:id>
        </ext>
      </extLst>
    </cfRule>
    <cfRule type="dataBar" priority="2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{FF76599F-7FC0-489E-974B-FB04F5AF0D21}</x14:id>
        </ext>
      </extLst>
    </cfRule>
  </conditionalFormatting>
  <conditionalFormatting sqref="L25:L26 L22">
    <cfRule type="dataBar" priority="2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{5106F5B4-1A6D-4DE2-8E5C-9CA42EA1CABB}</x14:id>
        </ext>
      </extLst>
    </cfRule>
  </conditionalFormatting>
  <conditionalFormatting sqref="L25:L26 L22">
    <cfRule type="dataBar" priority="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{343EE00A-BD51-415A-93B1-0C3B7D642A4C}</x14:id>
        </ext>
      </extLst>
    </cfRule>
  </conditionalFormatting>
  <conditionalFormatting sqref="O25:O26 O22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{7D3E292F-936D-4260-8947-30232FD3A2FE}</x14:id>
        </ext>
      </extLst>
    </cfRule>
  </conditionalFormatting>
  <conditionalFormatting sqref="Q25:Q26 Q22">
    <cfRule type="dataBar" priority="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{342161EB-DE17-43E3-948C-351BCC6D931E}</x14:id>
        </ext>
      </extLst>
    </cfRule>
  </conditionalFormatting>
  <conditionalFormatting sqref="R25:R26 R22">
    <cfRule type="dataBar" priority="2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{6744132F-2ADA-490D-A5E9-E361ABF42D15}</x14:id>
        </ext>
      </extLst>
    </cfRule>
  </conditionalFormatting>
  <conditionalFormatting sqref="L25:L26 L22">
    <cfRule type="dataBar" priority="2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{13E633BA-93C2-42D6-85F8-B1199694CBCE}</x14:id>
        </ext>
      </extLst>
    </cfRule>
  </conditionalFormatting>
  <conditionalFormatting sqref="L25:L26 L22">
    <cfRule type="dataBar" priority="2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{F4F76A94-AF44-40EA-B408-B85D9CC5B1FA}</x14:id>
        </ext>
      </extLst>
    </cfRule>
  </conditionalFormatting>
  <conditionalFormatting sqref="O25:O26 O22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{25805721-FF97-44E1-8E70-496625374C3E}</x14:id>
        </ext>
      </extLst>
    </cfRule>
  </conditionalFormatting>
  <conditionalFormatting sqref="Q25:Q26 Q22">
    <cfRule type="dataBar" priority="2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{9432EB77-14C9-4EB8-9C73-14EAD66BB75E}</x14:id>
        </ext>
      </extLst>
    </cfRule>
  </conditionalFormatting>
  <conditionalFormatting sqref="R25:R26 R22"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{E23E2C8B-295B-4CBA-9CFD-F13FBCAF98D0}</x14:id>
        </ext>
      </extLst>
    </cfRule>
  </conditionalFormatting>
  <conditionalFormatting sqref="L25:L26 L22">
    <cfRule type="dataBar" priority="2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{B154A83D-D12B-4A49-AE30-73720E14FB4C}</x14:id>
        </ext>
      </extLst>
    </cfRule>
  </conditionalFormatting>
  <conditionalFormatting sqref="O25:O26 O22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{53D8578A-892D-4C66-86EE-4AA3EFE4B1EB}</x14:id>
        </ext>
      </extLst>
    </cfRule>
  </conditionalFormatting>
  <conditionalFormatting sqref="Q25:Q26 Q22">
    <cfRule type="dataBar" priority="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{AFE51050-0072-4B80-A1A6-449CA0B53012}</x14:id>
        </ext>
      </extLst>
    </cfRule>
  </conditionalFormatting>
  <conditionalFormatting sqref="R25:R26 R22">
    <cfRule type="dataBar" priority="2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{085E3239-64E1-4781-A7CA-3051C27BFFA8}</x14:id>
        </ext>
      </extLst>
    </cfRule>
  </conditionalFormatting>
  <conditionalFormatting sqref="L25:L26 L22">
    <cfRule type="dataBar" priority="2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{61680FE1-C09A-4783-87E4-0EE175E211EA}</x14:id>
        </ext>
      </extLst>
    </cfRule>
  </conditionalFormatting>
  <conditionalFormatting sqref="O25:O26 O22">
    <cfRule type="dataBar" priority="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{813FCE2C-894C-48E1-8756-91769B2E7709}</x14:id>
        </ext>
      </extLst>
    </cfRule>
  </conditionalFormatting>
  <conditionalFormatting sqref="Q25:Q26 Q22">
    <cfRule type="dataBar" priority="2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{17DCA8DA-0805-4D6D-86F7-44605CA64DE2}</x14:id>
        </ext>
      </extLst>
    </cfRule>
  </conditionalFormatting>
  <conditionalFormatting sqref="R25:R26 R22">
    <cfRule type="dataBar" priority="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{A384347B-CA3B-49E9-AD78-6DB49AF220AB}</x14:id>
        </ext>
      </extLst>
    </cfRule>
  </conditionalFormatting>
  <conditionalFormatting sqref="AI23">
    <cfRule type="dataBar" priority="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{0BFB5212-62BA-4798-AD1E-605A4750A3C0}</x14:id>
        </ext>
      </extLst>
    </cfRule>
  </conditionalFormatting>
  <conditionalFormatting sqref="AJ23">
    <cfRule type="dataBar" priority="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{64C68B99-61AA-475A-9764-6F2D737BD39A}</x14:id>
        </ext>
      </extLst>
    </cfRule>
  </conditionalFormatting>
  <conditionalFormatting sqref="AK23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{5147D9E6-4A40-48E7-AB77-4EDAA1507BD5}</x14:id>
        </ext>
      </extLst>
    </cfRule>
  </conditionalFormatting>
  <conditionalFormatting sqref="Q23">
    <cfRule type="dataBar" priority="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{7D8BBA9E-F171-4DD5-AF3B-8101E3E1DE02}</x14:id>
        </ext>
      </extLst>
    </cfRule>
  </conditionalFormatting>
  <conditionalFormatting sqref="Q23"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{89D0EFC5-13B7-4AF6-ABA7-5554B79DA8BC}</x14:id>
        </ext>
      </extLst>
    </cfRule>
  </conditionalFormatting>
  <conditionalFormatting sqref="R23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{2E221520-5B6B-4E5C-92DA-FACFFDF627F9}</x14:id>
        </ext>
      </extLst>
    </cfRule>
    <cfRule type="dataBar" priority="1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{ADBF5252-9091-4589-B193-8446B16E4C30}</x14:id>
        </ext>
      </extLst>
    </cfRule>
  </conditionalFormatting>
  <conditionalFormatting sqref="Q23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{986FB26F-788A-4A0F-AB13-BA969439B279}</x14:id>
        </ext>
      </extLst>
    </cfRule>
  </conditionalFormatting>
  <conditionalFormatting sqref="R23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{07660CB9-8E5B-4CA8-97EF-E6164854E7C1}</x14:id>
        </ext>
      </extLst>
    </cfRule>
  </conditionalFormatting>
  <conditionalFormatting sqref="Q23">
    <cfRule type="dataBar" priority="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{8FF387F6-D2EE-4B8C-9311-B6D4ED138506}</x14:id>
        </ext>
      </extLst>
    </cfRule>
  </conditionalFormatting>
  <conditionalFormatting sqref="R23">
    <cfRule type="dataBar" priority="1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{66520BF7-758E-4C21-8FC2-A055C845CF6E}</x14:id>
        </ext>
      </extLst>
    </cfRule>
  </conditionalFormatting>
  <conditionalFormatting sqref="Q23">
    <cfRule type="dataBar" priority="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{99F42703-7336-4B7B-9155-695FB0965835}</x14:id>
        </ext>
      </extLst>
    </cfRule>
  </conditionalFormatting>
  <conditionalFormatting sqref="R23"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{96ED27FB-4CAC-477B-9FF0-9E471D017BE1}</x14:id>
        </ext>
      </extLst>
    </cfRule>
  </conditionalFormatting>
  <conditionalFormatting sqref="R23"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{65AA132B-388A-4EA9-94C9-42CBAC619DDB}</x14:id>
        </ext>
      </extLst>
    </cfRule>
  </conditionalFormatting>
  <conditionalFormatting sqref="O23">
    <cfRule type="dataBar" priority="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{008E1A8C-B8E6-403A-A98A-99A82C52E399}</x14:id>
        </ext>
      </extLst>
    </cfRule>
    <cfRule type="dataBar" priority="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{6896A6DA-251B-4A00-92DE-BA97BCA6CCF3}</x14:id>
        </ext>
      </extLst>
    </cfRule>
  </conditionalFormatting>
  <conditionalFormatting sqref="O23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{7A72B192-E4AF-4184-A95E-43DBE87313B4}</x14:id>
        </ext>
      </extLst>
    </cfRule>
  </conditionalFormatting>
  <conditionalFormatting sqref="O23">
    <cfRule type="dataBar" priority="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{46843159-F33B-45E5-8443-C1ADEB4D8E3B}</x14:id>
        </ext>
      </extLst>
    </cfRule>
  </conditionalFormatting>
  <conditionalFormatting sqref="L23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{4EA53987-8726-432B-9EB3-5F49F5D20EEF}</x14:id>
        </ext>
      </extLst>
    </cfRule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{C378A47B-0A1A-4DD5-91A9-17B098DF6423}</x14:id>
        </ext>
      </extLst>
    </cfRule>
  </conditionalFormatting>
  <conditionalFormatting sqref="L23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{FA50B1A3-D288-4152-80E9-A33ACE03C3AC}</x14:id>
        </ext>
      </extLst>
    </cfRule>
  </conditionalFormatting>
  <conditionalFormatting sqref="L23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{A4C3601C-463E-447F-9F23-A83B8E3B0E54}</x14:id>
        </ext>
      </extLst>
    </cfRule>
  </conditionalFormatting>
  <conditionalFormatting sqref="O23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{9CC1AE9D-058E-4908-9298-0554B8378A80}</x14:id>
        </ext>
      </extLst>
    </cfRule>
  </conditionalFormatting>
  <conditionalFormatting sqref="Q23"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{844C350D-600D-4B82-AD92-66C9138DD895}</x14:id>
        </ext>
      </extLst>
    </cfRule>
  </conditionalFormatting>
  <conditionalFormatting sqref="R23">
    <cfRule type="dataBar" priority="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{3547FA6A-D261-44A7-A65C-6EE2FE8BB7DE}</x14:id>
        </ext>
      </extLst>
    </cfRule>
  </conditionalFormatting>
  <conditionalFormatting sqref="L23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{D4E6E0CE-5DBB-442E-BB03-0A66E6471F7B}</x14:id>
        </ext>
      </extLst>
    </cfRule>
  </conditionalFormatting>
  <conditionalFormatting sqref="L23">
    <cfRule type="dataBar" priority="1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{0139F5C8-D528-4F07-8B1A-1B4BCEF48D5F}</x14:id>
        </ext>
      </extLst>
    </cfRule>
  </conditionalFormatting>
  <conditionalFormatting sqref="O23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{911CB73E-2563-4A73-B115-708A159A40AA}</x14:id>
        </ext>
      </extLst>
    </cfRule>
  </conditionalFormatting>
  <conditionalFormatting sqref="Q23">
    <cfRule type="dataBar" priority="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{A1181E68-4302-4441-9B1A-BF7C233B0D61}</x14:id>
        </ext>
      </extLst>
    </cfRule>
  </conditionalFormatting>
  <conditionalFormatting sqref="R23"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{A2F618D2-76E0-4A3C-80E9-A2AD8E8D2F20}</x14:id>
        </ext>
      </extLst>
    </cfRule>
  </conditionalFormatting>
  <conditionalFormatting sqref="L23">
    <cfRule type="dataBar" priority="1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{596119F1-BAEB-47D8-8990-BD0224C76817}</x14:id>
        </ext>
      </extLst>
    </cfRule>
  </conditionalFormatting>
  <conditionalFormatting sqref="O23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{8B66B336-2EB4-4707-BEA4-04B4CB434B40}</x14:id>
        </ext>
      </extLst>
    </cfRule>
  </conditionalFormatting>
  <conditionalFormatting sqref="Q23">
    <cfRule type="dataBar" priority="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{2D28A23D-8DD5-411C-8612-25D93AFFFEC4}</x14:id>
        </ext>
      </extLst>
    </cfRule>
  </conditionalFormatting>
  <conditionalFormatting sqref="R23">
    <cfRule type="dataBar" priority="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{4EBDD8EB-E676-46A1-9028-1A58B72D2262}</x14:id>
        </ext>
      </extLst>
    </cfRule>
  </conditionalFormatting>
  <conditionalFormatting sqref="L23">
    <cfRule type="dataBar" priority="1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{47B5134C-CAEE-4703-A5D5-818CE6C3A7C5}</x14:id>
        </ext>
      </extLst>
    </cfRule>
  </conditionalFormatting>
  <conditionalFormatting sqref="O23"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{1671B56B-1E64-43CE-9D16-1B22D8486D32}</x14:id>
        </ext>
      </extLst>
    </cfRule>
  </conditionalFormatting>
  <conditionalFormatting sqref="Q23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{1FC6065A-CC77-489D-A478-04A2DAD3EA87}</x14:id>
        </ext>
      </extLst>
    </cfRule>
  </conditionalFormatting>
  <conditionalFormatting sqref="R23">
    <cfRule type="dataBar" priority="1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{D5045251-8E6F-4D1B-B80F-E2ED2EA048B1}</x14:id>
        </ext>
      </extLst>
    </cfRule>
  </conditionalFormatting>
  <conditionalFormatting sqref="Q23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{3EE19B58-E81D-4F1B-8D81-2082DB4FC8BF}</x14:id>
        </ext>
      </extLst>
    </cfRule>
  </conditionalFormatting>
  <conditionalFormatting sqref="Q23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{A3081972-5F17-4D4F-9090-B12DB7943FFA}</x14:id>
        </ext>
      </extLst>
    </cfRule>
  </conditionalFormatting>
  <conditionalFormatting sqref="R23">
    <cfRule type="dataBar" priority="1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{B57EDAE7-2577-458E-AF78-6C6DABFBE420}</x14:id>
        </ext>
      </extLst>
    </cfRule>
    <cfRule type="dataBar" priority="1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{4EB369BE-6C81-4FB4-B947-BDA6D9801757}</x14:id>
        </ext>
      </extLst>
    </cfRule>
  </conditionalFormatting>
  <conditionalFormatting sqref="Q23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{8160E28F-9313-4F3F-BA4C-5E3538219AF7}</x14:id>
        </ext>
      </extLst>
    </cfRule>
  </conditionalFormatting>
  <conditionalFormatting sqref="R23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{91466655-E7E2-4D45-958A-DE7B0E966774}</x14:id>
        </ext>
      </extLst>
    </cfRule>
  </conditionalFormatting>
  <conditionalFormatting sqref="Q23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{BF0ACDDF-F4BD-4C20-B96F-43102BCE57B1}</x14:id>
        </ext>
      </extLst>
    </cfRule>
  </conditionalFormatting>
  <conditionalFormatting sqref="R23"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{CA2A8517-C34D-42FA-BBC4-971B3CB597BA}</x14:id>
        </ext>
      </extLst>
    </cfRule>
  </conditionalFormatting>
  <conditionalFormatting sqref="Q23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{22EA2CE2-04BA-40F1-9EA8-5C889D09BFB6}</x14:id>
        </ext>
      </extLst>
    </cfRule>
  </conditionalFormatting>
  <conditionalFormatting sqref="R23">
    <cfRule type="dataBar" priority="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{DBAE03CC-91D3-4705-BD7B-3C9C24C46F06}</x14:id>
        </ext>
      </extLst>
    </cfRule>
  </conditionalFormatting>
  <conditionalFormatting sqref="R23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{13707026-DEBB-40DD-9801-F8A2DADB3D00}</x14:id>
        </ext>
      </extLst>
    </cfRule>
  </conditionalFormatting>
  <conditionalFormatting sqref="O23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{72562AB0-6595-4EF2-AE8B-B8F23C6B7F2B}</x14:id>
        </ext>
      </extLst>
    </cfRule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{424EED4A-9355-4879-8002-039A53FE9FA0}</x14:id>
        </ext>
      </extLst>
    </cfRule>
  </conditionalFormatting>
  <conditionalFormatting sqref="O23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{8D616874-3D00-441C-9BAA-A191BBDA44ED}</x14:id>
        </ext>
      </extLst>
    </cfRule>
  </conditionalFormatting>
  <conditionalFormatting sqref="O23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{DC21AB18-8E91-4836-B31F-4951889D421E}</x14:id>
        </ext>
      </extLst>
    </cfRule>
  </conditionalFormatting>
  <conditionalFormatting sqref="L23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{88FFF2B0-13BF-4327-9881-35FA6CEE6CD3}</x14:id>
        </ext>
      </extLst>
    </cfRule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{69A327CE-8627-461B-B469-2FBA40055FBD}</x14:id>
        </ext>
      </extLst>
    </cfRule>
  </conditionalFormatting>
  <conditionalFormatting sqref="L23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{AB9227EF-3CFB-4204-AF8A-50CFCA36BBB3}</x14:id>
        </ext>
      </extLst>
    </cfRule>
  </conditionalFormatting>
  <conditionalFormatting sqref="L23">
    <cfRule type="dataBar" priority="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{D04DDEAA-94B7-4E3D-B476-22F702A172D5}</x14:id>
        </ext>
      </extLst>
    </cfRule>
  </conditionalFormatting>
  <conditionalFormatting sqref="O23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{E13F619C-0FDB-452D-BF50-DC414FF47A34}</x14:id>
        </ext>
      </extLst>
    </cfRule>
  </conditionalFormatting>
  <conditionalFormatting sqref="Q23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{88A25FD7-B9B7-4ECC-9179-4B1B58590F66}</x14:id>
        </ext>
      </extLst>
    </cfRule>
  </conditionalFormatting>
  <conditionalFormatting sqref="R23"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{FCA43ADA-9535-47D4-B348-4872A20EAC89}</x14:id>
        </ext>
      </extLst>
    </cfRule>
  </conditionalFormatting>
  <conditionalFormatting sqref="L23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{DE1353BF-C5E2-4DCA-8616-6D94524D9587}</x14:id>
        </ext>
      </extLst>
    </cfRule>
  </conditionalFormatting>
  <conditionalFormatting sqref="L23">
    <cfRule type="dataBar" priority="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{36EA5025-BD41-499B-AF12-3B1E476A3137}</x14:id>
        </ext>
      </extLst>
    </cfRule>
  </conditionalFormatting>
  <conditionalFormatting sqref="O23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{79F7D2BB-A1FC-4A80-9D6A-9CE14F6D6C6C}</x14:id>
        </ext>
      </extLst>
    </cfRule>
  </conditionalFormatting>
  <conditionalFormatting sqref="Q23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{38345E6A-244B-4FC2-832D-B9B941FCBA8A}</x14:id>
        </ext>
      </extLst>
    </cfRule>
  </conditionalFormatting>
  <conditionalFormatting sqref="R23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{DB671C52-A071-4160-9635-2C9CFA7D6CCA}</x14:id>
        </ext>
      </extLst>
    </cfRule>
  </conditionalFormatting>
  <conditionalFormatting sqref="L23">
    <cfRule type="dataBar" priority="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{1A128A8B-3D6E-42FA-B927-1175027450D2}</x14:id>
        </ext>
      </extLst>
    </cfRule>
  </conditionalFormatting>
  <conditionalFormatting sqref="O23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{993AE7DA-8D1D-4DD5-884F-4B9E2C6EE2CD}</x14:id>
        </ext>
      </extLst>
    </cfRule>
  </conditionalFormatting>
  <conditionalFormatting sqref="Q23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{F9D4D4C0-1B5E-4660-86A9-235594E44C8A}</x14:id>
        </ext>
      </extLst>
    </cfRule>
  </conditionalFormatting>
  <conditionalFormatting sqref="R23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{A105108A-AFC7-45E9-A2C8-2BF0A4FA0E82}</x14:id>
        </ext>
      </extLst>
    </cfRule>
  </conditionalFormatting>
  <conditionalFormatting sqref="L23">
    <cfRule type="dataBar" priority="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{619B2F92-9CCE-49FD-8379-34800D6E2A48}</x14:id>
        </ext>
      </extLst>
    </cfRule>
  </conditionalFormatting>
  <conditionalFormatting sqref="O23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{4C51EE0D-8297-4ED4-83EE-3529EF9ACAD1}</x14:id>
        </ext>
      </extLst>
    </cfRule>
  </conditionalFormatting>
  <conditionalFormatting sqref="Q23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{94AF2731-CE37-4779-A234-2DB2F9A71F15}</x14:id>
        </ext>
      </extLst>
    </cfRule>
  </conditionalFormatting>
  <conditionalFormatting sqref="R23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{4A906E3D-181B-447C-A688-5DC89257A5C4}</x14:id>
        </ext>
      </extLst>
    </cfRule>
  </conditionalFormatting>
  <conditionalFormatting sqref="AI24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{06E96AFA-2D58-4E58-B704-3AE1365EA0EE}</x14:id>
        </ext>
      </extLst>
    </cfRule>
  </conditionalFormatting>
  <conditionalFormatting sqref="AJ24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{61F4B2A5-BB19-44D4-AC51-046F82E2CA8E}</x14:id>
        </ext>
      </extLst>
    </cfRule>
  </conditionalFormatting>
  <conditionalFormatting sqref="AK24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{5645AD68-D066-4A65-A495-74D8CD264450}</x14:id>
        </ext>
      </extLst>
    </cfRule>
  </conditionalFormatting>
  <conditionalFormatting sqref="Q24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{804D8F15-AF85-4855-BD48-5A11A0DF81E7}</x14:id>
        </ext>
      </extLst>
    </cfRule>
  </conditionalFormatting>
  <conditionalFormatting sqref="Q24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{46162B53-D1B1-4E9C-B873-A5B69B159460}</x14:id>
        </ext>
      </extLst>
    </cfRule>
  </conditionalFormatting>
  <conditionalFormatting sqref="R24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{70659AFE-8EE9-4FD6-A934-EFA34FA22408}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{B52CA243-46C7-4680-A0BC-1AC6D5AD8300}</x14:id>
        </ext>
      </extLst>
    </cfRule>
  </conditionalFormatting>
  <conditionalFormatting sqref="Q24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{687B441B-1D9B-4A54-AC7F-E538A02DCD0F}</x14:id>
        </ext>
      </extLst>
    </cfRule>
  </conditionalFormatting>
  <conditionalFormatting sqref="R24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{BB820BF0-066C-4290-8896-4ACFE1E5286D}</x14:id>
        </ext>
      </extLst>
    </cfRule>
  </conditionalFormatting>
  <conditionalFormatting sqref="Q24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{86D87322-9860-4EBD-B693-A6F23F06A242}</x14:id>
        </ext>
      </extLst>
    </cfRule>
  </conditionalFormatting>
  <conditionalFormatting sqref="R24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{E6EAECF2-2DCD-46CC-A710-EB4AE3A33222}</x14:id>
        </ext>
      </extLst>
    </cfRule>
  </conditionalFormatting>
  <conditionalFormatting sqref="Q2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{AFE0FAE1-0B76-46C4-B2AA-C785EB8D0F94}</x14:id>
        </ext>
      </extLst>
    </cfRule>
  </conditionalFormatting>
  <conditionalFormatting sqref="R24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{7880BC59-61AB-4BE5-8A35-D48EB41468D3}</x14:id>
        </ext>
      </extLst>
    </cfRule>
  </conditionalFormatting>
  <conditionalFormatting sqref="R24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{061A58DB-E2F7-4C5A-865B-3F548F9E8224}</x14:id>
        </ext>
      </extLst>
    </cfRule>
  </conditionalFormatting>
  <conditionalFormatting sqref="O24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{16D1BACA-0573-4EFB-9E0D-98A99F6C46FC}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{AC8E9FDB-CBE1-4D53-A321-9A13BE2F7317}</x14:id>
        </ext>
      </extLst>
    </cfRule>
  </conditionalFormatting>
  <conditionalFormatting sqref="O24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{D0473F9A-ABBE-4542-BA33-2ECAE317CA56}</x14:id>
        </ext>
      </extLst>
    </cfRule>
  </conditionalFormatting>
  <conditionalFormatting sqref="O2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{6AD93CA0-9FBE-452C-B5CA-B81DF5FE2AF9}</x14:id>
        </ext>
      </extLst>
    </cfRule>
  </conditionalFormatting>
  <conditionalFormatting sqref="L24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{C4B73E7F-E73A-490C-B8F3-C0B700676B4D}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{D50798D1-DAB4-4BA2-B07D-35EFA2640C5F}</x14:id>
        </ext>
      </extLst>
    </cfRule>
  </conditionalFormatting>
  <conditionalFormatting sqref="L2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{DABF148F-A1AE-4028-9964-BFC6DB3EFF19}</x14:id>
        </ext>
      </extLst>
    </cfRule>
  </conditionalFormatting>
  <conditionalFormatting sqref="L24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{E500F135-A7DB-43EA-83CE-36F1F8594BB3}</x14:id>
        </ext>
      </extLst>
    </cfRule>
  </conditionalFormatting>
  <conditionalFormatting sqref="O24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{82042645-8D33-4ADF-B04D-385D22FB5EFB}</x14:id>
        </ext>
      </extLst>
    </cfRule>
  </conditionalFormatting>
  <conditionalFormatting sqref="Q24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{F88E7E36-19BB-4757-B23C-606FC6655FAB}</x14:id>
        </ext>
      </extLst>
    </cfRule>
  </conditionalFormatting>
  <conditionalFormatting sqref="R24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{3102192F-B3E2-41C5-B764-81593C45EDA0}</x14:id>
        </ext>
      </extLst>
    </cfRule>
  </conditionalFormatting>
  <conditionalFormatting sqref="L24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{B558E390-6A48-4132-9073-65831B45A2D6}</x14:id>
        </ext>
      </extLst>
    </cfRule>
  </conditionalFormatting>
  <conditionalFormatting sqref="L24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{FFF8ACFD-729B-4BE2-9D78-05AB0771D455}</x14:id>
        </ext>
      </extLst>
    </cfRule>
  </conditionalFormatting>
  <conditionalFormatting sqref="O24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{F1117D56-9175-44C0-9C78-BEAFF51D4879}</x14:id>
        </ext>
      </extLst>
    </cfRule>
  </conditionalFormatting>
  <conditionalFormatting sqref="Q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{2EE963FC-822F-4166-8C07-910F23FF2A00}</x14:id>
        </ext>
      </extLst>
    </cfRule>
  </conditionalFormatting>
  <conditionalFormatting sqref="R24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{557444C2-5F38-47FD-A4B8-9A9F3BD66B1D}</x14:id>
        </ext>
      </extLst>
    </cfRule>
  </conditionalFormatting>
  <conditionalFormatting sqref="L24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{0406ECF7-38B8-40EF-8929-3849B0D20C57}</x14:id>
        </ext>
      </extLst>
    </cfRule>
  </conditionalFormatting>
  <conditionalFormatting sqref="O24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{80C48AF8-D601-4CC0-BC90-BF939622420B}</x14:id>
        </ext>
      </extLst>
    </cfRule>
  </conditionalFormatting>
  <conditionalFormatting sqref="Q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{EE259126-3133-4061-B886-583FC474F4A6}</x14:id>
        </ext>
      </extLst>
    </cfRule>
  </conditionalFormatting>
  <conditionalFormatting sqref="R24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{FC5C636A-B721-41D8-836F-B3AC72982E60}</x14:id>
        </ext>
      </extLst>
    </cfRule>
  </conditionalFormatting>
  <conditionalFormatting sqref="L24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{EAC7DA02-E43B-4935-BE95-93883FDECA1C}</x14:id>
        </ext>
      </extLst>
    </cfRule>
  </conditionalFormatting>
  <conditionalFormatting sqref="O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{D29E297B-765F-451A-AB1E-BC6DC677BF86}</x14:id>
        </ext>
      </extLst>
    </cfRule>
  </conditionalFormatting>
  <conditionalFormatting sqref="Q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{44590933-1F5B-4572-A7DF-8537D77919A5}</x14:id>
        </ext>
      </extLst>
    </cfRule>
  </conditionalFormatting>
  <conditionalFormatting sqref="R24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{B7DC25C2-45AB-4932-A804-8F5839A0C3AC}</x14:id>
        </ext>
      </extLst>
    </cfRule>
  </conditionalFormatting>
  <conditionalFormatting sqref="Q2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{A3615FCB-E95E-4806-A03E-A1A142855C45}</x14:id>
        </ext>
      </extLst>
    </cfRule>
  </conditionalFormatting>
  <conditionalFormatting sqref="Q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{70F079B8-7DBC-4D64-870D-12CF715BDDEB}</x14:id>
        </ext>
      </extLst>
    </cfRule>
  </conditionalFormatting>
  <conditionalFormatting sqref="R24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{38E3EB62-1E75-4841-983F-3EB204EDD8F4}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{CC54EBBD-EA90-40D7-8F62-B29BE77417A0}</x14:id>
        </ext>
      </extLst>
    </cfRule>
  </conditionalFormatting>
  <conditionalFormatting sqref="Q2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{67FD754D-4350-4805-8A7C-7F3EA1F5DA1A}</x14:id>
        </ext>
      </extLst>
    </cfRule>
  </conditionalFormatting>
  <conditionalFormatting sqref="R24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{428A9854-AC9F-4DEC-8181-FFDEEB2A061A}</x14:id>
        </ext>
      </extLst>
    </cfRule>
  </conditionalFormatting>
  <conditionalFormatting sqref="Q2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{A059A0B4-B645-49CA-A15A-AE16D6641596}</x14:id>
        </ext>
      </extLst>
    </cfRule>
  </conditionalFormatting>
  <conditionalFormatting sqref="R24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{404A6B2C-5121-4ABE-B494-BC94394B4AEF}</x14:id>
        </ext>
      </extLst>
    </cfRule>
  </conditionalFormatting>
  <conditionalFormatting sqref="Q24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{8B1E998A-1323-453F-9C9A-7BC5D70146B9}</x14:id>
        </ext>
      </extLst>
    </cfRule>
  </conditionalFormatting>
  <conditionalFormatting sqref="R24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{706989B5-B790-4FA8-8D8D-50EF1502A6EC}</x14:id>
        </ext>
      </extLst>
    </cfRule>
  </conditionalFormatting>
  <conditionalFormatting sqref="R24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{589E550A-4E6D-4D11-AC53-555C8016337A}</x14:id>
        </ext>
      </extLst>
    </cfRule>
  </conditionalFormatting>
  <conditionalFormatting sqref="O2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{CE414640-EF2E-4AB1-B280-0A4339939553}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{370F308A-4602-4985-B9C6-87631D394952}</x14:id>
        </ext>
      </extLst>
    </cfRule>
  </conditionalFormatting>
  <conditionalFormatting sqref="O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{2C77DB8C-E3BD-4D77-B694-70024D6C96ED}</x14:id>
        </ext>
      </extLst>
    </cfRule>
  </conditionalFormatting>
  <conditionalFormatting sqref="O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{7E497435-E544-4B35-9A16-9AD27823B723}</x14:id>
        </ext>
      </extLst>
    </cfRule>
  </conditionalFormatting>
  <conditionalFormatting sqref="L24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{70A61623-1809-4BC8-93D7-9B001F217BE4}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{7E6CFB50-4516-4D86-BE9C-EFB04BFFFA19}</x14:id>
        </ext>
      </extLst>
    </cfRule>
  </conditionalFormatting>
  <conditionalFormatting sqref="L2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{B71614F6-CC91-4F93-983D-B3871CFB183B}</x14:id>
        </ext>
      </extLst>
    </cfRule>
  </conditionalFormatting>
  <conditionalFormatting sqref="L24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{4BBB9CC1-8F83-41FE-92B3-EDD409A9D68D}</x14:id>
        </ext>
      </extLst>
    </cfRule>
  </conditionalFormatting>
  <conditionalFormatting sqref="O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{A6B7F09B-F84B-490C-80E1-4CC73779557B}</x14:id>
        </ext>
      </extLst>
    </cfRule>
  </conditionalFormatting>
  <conditionalFormatting sqref="Q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{63054880-24CD-4B36-B857-4635F7999B5F}</x14:id>
        </ext>
      </extLst>
    </cfRule>
  </conditionalFormatting>
  <conditionalFormatting sqref="R24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{A67E2EAE-EEC6-4574-B5B8-3D281EED9876}</x14:id>
        </ext>
      </extLst>
    </cfRule>
  </conditionalFormatting>
  <conditionalFormatting sqref="L2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{E7794CEB-08EE-46F6-B9BA-F8F8B4930A36}</x14:id>
        </ext>
      </extLst>
    </cfRule>
  </conditionalFormatting>
  <conditionalFormatting sqref="L24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{7C3852EA-14F1-48C1-83C1-2CE5DE5E1A07}</x14:id>
        </ext>
      </extLst>
    </cfRule>
  </conditionalFormatting>
  <conditionalFormatting sqref="O24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{3EB56CC6-567B-412F-980A-B7BE84810FAB}</x14:id>
        </ext>
      </extLst>
    </cfRule>
  </conditionalFormatting>
  <conditionalFormatting sqref="Q2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{1CBB31E6-8051-4664-8A08-B4822F61718B}</x14:id>
        </ext>
      </extLst>
    </cfRule>
  </conditionalFormatting>
  <conditionalFormatting sqref="R24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{2A22A2C5-70EE-45C2-87BD-98666B7C0114}</x14:id>
        </ext>
      </extLst>
    </cfRule>
  </conditionalFormatting>
  <conditionalFormatting sqref="L24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{C33D4B81-AEE8-4E42-909E-ED08701D8945}</x14:id>
        </ext>
      </extLst>
    </cfRule>
  </conditionalFormatting>
  <conditionalFormatting sqref="O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{8EE66ABB-C5DC-484D-BA02-3A3CF5ADF522}</x14:id>
        </ext>
      </extLst>
    </cfRule>
  </conditionalFormatting>
  <conditionalFormatting sqref="Q2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{3AA450B3-7B3D-471E-B304-4599882D277D}</x14:id>
        </ext>
      </extLst>
    </cfRule>
  </conditionalFormatting>
  <conditionalFormatting sqref="R24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{0BC45D29-4C77-481E-8122-E28E023FCE99}</x14:id>
        </ext>
      </extLst>
    </cfRule>
  </conditionalFormatting>
  <conditionalFormatting sqref="L24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{42F0995C-4143-4813-962D-8A4888E6D0FD}</x14:id>
        </ext>
      </extLst>
    </cfRule>
  </conditionalFormatting>
  <conditionalFormatting sqref="O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{5D6652FF-1940-4D5C-82AE-6047F0B57979}</x14:id>
        </ext>
      </extLst>
    </cfRule>
  </conditionalFormatting>
  <conditionalFormatting sqref="Q2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{14DCAD1C-08A3-4538-BE4E-3E8A7A7F6171}</x14:id>
        </ext>
      </extLst>
    </cfRule>
  </conditionalFormatting>
  <conditionalFormatting sqref="R2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{BBF9B004-2457-4DD8-A6CD-F34A15372513}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274E7D-AAE8-4BBD-BB40-FC36FFBA57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A612AD2F-E229-4A26-A10E-829B457943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E1ABCE9-B0CC-4D05-A0F4-7B96A954F7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AI4:AI6 AI8:AI22 AI25:AI28</xm:sqref>
        </x14:conditionalFormatting>
        <x14:conditionalFormatting xmlns:xm="http://schemas.microsoft.com/office/excel/2006/main">
          <x14:cfRule type="dataBar" id="{0B172376-3926-420F-AE97-77D6F2076F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AJ4:AJ6 AJ8:AJ22 AJ25:AJ28</xm:sqref>
        </x14:conditionalFormatting>
        <x14:conditionalFormatting xmlns:xm="http://schemas.microsoft.com/office/excel/2006/main">
          <x14:cfRule type="dataBar" id="{072A364A-7D46-4434-B1F9-5917038B4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AK4:AK6 AK8:AK22 AK25:AK28</xm:sqref>
        </x14:conditionalFormatting>
        <x14:conditionalFormatting xmlns:xm="http://schemas.microsoft.com/office/excel/2006/main">
          <x14:cfRule type="dataBar" id="{A4E5047D-CE44-40CA-B979-F83ED9D3D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BE71A71-7CA1-406C-A66B-5C3C1AE87A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FEDE661F-D108-4F04-8082-E42CF2B336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4A51BCD-EF13-4A15-B1C2-0EF333055C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01579F2-5D50-4C35-ABEC-A65391DAB8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DDF8423-A208-4FB9-90A9-FB02FC9A86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920CB782-A572-4E90-8402-47DAC3D04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4EC24F4-5857-4464-8B12-464FBE7A0C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216CBE19-5FA2-48AC-B0B9-D57ACDE47D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01BAEB5-921A-443E-BC78-48EA7290E8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F5449473-5605-48EE-95E9-5C6E44FE11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3F11DD3-5315-47D3-9CCE-1B2670D06E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5A3499E-C47A-4D69-8D4C-B647036E15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2C99480-3661-43D4-B7B1-F5E74525D1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6A7C1E07-1854-46F1-8F10-BDD87DB5B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1CF4F83-7865-44E1-8201-DE9F99AC6B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996EB10-5934-4290-BB88-ECABE5377C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22764F3-0727-471F-A5B2-A973D459D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473F8A40-A58D-47D1-AB16-DAC36CF65D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5B92DB2-82E4-4F33-803E-17DE4146AF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7C4BA90-DD64-41FB-ADA7-E1D236179C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6164650-1567-4AC4-8DF3-7FED3EE422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F01A86E2-7900-448B-B28E-65EACD3199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306A8F7-DD34-4867-B8B8-1E33FD4312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ADE0341-3AF4-4D11-85A8-7B63740977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6CEA8506-3314-49E8-9E74-3D67609D3D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3896F9-C371-42A0-BDC6-F490C1DF00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4DE84E2-FF39-47D4-B598-ECC4B947C7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E5742851-2704-4960-8378-B8F651BD0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87C5D747-D583-488B-B90F-79A4E626C7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D26D5F0E-61E9-44B4-82A7-C93987D1DD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D6640B04-E2D4-4671-8F57-409A1784E1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E45AF0B-5A4E-4153-946C-903155BDEE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9AFE0F70-3791-48A5-AD0E-E7277E74D0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2AB006-C6FA-4582-AFD8-9F159C4144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EA97B3B-D884-4021-A95C-3B2B5047CE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AI29:AI30</xm:sqref>
        </x14:conditionalFormatting>
        <x14:conditionalFormatting xmlns:xm="http://schemas.microsoft.com/office/excel/2006/main">
          <x14:cfRule type="dataBar" id="{156A945F-FEAD-4B7E-BC63-D91E4EC436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AJ29:AJ30</xm:sqref>
        </x14:conditionalFormatting>
        <x14:conditionalFormatting xmlns:xm="http://schemas.microsoft.com/office/excel/2006/main">
          <x14:cfRule type="dataBar" id="{87AA915B-CBFF-43DF-BC64-0B76506E76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AK29:AK30</xm:sqref>
        </x14:conditionalFormatting>
        <x14:conditionalFormatting xmlns:xm="http://schemas.microsoft.com/office/excel/2006/main">
          <x14:cfRule type="dataBar" id="{74748E3D-A9A0-4145-97D0-737973A308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20D06A96-BD98-4378-BC6D-0A8F0089B0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A2DC3B3-246E-459B-A93E-7D339640A4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21102F5-0FBA-4C5D-8B7F-3C4CABD85D4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460B9FB-4B79-4A19-BFAF-0412693B60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2D6097DE-1543-46EC-BCD3-E9C72A03E5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9A6ED55-F85C-489B-8DC7-6AB7E6E97B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D0F7ADE-81BD-4C57-8F88-C2C3F69B13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6484E816-5396-4AC0-9BF2-E0F80B7B8D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9501B7D-D870-4740-A28B-CC53E473C7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5E90EFFF-BAD6-4896-AA23-27CA7216B3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5453BA7-4A42-4B9A-A213-C9FC914AB4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25C158B-8EF0-4A88-9D42-BFC9BA4472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96370655-F77C-4F87-8D33-6E862A451F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EC29F42-DD70-4DFA-B7BB-F91581E83A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A010469-D0B8-45C7-AF33-C64D7B1F0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25FC7D-6D89-49A1-B6DF-B551A8DBD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9494DE1-D5C2-4BF4-89D6-0D743D463D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99C85CF4-6FFD-4FB2-880F-46BB0EA1C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6C70431-09AD-4D51-BDFE-8B177E31CB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F086B75-1127-44A4-8DF2-71080DC2A9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18680D9-BD26-42BD-A505-9C95105260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6F049CE6-EF3D-41A2-9216-BA0E48B26C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8F1038F-094B-4F90-88BE-CCCA11849F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BC703BB-0363-49C0-B7B4-F316FBEE85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0C7B56B1-4CA3-466D-BAFA-61D1ED342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3A8528A-D8C6-4650-AAFA-77A0D3D73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BD3E1257-6B5D-4917-A152-BEA25CFE4B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01BE662-34AB-4217-8778-A8677C13FF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B168573-A15E-4FAD-B35C-07941A19B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3D8DA4E-67FE-4E56-836B-893F05E529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A8ED1054-9BD1-4068-A385-23F923E1E2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20083DB-3C46-40BD-9459-584E36480D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ECEFFAD-184F-4EDC-AF19-0B7C8154F0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32176610-1693-4646-923F-1A551ABCCC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5B78386D-CC34-41E5-8133-5B2D90D75B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A313F94-B0BC-464F-B8E0-75102690AA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30D40483-00BB-4820-AD43-02A350DCFC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092E604-32FF-4ABB-8B36-661E6AFBF7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51455C8-D754-4468-89BD-2F27DFB9DF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17C1406-D771-4290-906A-D1205B3FFB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0A72628-473F-4C59-8A49-7051F1C696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ACFB1C90-AE30-46D5-B6F8-FF17193150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D4B3381-99BE-41CD-92E3-70756213E0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9860A32-CD00-4B73-87B1-C493D3891B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C63F999B-89CD-4762-81DC-11D72AE5B1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B82D5FE9-68D3-46BB-8DFB-78CF180844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114A03-33FA-4823-B026-50CC342AB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C4A6BE5-8FD6-4A8A-AADD-C722673000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D23B535-6C71-4A63-A6A8-6D1906861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ED3B2C9-06B1-49A9-8E0B-09ED6523F2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12747B8-A963-440E-A374-6C5D892F07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EA78B38-30E8-4B23-AE87-70EADD0E7A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BCB9481-BCFF-4341-9AF7-46718923EB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38D01DE-AAA5-4C24-88F1-8226241604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872A79E8-34A5-476D-AAEF-B0EEE8801F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3C2EB45-DF45-49C4-9EB5-F9B47F3E12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1725ABF-47D1-4B0F-BABA-0584E1AEE9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04D33EE-5872-4245-BED0-0112A75B7A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5D95EDD-9281-4501-B307-0F6CE60B5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97F97F8-692C-4E0A-B4C5-B2706C130E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B429D3-E5FA-4445-B153-5ACF74C725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11AFB96-6702-4B62-962A-04AEF2C483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ECD88F53-258D-431B-9A1B-2AF827CB06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0E9FCDD7-12E6-4E28-8A04-738CFF0105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14713C4-B2A2-4494-8F6E-A8A23C83C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568470A9-AB99-4739-BDFC-D64296BF05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2DFABC6-9001-491B-9401-AE290E712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C1835EA-917F-410F-9647-F88162929A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5F1923A0-8E9C-44F9-923A-574823C63D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51D1766-805A-4BF7-A867-716BA02CE4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0AE804FB-FE3B-4D03-B4CA-ECF113C5B4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76E98FE-2239-4B71-A227-27B0EF18F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D61E4B-AC5E-4E2F-BCBC-9DBCDACC98B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743D9C5-6E29-4F8B-B06E-96608B6E30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D3171420-6BF7-4FE9-BB5D-DCBFAD1D1F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6B5A0783-7BF2-48AD-A261-DE455C4F6E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07DA4ED-1ECC-49B4-9252-E5F5A2AC9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F428823-83FE-441F-8F03-2E394CC3B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C4D7F1E-B335-4E34-8E6C-C8B06C904E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EE1567C-3AF5-48E8-890D-6EAF5EA2BE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0B178DE-02EC-4EC7-9A56-2C1223FDEB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F908D2D-AC32-45EB-9BD9-5C4C4480EF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6B58FBAE-5CD5-4B13-9700-924EF8F418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C504438-D866-4EC3-9DB5-E10BA2CDC1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B2E2EAD-2B3E-48D6-9DA7-ADC09E81B3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A57A1A-6F59-4DB4-AF9F-DCD838DAD3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9032B68-CBC0-48BB-9912-7C01A1C6FD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ACB4180D-2FB0-41A9-BECE-FCCE853A9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B6B4E8B-239E-4AB8-A08B-323A0E11C4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38AF53F-0220-4F8D-8D7F-5CB55DE9E7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5353AC1-2B7A-40FF-BFCE-640545DD8C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FFE5EED-933C-4F1B-A180-D48F951DDE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B2DB59F2-7CD8-4435-834D-8FF5351611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751B1DA-D27E-4188-98EE-EC13C5F725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EAF4479-FCB8-49F8-A9DB-D14BE73FF8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A2210E1-F712-4D41-8560-95CB417B8F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E7E0CB2-559B-4E5F-BEB0-2F9D6ADA608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58530B1-66CA-461C-83B2-1590D29E29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0884E75-B70C-4E9B-AE1E-10BF6B19D6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712012F-1A0A-4192-956F-6425CE1008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2DAE92E-22DE-44E4-8E99-AF2A9AC91CC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FDE5EE5-6603-4D74-B3A2-95AAF8672B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C59EFBB7-E4C8-4852-942B-559D7E7D0E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AC53A2D1-E7E0-4BC3-9F79-E5DCCC5F43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D52B029-02CF-4CE3-82BB-1EBF6E6C18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D9F4CB9C-BF11-491E-81D0-FEF307967C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AJ7</xm:sqref>
        </x14:conditionalFormatting>
        <x14:conditionalFormatting xmlns:xm="http://schemas.microsoft.com/office/excel/2006/main">
          <x14:cfRule type="dataBar" id="{269B911B-8D8A-4EA4-BA78-C2C6983AA9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AK7</xm:sqref>
        </x14:conditionalFormatting>
        <x14:conditionalFormatting xmlns:xm="http://schemas.microsoft.com/office/excel/2006/main">
          <x14:cfRule type="dataBar" id="{39FC4E48-9BD4-46C2-85DB-45E6530E45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ADFFBBB-8120-4454-87D0-AD58D3765C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3F521F17-7FFB-4572-8AA6-149DAF0CB4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42E88B-D5B7-49C4-9EB3-62DF85130A5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2557CF9-2F59-42F3-BC21-EC350155E4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DC1E47CD-1CE3-4A25-B2C3-CDD07640AD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67A19E7-1B8C-47FB-A9B7-83F643AD3C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34D2D45-D675-4F55-9F44-B4FD96F56E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A304A1FD-FD66-4167-84C5-630294D61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ADB167B1-863E-43ED-B3CA-0A7B3053B1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BE381E6-78CA-465E-8EC0-6149A634EA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08283FB-FE47-4233-ADC7-7FB7455EB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4F19A52-AF71-4872-9166-C75FAA6607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BD79CC7-1F59-4F8F-ABDE-8BB9C1BC42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8487703-FFF3-42EE-A6AE-4171FB7009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7A73D7A-E998-4C34-80A0-58901666BB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72D0ECB-CCCF-4BE4-A2FB-8187CC7FE9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BF90BE0-C635-4510-8C6A-D9AB84E9C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E043CE4-577F-4F6F-B74E-03EC69CDD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F4B91B2-E500-4C14-9A89-F486A9C0C2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2617B53-94AD-47DF-A2CF-ACCA20AC58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C54FE04-714A-4BF3-9B8E-B0F328E5E1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89A3019-9049-47DB-8ADA-BCFCE7FA13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BAA5654-6A43-43EB-B425-4952EF5EB3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7F1B9022-76B6-497A-80EF-AF49D7A03B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2BC90D1-A52B-42F7-9550-5AD1948B28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315A1A52-3E7D-41A1-8E31-BAE7B7131F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F280588-9018-4B42-9C27-B974026D80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D5674AB-5810-400F-8952-15CF936926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C6F945A2-5C09-4886-BB20-555BE18BDC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86E6CE2-65C3-4414-A23D-B935D790D7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6183D7A-ED93-44CD-B5E6-6A44553453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D71F00F-667F-481E-99FE-BA3FA5AE2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76F5185B-E89E-48E7-A6BE-66F586216F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532A8143-8E61-4D28-9FC4-FD95CA1798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B5E76D1-6FFC-42D3-920D-C9CBD3E4FA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4513CAE-FF51-425A-B504-4D1FAD8CFC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9C9FD63-4C09-4862-B4E9-31A2A16403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D3EEE9-3589-4A3D-9D9F-B5AB8FF6B5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417A88ED-4723-40AF-8F26-F1BA61EBC4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C3F833A-96CC-4426-B47D-D6AA500DF4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04F21FE-A099-4C73-A6B8-8207BED6D4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BAC873D-DFE8-426B-9194-55192659B5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1FFDAC1-1401-4956-A5ED-E0FE7D3F90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3B8E546-7B6F-4983-9968-DE844651EB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F78030F-5BC5-42C2-A8C3-A25388E59C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E22F760-9C32-4F13-A251-20A2A678AD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CF6DDE5-F187-458C-B0D2-FC12879B04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7EAA5920-6089-449B-9108-9CD3C1DC52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95FF0EB-06D8-41BB-ADB9-FC178A15F2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E539C2F-68BD-410E-AC79-38DA092FC7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0602C7E-F585-4D6A-AF43-A31EB26479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6E30920-5291-4A41-8913-47BA84B38B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87BF746-4B48-4B5F-8DAE-459B266D9F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7DCA009-59CD-4C02-8F6E-3C4E1A7519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16F053D-B2A3-4EA1-86D3-A10CCD2D30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3F245E1-6EC7-467B-897E-EC46DDBB75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96C6723D-355E-4C86-8126-AAE63EFA4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78779E2-7524-4448-8D82-0E6FDC22DF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2A09BB7-C689-45EA-8A05-943142BCED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CFCA8ADB-C215-46EA-982D-144E3D4799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09EAEFF-833C-44D2-87C0-AE0B3DD0BB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4875254-5559-4573-B2BE-D23704E8CC1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C419EA9-5896-4231-9A5E-85A57BAC8A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81A6A06-A63D-43A5-BA7F-E236207F61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9CE77647-B227-4317-A509-C6E6B3FD00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0469DE7-2A5D-4B88-B5B6-0737ACBB23D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C896667-E98C-4155-8B23-68AD3F27C6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F757A13-19DE-4290-A95F-80158712E7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BCBBE52-E093-4265-9FCD-CB9420BF32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397436A-45C8-4771-9BD1-661D83D2F8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7327CA80-4C84-458E-95C6-D37102F3ED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D7C3842-8510-4A4F-AED5-63DC5A7588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D9941F0-F9AA-4E47-A0C5-9A4AA7B42C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F4ECC93-BA3D-4954-A2EB-24556ACFED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A172203-FA56-469E-A31C-A1A6E36F20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2870C895-12F8-4A65-9924-98570FD6D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5D323CA0-FC1E-4A15-B200-B9E7E55FD0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67D1176-C6E7-4883-9B25-2BAD80B638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1A7E0FA-1F68-4D80-886B-F781BD7477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CC2226E-C7C6-4858-83D2-9549991325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95A6E0B7-CA2F-4C93-863D-F5232D8271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D0BFE7-BE11-4F44-9FC8-B2A1A9A995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C58FF50-0A20-4309-BF1A-E3136DD69B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C3236B9C-4D73-42B3-830D-DEBD7BA91E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8832857-FE3E-4588-B4CC-56B4152BFA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F03413-01E3-41BD-9FC3-784D555878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0DE28F80-1366-470E-BAB5-776BD910CF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72250DD-AB2F-4F0A-88D4-C9F737E262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970379C-5DDC-4003-8286-14BB9CAADC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70D537A0-C42E-4BC7-8F0C-A663A62CB7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C2E21704-FB60-4558-9A4F-B18140EEED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FA62B14-DADD-468E-A419-7EAA993959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81F57B94-BBED-499A-8A3D-C4E58C1C23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DDD6A60-84E1-4599-833F-836A6D6F59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4DCA895-0A86-4B40-B69D-876F4E9216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D81B968-7A7A-4F40-90F5-C411578CF1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2D404E9-5B25-4971-8434-85B85BA7876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253973C-11B8-4C02-8392-7A989D9A3C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6CDE39A-E885-4FA6-92C6-A8EE50A974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EB63DCDE-E46A-40F3-98D9-C704597466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B317134-9A5E-44AA-A2D6-8E8AC174D7E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7067C2C-7327-4173-9615-E7FF092350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2822A279-E281-44B6-95B9-1DD967A770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AC203C8-999B-4EE9-9836-0593188BE5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2F57C67-2439-459D-9C7C-09EE9A79A0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66C337B-6938-415C-A13D-BC41B41142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4BD933C-9CDE-47FC-B698-EFECCDAD7B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848312F-F510-45FA-9FE1-B12F2ADCC5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86490BA-FCDB-45CE-B752-6ACF2A0971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913C778-D9BB-412E-84B1-1D6956B134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D0E8A361-B12F-4C84-BF62-ADCBDA852B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00B4DB3-853A-4909-910D-17AA43397A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7CD3CD8-9A92-4732-9777-A72BDDB936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04D4D17C-B028-45AD-B61A-D65696C299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8443F7C-64DC-4F0F-9E09-52A96CAD3F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214E917-6388-4238-88AA-DB8909E9A6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A43E13A-5C67-4315-8421-D0BD4B1797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9CC917E5-5D2B-405D-8E64-E43BDC78F2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4A6B3FA-3662-4D67-9C37-5C9D134228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128830E-63CA-45A6-92F7-7333BDDDE7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18939F0-7EDD-4600-AE68-683BD134D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F491574-A630-4632-B2A5-EAA589E60B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1112438-0838-4C0F-918F-C857CCA1E2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BC299C5-F55E-43C0-B5EC-24D19D553D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72EBD01-2DF9-441B-A6BD-7C513E32EF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2933034-43B1-4236-A59B-1BAFBDC9C4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F642E0E-726A-4861-B7D6-13368314CC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D857991-1EF1-4748-B60E-6B03A606B8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9CEF480F-9DBE-4BD6-8868-A193B7A23A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175FD72F-F6E6-4EB5-8188-E2D0E3023A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DB934A1-024E-433C-8969-0FD9283B2E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1D78622-D2B2-4626-94C7-ECC7C8D27D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767CD49-40B0-4CE5-935D-EB34A9F4D2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401BDD4-95C9-4090-A4F8-2EB2838AA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137E686-31DF-403D-8162-4A97FD591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7D82C75-AF3C-478E-B602-DC1D4B729F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D9F6405-1FDE-40DB-94ED-9D06E669D9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103E8FD-7A6B-4B6C-A1F9-FB34ACECF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B4BD5BE-27D5-4248-8D4A-6A76920D7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68035BEC-4B5D-4EA9-B51A-2A161022D3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46F11B2-642F-41BD-8E03-138AD18AD6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1AC52FB-B5C7-4E97-952C-57AAB022A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7A501D9-AC38-468F-BDD6-D3BF251DA3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C455BF6-7B7E-46E7-A78D-6AC0B05D6F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080D185-7A69-4ACD-96A1-857EC76990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1AC65AA-4E68-4854-8E1B-A9C7ED06F7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36F4516-168A-4F25-9D97-F8C6458580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299549A-D4B5-4266-92FF-5932C60C60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A9A3E59-FD67-426B-A896-A0FA0213D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71678D4-8AF1-43C5-AB44-6B0947D747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405F9E4-0AD9-45EE-A8AB-7478ABBE76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299C5B7-491F-451F-95F2-4DC82E4A29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AC014C4D-C1F8-4667-9A44-1720A47DCD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FC6CD89-BDE3-4C5B-BDBD-7878971601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5BC1FD1-831E-4CFB-BA74-DC20BB4871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23D397C-5031-48B5-9F85-26AE931368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71C09EB-5139-42D9-9028-FD401B3332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955CECCC-3D88-4158-9808-19298CF38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62EA0CA-4785-44E5-A53D-48C4116E1C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45001ABB-FF34-467D-B495-575FE95B9E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356264FD-71FD-4E46-A4BD-993CA83B0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B313074-AD30-471F-928C-CFC511C3BF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9BCAACA-0D88-4645-88BD-B6D3678E48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6A3DE7C-5D7F-4B49-A946-8A74DD682D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F0EC2797-B01D-495E-92CF-F2C1004BD1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BCC557CC-0582-4368-BBE6-E173A8B1FE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D13A013-A7AB-4998-9106-0842BB65A6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FB1F591-52C6-4B3A-866E-B71D3A599E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A3013F51-6DC6-4ACF-8966-FA38521F2B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E384062-FB15-478A-B36A-33DCC0FEE8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65DE4C1-A81E-476C-B2CF-D19B8A27D3C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AE7157C-5843-4C30-AF8E-E94FBE844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78B371A2-5C32-40BB-B03D-F8A62E3271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6BFA317-038F-42D6-A5D7-D5D98CD29F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1981594-709F-456E-A8C4-E3E0491DE8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730605CC-E71B-4451-B33E-13C9614D2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A4F2EB6-2CE4-48C8-9ADF-76AA17086C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1D8543-9031-48F2-8435-F2C11A0467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293E29B-492F-47A5-983F-396C4A3FBC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0F159D0-3998-4628-B4BA-23E82416DB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A0947AB-9ACB-4C23-AC37-8984EEEC61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A08DF1C-F286-45BE-AEFD-4B372843CA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9B381E5-C3EE-48BB-AAF5-BD7F96727A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48F7181A-98E9-4985-A982-FF260B564C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EF109E5-7380-4FB8-81F8-A46FBAC282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69235B6-8628-4032-89E5-4C94C77A75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93FD4CB-4B2A-441A-9C7D-DDCC934184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FF2A0AA-8B5B-4D99-B821-7BE5E85617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CB47C91-B1CF-465B-9F4F-BB68E61393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B3E85375-8DD6-4859-952C-330009BC50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A1F2BE9-C615-46EA-B2BE-19E7325254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8E92557-EF22-4749-986F-B3E4EFD479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C425E0B-1B6F-47B0-9C4C-07B824A3C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9010E57-D091-4524-B67E-F718F7D22B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19D8A15C-DE2B-454E-9B88-C4FCFDD30D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38C7004B-B2B1-4B44-961C-C141A52CC3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40AA699-6992-479D-9A2E-407A17BF3D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7276F752-07E7-40FF-BBBE-53D40A6C65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E50646A-C146-40FE-B64E-AEBCCB2E7E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9475855-BE59-4146-954D-B1CE2A7D5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2DD9D340-E8C4-45B2-9304-76EDD65266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8A3BA3CE-34A8-4509-8DFF-47605C3DFCA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92FDB47-910C-41FF-B2B5-06E9E28340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A7BD753B-4133-42BC-B4B3-4A2D9C1930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7622D56-EC74-4CA1-A59B-A8110C401E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0F3C320-F008-4F39-88F0-931E39AC22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D918B33-EE0D-4340-A532-3166E40226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EC160CC-075A-4425-88F0-934CD49F7D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37D77BC6-5589-4BEE-AA34-A73D72E8F2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F303A8BD-A306-4F74-B786-DEDAD76350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DA9255B-BD7A-4894-8DE6-C51ED86D94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115D62F6-B036-4C94-A7A4-DB9DEA133B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CA0B21C-CBA1-43AC-972F-49A5FE9B807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42C4B60-D3D4-4EA0-97A8-84DE14078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41CC2C75-2EB6-4157-BA63-8DC092DB55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1E09FA8-2062-4A2D-9615-05468218F4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A711A9CD-0149-432D-818E-5DC64AD15C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299E2F55-64A1-4F57-84C8-A7323CFB00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43E094E-DFCE-4B15-889D-5D7C6E799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21A8EEDC-5C70-4BAD-B2E9-610B297029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0C6335C-94B7-4D7B-A9BD-4D6C8A0BD3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E19C74-82E1-425C-A3BA-9145E2B84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F8DB8313-C37F-4875-AB3B-0B13F0E18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B132E921-D11C-488D-AE48-A6E57F3851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4C994EE-4F1D-4C7F-882B-D546CC2B5C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FB877C-C138-42C1-9F1A-9802479B39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372A6F5D-7B8E-4911-92E3-8704C672A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8561A9E5-4BC8-4EC5-B3B6-B7E7E8500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ADBF8801-0CAC-4D0B-9F7B-171DD834A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F8B21B9F-D1E4-4300-AEA8-4EF81AF91C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A36F090C-8B5A-404C-A313-36282E7FEA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E1A7A3B-C293-463B-8C47-20A1396004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29A84B4-052E-4B5C-BF1E-12CEE2677A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6D67980B-A8EE-40E8-9D89-FBE04E7AB6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E0686B8-05BF-4CAC-A758-ACA27EB5F6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906358C6-7506-45BD-810A-934AEA0CDE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8FF1052-E713-477D-820C-ED6A38082CF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41798A3-7A54-49D9-94EC-9B896784B5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214F701F-B7AE-40CC-A13A-4147CE9202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ED2D207-53F9-4EC4-B7A4-EFCA4BD4C0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138F84F-7EB6-453D-86FF-B57663436C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F392515-BB93-4353-962C-B5F8F47F87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EAF4AF1-92B1-4A59-94F6-4751D5B574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8B238B8-9EEF-4433-8EEB-0CD2B694E0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3203556F-6D34-4079-BBBF-5230C9ADAE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FEAE716-A80A-42DA-89B4-3BCF44334C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7C00EB1F-A870-4CD9-9B48-555A99DC02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ACD5265-A1A4-4A37-A5E6-7AD029535C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6FC0AD6F-B322-4DB9-9D1B-6F80717BD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6DC9373-AA81-47D7-8CCC-DED53BCA46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E22D6527-D96B-44CD-938A-F16CB6CD7B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D621A42E-1F84-4558-95AF-FCA026DDF3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22AB684F-20EC-4D58-9CD1-78779FDEF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DE50F0C0-A615-41F7-BC81-17A0694304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17FD9B02-8501-492F-A4FD-A8799DF198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1161E684-2B5D-4D2B-93BC-8322E23BE3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08EC5E-4B5B-4BFD-B9C0-B315105DB5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0A16E698-A54A-4C52-8BC3-0450078457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9C9BFCAC-7755-4FAD-B9F5-623D257F10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7634BCC1-5B56-4E97-9741-9A123F611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6D2FD70-95AB-4646-9E24-2785256E5E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3ABF17DF-E57E-4C48-BA3B-DAB35D1F93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C6103EC3-C481-4238-A9DE-E3FB1D6E6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3A78B5F2-1431-40E6-A1C2-0AFE0FF065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B226599F-63A4-4BF7-AEB7-3A8F1DCD70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0DA411C-2CB7-4922-899A-2E5EBA0290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4787DCF-10FC-468F-963B-A820E81EB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9E44CD13-FD6F-4F22-B6CE-615AFA3202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52F1D342-6A18-4D9F-9886-8F699A4C0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6B824E0D-34ED-4BD8-97A0-0309592630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8832D6BB-B736-479F-A359-08C54B13C1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51720EFC-E695-4D52-A80B-D21C1EFBDDF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8FF5BB70-2EF8-4633-B44C-4468E01691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A6611BC7-C844-4F01-ADCD-68F24FBDCE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AE34109-A9D5-466F-BFD5-C29D8FEBEC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D9078679-A446-48FA-BC0C-0529BC7083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AB55DA29-F637-4783-A3C1-93B192D74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4D261C70-39AA-466D-8FB3-10E28B52B4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CDC99CC0-BF88-4987-A751-16408467F1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90DCB6E4-B95D-49B7-9A0D-078060C239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5553BD11-D134-4370-86B8-097F6901F3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7DCE0BAE-4FA3-4ECB-BF75-D8B491E9DC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19A791F-4844-462D-ABE1-6E36B35C16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B735C497-502F-4CDC-AEE9-3E9555AB9B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AAF7B94E-DE7A-41D8-9000-E99EE210B6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422598BC-198D-4379-BD57-20734446D6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D55110E-7A9E-48F7-8D8F-FEB4E9FF31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63CFAA3-BAEE-4C9B-8A18-0E463FB473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D321B79-5D01-42D8-BA9B-8FED59394E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9AEF5A0-B4E1-4240-9A1B-33CADE168C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4CD877F5-8455-4B03-BF03-B6DB35705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9E4A1E-FCC0-4A6A-A0A2-D46365AB7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6F64775-1B29-4573-8C25-914781AEF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4918D1E8-509E-415D-A656-65551270B1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D279BC2B-81E6-45FD-9775-69F3310DE1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51BC360-F8FE-41B9-B3C4-096E651104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C221D27-EF8B-4935-95CF-FEA3A5028B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26298DF4-19C5-4219-8988-AE4C53CAA2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2C4EB9D-AA40-426B-BC94-5BFD22EC0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0F55A76-0AC5-46D0-A49B-BCAAA63BE8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D171E34-C3D1-4F56-9C5D-B34217F2DC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45CCBA2-73D7-4944-B38F-C7796B3AD7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D416903-5FE9-4E16-BC78-2AF7B67318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5C8F4CCC-B12E-45CC-AB59-737AF3B3CC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ACE9F7E3-E28E-4D98-8900-1B78C97A2B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4BEC940-E1A2-419C-8993-5C57223B88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0FFD9099-FEB8-45EA-8A5F-747AE5CD155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5FA775D-4149-4749-BDA8-6ABDC7C692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51F20523-26E6-4B20-8BE0-15F03C792E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EAAC6D39-F08C-41A4-8866-A9E1129202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553148C-B102-4864-9A4D-A70487E172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B141D66F-EAE7-4EC9-A088-15900A7D87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F4B66A99-4BF2-410A-8298-C7A453D94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FDDD2D6-B0CE-44D1-BC39-16DBA2DF70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0CD2EA9-1143-4AD9-ABC2-3F827CA0CF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824A9C2-932B-43AF-B2E7-86962357BF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C3BFEDA-045B-44F6-BA41-441C078B0B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EC99892-1C44-498B-96C9-3EB3F8F4D19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8095EED-3D92-4729-9008-09E0FA557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D0FB2CD-5769-4DFA-A110-ADAD9E5E99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92A74B1-265C-487C-A52B-4A83C1EBDB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E3F7D83-CE20-4EF9-AE23-BC39AD4111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C2F48F6-6B09-4608-BEFB-2C94931922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CB2FB55-0773-46EB-B736-84EDA3905C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1385B27-EF05-4C37-87E1-CD6EF34762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85A675B-7B30-4DFA-B272-64272488A3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4D1EEC-2B81-4F18-8FCE-423506C0F7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8700521-52B8-4DFF-9194-84E90CE587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0F42EDC-089C-47C0-AA99-7BDA372438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6AEC1282-832E-4367-B091-698F4EAC1C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0455BA-F29B-416D-9E57-8CB339FF48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A5C13F-D7D3-4147-909C-1FBD86E608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12E6D62-7B5B-4FDB-A7AD-20E9179703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3F55FDD-1636-4363-840F-1854027FF3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821C196-FF0E-49CD-8E1A-BEB547DDDF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4D059FF-D0FF-44A2-B950-0425F8DA4E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F6F40C7-8C22-46E7-B4B6-51092174E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086BD16-4377-4FDF-82DF-E50F9CA613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AC558D5-AB8D-4BD2-929A-EF545DE607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2E3513B9-2097-4834-A8E3-CC6252AA74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046E877-3263-44FC-9E50-4D858FD240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78BED94-A3CE-4A66-B845-FBFF60BC34A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932F0372-26D4-4178-BF5F-B418EF9707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540DD79-2C96-4832-9B23-D686DBF9C7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E0826CE3-1809-45B7-B440-77DAB1FF0C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C40FE96-51F9-4C0E-953D-52A29BE3A1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5204A12-67B5-44E0-B6F9-B51CFD92D6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362F19E-4EA2-4D72-8A8E-409FF95DE3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6BCE81C7-88E4-44BE-9E2D-FDCE2A5A60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18DAAAE-10CA-459E-AD2F-740E1280B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A3821DC0-554C-44D5-8F8F-08BEF823AF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0A4297D-8E16-4F95-ADCB-0E692EFFE2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7166DEB-2DE5-41BD-90C8-65247F5BAE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9693F6C-057F-4F76-8E03-2484045639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BB9300B-9E21-4F7A-B528-6570943563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1816196-669E-4CBA-B995-EE28BCCC18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CAE5087-DAE9-4328-8BAA-3B4D9CADB7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2B3E315E-838F-4319-BFEA-917FF640DB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7916E45-67BB-4C3A-BAA7-F602C7F971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F4C4EED2-DAA2-4557-BD2F-F1A1EA0E11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6ABA456-6F4D-42C8-8602-4CB364D59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240C72-92CB-4E13-B73D-275094F0FC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ED34ED-8CA0-4CD2-8AAE-F6DA87336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A41DCD9-5F63-460F-A29E-18B1303334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A050BE8-EEA4-4FEA-8807-BE497A9F2F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D0D5BC5-BB24-44CA-B0E3-6B31617749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B6B3650-C889-4B1B-BE84-C0A682E790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DA6E8F4-30AC-4B56-A212-B986F8DF1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7127CB0-2241-432F-8B21-4B13D58987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1751777-5BD4-4841-8ACF-40855E185B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D12EC348-BDDB-4410-918B-F1D13E4464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7DC8F9D7-C913-4ABA-97B6-791A62861B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0C3B626-7944-4872-9416-73F033422B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16AA252-A103-49B6-9902-E0A439B68D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C387BD9-D430-44EB-9B2D-2537DCAE7A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6BA58954-3C44-4BDA-BD1B-981D19C147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6FCC297-F2E5-4422-8BC4-423CD6189E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83B3552-4768-47BC-BD14-AE6DB873F2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BD4CB91E-7A2B-4B02-B1A0-D78A1527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0A349BF-056D-465D-BEA5-0D01DB230A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25FC7B2-C9ED-4AAC-8E6F-C0B935330A7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A4AFE9F-6966-4772-A3AA-9CFA1DABD8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49EC6BA-625A-40FC-95E6-30C1AE8287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A0B44441-759E-4323-8E59-C60FC823AA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D5FA6C9-4286-4656-AB67-3CF138D7E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EB7925-2CFB-48EF-9564-D95AFCE0A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CE55539B-5431-4609-A9E7-62E3F12C43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8BD0C911-3D26-41C7-B4F6-7F20260F37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98B9A5ED-3E94-4634-8577-B461E5FCAD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C9A1B6A-5DF2-4499-BAE1-B8328F7DBE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F474353C-D7EB-4662-8E39-6410CB839D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A86FD0B3-2FF9-46B8-B271-7A843368E7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150BC3FB-4FD8-4D32-932B-39DD0A4936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5C806FB3-B923-410E-94F8-1A2BABA019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C2EA8D4-C7B0-4A74-B0FB-8995E5DDF6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CCC30F18-B9E3-49D7-8B02-30FF274F49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4D4EECAB-9ADC-41EF-83BE-F6520C6A88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EDDBA628-D343-487E-8869-D36C5C12D8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31DC6C2E-93FE-4DCB-A5F0-B9440BF529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692973CD-BB51-4A88-821C-E69430D53E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E3B494B8-801D-46D9-8C2B-B5496A061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022E0B9F-58AE-49A2-9794-6EBF28F995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B0F3BB61-FE69-4D15-A4A5-5CBEC4BE7D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EFE4656-C929-4F21-B0E3-7C188B2389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68A8B0A2-5334-45FF-9371-0A94D58261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4B9AA1AA-CE4A-45B3-A997-91ACFC210C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AFA1B417-7CED-480C-AB26-D02922FFFD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35522111-2B62-4BF2-B4FD-5561FDF8A9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B8930253-67D5-4AD4-AFD6-D4193850C1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AC00B565-14CC-444B-9659-CFD251A595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96212BFA-D2B2-4F82-9DAF-476B0BADA7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16FDA16E-BC72-48EA-835B-1B10D6B417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4B2319CA-0930-4832-8119-DD5599234A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4DC5ECDA-B996-4345-A79A-B0502C41FA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FDE0CF3E-3376-4966-AB45-23EF5939F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2520BD39-BABA-49BC-8423-5312847D7C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F7968F93-C569-4FF1-A61B-A186BB03E1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A65367B3-B3B6-4050-92AA-E8E48750DA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DEABB4FC-8E3F-4DCF-8A17-F73A5A558A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1F11365E-0EAE-4697-9A28-8BC8C6930D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A272220F-12D9-462C-819D-79F6812093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297B901C-D71E-40D2-A840-67DC68B7D1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40967A-32BA-4FCB-AFDA-5CDA672FF03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9E64A47E-90C1-48FE-B887-CD239D125D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4B59DCA9-DB81-4F93-B48E-9C6754DAB1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FD0AED6A-C896-41C5-8FB8-F28B705528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65B84FD8-1F45-4B3E-8A49-7EAA329E58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370D67F5-CD2C-4374-A1AB-BAFB43F8EE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18E7E99A-F664-40A3-BD20-4280F32C5C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9E38899C-E660-4E24-BF27-5351997525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AF09CF84-9C7C-4AAE-8B6D-2DD347F57B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67BB2E-3FE1-4222-8A96-56E79D18E5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2785AEDF-E819-4AA2-BCBE-96BF8D26DF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23D0D95-61CA-4186-A299-3C6333FC14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BDAD478F-8723-46A9-96C6-ACA0A3F81D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7BECE4-EA6A-4C86-950E-724FD93833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847D4ABB-5D8E-4AF0-8963-56A72353E7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8AFDCCB1-5879-4CC1-96C4-57FBCD956F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ED1F75B-9D48-4CEA-9DD4-4AA69AC64C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1AFAA61F-F994-4259-8D2C-9A9AB0692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815C952F-0F1E-497A-BCC9-3CB2ECEA9E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19122D3F-0F18-47ED-AAC3-6BA4F2EE03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90E188C8-03FB-4938-9EF2-FABC5F9871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99B2EAD6-5B0A-47D0-B94D-F98A2B094F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B0608D64-C023-4327-B5F6-F7AB0960D7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5079DBFA-DBEB-4B39-BE90-7B16F0E617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CE514FAC-0274-42AB-9710-51787C25E82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6D704AA-6EE8-44B7-B0C2-1D5D5E9D2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CD001ADF-DE44-4E1A-8F70-39E0E68E9D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97F9465C-D35C-4B0E-AD64-D58681FB4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B5EBE321-51D0-4891-AEDA-3E7BAE27D99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1EE02CD-34C6-4E0B-8541-2489F1F2BA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EF77A8CB-2C5D-4702-932B-A4DA1992F9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4DEAEEAB-5EA4-41D0-ACDF-75599F4D8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1611956C-733C-45FB-B43B-26547A921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2AA1512-FE35-448C-A050-179D8442EF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F96D385D-788B-4214-9ACC-9F2AA25CAE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F776BF-C0FB-40A8-BABA-FBB63DFEA0F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BCD427E3-7162-4627-A03B-D7C0D96AC0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768C68D5-3C26-45BD-A9E1-DB18526EE3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3B5EC46-DBFA-4D54-8D02-C19DA6C9F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F9A0F0B-56EB-4EE0-86FD-801AE45851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4A40D82-C5DB-469C-A795-96DDB09E3B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E3C86DA-B005-4C1E-A203-B0AEE69D8B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A067192-6DB8-4F5E-BAC6-5C5FA258E5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D558D3AA-43FF-4A75-9C5A-C22A4D240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9E4B32B-C766-4F15-B857-182E23A91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D742D88-CE8F-43EB-AF1E-621781DE32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5F2BD54-839E-4FF5-8197-6E20CCD35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A959DFF-A491-4080-BBA3-A148765849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D3A09C-7422-46B9-AC98-1C195342FE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4A154E5-F240-4BD9-8C9E-2B0D7AFBB2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E83F4D5B-9AE0-4D83-B0F1-D25574DBA7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1136FA8-C226-4091-80BB-8CEAFDA91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3B8C3D6-46DE-4AD3-8450-6D5D165B84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FEF96E4-2942-4CC1-A736-82FEE9B49F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C28F613-0E0B-4009-A87D-CA245B261C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014756A-E35A-4AA6-A269-E91C7D9587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26F27462-A7DC-410F-BF09-4EBA3AA949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C707AA3-B4A6-4D1C-A025-9F0FA2EF92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4C0A60D-AB74-4980-9294-855B1AAA5E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A67E65A-3A0E-4B39-809A-6F8DD164A35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4D27DE1-1AC3-4E7D-B6A6-722016BCC2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9BEBEAA-0FD7-46E5-AEDD-873054F170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CDC3910-A7DB-4DA2-9FD6-961F6C8BB4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0BAD3E6A-94E7-432A-AF0E-6BF2665B458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D1F3F32-7B27-47AC-A1D5-BC7A14DA5A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A11F5C8-1FE7-4AD2-882F-05F7907227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88FA359-BAF3-45B5-AC32-06E433842F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316BCD37-E8E5-4D6A-B50B-B76849F43B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4F0EBDD1-4809-41F6-B887-2E17A401BF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0D66974-F438-47DE-BB31-4A7DAC7A8F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FF9F89E-EB18-4D64-AEE3-8F3D541FFF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1572E21E-9BBC-4C9A-9AEE-9325778CF7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354FB3F-62D5-4FD3-90D2-0D89FC9A16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89CF3069-6080-462B-B11F-8C92B3F2D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9FC9BAD-DA6D-4331-8556-C651ED5CD5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0C5CCB9-59EB-49CC-A7EF-03B2C76B9F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51092486-DC42-47FC-9AF9-2A35ABB4B5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4AB0EC3-F8C5-456A-9A7E-B2188A46DA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0DB09E9C-90D9-4276-A342-AC1C80490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8038224-A585-4796-91D7-288B84F38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B99CA018-4421-4E80-AEE1-7A7C779C2A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49D85F1-102D-4468-AA1E-6AD0AC8BFC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EB6A53A-AACD-48D4-AA26-7AAF0BFCC3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C318B20-DF83-47C9-89EB-B8261423AB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F8ED592-30DF-4DDE-9CF2-812A094AFF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F95D370-6F84-448F-9515-4E1B1C1A6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F582849-A60C-4CB0-96C8-FB88E6C85F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160406E-CE6E-454C-8FAB-2D7796DADD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529DB150-644C-4C4E-AE0C-394EE4E0C8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9396E80-9D94-4708-80BC-BA1AA84D84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1F4FE72-5AE8-43C3-8003-7E64210714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F511D07-80A4-43CB-AAC7-6DD1A31D7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51BC66B0-691C-4A21-A877-375C9810BB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8606CBB-F4AA-4A14-A808-2E77404971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3985A34-AD98-4392-9ED5-82181C20F87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AA6B390-0D8B-49A2-A225-FA58EF96E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C8932FF-D07A-430A-93BA-BFE17D4785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AED896B-DB0A-4641-8C59-C3668F6968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04C52C4D-9E97-48E3-A0AC-E5258C532A5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7457CF4-C60D-453B-8CA9-27FA078699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59D2D9A-CFC0-4A77-BD0B-2607B09EA5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2CAA6EF-B010-4AAF-BBA8-1A18E787B2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AAD2DCE-F52A-4FEB-A824-EE4CF28B42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B0672B5-9BA3-4110-867B-C9F54F0E1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1133143-BF33-4BCF-9AD5-BBD6D7D71A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9D2C82A-8BD8-49DE-B0DB-E68BE8C5CB9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47D31499-6823-4F28-85FB-928BF7F756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AF5A26A-5E08-4ED4-B43D-B229B018DD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EF4E74B-5055-4681-A2A1-A1D23451D2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A5F8B1F-1D26-4BFB-8FF2-A9E36DB0A0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D734C768-FFB5-4410-95A0-2D8DF3064F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75CAC20D-7230-469E-9C4A-D47390BC96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583B98E-6588-4DDB-9BB8-912CD6726C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55F07C84-34F5-4C53-8C88-8E0C36DCD1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6D4C40-0165-4973-8A26-01EFF1CC36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9635415C-67B9-468E-8FA5-5E94C448CC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CB2016B-DF91-4FC3-AFB8-DE6949F39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2468FBC1-037E-4672-9911-4D2F662B0F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63D03FB-D6FC-42BB-8CFB-D95CAD4745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B227717-5AFE-4CA3-8D8B-5EADC78FC7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6E9B2DD4-13FB-4691-8A58-475FE634DF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36D30CF8-BF0F-4E0A-BFC1-04787A9E62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DE32197-E4FC-40E0-8A99-56B2B9BEEC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9C16228-2739-4B80-89E3-A0EB1D5528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D5757CC-C559-4ABD-8D9A-7F658E625D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54C1073-3A62-4A46-BCB0-3312D2703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E9294D4-D910-469F-99A3-732195ABE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2D60D8E-5C2B-4DFB-80FC-C444D2BA90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0764388-76E7-4C52-A409-DA667ADBB8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AA488E43-29DD-4B09-B7B4-FAAA80F5436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D8FE32B-DA1F-4F53-80C5-D6B9A0725A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5245BA3-26B8-45F1-9FB9-1AC3283625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B39CBFD-9F27-415F-AD2E-9D47414122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05450D5-20B8-469E-93D4-00C488F882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0ECF5C0-D372-405E-9984-A24E0FA189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66A25AB-5A75-45B2-A91A-DD76C561F5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5B5708A-B46F-4BB5-8C2A-07363868E4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70778D2-9BDA-45A2-BBA1-5CC60318EB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B1FF8F9-0D30-409C-BA9C-7A96BF2D7B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D8C0B8D-9FA3-4234-944E-16E79F054C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3E124DE-DF11-40F0-82EB-B62C50E5A7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756C787-04E1-427C-89E6-CCBD586990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8A7FF09-D221-4125-A031-2D2744A508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B674CD0-4CFB-458A-9A24-F83E73BE25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A2C3E51-7057-468A-8E86-8F8BBE2E3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400BAFE-F763-405A-A7B7-019F698B82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1BE9100-03FA-4D07-A42B-F8EA9F81F7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833937C-8CC7-4223-99F6-A9964B4CF2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A620633-6C49-4422-A50D-E9BEC5042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B604317-066D-4571-A691-39AC868F49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AA76534-4162-4827-83D2-E1260399A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3331EACB-741A-4709-BF61-5CC0A7D343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0CCEC9B-220B-41BE-BDBD-D9E57F87E2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98CEB9F-B87C-4359-82E8-7458240106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B1536C3-77B5-4151-B96B-7EE78D266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60277E43-F2F3-4240-9BF1-ABDE3593D3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E0B465E-6B5B-4782-A432-CF57C62953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B6980DB-5984-48B8-91ED-629E416245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6551A6C4-4F39-4EFE-97AC-F7B4C105AD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777ADEB-2A1B-40F8-ADD7-5A382646EC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08DF361-B597-44AE-9E07-E71A9C58B1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1882745-6A33-4DB5-B043-BE80F5B3F3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BEB35D4-E4BB-4EE8-82E9-AE8B375BEA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8288C0E-5884-4D4D-8DE8-FC8D9D3FDB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55CFB0E-40BD-49B4-A30E-F8F1BAF3404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E389DC0-F28B-41DD-8AE9-AC34379C4A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559E62A-BB7D-40F9-BB4C-DCF7629D9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65F729B-125B-4A48-A47C-B0B45972A5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295890-A621-4999-8F3C-BC430305AD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54D36C1-BD8F-4B5B-A57A-5EB267DC1B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B95835E-D5D2-4947-8DAE-E0151B3FF9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7868B5C-049A-46AA-8FCB-EB7ADA9094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10504F1C-B043-4658-88C0-E392590D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3BD1579-7213-4FE6-9C16-1BD6836336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85BF1E9-2554-4537-B25F-520E93F20E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9BE80BF-B146-48A3-8780-0F656EF376F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0380AB62-69CE-4662-840E-EF74311A2C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24C59CE1-8F5F-4077-95AE-91D244121E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04F8D05-484E-40BB-B955-D75D91C5FA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A631F70-1274-4627-B037-B6A36D0FCC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BF344FF-A396-4015-80B3-5C257DA23E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DB404977-6A51-4AA9-B71E-AF428C7D70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81E209A-6511-4919-B0A9-369266A26D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C05E264-40B0-4284-A639-8C550CE0E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BC92FC1-A547-460B-9CC2-DA0CAC68D2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1A5BBB4-78D6-4B31-9C0A-C74F061DF7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2E3962DD-1678-40E3-BB02-E270E0CE4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EB82DC0-CA13-4FC5-A90C-9D74D66477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89BE625-2B72-434D-AA80-FB89BE43CD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28EDD04-DEE6-49A6-902F-D6DB495363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B707F55-06BA-4489-9749-2EA8FD5009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D395D25-D843-4565-94D2-ADB247E1DD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284FBE5-19A7-4ACD-8A27-FE5B522A62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E828E194-3D69-41CF-8245-CEAECCFB51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A793311-1F6A-46D7-A1BA-F6EBB813E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BF5BDF1-3088-4BB8-B3F4-21FAFADAE5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EB13264-5B73-49FE-8EAB-C77EBE9A16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A697941-C56E-422E-A782-CCED8B0A8E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151F189D-9CE3-4DBD-8259-B5DAA6EF2F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BF28928-C331-4EB3-BCE9-913F41F0649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1C0863B-AC2B-4604-BBF8-1B265F4335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E37C8F8E-3543-452A-9148-99BF64A7B8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A16E548-BA4B-4964-8C81-2E912B1085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449B789C-AEA4-4DCB-B134-58F454B94A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18A6C32-0789-42DA-B1F1-4EA342EEFD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F497C9B-9B1F-4DE6-A2E5-55B81ECB5A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C337157-002E-444D-AA49-9B8C86A7AE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690E36C-B012-4F94-897E-BC8F13C907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1BC017D-F3B0-4959-AF1C-A3FA9B42E0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2060ABB-66BE-4E7C-B1EF-5A59FF1B1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13221B6-DDF2-417E-AC2B-63203E854A0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6229CEC-C3B6-4F1E-8D8E-C9E28EBBB4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C3D19B2-7AEB-4B0A-BE83-2B9909D55F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2FFFE5E-FEAD-4F62-B5C0-31F9AB82F0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10DBDC5-1A17-4314-B38A-BF5B55BC34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46C553E-66CE-4FC2-8874-624968094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3B810DB-9C4A-423D-88D0-1B20837CC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6893827-8B8D-482D-ACBC-9E5B5072E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8CDF26D-1390-4FAF-B85F-1FB9C739A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84C7D01-8631-4E12-A2F8-7FCBA72D27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FD313880-9CE6-4D4E-B06C-ABA915912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5769A17C-B49A-4F69-ADBF-77722B872E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B8BD2349-AA0C-4A14-83F2-AAD52612BC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203726E-C66B-4949-ABEC-FC3841385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576EAE8-1D12-4D4C-95B3-D20110F50F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1F5DC88-9FF2-41D3-B690-3587A0F26B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C863346-EDDF-40CF-ADB0-0ECEC27EF7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4805BDB-5A28-4E13-84BE-9CF0B1B1C2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C912E0F-2074-44BC-9B57-28C50BB186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08CB31B-1833-46C4-9FDB-B7E07CF70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605161C3-F819-4DB7-96FA-07F514C5EE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511EF61-6934-4C83-993F-461E5EBA2D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D30B199-2457-4B3C-8A23-AC97A39C5D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D746DBD-70C0-4921-BF35-19B9C44518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0CCA7F8B-9405-4224-8502-587CB71948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B3DF68D-FC22-44E5-B4DB-CB05CC879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F40D2CA6-0C0B-4F82-B4F5-A2EA41A574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6DC09BBA-7BFC-4925-8A18-797F319110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8A10957-749E-4BA0-83EB-2084E48C1F4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33B5695-89F8-4962-8929-3308FA023D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8583466-4921-4087-8CA9-CF2A707A93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1F679FD-1818-4DDB-8A65-C677945956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1AA89F4-D648-448C-987F-9E6B9D2933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222730F-D7D3-4D63-8020-CA1F2C2A4F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EF3C4F3-8233-4844-B6ED-D422DDC5B7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E7014C6-3AC6-45AE-A675-CA9A5850070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3A33A54-3C84-4390-8729-BEE1AB4430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D4CAD99-6F07-455B-B2A1-881A0E7345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748E8C8-BE2B-4BF6-84A2-8A73B985D3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5266FE9D-9C5F-4BB5-8A18-10FA2EE080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6141962-DEB7-400E-9ADB-B788010C98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9418845-728A-4BA7-A8C2-0EA933FBB9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3748548-AD58-478D-A4B4-533664B3B7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89052BC-47CD-4F5F-9843-62A351ACEA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BEF1C58-73A3-4800-86CE-A6EBCDDB1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589FB2B-3EB6-4E8E-B3E1-AB8F94C16D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C20D9CF2-A48A-4CDD-A7EB-F4AE82765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F2F6F35-0BC6-4C88-AEF7-6BEBB73193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3F172EC-A5A3-41A2-874C-B6EB8B1DF8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7ADF94F-B1AC-435B-AFD7-CCB30B49D1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7D41CE9-500A-4C80-935D-DD5C76CE5A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0DAEB5B-A095-4939-B925-B3035F230D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2DBDCEA9-CBC6-4F10-9C5A-FE61CA2B22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79FB842-7212-4708-94FD-41DD364E93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503F722-9267-40A3-822A-0730F34CC6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051D992-8ACC-4724-A250-BEBA9A5C4C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7EE33BD-4A62-41D4-9753-95C8989D0E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94E5395-49CE-4A3C-8148-5799EC7D1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8D50291-9754-4148-B625-5E5E3E51F7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C4553D6-7766-4A79-8E02-013B4789876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6CA18C5-AF74-4DB6-89A2-DBF80A2F8F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7BD490E3-F1F8-4CFE-ACFA-71E42BA277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50C37DF-04AD-4EDC-BB6F-AFEE5F7F1B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59FA3AD8-B3D4-48C0-A9EB-ACC18921D51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033B68A-75C8-43F5-B42A-926A3BA71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2CA5B948-F34C-4C65-9834-F22DA7F5B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125869F1-9DDC-4F0B-A7D2-0E66D70A03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4904A44-1881-4A10-99B7-4A8246A400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FDAF11B-4969-4876-AABA-20EEAA829D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0828EA4F-F78B-4362-B64B-5DE7B5D066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98F2FA4-5DD0-4B5E-9DF8-C500E906D5C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21F94090-E70C-4ECF-81A0-1891EED827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1DD16A23-D467-4A87-9024-0C262FE1B2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E766B447-77B3-4C37-9896-C7937B1D5C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E4F2D7A-1104-4E37-98F8-7B238C642E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852BED2-A226-4550-A7B1-2AA3775E71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1060056-0835-4499-AF9D-50EE9ED7D4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DBB41B0-9F5D-4B52-80F8-F733ABB6CA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5BF9A6E-21D9-4DA7-AEF2-461913A8BF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CA0F693-AF7D-47C7-9EC5-890C81CC7B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9CB80B54-C285-487C-9332-39DB88E1A0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96B89C4-57D9-4ADA-BEBC-E29D392F1A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B694E28-4900-4F51-9835-F8DD1EB6B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F16F2A-20D4-493A-80DB-34571234AC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339F911-29DA-488E-A0B6-C8DDACFBCD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3DDD4BC0-0B2E-48FC-93EE-D48C30E6CC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12AA8A3-F4E0-4B5B-9526-D25D50E91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F1824C8-3204-4D61-BA9F-C2DA11E9A6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4602027-7FFE-4C6A-BDB4-934BD75595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335A70D-EC35-41E6-80C6-04AF3EA20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406323E-3824-4187-B3C3-EBEDABE3DC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E4B34C3-17FB-45F5-BCE1-58F8738AFC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6402D21A-0DD2-4ABB-B9AF-9350BADEB5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65D45F9-D9CA-4C75-8A25-586D6C0084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171A6A9-A161-4747-92FF-8AF04F3A80F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7D76E51-CF26-4F8F-90DF-A3629716B3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322D45A-9817-4446-AB8C-519F13311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A644DD3-9B2A-44D4-9103-D18C3C0C85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516515C-E189-4286-900C-C18E372C15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6E6DFA8-80AA-4AE5-99C9-1E1C6F213B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E4D2CCB8-3588-4940-A994-A5D32E1D22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2F1DAC10-4D90-467F-958E-0F6BD53FF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9DE5748-4263-4CDB-B6C9-01E455686C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Q25:Q26 Q22</xm:sqref>
        </x14:conditionalFormatting>
        <x14:conditionalFormatting xmlns:xm="http://schemas.microsoft.com/office/excel/2006/main">
          <x14:cfRule type="dataBar" id="{ADED3396-EE97-4B39-9885-06A2DE1021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Q25:Q26 Q22</xm:sqref>
        </x14:conditionalFormatting>
        <x14:conditionalFormatting xmlns:xm="http://schemas.microsoft.com/office/excel/2006/main">
          <x14:cfRule type="dataBar" id="{6E52A335-99CF-4A42-994B-C228C83135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64AAB65-BA47-4F26-9185-8193E4B963F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R25:R26 R22</xm:sqref>
        </x14:conditionalFormatting>
        <x14:conditionalFormatting xmlns:xm="http://schemas.microsoft.com/office/excel/2006/main">
          <x14:cfRule type="dataBar" id="{27AD2452-2593-42E9-8B69-4985AD240E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Q25:Q26 Q22</xm:sqref>
        </x14:conditionalFormatting>
        <x14:conditionalFormatting xmlns:xm="http://schemas.microsoft.com/office/excel/2006/main">
          <x14:cfRule type="dataBar" id="{0020B289-224E-4A6E-A1A0-3C3030CFB8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R25:R26 R22</xm:sqref>
        </x14:conditionalFormatting>
        <x14:conditionalFormatting xmlns:xm="http://schemas.microsoft.com/office/excel/2006/main">
          <x14:cfRule type="dataBar" id="{25220FD1-7E67-4B79-A453-BA920D3661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Q25:Q26 Q22</xm:sqref>
        </x14:conditionalFormatting>
        <x14:conditionalFormatting xmlns:xm="http://schemas.microsoft.com/office/excel/2006/main">
          <x14:cfRule type="dataBar" id="{967B5B95-37DD-44DB-9036-1F42641CE0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R25:R26 R22</xm:sqref>
        </x14:conditionalFormatting>
        <x14:conditionalFormatting xmlns:xm="http://schemas.microsoft.com/office/excel/2006/main">
          <x14:cfRule type="dataBar" id="{88011CD9-DE57-4E2A-8DDC-59205DE6FB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Q25:Q26 Q22</xm:sqref>
        </x14:conditionalFormatting>
        <x14:conditionalFormatting xmlns:xm="http://schemas.microsoft.com/office/excel/2006/main">
          <x14:cfRule type="dataBar" id="{3B3BE350-1F2C-4ED9-81D3-4206EBCC9B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R25:R26 R22</xm:sqref>
        </x14:conditionalFormatting>
        <x14:conditionalFormatting xmlns:xm="http://schemas.microsoft.com/office/excel/2006/main">
          <x14:cfRule type="dataBar" id="{50E9D4E2-2554-46C6-9A2E-CE67ED8D3C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R25:R26 R22</xm:sqref>
        </x14:conditionalFormatting>
        <x14:conditionalFormatting xmlns:xm="http://schemas.microsoft.com/office/excel/2006/main">
          <x14:cfRule type="dataBar" id="{17DAB6B0-4DF5-4F63-ABF5-0723E646E1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7D3360E-21BB-41DC-8680-6ABB215F52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O25:O26 O22</xm:sqref>
        </x14:conditionalFormatting>
        <x14:conditionalFormatting xmlns:xm="http://schemas.microsoft.com/office/excel/2006/main">
          <x14:cfRule type="dataBar" id="{39FAB49B-C451-4BA0-AF1A-6E6AECF8DD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O25:O26 O22</xm:sqref>
        </x14:conditionalFormatting>
        <x14:conditionalFormatting xmlns:xm="http://schemas.microsoft.com/office/excel/2006/main">
          <x14:cfRule type="dataBar" id="{BD94399F-6DE1-4EF8-ABCB-040F128565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O25:O26 O22</xm:sqref>
        </x14:conditionalFormatting>
        <x14:conditionalFormatting xmlns:xm="http://schemas.microsoft.com/office/excel/2006/main">
          <x14:cfRule type="dataBar" id="{CD91A100-E4E1-45C6-BB49-6D2CD4E73B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49F06E-A1D1-4216-81F8-FFC79F86BE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L25:L26 L22</xm:sqref>
        </x14:conditionalFormatting>
        <x14:conditionalFormatting xmlns:xm="http://schemas.microsoft.com/office/excel/2006/main">
          <x14:cfRule type="dataBar" id="{8EA73A21-D89C-4D72-B814-313A6823D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L25:L26 L22</xm:sqref>
        </x14:conditionalFormatting>
        <x14:conditionalFormatting xmlns:xm="http://schemas.microsoft.com/office/excel/2006/main">
          <x14:cfRule type="dataBar" id="{0BBA844D-8FDD-4BF5-B507-FE79F55A67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L25:L26 L22</xm:sqref>
        </x14:conditionalFormatting>
        <x14:conditionalFormatting xmlns:xm="http://schemas.microsoft.com/office/excel/2006/main">
          <x14:cfRule type="dataBar" id="{8F018205-EBCD-4EAC-A5D2-D95C4FD0F0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O25:O26 O22</xm:sqref>
        </x14:conditionalFormatting>
        <x14:conditionalFormatting xmlns:xm="http://schemas.microsoft.com/office/excel/2006/main">
          <x14:cfRule type="dataBar" id="{0F55EA48-F387-4264-A85E-E871E4F83F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Q25:Q26 Q22</xm:sqref>
        </x14:conditionalFormatting>
        <x14:conditionalFormatting xmlns:xm="http://schemas.microsoft.com/office/excel/2006/main">
          <x14:cfRule type="dataBar" id="{0A57F105-F36A-46E4-9342-2A6D5EC07D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R25:R26 R22</xm:sqref>
        </x14:conditionalFormatting>
        <x14:conditionalFormatting xmlns:xm="http://schemas.microsoft.com/office/excel/2006/main">
          <x14:cfRule type="dataBar" id="{9E816C5F-4A74-44AD-A01C-96F67AB5EE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L25:L26 L22</xm:sqref>
        </x14:conditionalFormatting>
        <x14:conditionalFormatting xmlns:xm="http://schemas.microsoft.com/office/excel/2006/main">
          <x14:cfRule type="dataBar" id="{823C027E-724B-4E8C-B614-375B1BF712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L25:L26 L22</xm:sqref>
        </x14:conditionalFormatting>
        <x14:conditionalFormatting xmlns:xm="http://schemas.microsoft.com/office/excel/2006/main">
          <x14:cfRule type="dataBar" id="{24307E27-1999-49F2-8D26-3771DEC1E4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O25:O26 O22</xm:sqref>
        </x14:conditionalFormatting>
        <x14:conditionalFormatting xmlns:xm="http://schemas.microsoft.com/office/excel/2006/main">
          <x14:cfRule type="dataBar" id="{D8A6CB53-3A71-4128-9027-9CFC5E4C4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Q25:Q26 Q22</xm:sqref>
        </x14:conditionalFormatting>
        <x14:conditionalFormatting xmlns:xm="http://schemas.microsoft.com/office/excel/2006/main">
          <x14:cfRule type="dataBar" id="{377FCFDE-29A8-4571-A8E7-AAACC4605A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R25:R26 R22</xm:sqref>
        </x14:conditionalFormatting>
        <x14:conditionalFormatting xmlns:xm="http://schemas.microsoft.com/office/excel/2006/main">
          <x14:cfRule type="dataBar" id="{2FFBED23-C685-4DED-B227-A9EE3138961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L25:L26 L22</xm:sqref>
        </x14:conditionalFormatting>
        <x14:conditionalFormatting xmlns:xm="http://schemas.microsoft.com/office/excel/2006/main">
          <x14:cfRule type="dataBar" id="{F12337D2-6858-4F0F-B518-15DA5870B5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O25:O26 O22</xm:sqref>
        </x14:conditionalFormatting>
        <x14:conditionalFormatting xmlns:xm="http://schemas.microsoft.com/office/excel/2006/main">
          <x14:cfRule type="dataBar" id="{090654C1-826C-4231-82F1-DF12229ECC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Q25:Q26 Q22</xm:sqref>
        </x14:conditionalFormatting>
        <x14:conditionalFormatting xmlns:xm="http://schemas.microsoft.com/office/excel/2006/main">
          <x14:cfRule type="dataBar" id="{0AF18701-CF33-4583-B35D-2FF071174F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R25:R26 R22</xm:sqref>
        </x14:conditionalFormatting>
        <x14:conditionalFormatting xmlns:xm="http://schemas.microsoft.com/office/excel/2006/main">
          <x14:cfRule type="dataBar" id="{87914670-D8CD-4E19-A08D-61DE2D333AE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L25:L26 L22</xm:sqref>
        </x14:conditionalFormatting>
        <x14:conditionalFormatting xmlns:xm="http://schemas.microsoft.com/office/excel/2006/main">
          <x14:cfRule type="dataBar" id="{D5B2D5DF-9F5F-4A74-BB14-6104B58B0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O25:O26 O22</xm:sqref>
        </x14:conditionalFormatting>
        <x14:conditionalFormatting xmlns:xm="http://schemas.microsoft.com/office/excel/2006/main">
          <x14:cfRule type="dataBar" id="{53486C2C-2DC1-4FFB-9120-3BBA5CAECC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Q25:Q26 Q22</xm:sqref>
        </x14:conditionalFormatting>
        <x14:conditionalFormatting xmlns:xm="http://schemas.microsoft.com/office/excel/2006/main">
          <x14:cfRule type="dataBar" id="{85343B93-A8C1-4E40-9AD7-0FD49C26C0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R25:R26 R22</xm:sqref>
        </x14:conditionalFormatting>
        <x14:conditionalFormatting xmlns:xm="http://schemas.microsoft.com/office/excel/2006/main">
          <x14:cfRule type="dataBar" id="{67C18D8D-2AA9-4158-AF22-46853C2A2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Q25:Q26 Q22</xm:sqref>
        </x14:conditionalFormatting>
        <x14:conditionalFormatting xmlns:xm="http://schemas.microsoft.com/office/excel/2006/main">
          <x14:cfRule type="dataBar" id="{53B18259-55AC-4686-A71F-59CE348042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Q25:Q26 Q22</xm:sqref>
        </x14:conditionalFormatting>
        <x14:conditionalFormatting xmlns:xm="http://schemas.microsoft.com/office/excel/2006/main">
          <x14:cfRule type="dataBar" id="{D1F4B0C6-0DAE-45DD-966A-82981C7950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2136515-1E5B-4877-A1B6-D8253A95DE6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R25:R26 R22</xm:sqref>
        </x14:conditionalFormatting>
        <x14:conditionalFormatting xmlns:xm="http://schemas.microsoft.com/office/excel/2006/main">
          <x14:cfRule type="dataBar" id="{DB61FB43-0255-4F15-81CA-74E1EE5F5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Q25:Q26 Q22</xm:sqref>
        </x14:conditionalFormatting>
        <x14:conditionalFormatting xmlns:xm="http://schemas.microsoft.com/office/excel/2006/main">
          <x14:cfRule type="dataBar" id="{25B4DB23-E8E3-41B0-8FB8-DC90A4CA02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R25:R26 R22</xm:sqref>
        </x14:conditionalFormatting>
        <x14:conditionalFormatting xmlns:xm="http://schemas.microsoft.com/office/excel/2006/main">
          <x14:cfRule type="dataBar" id="{FAE62710-4108-4EDC-AEB6-19A37A3F0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Q25:Q26 Q22</xm:sqref>
        </x14:conditionalFormatting>
        <x14:conditionalFormatting xmlns:xm="http://schemas.microsoft.com/office/excel/2006/main">
          <x14:cfRule type="dataBar" id="{13E5AFCB-4FDD-44F8-AF5B-56545AFC01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R25:R26 R22</xm:sqref>
        </x14:conditionalFormatting>
        <x14:conditionalFormatting xmlns:xm="http://schemas.microsoft.com/office/excel/2006/main">
          <x14:cfRule type="dataBar" id="{B48AE314-487B-486D-AA60-ED75BE633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Q25:Q26 Q22</xm:sqref>
        </x14:conditionalFormatting>
        <x14:conditionalFormatting xmlns:xm="http://schemas.microsoft.com/office/excel/2006/main">
          <x14:cfRule type="dataBar" id="{9B72380C-3CA5-4256-AF6E-477DF9B212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R25:R26 R22</xm:sqref>
        </x14:conditionalFormatting>
        <x14:conditionalFormatting xmlns:xm="http://schemas.microsoft.com/office/excel/2006/main">
          <x14:cfRule type="dataBar" id="{C4DDABF5-6E04-4D0A-ABE1-E06BB143A7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R25:R26 R22</xm:sqref>
        </x14:conditionalFormatting>
        <x14:conditionalFormatting xmlns:xm="http://schemas.microsoft.com/office/excel/2006/main">
          <x14:cfRule type="dataBar" id="{C760EFA0-48B0-428E-AFD5-FBD506F7A9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3295232-6D9E-48C4-9F95-8537C19C70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O25:O26 O22</xm:sqref>
        </x14:conditionalFormatting>
        <x14:conditionalFormatting xmlns:xm="http://schemas.microsoft.com/office/excel/2006/main">
          <x14:cfRule type="dataBar" id="{46A781E5-DFC2-4737-8FC1-EE14F6549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O25:O26 O22</xm:sqref>
        </x14:conditionalFormatting>
        <x14:conditionalFormatting xmlns:xm="http://schemas.microsoft.com/office/excel/2006/main">
          <x14:cfRule type="dataBar" id="{4131BACB-384C-44AE-B38C-2D0B378327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O25:O26 O22</xm:sqref>
        </x14:conditionalFormatting>
        <x14:conditionalFormatting xmlns:xm="http://schemas.microsoft.com/office/excel/2006/main">
          <x14:cfRule type="dataBar" id="{2DE3C8C5-2019-4252-AD1C-996D256C9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F76599F-7FC0-489E-974B-FB04F5AF0D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L25:L26 L22</xm:sqref>
        </x14:conditionalFormatting>
        <x14:conditionalFormatting xmlns:xm="http://schemas.microsoft.com/office/excel/2006/main">
          <x14:cfRule type="dataBar" id="{5106F5B4-1A6D-4DE2-8E5C-9CA42EA1C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L25:L26 L22</xm:sqref>
        </x14:conditionalFormatting>
        <x14:conditionalFormatting xmlns:xm="http://schemas.microsoft.com/office/excel/2006/main">
          <x14:cfRule type="dataBar" id="{343EE00A-BD51-415A-93B1-0C3B7D642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L25:L26 L22</xm:sqref>
        </x14:conditionalFormatting>
        <x14:conditionalFormatting xmlns:xm="http://schemas.microsoft.com/office/excel/2006/main">
          <x14:cfRule type="dataBar" id="{7D3E292F-936D-4260-8947-30232FD3A2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O25:O26 O22</xm:sqref>
        </x14:conditionalFormatting>
        <x14:conditionalFormatting xmlns:xm="http://schemas.microsoft.com/office/excel/2006/main">
          <x14:cfRule type="dataBar" id="{342161EB-DE17-43E3-948C-351BCC6D93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Q25:Q26 Q22</xm:sqref>
        </x14:conditionalFormatting>
        <x14:conditionalFormatting xmlns:xm="http://schemas.microsoft.com/office/excel/2006/main">
          <x14:cfRule type="dataBar" id="{6744132F-2ADA-490D-A5E9-E361ABF42D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R25:R26 R22</xm:sqref>
        </x14:conditionalFormatting>
        <x14:conditionalFormatting xmlns:xm="http://schemas.microsoft.com/office/excel/2006/main">
          <x14:cfRule type="dataBar" id="{13E633BA-93C2-42D6-85F8-B1199694CB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L25:L26 L22</xm:sqref>
        </x14:conditionalFormatting>
        <x14:conditionalFormatting xmlns:xm="http://schemas.microsoft.com/office/excel/2006/main">
          <x14:cfRule type="dataBar" id="{F4F76A94-AF44-40EA-B408-B85D9CC5B1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L25:L26 L22</xm:sqref>
        </x14:conditionalFormatting>
        <x14:conditionalFormatting xmlns:xm="http://schemas.microsoft.com/office/excel/2006/main">
          <x14:cfRule type="dataBar" id="{25805721-FF97-44E1-8E70-496625374C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O25:O26 O22</xm:sqref>
        </x14:conditionalFormatting>
        <x14:conditionalFormatting xmlns:xm="http://schemas.microsoft.com/office/excel/2006/main">
          <x14:cfRule type="dataBar" id="{9432EB77-14C9-4EB8-9C73-14EAD66BB7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Q25:Q26 Q22</xm:sqref>
        </x14:conditionalFormatting>
        <x14:conditionalFormatting xmlns:xm="http://schemas.microsoft.com/office/excel/2006/main">
          <x14:cfRule type="dataBar" id="{E23E2C8B-295B-4CBA-9CFD-F13FBCAF98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R25:R26 R22</xm:sqref>
        </x14:conditionalFormatting>
        <x14:conditionalFormatting xmlns:xm="http://schemas.microsoft.com/office/excel/2006/main">
          <x14:cfRule type="dataBar" id="{B154A83D-D12B-4A49-AE30-73720E14FB4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L25:L26 L22</xm:sqref>
        </x14:conditionalFormatting>
        <x14:conditionalFormatting xmlns:xm="http://schemas.microsoft.com/office/excel/2006/main">
          <x14:cfRule type="dataBar" id="{53D8578A-892D-4C66-86EE-4AA3EFE4B1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O25:O26 O22</xm:sqref>
        </x14:conditionalFormatting>
        <x14:conditionalFormatting xmlns:xm="http://schemas.microsoft.com/office/excel/2006/main">
          <x14:cfRule type="dataBar" id="{AFE51050-0072-4B80-A1A6-449CA0B53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Q25:Q26 Q22</xm:sqref>
        </x14:conditionalFormatting>
        <x14:conditionalFormatting xmlns:xm="http://schemas.microsoft.com/office/excel/2006/main">
          <x14:cfRule type="dataBar" id="{085E3239-64E1-4781-A7CA-3051C27BFF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R25:R26 R22</xm:sqref>
        </x14:conditionalFormatting>
        <x14:conditionalFormatting xmlns:xm="http://schemas.microsoft.com/office/excel/2006/main">
          <x14:cfRule type="dataBar" id="{61680FE1-C09A-4783-87E4-0EE175E211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L25:L26 L22</xm:sqref>
        </x14:conditionalFormatting>
        <x14:conditionalFormatting xmlns:xm="http://schemas.microsoft.com/office/excel/2006/main">
          <x14:cfRule type="dataBar" id="{813FCE2C-894C-48E1-8756-91769B2E77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O25:O26 O22</xm:sqref>
        </x14:conditionalFormatting>
        <x14:conditionalFormatting xmlns:xm="http://schemas.microsoft.com/office/excel/2006/main">
          <x14:cfRule type="dataBar" id="{17DCA8DA-0805-4D6D-86F7-44605CA64D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Q25:Q26 Q22</xm:sqref>
        </x14:conditionalFormatting>
        <x14:conditionalFormatting xmlns:xm="http://schemas.microsoft.com/office/excel/2006/main">
          <x14:cfRule type="dataBar" id="{A384347B-CA3B-49E9-AD78-6DB49AF220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R25:R26 R22</xm:sqref>
        </x14:conditionalFormatting>
        <x14:conditionalFormatting xmlns:xm="http://schemas.microsoft.com/office/excel/2006/main">
          <x14:cfRule type="dataBar" id="{0BFB5212-62BA-4798-AD1E-605A4750A3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AI23</xm:sqref>
        </x14:conditionalFormatting>
        <x14:conditionalFormatting xmlns:xm="http://schemas.microsoft.com/office/excel/2006/main">
          <x14:cfRule type="dataBar" id="{64C68B99-61AA-475A-9764-6F2D737BD3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AJ23</xm:sqref>
        </x14:conditionalFormatting>
        <x14:conditionalFormatting xmlns:xm="http://schemas.microsoft.com/office/excel/2006/main">
          <x14:cfRule type="dataBar" id="{5147D9E6-4A40-48E7-AB77-4EDAA1507B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AK23</xm:sqref>
        </x14:conditionalFormatting>
        <x14:conditionalFormatting xmlns:xm="http://schemas.microsoft.com/office/excel/2006/main">
          <x14:cfRule type="dataBar" id="{7D8BBA9E-F171-4DD5-AF3B-8101E3E1D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89D0EFC5-13B7-4AF6-ABA7-5554B79DA8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E221520-5B6B-4E5C-92DA-FACFFDF627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DBF5252-9091-4589-B193-8446B16E4C3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986FB26F-788A-4A0F-AB13-BA969439B2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7660CB9-8E5B-4CA8-97EF-E6164854E7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FF387F6-D2EE-4B8C-9311-B6D4ED1385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6520BF7-758E-4C21-8FC2-A055C845CF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99F42703-7336-4B7B-9155-695FB0965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96ED27FB-4CAC-477B-9FF0-9E471D017B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5AA132B-388A-4EA9-94C9-42CBAC619D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08E1A8C-B8E6-403A-A98A-99A82C52E3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96A6DA-251B-4A00-92DE-BA97BCA6CC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7A72B192-E4AF-4184-A95E-43DBE8731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46843159-F33B-45E5-8443-C1ADEB4D8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4EA53987-8726-432B-9EB3-5F49F5D20E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378A47B-0A1A-4DD5-91A9-17B098DF64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FA50B1A3-D288-4152-80E9-A33ACE03C3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4C3601C-463E-447F-9F23-A83B8E3B0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CC1AE9D-058E-4908-9298-0554B8378A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44C350D-600D-4B82-AD92-66C9138DD8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3547FA6A-D261-44A7-A65C-6EE2FE8BB7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D4E6E0CE-5DBB-442E-BB03-0A66E6471F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139F5C8-D528-4F07-8B1A-1B4BCEF48D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11CB73E-2563-4A73-B115-708A159A40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A1181E68-4302-4441-9B1A-BF7C233B0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A2F618D2-76E0-4A3C-80E9-A2AD8E8D2F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596119F1-BAEB-47D8-8990-BD0224C768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B66B336-2EB4-4707-BEA4-04B4CB434B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2D28A23D-8DD5-411C-8612-25D93AFFFE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EBDD8EB-E676-46A1-9028-1A58B72D22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47B5134C-CAEE-4703-A5D5-818CE6C3A7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1671B56B-1E64-43CE-9D16-1B22D8486D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1FC6065A-CC77-489D-A478-04A2DAD3EA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5045251-8E6F-4D1B-B80F-E2ED2EA048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EE19B58-E81D-4F1B-8D81-2082DB4FC8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A3081972-5F17-4D4F-9090-B12DB7943F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57EDAE7-2577-458E-AF78-6C6DABFBE4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EB369BE-6C81-4FB4-B947-BDA6D98017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160E28F-9313-4F3F-BA4C-5E3538219A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91466655-E7E2-4D45-958A-DE7B0E9667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F0ACDDF-F4BD-4C20-B96F-43102BCE57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A2A8517-C34D-42FA-BBC4-971B3CB597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2EA2CE2-04BA-40F1-9EA8-5C889D09BF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BAE03CC-91D3-4705-BD7B-3C9C24C46F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3707026-DEBB-40DD-9801-F8A2DADB3D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72562AB0-6595-4EF2-AE8B-B8F23C6B7F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24EED4A-9355-4879-8002-039A53FE9F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D616874-3D00-441C-9BAA-A191BBDA44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DC21AB18-8E91-4836-B31F-4951889D42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8FFF2B0-13BF-4327-9881-35FA6CEE6C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A327CE-8627-461B-B469-2FBA40055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B9227EF-3CFB-4204-AF8A-50CFCA36BB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04DDEAA-94B7-4E3D-B476-22F702A172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E13F619C-0FDB-452D-BF50-DC414FF47A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8A25FD7-B9B7-4ECC-9179-4B1B58590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CA43ADA-9535-47D4-B348-4872A20EAC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DE1353BF-C5E2-4DCA-8616-6D94524D95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36EA5025-BD41-499B-AF12-3B1E476A31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79F7D2BB-A1FC-4A80-9D6A-9CE14F6D6C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38345E6A-244B-4FC2-832D-B9B941FCBA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B671C52-A071-4160-9635-2C9CFA7D6C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A128A8B-3D6E-42FA-B927-1175027450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93AE7DA-8D1D-4DD5-884F-4B9E2C6EE2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F9D4D4C0-1B5E-4660-86A9-235594E44C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A105108A-AFC7-45E9-A2C8-2BF0A4FA0E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19B2F92-9CCE-49FD-8379-34800D6E2A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4C51EE0D-8297-4ED4-83EE-3529EF9ACA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94AF2731-CE37-4779-A234-2DB2F9A71F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A906E3D-181B-447C-A688-5DC89257A5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6E96AFA-2D58-4E58-B704-3AE1365EA0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AI24</xm:sqref>
        </x14:conditionalFormatting>
        <x14:conditionalFormatting xmlns:xm="http://schemas.microsoft.com/office/excel/2006/main">
          <x14:cfRule type="dataBar" id="{61F4B2A5-BB19-44D4-AC51-046F82E2C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AJ24</xm:sqref>
        </x14:conditionalFormatting>
        <x14:conditionalFormatting xmlns:xm="http://schemas.microsoft.com/office/excel/2006/main">
          <x14:cfRule type="dataBar" id="{5645AD68-D066-4A65-A495-74D8CD2644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AK24</xm:sqref>
        </x14:conditionalFormatting>
        <x14:conditionalFormatting xmlns:xm="http://schemas.microsoft.com/office/excel/2006/main">
          <x14:cfRule type="dataBar" id="{804D8F15-AF85-4855-BD48-5A11A0DF81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46162B53-D1B1-4E9C-B873-A5B69B159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0659AFE-8EE9-4FD6-A934-EFA34FA224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52CA243-46C7-4680-A0BC-1AC6D5AD830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87B441B-1D9B-4A54-AC7F-E538A02DCD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B820BF0-066C-4290-8896-4ACFE1E528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6D87322-9860-4EBD-B693-A6F23F06A2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6EAECF2-2DCD-46CC-A710-EB4AE3A332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FE0FAE1-0B76-46C4-B2AA-C785EB8D0F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880BC59-61AB-4BE5-8A35-D48EB41468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61A58DB-E2F7-4C5A-865B-3F548F9E82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16D1BACA-0573-4EFB-9E0D-98A99F6C4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C8E9FDB-CBE1-4D53-A321-9A13BE2F7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0473F9A-ABBE-4542-BA33-2ECAE317C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AD93CA0-9FBE-452C-B5CA-B81DF5FE2A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C4B73E7F-E73A-490C-B8F3-C0B700676B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50798D1-DAB4-4BA2-B07D-35EFA2640C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DABF148F-A1AE-4028-9964-BFC6DB3EFF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500F135-A7DB-43EA-83CE-36F1F8594B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2042645-8D33-4ADF-B04D-385D22FB5E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F88E7E36-19BB-4757-B23C-606FC6655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3102192F-B3E2-41C5-B764-81593C45ED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558E390-6A48-4132-9073-65831B45A2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FF8ACFD-729B-4BE2-9D78-05AB0771D4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1117D56-9175-44C0-9C78-BEAFF51D48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2EE963FC-822F-4166-8C07-910F23FF2A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557444C2-5F38-47FD-A4B8-9A9F3BD66B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406ECF7-38B8-40EF-8929-3849B0D20C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0C48AF8-D601-4CC0-BC90-BF93962242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EE259126-3133-4061-B886-583FC474F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FC5C636A-B721-41D8-836F-B3AC72982E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EAC7DA02-E43B-4935-BE95-93883FDECA1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D29E297B-765F-451A-AB1E-BC6DC677BF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44590933-1F5B-4572-A7DF-8537D77919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7DC25C2-45AB-4932-A804-8F5839A0C3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3615FCB-E95E-4806-A03E-A1A142855C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0F079B8-7DBC-4D64-870D-12CF715BDD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38E3EB62-1E75-4841-983F-3EB204EDD8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C54EBBD-EA90-40D7-8F62-B29BE77417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7FD754D-4350-4805-8A7C-7F3EA1F5DA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428A9854-AC9F-4DEC-8181-FFDEEB2A06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059A0B4-B645-49CA-A15A-AE16D66415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404A6B2C-5121-4ABE-B494-BC94394B4A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B1E998A-1323-453F-9C9A-7BC5D70146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06989B5-B790-4FA8-8D8D-50EF1502A6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89E550A-4E6D-4D11-AC53-555C801633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CE414640-EF2E-4AB1-B280-0A43399395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70F308A-4602-4985-B9C6-87631D3949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2C77DB8C-E3BD-4D77-B694-70024D6C9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7E497435-E544-4B35-9A16-9AD27823B7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70A61623-1809-4BC8-93D7-9B001F217B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E6CFB50-4516-4D86-BE9C-EFB04BFFF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B71614F6-CC91-4F93-983D-B3871CFB18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BBB9CC1-8F83-41FE-92B3-EDD409A9D6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A6B7F09B-F84B-490C-80E1-4CC7377955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3054880-24CD-4B36-B857-4635F7999B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67E2EAE-EEC6-4574-B5B8-3D281EED9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E7794CEB-08EE-46F6-B9BA-F8F8B4930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7C3852EA-14F1-48C1-83C1-2CE5DE5E1A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EB56CC6-567B-412F-980A-B7BE84810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1CBB31E6-8051-4664-8A08-B4822F6171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A22A2C5-70EE-45C2-87BD-98666B7C01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C33D4B81-AEE8-4E42-909E-ED08701D89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EE66ABB-C5DC-484D-BA02-3A3CF5ADF5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3AA450B3-7B3D-471E-B304-4599882D27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BC45D29-4C77-481E-8122-E28E023FCE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42F0995C-4143-4813-962D-8A4888E6D0F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D6652FF-1940-4D5C-82AE-6047F0B579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14DCAD1C-08A3-4538-BE4E-3E8A7A7F61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BF9B004-2457-4DD8-A6CD-F34A153725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K46"/>
  <sheetViews>
    <sheetView tabSelected="1" zoomScale="50" zoomScaleNormal="50" workbookViewId="0">
      <pane xSplit="5" ySplit="3" topLeftCell="U19" activePane="bottomRight" state="frozen"/>
      <selection pane="topRight" activeCell="F1" sqref="F1"/>
      <selection pane="bottomLeft" activeCell="A4" sqref="A4"/>
      <selection pane="bottomRight" activeCell="Y35" sqref="Y35"/>
    </sheetView>
  </sheetViews>
  <sheetFormatPr defaultColWidth="12.08984375" defaultRowHeight="13.5"/>
  <cols>
    <col min="1" max="1" width="3.08984375" style="2" customWidth="1"/>
    <col min="2" max="2" width="19.54296875" style="3" customWidth="1"/>
    <col min="3" max="3" width="12.6328125" style="3" customWidth="1"/>
    <col min="4" max="4" width="10.08984375" style="4" customWidth="1"/>
    <col min="5" max="5" width="13.6328125" style="5" hidden="1" customWidth="1"/>
    <col min="6" max="6" width="17" style="2" customWidth="1"/>
    <col min="7" max="7" width="11.36328125" style="2" customWidth="1"/>
    <col min="8" max="8" width="10.90625" style="2" customWidth="1"/>
    <col min="9" max="9" width="12.90625" style="2" customWidth="1"/>
    <col min="10" max="10" width="19.36328125" style="2" customWidth="1"/>
    <col min="11" max="11" width="16.26953125" style="2" customWidth="1"/>
    <col min="12" max="12" width="19.36328125" style="2" customWidth="1"/>
    <col min="13" max="13" width="18.36328125" style="2" customWidth="1"/>
    <col min="14" max="14" width="16.54296875" style="2" customWidth="1"/>
    <col min="15" max="15" width="19.6328125" style="2" customWidth="1"/>
    <col min="16" max="16" width="18.08984375" style="2" customWidth="1"/>
    <col min="17" max="17" width="17.90625" style="2" customWidth="1"/>
    <col min="18" max="18" width="17.36328125" style="2" customWidth="1"/>
    <col min="19" max="19" width="15.54296875" style="2" customWidth="1"/>
    <col min="20" max="20" width="15.90625" style="2" customWidth="1"/>
    <col min="21" max="21" width="14.453125" style="2" bestFit="1" customWidth="1"/>
    <col min="22" max="22" width="18.81640625" style="2" customWidth="1"/>
    <col min="23" max="23" width="15.6328125" style="2" customWidth="1"/>
    <col min="24" max="25" width="18.26953125" style="2" customWidth="1"/>
    <col min="26" max="28" width="15.7265625" style="2" customWidth="1"/>
    <col min="29" max="29" width="16.1796875" style="2" customWidth="1"/>
    <col min="30" max="30" width="15" style="2" customWidth="1"/>
    <col min="31" max="31" width="17.54296875" style="2" customWidth="1"/>
    <col min="32" max="32" width="19.81640625" style="2" customWidth="1"/>
    <col min="33" max="33" width="16.90625" style="2" customWidth="1"/>
    <col min="34" max="34" width="18.26953125" style="2" customWidth="1"/>
    <col min="35" max="37" width="18.26953125" style="6" customWidth="1"/>
    <col min="38" max="16384" width="12.08984375" style="2"/>
  </cols>
  <sheetData>
    <row r="1" spans="1:37" ht="14" thickBot="1"/>
    <row r="2" spans="1:37" s="7" customFormat="1" ht="26" customHeight="1">
      <c r="B2" s="498" t="s">
        <v>11</v>
      </c>
      <c r="C2" s="499"/>
      <c r="D2" s="499"/>
      <c r="E2" s="500" t="s">
        <v>12</v>
      </c>
      <c r="F2" s="502" t="s">
        <v>13</v>
      </c>
      <c r="G2" s="504" t="s">
        <v>14</v>
      </c>
      <c r="H2" s="505"/>
      <c r="I2" s="506"/>
      <c r="J2" s="507" t="s">
        <v>15</v>
      </c>
      <c r="K2" s="507"/>
      <c r="L2" s="507"/>
      <c r="M2" s="497" t="s">
        <v>16</v>
      </c>
      <c r="N2" s="497"/>
      <c r="O2" s="497"/>
      <c r="P2" s="510" t="s">
        <v>17</v>
      </c>
      <c r="Q2" s="512" t="s">
        <v>18</v>
      </c>
      <c r="R2" s="512" t="s">
        <v>19</v>
      </c>
      <c r="S2" s="512" t="s">
        <v>20</v>
      </c>
      <c r="T2" s="512" t="s">
        <v>21</v>
      </c>
      <c r="U2" s="512" t="s">
        <v>22</v>
      </c>
      <c r="V2" s="512" t="s">
        <v>23</v>
      </c>
      <c r="W2" s="512" t="s">
        <v>24</v>
      </c>
      <c r="X2" s="510" t="s">
        <v>25</v>
      </c>
      <c r="Y2" s="508" t="s">
        <v>352</v>
      </c>
      <c r="Z2" s="514" t="s">
        <v>26</v>
      </c>
      <c r="AA2" s="508" t="s">
        <v>319</v>
      </c>
      <c r="AB2" s="508" t="s">
        <v>320</v>
      </c>
      <c r="AC2" s="512" t="s">
        <v>27</v>
      </c>
      <c r="AD2" s="512" t="s">
        <v>28</v>
      </c>
      <c r="AE2" s="516" t="s">
        <v>111</v>
      </c>
      <c r="AF2" s="518" t="s">
        <v>112</v>
      </c>
      <c r="AG2" s="520" t="s">
        <v>30</v>
      </c>
      <c r="AH2" s="528" t="s">
        <v>31</v>
      </c>
      <c r="AI2" s="525" t="s">
        <v>32</v>
      </c>
      <c r="AJ2" s="525" t="s">
        <v>33</v>
      </c>
      <c r="AK2" s="525" t="s">
        <v>34</v>
      </c>
    </row>
    <row r="3" spans="1:37" s="7" customFormat="1" ht="24" customHeight="1" thickBot="1">
      <c r="B3" s="9" t="s">
        <v>35</v>
      </c>
      <c r="C3" s="10" t="s">
        <v>5</v>
      </c>
      <c r="D3" s="11" t="s">
        <v>36</v>
      </c>
      <c r="E3" s="501"/>
      <c r="F3" s="503"/>
      <c r="G3" s="12" t="s">
        <v>37</v>
      </c>
      <c r="H3" s="12" t="s">
        <v>38</v>
      </c>
      <c r="I3" s="12" t="s">
        <v>9</v>
      </c>
      <c r="J3" s="13" t="s">
        <v>38</v>
      </c>
      <c r="K3" s="13" t="s">
        <v>9</v>
      </c>
      <c r="L3" s="13" t="s">
        <v>39</v>
      </c>
      <c r="M3" s="14" t="s">
        <v>38</v>
      </c>
      <c r="N3" s="14" t="s">
        <v>9</v>
      </c>
      <c r="O3" s="14" t="s">
        <v>39</v>
      </c>
      <c r="P3" s="511"/>
      <c r="Q3" s="513"/>
      <c r="R3" s="513"/>
      <c r="S3" s="513"/>
      <c r="T3" s="513"/>
      <c r="U3" s="513"/>
      <c r="V3" s="513"/>
      <c r="W3" s="513"/>
      <c r="X3" s="511"/>
      <c r="Y3" s="509"/>
      <c r="Z3" s="515"/>
      <c r="AA3" s="509"/>
      <c r="AB3" s="509"/>
      <c r="AC3" s="513"/>
      <c r="AD3" s="513"/>
      <c r="AE3" s="517"/>
      <c r="AF3" s="519"/>
      <c r="AG3" s="521"/>
      <c r="AH3" s="528"/>
      <c r="AI3" s="525"/>
      <c r="AJ3" s="525"/>
      <c r="AK3" s="525"/>
    </row>
    <row r="4" spans="1:37" s="15" customFormat="1" ht="25.75" customHeight="1">
      <c r="B4" s="26" t="s">
        <v>244</v>
      </c>
      <c r="C4" s="16" t="s">
        <v>241</v>
      </c>
      <c r="D4" s="24" t="s">
        <v>40</v>
      </c>
      <c r="E4" s="35"/>
      <c r="F4" s="34">
        <f t="shared" ref="F4" si="0">IFERROR(O4-SUM(Q4:W4)+AD4,0)</f>
        <v>62313.297755231964</v>
      </c>
      <c r="G4" s="27">
        <f>ДЕКАБРЬ!N100</f>
        <v>129</v>
      </c>
      <c r="H4" s="27">
        <f>ДЕКАБРЬ!S100</f>
        <v>127</v>
      </c>
      <c r="I4" s="27">
        <f>ДЕКАБРЬ!T100</f>
        <v>-5</v>
      </c>
      <c r="J4" s="17">
        <f>ДЕКАБРЬ!V100</f>
        <v>118047.57</v>
      </c>
      <c r="K4" s="18">
        <f>ДЕКАБРЬ!W100</f>
        <v>-6409</v>
      </c>
      <c r="L4" s="19">
        <f t="shared" ref="L4" si="1">IFERROR(J4+K4,0)</f>
        <v>111638.57</v>
      </c>
      <c r="M4" s="17">
        <f>ДЕКАБРЬ!Y100</f>
        <v>138964.57</v>
      </c>
      <c r="N4" s="18">
        <f>ДЕКАБРЬ!Z100</f>
        <v>-7526</v>
      </c>
      <c r="O4" s="329">
        <f t="shared" ref="O4" si="2">IFERROR(M4+N4,0)</f>
        <v>131438.57</v>
      </c>
      <c r="P4" s="184">
        <f>ДЕКАБРЬ!AD100</f>
        <v>15240.450000000004</v>
      </c>
      <c r="Q4" s="185">
        <f>ДЕКАБРЬ!AG100</f>
        <v>17381.100000000002</v>
      </c>
      <c r="R4" s="18">
        <f>ДЕКАБРЬ!AE100</f>
        <v>48126.54</v>
      </c>
      <c r="S4" s="185">
        <f>ДЕКАБРЬ!AL100</f>
        <v>3615.932244768042</v>
      </c>
      <c r="T4" s="184">
        <v>1.7</v>
      </c>
      <c r="U4" s="18">
        <f>ДЕКАБРЬ!AM100</f>
        <v>0</v>
      </c>
      <c r="V4" s="184"/>
      <c r="W4" s="20">
        <f>ДЕКАБРЬ!AH100</f>
        <v>0</v>
      </c>
      <c r="X4" s="21">
        <f>ДЕКАБРЬ!AI100</f>
        <v>0</v>
      </c>
      <c r="Y4" s="21"/>
      <c r="Z4" s="21">
        <f>ДЕКАБРЬ!AK100</f>
        <v>0</v>
      </c>
      <c r="AA4" s="21"/>
      <c r="AB4" s="21"/>
      <c r="AC4" s="327">
        <f>ДЕКАБРЬ!AN100</f>
        <v>6067.2400000000016</v>
      </c>
      <c r="AD4" s="21"/>
      <c r="AE4" s="335">
        <f t="shared" ref="AE4:AE16" si="3">O4-SUM(P4:Z4)+AD4</f>
        <v>47072.847755231953</v>
      </c>
      <c r="AF4" s="28">
        <f t="shared" ref="AF4:AF10" si="4">O4-SUM(P4:AC4)+AD4</f>
        <v>41005.607755231948</v>
      </c>
      <c r="AG4" s="526">
        <f>SUM(AF4:AF5)</f>
        <v>41005.319999999992</v>
      </c>
      <c r="AH4" s="342">
        <f t="shared" ref="AH4" si="5">P4/O4</f>
        <v>0.11595112454434039</v>
      </c>
      <c r="AI4" s="342">
        <f t="shared" ref="AI4" si="6">AF4/P4</f>
        <v>2.690577230674418</v>
      </c>
      <c r="AJ4" s="342">
        <f t="shared" ref="AJ4" si="7">AF4/O4</f>
        <v>0.31197545557009593</v>
      </c>
      <c r="AK4" s="342">
        <f t="shared" ref="AK4" si="8">(W4+X4+Z4)/O4</f>
        <v>0</v>
      </c>
    </row>
    <row r="5" spans="1:37" s="15" customFormat="1" ht="25.75" customHeight="1" thickBot="1">
      <c r="B5" s="189" t="s">
        <v>247</v>
      </c>
      <c r="C5" s="279" t="s">
        <v>241</v>
      </c>
      <c r="D5" s="280" t="s">
        <v>40</v>
      </c>
      <c r="E5" s="199"/>
      <c r="F5" s="31">
        <f t="shared" ref="F5:F7" si="9">IFERROR(O5-SUM(Q5:W5)+AD5,0)</f>
        <v>-0.28775523195671199</v>
      </c>
      <c r="G5" s="190">
        <f>ДЕКАБРЬ!N108</f>
        <v>0</v>
      </c>
      <c r="H5" s="190">
        <f>ДЕКАБРЬ!S108</f>
        <v>0</v>
      </c>
      <c r="I5" s="190">
        <f>ДЕКАБРЬ!T108</f>
        <v>0</v>
      </c>
      <c r="J5" s="191">
        <f>ДЕКАБРЬ!V108</f>
        <v>0</v>
      </c>
      <c r="K5" s="192">
        <f>ДЕКАБРЬ!W108</f>
        <v>0</v>
      </c>
      <c r="L5" s="193">
        <f t="shared" ref="L5:L7" si="10">IFERROR(J5+K5,0)</f>
        <v>0</v>
      </c>
      <c r="M5" s="191">
        <f>ДЕКАБРЬ!Y108</f>
        <v>0</v>
      </c>
      <c r="N5" s="192">
        <f>ДЕКАБРЬ!Z108</f>
        <v>0</v>
      </c>
      <c r="O5" s="330">
        <f t="shared" ref="O5:O7" si="11">IFERROR(M5+N5,0)</f>
        <v>0</v>
      </c>
      <c r="P5" s="194">
        <f>ДЕКАБРЬ!AD108</f>
        <v>0</v>
      </c>
      <c r="Q5" s="273">
        <f>ДЕКАБРЬ!AG108</f>
        <v>0</v>
      </c>
      <c r="R5" s="192">
        <f>ДЕКАБРЬ!AE108</f>
        <v>0</v>
      </c>
      <c r="S5" s="273">
        <f>ДЕКАБРЬ!AL108</f>
        <v>0.28775523195671199</v>
      </c>
      <c r="T5" s="194"/>
      <c r="U5" s="192">
        <f>ДЕКАБРЬ!AM108</f>
        <v>0</v>
      </c>
      <c r="V5" s="194"/>
      <c r="W5" s="195">
        <f>ДЕКАБРЬ!AH108</f>
        <v>0</v>
      </c>
      <c r="X5" s="196">
        <f>ДЕКАБРЬ!AI108</f>
        <v>0</v>
      </c>
      <c r="Y5" s="196"/>
      <c r="Z5" s="196">
        <f>ДЕКАБРЬ!AK108</f>
        <v>0</v>
      </c>
      <c r="AA5" s="196"/>
      <c r="AB5" s="196"/>
      <c r="AC5" s="328">
        <f>ДЕКАБРЬ!AN108</f>
        <v>0</v>
      </c>
      <c r="AD5" s="196"/>
      <c r="AE5" s="336">
        <f t="shared" si="3"/>
        <v>-0.28775523195671199</v>
      </c>
      <c r="AF5" s="281">
        <f t="shared" si="4"/>
        <v>-0.28775523195671199</v>
      </c>
      <c r="AG5" s="527"/>
      <c r="AH5" s="342" t="e">
        <f t="shared" ref="AH5:AH20" si="12">P5/O5</f>
        <v>#DIV/0!</v>
      </c>
      <c r="AI5" s="342" t="e">
        <f t="shared" ref="AI5:AI20" si="13">AF5/P5</f>
        <v>#DIV/0!</v>
      </c>
      <c r="AJ5" s="342" t="e">
        <f t="shared" ref="AJ5:AJ20" si="14">AF5/O5</f>
        <v>#DIV/0!</v>
      </c>
      <c r="AK5" s="342" t="e">
        <f t="shared" ref="AK5:AK20" si="15">(W5+X5+Z5)/O5</f>
        <v>#DIV/0!</v>
      </c>
    </row>
    <row r="6" spans="1:37" s="15" customFormat="1" ht="25.75" customHeight="1">
      <c r="B6" s="26" t="s">
        <v>245</v>
      </c>
      <c r="C6" s="16" t="s">
        <v>242</v>
      </c>
      <c r="D6" s="24" t="s">
        <v>243</v>
      </c>
      <c r="E6" s="35"/>
      <c r="F6" s="34">
        <f t="shared" si="9"/>
        <v>955718.85970398434</v>
      </c>
      <c r="G6" s="27">
        <f>ЯНВАРЬ!N100</f>
        <v>4961</v>
      </c>
      <c r="H6" s="27">
        <f>ЯНВАРЬ!S100</f>
        <v>2362</v>
      </c>
      <c r="I6" s="27">
        <f>ЯНВАРЬ!T100</f>
        <v>-53</v>
      </c>
      <c r="J6" s="17">
        <f>ЯНВАРЬ!V100</f>
        <v>1728382.78</v>
      </c>
      <c r="K6" s="18">
        <f>ЯНВАРЬ!W100</f>
        <v>-44657.88</v>
      </c>
      <c r="L6" s="19">
        <f t="shared" si="10"/>
        <v>1683724.9000000001</v>
      </c>
      <c r="M6" s="17">
        <f>ЯНВАРЬ!Y100</f>
        <v>2303342.0599999991</v>
      </c>
      <c r="N6" s="18">
        <f>ЯНВАРЬ!Z100</f>
        <v>-58267.040000000001</v>
      </c>
      <c r="O6" s="329">
        <f t="shared" si="11"/>
        <v>2245075.0199999991</v>
      </c>
      <c r="P6" s="184">
        <f>ЯНВАРЬ!AD100</f>
        <v>292876.64000000007</v>
      </c>
      <c r="Q6" s="286">
        <f>ЯНВАРЬ!AG100</f>
        <v>276475.65000000008</v>
      </c>
      <c r="R6" s="18">
        <f>ЯНВАРЬ!AE100</f>
        <v>833669.77000000118</v>
      </c>
      <c r="S6" s="185">
        <f>ЯНВАРЬ!AL100</f>
        <v>40333.140296013356</v>
      </c>
      <c r="T6" s="184"/>
      <c r="U6" s="18">
        <f>ЯНВАРЬ!AM100</f>
        <v>0</v>
      </c>
      <c r="V6" s="184">
        <v>25431.599999999999</v>
      </c>
      <c r="W6" s="20">
        <f>ЯНВАРЬ!AH100</f>
        <v>113446</v>
      </c>
      <c r="X6" s="17">
        <f>ЯНВАРЬ!AI100</f>
        <v>404487</v>
      </c>
      <c r="Y6" s="17"/>
      <c r="Z6" s="21">
        <f>ЯНВАРЬ!AK100</f>
        <v>0</v>
      </c>
      <c r="AA6" s="21"/>
      <c r="AB6" s="21"/>
      <c r="AC6" s="327">
        <f>ЯНВАРЬ!AN100</f>
        <v>95827.420000000071</v>
      </c>
      <c r="AD6" s="21"/>
      <c r="AE6" s="335">
        <f t="shared" si="3"/>
        <v>258355.21970398421</v>
      </c>
      <c r="AF6" s="28">
        <f>O6-SUM(P6:AC6)+AD6</f>
        <v>162527.79970398406</v>
      </c>
      <c r="AG6" s="522">
        <f>SUM(AF6:AF8)</f>
        <v>162168.40999999744</v>
      </c>
      <c r="AH6" s="342">
        <f t="shared" si="12"/>
        <v>0.13045294138990518</v>
      </c>
      <c r="AI6" s="342">
        <f t="shared" si="13"/>
        <v>0.5549360293944372</v>
      </c>
      <c r="AJ6" s="342">
        <f t="shared" si="14"/>
        <v>7.2393037317739217E-2</v>
      </c>
      <c r="AK6" s="342">
        <f t="shared" si="15"/>
        <v>0.23069741339868466</v>
      </c>
    </row>
    <row r="7" spans="1:37" s="15" customFormat="1" ht="25.75" customHeight="1">
      <c r="B7" s="26" t="s">
        <v>246</v>
      </c>
      <c r="C7" s="16" t="s">
        <v>242</v>
      </c>
      <c r="D7" s="24" t="s">
        <v>243</v>
      </c>
      <c r="E7" s="285"/>
      <c r="F7" s="34">
        <f t="shared" si="9"/>
        <v>-186.42970398663167</v>
      </c>
      <c r="G7" s="27">
        <f>ЯНВАРЬ!N108</f>
        <v>1</v>
      </c>
      <c r="H7" s="27">
        <f>ЯНВАРЬ!S108</f>
        <v>0</v>
      </c>
      <c r="I7" s="27">
        <f>ЯНВАРЬ!T108</f>
        <v>0</v>
      </c>
      <c r="J7" s="17">
        <f>ЯНВАРЬ!V108</f>
        <v>0</v>
      </c>
      <c r="K7" s="18">
        <f>ЯНВАРЬ!W108</f>
        <v>0</v>
      </c>
      <c r="L7" s="19">
        <f t="shared" si="10"/>
        <v>0</v>
      </c>
      <c r="M7" s="17">
        <f>ЯНВАРЬ!Y108</f>
        <v>0</v>
      </c>
      <c r="N7" s="18">
        <f>ЯНВАРЬ!Z108</f>
        <v>0</v>
      </c>
      <c r="O7" s="329">
        <f t="shared" si="11"/>
        <v>0</v>
      </c>
      <c r="P7" s="184">
        <f>ЯНВАРЬ!AD108</f>
        <v>0</v>
      </c>
      <c r="Q7" s="286">
        <f>ЯНВАРЬ!AG108</f>
        <v>183.22</v>
      </c>
      <c r="R7" s="18">
        <f>ЯНВАРЬ!AE108</f>
        <v>0</v>
      </c>
      <c r="S7" s="185">
        <f>ЯНВАРЬ!AL108</f>
        <v>3.2097039866316543</v>
      </c>
      <c r="T7" s="184"/>
      <c r="U7" s="18">
        <f>ЯНВАРЬ!AM108</f>
        <v>0</v>
      </c>
      <c r="V7" s="184"/>
      <c r="W7" s="20">
        <f>ЯНВАРЬ!AH108</f>
        <v>0</v>
      </c>
      <c r="X7" s="21">
        <f>ЯНВАРЬ!AI108</f>
        <v>0</v>
      </c>
      <c r="Y7" s="21"/>
      <c r="Z7" s="21">
        <f>ЯНВАРЬ!AK108</f>
        <v>0</v>
      </c>
      <c r="AA7" s="21"/>
      <c r="AB7" s="21"/>
      <c r="AC7" s="327">
        <f>ЯНВАРЬ!AN108</f>
        <v>0</v>
      </c>
      <c r="AD7" s="21"/>
      <c r="AE7" s="335">
        <f t="shared" si="3"/>
        <v>-186.42970398663167</v>
      </c>
      <c r="AF7" s="28">
        <f t="shared" si="4"/>
        <v>-186.42970398663167</v>
      </c>
      <c r="AG7" s="523"/>
      <c r="AH7" s="342" t="e">
        <f t="shared" ref="AH7" si="16">P7/O7</f>
        <v>#DIV/0!</v>
      </c>
      <c r="AI7" s="342" t="e">
        <f t="shared" ref="AI7" si="17">AF7/P7</f>
        <v>#DIV/0!</v>
      </c>
      <c r="AJ7" s="342" t="e">
        <f t="shared" ref="AJ7" si="18">AF7/O7</f>
        <v>#DIV/0!</v>
      </c>
      <c r="AK7" s="342" t="e">
        <f t="shared" ref="AK7" si="19">(W7+X7+Z7)/O7</f>
        <v>#DIV/0!</v>
      </c>
    </row>
    <row r="8" spans="1:37" s="15" customFormat="1" ht="25.75" customHeight="1" thickBot="1">
      <c r="B8" s="26" t="s">
        <v>250</v>
      </c>
      <c r="C8" s="279" t="s">
        <v>242</v>
      </c>
      <c r="D8" s="280" t="s">
        <v>243</v>
      </c>
      <c r="E8" s="199"/>
      <c r="F8" s="284">
        <f t="shared" ref="F8" si="20">IFERROR(O8-SUM(Q8:W8)+AD8,0)</f>
        <v>-172.96</v>
      </c>
      <c r="G8" s="190">
        <f>ЯНВАРЬ!N119</f>
        <v>0</v>
      </c>
      <c r="H8" s="190">
        <f>ЯНВАРЬ!S119</f>
        <v>0</v>
      </c>
      <c r="I8" s="190">
        <f>ЯНВАРЬ!T119</f>
        <v>0</v>
      </c>
      <c r="J8" s="191">
        <f>ЯНВАРЬ!V119</f>
        <v>0</v>
      </c>
      <c r="K8" s="192">
        <f>ЯНВАРЬ!W119</f>
        <v>0</v>
      </c>
      <c r="L8" s="193">
        <f t="shared" ref="L8:L10" si="21">IFERROR(J8+K8,0)</f>
        <v>0</v>
      </c>
      <c r="M8" s="191">
        <f>ЯНВАРЬ!Y119</f>
        <v>0</v>
      </c>
      <c r="N8" s="192">
        <f>ЯНВАРЬ!Z119</f>
        <v>0</v>
      </c>
      <c r="O8" s="330">
        <f t="shared" ref="O8:O10" si="22">IFERROR(M8+N8,0)</f>
        <v>0</v>
      </c>
      <c r="P8" s="194">
        <f>ЯНВАРЬ!AD119</f>
        <v>0</v>
      </c>
      <c r="Q8" s="287">
        <f>ЯНВАРЬ!AG119</f>
        <v>172.96</v>
      </c>
      <c r="R8" s="192">
        <f>ЯНВАРЬ!AE119</f>
        <v>0</v>
      </c>
      <c r="S8" s="273">
        <f>ЯНВАРЬ!AL119</f>
        <v>0</v>
      </c>
      <c r="T8" s="194"/>
      <c r="U8" s="192">
        <f>ЯНВАРЬ!AM119</f>
        <v>0</v>
      </c>
      <c r="V8" s="194"/>
      <c r="W8" s="195">
        <f>ЯНВАРЬ!AH119</f>
        <v>0</v>
      </c>
      <c r="X8" s="196">
        <f>ЯНВАРЬ!AI119</f>
        <v>0</v>
      </c>
      <c r="Y8" s="196"/>
      <c r="Z8" s="196">
        <f>ЯНВАРЬ!AK119</f>
        <v>0</v>
      </c>
      <c r="AA8" s="196"/>
      <c r="AB8" s="196"/>
      <c r="AC8" s="328">
        <f>ЯНВАРЬ!AN119</f>
        <v>0</v>
      </c>
      <c r="AD8" s="196"/>
      <c r="AE8" s="336">
        <f t="shared" si="3"/>
        <v>-172.96</v>
      </c>
      <c r="AF8" s="281">
        <f t="shared" si="4"/>
        <v>-172.96</v>
      </c>
      <c r="AG8" s="524"/>
      <c r="AH8" s="342" t="e">
        <f t="shared" si="12"/>
        <v>#DIV/0!</v>
      </c>
      <c r="AI8" s="342" t="e">
        <f t="shared" si="13"/>
        <v>#DIV/0!</v>
      </c>
      <c r="AJ8" s="342" t="e">
        <f t="shared" si="14"/>
        <v>#DIV/0!</v>
      </c>
      <c r="AK8" s="342" t="e">
        <f t="shared" si="15"/>
        <v>#DIV/0!</v>
      </c>
    </row>
    <row r="9" spans="1:37" s="15" customFormat="1" ht="25.5" customHeight="1">
      <c r="A9" s="200"/>
      <c r="B9" s="201" t="s">
        <v>268</v>
      </c>
      <c r="C9" s="202" t="s">
        <v>103</v>
      </c>
      <c r="D9" s="35" t="s">
        <v>107</v>
      </c>
      <c r="E9" s="198"/>
      <c r="F9" s="34">
        <f t="shared" ref="F9" si="23">IFERROR(O9-SUM(Q9:W9)+AD9,0)</f>
        <v>539419.18999999994</v>
      </c>
      <c r="G9" s="27">
        <f>'Юнит 6'!N105</f>
        <v>2829</v>
      </c>
      <c r="H9" s="27">
        <f>'Юнит 6'!S105</f>
        <v>1418</v>
      </c>
      <c r="I9" s="27">
        <f>'Юнит 6'!T105</f>
        <v>-25</v>
      </c>
      <c r="J9" s="17">
        <f>'Юнит 6'!V105</f>
        <v>894889.92999999982</v>
      </c>
      <c r="K9" s="18">
        <f>'Юнит 6'!W105</f>
        <v>-16453.5</v>
      </c>
      <c r="L9" s="19">
        <f t="shared" si="21"/>
        <v>878436.42999999982</v>
      </c>
      <c r="M9" s="17">
        <f>'Юнит 6'!Y105</f>
        <v>1357374.9799999997</v>
      </c>
      <c r="N9" s="18">
        <f>'Юнит 6'!Z105</f>
        <v>-24887.06</v>
      </c>
      <c r="O9" s="329">
        <f t="shared" si="22"/>
        <v>1332487.9199999997</v>
      </c>
      <c r="P9" s="184">
        <f>'Юнит 6'!AD105</f>
        <v>175437.39</v>
      </c>
      <c r="Q9" s="286">
        <f>'Юнит 6'!AG105</f>
        <v>153486.12</v>
      </c>
      <c r="R9" s="18">
        <f>'Юнит 6'!AE105</f>
        <v>495216.10999999969</v>
      </c>
      <c r="S9" s="185">
        <f>'Юнит 6'!AL105</f>
        <v>8160.0600000000068</v>
      </c>
      <c r="T9" s="184"/>
      <c r="U9" s="18">
        <f>'Юнит 6'!AM105</f>
        <v>0</v>
      </c>
      <c r="V9" s="184">
        <f>5797.44+18990</f>
        <v>24787.439999999999</v>
      </c>
      <c r="W9" s="20">
        <f>'Юнит 6'!AH105</f>
        <v>111419</v>
      </c>
      <c r="X9" s="17">
        <f>'Юнит 6'!AI105</f>
        <v>126688</v>
      </c>
      <c r="Y9" s="17"/>
      <c r="Z9" s="21">
        <f>'Юнит 6'!AK105</f>
        <v>0</v>
      </c>
      <c r="AA9" s="21"/>
      <c r="AB9" s="21"/>
      <c r="AC9" s="327">
        <f t="shared" ref="AC9:AC16" si="24">304652.46*O9/SUM(O$9:O$16)</f>
        <v>47907.536348662004</v>
      </c>
      <c r="AD9" s="21"/>
      <c r="AE9" s="335">
        <f t="shared" si="3"/>
        <v>237293.80000000005</v>
      </c>
      <c r="AF9" s="28">
        <f t="shared" si="4"/>
        <v>189386.26365133794</v>
      </c>
      <c r="AG9" s="522">
        <f>SUM(AF9:AF16)</f>
        <v>1876556.1799999983</v>
      </c>
      <c r="AH9" s="342">
        <f t="shared" si="12"/>
        <v>0.13166152380578433</v>
      </c>
      <c r="AI9" s="342">
        <f t="shared" si="13"/>
        <v>1.0795091265968897</v>
      </c>
      <c r="AJ9" s="342">
        <f t="shared" si="14"/>
        <v>0.14212981656999787</v>
      </c>
      <c r="AK9" s="342">
        <f t="shared" si="15"/>
        <v>0.17869355243385626</v>
      </c>
    </row>
    <row r="10" spans="1:37" s="15" customFormat="1" ht="25.5" customHeight="1">
      <c r="A10" s="312"/>
      <c r="B10" s="26" t="s">
        <v>269</v>
      </c>
      <c r="C10" s="22" t="s">
        <v>103</v>
      </c>
      <c r="D10" s="23" t="s">
        <v>107</v>
      </c>
      <c r="E10" s="36"/>
      <c r="F10" s="34">
        <f t="shared" ref="F10" si="25">IFERROR(O10-SUM(Q10:W10)+AD10,0)</f>
        <v>0</v>
      </c>
      <c r="G10" s="27">
        <f>'Юнит 6'!N113</f>
        <v>1</v>
      </c>
      <c r="H10" s="27">
        <f>'Юнит 6'!S113</f>
        <v>0</v>
      </c>
      <c r="I10" s="27">
        <f>'Юнит 6'!T113</f>
        <v>0</v>
      </c>
      <c r="J10" s="17">
        <f>'Юнит 6'!V113</f>
        <v>0</v>
      </c>
      <c r="K10" s="18">
        <f>'Юнит 6'!W113</f>
        <v>0</v>
      </c>
      <c r="L10" s="19">
        <f t="shared" si="21"/>
        <v>0</v>
      </c>
      <c r="M10" s="17">
        <f>'Юнит 6'!Y113</f>
        <v>0</v>
      </c>
      <c r="N10" s="18">
        <f>'Юнит 6'!Z113</f>
        <v>0</v>
      </c>
      <c r="O10" s="329">
        <f t="shared" si="22"/>
        <v>0</v>
      </c>
      <c r="P10" s="184">
        <f>'Юнит 6'!AD113</f>
        <v>0</v>
      </c>
      <c r="Q10" s="286">
        <f>'Юнит 6'!AG113</f>
        <v>0</v>
      </c>
      <c r="R10" s="18">
        <f>'Юнит 6'!AE113</f>
        <v>0</v>
      </c>
      <c r="S10" s="185">
        <f>'Юнит 6'!AL113</f>
        <v>0</v>
      </c>
      <c r="T10" s="184"/>
      <c r="U10" s="18">
        <f>'Юнит 6'!AM113</f>
        <v>0</v>
      </c>
      <c r="V10" s="184"/>
      <c r="W10" s="20">
        <f>'Юнит 6'!AH113</f>
        <v>0</v>
      </c>
      <c r="X10" s="17">
        <f>'Юнит 6'!AI113</f>
        <v>0</v>
      </c>
      <c r="Y10" s="17"/>
      <c r="Z10" s="21">
        <f>'Юнит 6'!AK113</f>
        <v>0</v>
      </c>
      <c r="AA10" s="21"/>
      <c r="AB10" s="21"/>
      <c r="AC10" s="327">
        <f t="shared" si="24"/>
        <v>0</v>
      </c>
      <c r="AD10" s="21"/>
      <c r="AE10" s="335">
        <f t="shared" si="3"/>
        <v>0</v>
      </c>
      <c r="AF10" s="28">
        <f t="shared" si="4"/>
        <v>0</v>
      </c>
      <c r="AG10" s="523"/>
      <c r="AH10" s="342" t="e">
        <f t="shared" ref="AH10" si="26">P10/O10</f>
        <v>#DIV/0!</v>
      </c>
      <c r="AI10" s="342" t="e">
        <f t="shared" ref="AI10" si="27">AF10/P10</f>
        <v>#DIV/0!</v>
      </c>
      <c r="AJ10" s="342" t="e">
        <f t="shared" ref="AJ10" si="28">AF10/O10</f>
        <v>#DIV/0!</v>
      </c>
      <c r="AK10" s="342" t="e">
        <f t="shared" ref="AK10" si="29">(W10+X10+Z10)/O10</f>
        <v>#DIV/0!</v>
      </c>
    </row>
    <row r="11" spans="1:37" s="15" customFormat="1" ht="25.5" customHeight="1">
      <c r="B11" s="26" t="s">
        <v>272</v>
      </c>
      <c r="C11" s="22" t="s">
        <v>104</v>
      </c>
      <c r="D11" s="23" t="s">
        <v>108</v>
      </c>
      <c r="E11" s="36"/>
      <c r="F11" s="34">
        <f t="shared" ref="F11" si="30">IFERROR(O11-SUM(Q11:W11)+AD11,0)</f>
        <v>811496.75000000023</v>
      </c>
      <c r="G11" s="27">
        <f>'Юнит 7'!N105</f>
        <v>3325</v>
      </c>
      <c r="H11" s="27">
        <f>'Юнит 7'!S105</f>
        <v>1882</v>
      </c>
      <c r="I11" s="27">
        <f>'Юнит 7'!T105</f>
        <v>-40</v>
      </c>
      <c r="J11" s="17">
        <f>'Юнит 7'!V105</f>
        <v>1236743.8400000001</v>
      </c>
      <c r="K11" s="18">
        <f>'Юнит 7'!W105</f>
        <v>-26582.27</v>
      </c>
      <c r="L11" s="19">
        <f t="shared" ref="L11" si="31">IFERROR(J11+K11,0)</f>
        <v>1210161.57</v>
      </c>
      <c r="M11" s="17">
        <f>'Юнит 7'!Y105</f>
        <v>1920260.67</v>
      </c>
      <c r="N11" s="18">
        <f>'Юнит 7'!Z105</f>
        <v>-41194.47</v>
      </c>
      <c r="O11" s="329">
        <f t="shared" ref="O11" si="32">IFERROR(M11+N11,0)</f>
        <v>1879066.2</v>
      </c>
      <c r="P11" s="184">
        <f>'Юнит 7'!AD105</f>
        <v>230374.86</v>
      </c>
      <c r="Q11" s="286">
        <f>'Юнит 7'!AG105</f>
        <v>212380.68000000002</v>
      </c>
      <c r="R11" s="18">
        <f>'Юнит 7'!AE105</f>
        <v>695831.50999999954</v>
      </c>
      <c r="S11" s="185">
        <f>'Юнит 7'!AL105</f>
        <v>8132.9799999999987</v>
      </c>
      <c r="T11" s="184">
        <v>30</v>
      </c>
      <c r="U11" s="18">
        <f>'Юнит 7'!AM105</f>
        <v>826</v>
      </c>
      <c r="V11" s="184">
        <v>4787.28</v>
      </c>
      <c r="W11" s="20">
        <f>'Юнит 7'!AH105</f>
        <v>145581</v>
      </c>
      <c r="X11" s="17">
        <f>'Юнит 7'!AI105</f>
        <v>138670</v>
      </c>
      <c r="Y11" s="17"/>
      <c r="Z11" s="21">
        <f>'Юнит 7'!AK105</f>
        <v>0</v>
      </c>
      <c r="AA11" s="21"/>
      <c r="AB11" s="21"/>
      <c r="AC11" s="327">
        <f t="shared" si="24"/>
        <v>67558.91061139392</v>
      </c>
      <c r="AD11" s="21"/>
      <c r="AE11" s="335">
        <f t="shared" si="3"/>
        <v>442451.89000000036</v>
      </c>
      <c r="AF11" s="28">
        <f t="shared" ref="AF11" si="33">O11-SUM(P11:AC11)+AD11</f>
        <v>374892.9793886065</v>
      </c>
      <c r="AG11" s="523"/>
      <c r="AH11" s="342">
        <f t="shared" si="12"/>
        <v>0.12260071518502115</v>
      </c>
      <c r="AI11" s="342">
        <f t="shared" si="13"/>
        <v>1.6273172315269406</v>
      </c>
      <c r="AJ11" s="342">
        <f t="shared" si="14"/>
        <v>0.19951025641811157</v>
      </c>
      <c r="AK11" s="342">
        <f t="shared" si="15"/>
        <v>0.15127247778710512</v>
      </c>
    </row>
    <row r="12" spans="1:37" s="15" customFormat="1" ht="25.5" customHeight="1">
      <c r="B12" s="26" t="s">
        <v>273</v>
      </c>
      <c r="C12" s="22" t="s">
        <v>104</v>
      </c>
      <c r="D12" s="23" t="s">
        <v>108</v>
      </c>
      <c r="E12" s="36"/>
      <c r="F12" s="34">
        <f t="shared" ref="F12" si="34">IFERROR(O12-SUM(Q12:W12)+AD12,0)</f>
        <v>1191.5700000000002</v>
      </c>
      <c r="G12" s="27">
        <f>'Юнит 7'!N113</f>
        <v>0</v>
      </c>
      <c r="H12" s="27">
        <f>'Юнит 7'!S113</f>
        <v>1</v>
      </c>
      <c r="I12" s="27">
        <f>'Юнит 7'!T113</f>
        <v>0</v>
      </c>
      <c r="J12" s="17">
        <f>'Юнит 7'!V113</f>
        <v>1407</v>
      </c>
      <c r="K12" s="18">
        <f>'Юнит 7'!W113</f>
        <v>0</v>
      </c>
      <c r="L12" s="19">
        <f t="shared" ref="L12" si="35">IFERROR(J12+K12,0)</f>
        <v>1407</v>
      </c>
      <c r="M12" s="17">
        <f>'Юнит 7'!Y113</f>
        <v>2079</v>
      </c>
      <c r="N12" s="18">
        <f>'Юнит 7'!Z113</f>
        <v>0</v>
      </c>
      <c r="O12" s="329">
        <f t="shared" ref="O12" si="36">IFERROR(M12+N12,0)</f>
        <v>2079</v>
      </c>
      <c r="P12" s="184">
        <f>'Юнит 7'!AD113</f>
        <v>579.17999999999995</v>
      </c>
      <c r="Q12" s="286">
        <f>'Юнит 7'!AG113</f>
        <v>124.34</v>
      </c>
      <c r="R12" s="18">
        <f>'Юнит 7'!AE113</f>
        <v>763.08999999999992</v>
      </c>
      <c r="S12" s="185">
        <f>'Юнит 7'!AL113</f>
        <v>0</v>
      </c>
      <c r="T12" s="184"/>
      <c r="U12" s="18">
        <f>'Юнит 7'!AM113</f>
        <v>0</v>
      </c>
      <c r="V12" s="184"/>
      <c r="W12" s="20">
        <f>'Юнит 7'!AH113</f>
        <v>0</v>
      </c>
      <c r="X12" s="17">
        <f>'Юнит 7'!AI113</f>
        <v>0</v>
      </c>
      <c r="Y12" s="17"/>
      <c r="Z12" s="21">
        <f>'Юнит 7'!AK113</f>
        <v>0</v>
      </c>
      <c r="AA12" s="21"/>
      <c r="AB12" s="21"/>
      <c r="AC12" s="327">
        <f t="shared" si="24"/>
        <v>74.747220274138272</v>
      </c>
      <c r="AD12" s="21"/>
      <c r="AE12" s="335">
        <f t="shared" si="3"/>
        <v>612.3900000000001</v>
      </c>
      <c r="AF12" s="28">
        <f t="shared" ref="AF12" si="37">O12-SUM(P12:AC12)+AD12</f>
        <v>537.64277972586183</v>
      </c>
      <c r="AG12" s="523"/>
      <c r="AH12" s="342">
        <f t="shared" ref="AH12" si="38">P12/O12</f>
        <v>0.27858585858585855</v>
      </c>
      <c r="AI12" s="342">
        <f t="shared" ref="AI12" si="39">AF12/P12</f>
        <v>0.92828270956500891</v>
      </c>
      <c r="AJ12" s="342">
        <f t="shared" ref="AJ12" si="40">AF12/O12</f>
        <v>0.2586064356545752</v>
      </c>
      <c r="AK12" s="342">
        <f t="shared" ref="AK12" si="41">(W12+X12+Z12)/O12</f>
        <v>0</v>
      </c>
    </row>
    <row r="13" spans="1:37" s="15" customFormat="1" ht="25.5" customHeight="1">
      <c r="B13" s="26" t="s">
        <v>263</v>
      </c>
      <c r="C13" s="22" t="s">
        <v>105</v>
      </c>
      <c r="D13" s="23" t="s">
        <v>109</v>
      </c>
      <c r="E13" s="36"/>
      <c r="F13" s="34">
        <f t="shared" ref="F13" si="42">IFERROR(O13-SUM(Q13:W13)+AD13,0)</f>
        <v>1204943.1672468567</v>
      </c>
      <c r="G13" s="27">
        <f>'Юнит 8'!N$105</f>
        <v>4413</v>
      </c>
      <c r="H13" s="27">
        <f>'Юнит 8'!S$105</f>
        <v>2295</v>
      </c>
      <c r="I13" s="27">
        <f>'Юнит 8'!T$105</f>
        <v>-43</v>
      </c>
      <c r="J13" s="17">
        <f>'Юнит 8'!V$105</f>
        <v>1593380.0800000003</v>
      </c>
      <c r="K13" s="18">
        <f>'Юнит 8'!W$105</f>
        <v>-29254.63</v>
      </c>
      <c r="L13" s="19">
        <f t="shared" ref="L13" si="43">IFERROR(J13+K13,0)</f>
        <v>1564125.4500000004</v>
      </c>
      <c r="M13" s="17">
        <f>'Юнит 8'!Y$105</f>
        <v>2501418.8899999997</v>
      </c>
      <c r="N13" s="18">
        <f>'Юнит 8'!Z$105</f>
        <v>-47007.29</v>
      </c>
      <c r="O13" s="329">
        <f t="shared" ref="O13" si="44">IFERROR(M13+N13,0)</f>
        <v>2454411.5999999996</v>
      </c>
      <c r="P13" s="184">
        <f>'Юнит 8'!AD$105</f>
        <v>280478.83000000019</v>
      </c>
      <c r="Q13" s="286">
        <f>'Юнит 8'!AG$105</f>
        <v>267875.32999999996</v>
      </c>
      <c r="R13" s="18">
        <f>'Юнит 8'!AE$105</f>
        <v>918234.84000000067</v>
      </c>
      <c r="S13" s="185">
        <f>'Юнит 8'!AL$105</f>
        <v>8623.9027531422835</v>
      </c>
      <c r="T13" s="184"/>
      <c r="U13" s="18">
        <f>'Юнит 8'!AM$105</f>
        <v>466</v>
      </c>
      <c r="V13" s="184">
        <v>3279.36</v>
      </c>
      <c r="W13" s="20">
        <f>'Юнит 8'!AH$105</f>
        <v>50989</v>
      </c>
      <c r="X13" s="17">
        <f>'Юнит 8'!AI$105</f>
        <v>265182</v>
      </c>
      <c r="Y13" s="17"/>
      <c r="Z13" s="21">
        <f>'Юнит 8'!AK$105</f>
        <v>0</v>
      </c>
      <c r="AA13" s="21"/>
      <c r="AB13" s="21"/>
      <c r="AC13" s="327">
        <f t="shared" si="24"/>
        <v>88244.562053198708</v>
      </c>
      <c r="AD13" s="21"/>
      <c r="AE13" s="335">
        <f t="shared" si="3"/>
        <v>659282.33724685642</v>
      </c>
      <c r="AF13" s="28">
        <f t="shared" ref="AF13" si="45">O13-SUM(P13:AC13)+AD13</f>
        <v>571037.77519365773</v>
      </c>
      <c r="AG13" s="523"/>
      <c r="AH13" s="342">
        <f t="shared" si="12"/>
        <v>0.1142753847806131</v>
      </c>
      <c r="AI13" s="342">
        <f t="shared" si="13"/>
        <v>2.0359389519474869</v>
      </c>
      <c r="AJ13" s="342">
        <f t="shared" si="14"/>
        <v>0.2326577071236372</v>
      </c>
      <c r="AK13" s="342">
        <f t="shared" si="15"/>
        <v>0.12881743225137954</v>
      </c>
    </row>
    <row r="14" spans="1:37" s="15" customFormat="1" ht="25.5" customHeight="1">
      <c r="B14" s="26" t="s">
        <v>264</v>
      </c>
      <c r="C14" s="22" t="s">
        <v>105</v>
      </c>
      <c r="D14" s="23" t="s">
        <v>109</v>
      </c>
      <c r="E14" s="36"/>
      <c r="F14" s="34">
        <f t="shared" ref="F14" si="46">IFERROR(O14-SUM(Q14:W14)+AD14,0)</f>
        <v>-0.86724685771744603</v>
      </c>
      <c r="G14" s="27">
        <f>'Юнит 8'!N113</f>
        <v>0</v>
      </c>
      <c r="H14" s="27">
        <f>'Юнит 8'!S113</f>
        <v>0</v>
      </c>
      <c r="I14" s="27">
        <f>'Юнит 8'!T113</f>
        <v>0</v>
      </c>
      <c r="J14" s="17">
        <f>'Юнит 8'!V113</f>
        <v>0</v>
      </c>
      <c r="K14" s="18">
        <f>'Юнит 8'!W113</f>
        <v>0</v>
      </c>
      <c r="L14" s="19">
        <f t="shared" ref="L14:L15" si="47">IFERROR(J14+K14,0)</f>
        <v>0</v>
      </c>
      <c r="M14" s="17">
        <f>'Юнит 8'!Y113</f>
        <v>0</v>
      </c>
      <c r="N14" s="18">
        <f>'Юнит 8'!Z113</f>
        <v>0</v>
      </c>
      <c r="O14" s="329">
        <f t="shared" ref="O14:O15" si="48">IFERROR(M14+N14,0)</f>
        <v>0</v>
      </c>
      <c r="P14" s="184">
        <f>'Юнит 8'!AD113</f>
        <v>0</v>
      </c>
      <c r="Q14" s="286">
        <f>'Юнит 8'!AG113</f>
        <v>0</v>
      </c>
      <c r="R14" s="18">
        <f>'Юнит 8'!AE113</f>
        <v>0</v>
      </c>
      <c r="S14" s="185">
        <f>'Юнит 8'!AL113</f>
        <v>0.86724685771744603</v>
      </c>
      <c r="T14" s="184"/>
      <c r="U14" s="18">
        <f>'Юнит 8'!AM113</f>
        <v>0</v>
      </c>
      <c r="V14" s="184"/>
      <c r="W14" s="20">
        <f>'Юнит 8'!AH113</f>
        <v>0</v>
      </c>
      <c r="X14" s="17">
        <f>'Юнит 8'!AI113</f>
        <v>0</v>
      </c>
      <c r="Y14" s="17"/>
      <c r="Z14" s="21">
        <f>'Юнит 8'!AK113</f>
        <v>0</v>
      </c>
      <c r="AA14" s="21"/>
      <c r="AB14" s="21"/>
      <c r="AC14" s="327">
        <f t="shared" si="24"/>
        <v>0</v>
      </c>
      <c r="AD14" s="21"/>
      <c r="AE14" s="335">
        <f t="shared" si="3"/>
        <v>-0.86724685771744603</v>
      </c>
      <c r="AF14" s="28">
        <f t="shared" ref="AF14:AF16" si="49">O14-SUM(P14:AC14)+AD14</f>
        <v>-0.86724685771744603</v>
      </c>
      <c r="AG14" s="523"/>
      <c r="AH14" s="342" t="e">
        <f t="shared" ref="AH14" si="50">P14/O14</f>
        <v>#DIV/0!</v>
      </c>
      <c r="AI14" s="342" t="e">
        <f t="shared" ref="AI14" si="51">AF14/P14</f>
        <v>#DIV/0!</v>
      </c>
      <c r="AJ14" s="342" t="e">
        <f t="shared" ref="AJ14" si="52">AF14/O14</f>
        <v>#DIV/0!</v>
      </c>
      <c r="AK14" s="342" t="e">
        <f t="shared" ref="AK14" si="53">(W14+X14+Z14)/O14</f>
        <v>#DIV/0!</v>
      </c>
    </row>
    <row r="15" spans="1:37" s="15" customFormat="1" ht="25.5" customHeight="1">
      <c r="B15" s="26" t="s">
        <v>274</v>
      </c>
      <c r="C15" s="22" t="s">
        <v>106</v>
      </c>
      <c r="D15" s="23" t="s">
        <v>110</v>
      </c>
      <c r="E15" s="36"/>
      <c r="F15" s="34">
        <f t="shared" ref="F15:F16" si="54">IFERROR(O15-SUM(Q15:W15)+AD15,0)</f>
        <v>1208387.9299999992</v>
      </c>
      <c r="G15" s="27">
        <f>'Юнит 9'!N$105</f>
        <v>3950</v>
      </c>
      <c r="H15" s="27">
        <f>'Юнит 9'!S$105</f>
        <v>2372</v>
      </c>
      <c r="I15" s="27">
        <f>'Юнит 9'!T$105</f>
        <v>-63</v>
      </c>
      <c r="J15" s="17">
        <f>'Юнит 9'!V$105</f>
        <v>1818463.7599999995</v>
      </c>
      <c r="K15" s="18">
        <f>'Юнит 9'!W$105</f>
        <v>-46702.770000000004</v>
      </c>
      <c r="L15" s="19">
        <f t="shared" si="47"/>
        <v>1771760.9899999995</v>
      </c>
      <c r="M15" s="17">
        <f>'Юнит 9'!Y$105</f>
        <v>2879025.2499999995</v>
      </c>
      <c r="N15" s="18">
        <f>'Юнит 9'!Z$105</f>
        <v>-73544.639999999999</v>
      </c>
      <c r="O15" s="329">
        <f t="shared" si="48"/>
        <v>2805480.6099999994</v>
      </c>
      <c r="P15" s="184">
        <f>'Юнит 9'!AD$105</f>
        <v>288027.83999999997</v>
      </c>
      <c r="Q15" s="286">
        <f>'Юнит 9'!AG$105</f>
        <v>299415.5299999998</v>
      </c>
      <c r="R15" s="18">
        <f>'Юнит 9'!AE$105</f>
        <v>1051752.6800000004</v>
      </c>
      <c r="S15" s="185">
        <f>'Юнит 9'!AL$105</f>
        <v>8471.4000000000051</v>
      </c>
      <c r="T15" s="184"/>
      <c r="U15" s="18">
        <f>'Юнит 9'!AM$105</f>
        <v>1392.11</v>
      </c>
      <c r="V15" s="184">
        <v>2400.96</v>
      </c>
      <c r="W15" s="20">
        <f>'Юнит 9'!AH$105</f>
        <v>233660</v>
      </c>
      <c r="X15" s="17">
        <f>'Юнит 9'!AI$105</f>
        <v>78621</v>
      </c>
      <c r="Y15" s="17"/>
      <c r="Z15" s="21">
        <f>'Юнит 9'!AK$105</f>
        <v>0</v>
      </c>
      <c r="AA15" s="21"/>
      <c r="AB15" s="21"/>
      <c r="AC15" s="327">
        <f t="shared" si="24"/>
        <v>100866.70376647127</v>
      </c>
      <c r="AD15" s="21"/>
      <c r="AE15" s="335">
        <f t="shared" si="3"/>
        <v>841739.08999999915</v>
      </c>
      <c r="AF15" s="28">
        <f t="shared" si="49"/>
        <v>740872.38623352791</v>
      </c>
      <c r="AG15" s="523"/>
      <c r="AH15" s="342">
        <f t="shared" si="12"/>
        <v>0.10266613106265597</v>
      </c>
      <c r="AI15" s="342">
        <f t="shared" si="13"/>
        <v>2.5722249149024203</v>
      </c>
      <c r="AJ15" s="342">
        <f t="shared" si="14"/>
        <v>0.264080380236001</v>
      </c>
      <c r="AK15" s="342">
        <f t="shared" si="15"/>
        <v>0.11131105268982774</v>
      </c>
    </row>
    <row r="16" spans="1:37" s="15" customFormat="1" ht="25.5" customHeight="1" thickBot="1">
      <c r="B16" s="189" t="s">
        <v>283</v>
      </c>
      <c r="C16" s="29" t="s">
        <v>106</v>
      </c>
      <c r="D16" s="30" t="s">
        <v>110</v>
      </c>
      <c r="E16" s="199"/>
      <c r="F16" s="31">
        <f t="shared" si="54"/>
        <v>-170</v>
      </c>
      <c r="G16" s="317"/>
      <c r="H16" s="317"/>
      <c r="I16" s="317"/>
      <c r="J16" s="318"/>
      <c r="K16" s="319"/>
      <c r="L16" s="320"/>
      <c r="M16" s="318"/>
      <c r="N16" s="319"/>
      <c r="O16" s="331"/>
      <c r="P16" s="321"/>
      <c r="Q16" s="322">
        <f>'Юнит 9'!AG125</f>
        <v>170</v>
      </c>
      <c r="R16" s="319"/>
      <c r="S16" s="323"/>
      <c r="T16" s="321"/>
      <c r="U16" s="319"/>
      <c r="V16" s="321"/>
      <c r="W16" s="324"/>
      <c r="X16" s="318"/>
      <c r="Y16" s="318"/>
      <c r="Z16" s="32"/>
      <c r="AA16" s="32"/>
      <c r="AB16" s="32"/>
      <c r="AC16" s="366">
        <f t="shared" si="24"/>
        <v>0</v>
      </c>
      <c r="AD16" s="32"/>
      <c r="AE16" s="337">
        <f t="shared" si="3"/>
        <v>-170</v>
      </c>
      <c r="AF16" s="33">
        <f t="shared" si="49"/>
        <v>-170</v>
      </c>
      <c r="AG16" s="524"/>
      <c r="AH16" s="342" t="e">
        <f t="shared" ref="AH16:AH17" si="55">P16/O16</f>
        <v>#DIV/0!</v>
      </c>
      <c r="AI16" s="342" t="e">
        <f t="shared" ref="AI16:AI17" si="56">AF16/P16</f>
        <v>#DIV/0!</v>
      </c>
      <c r="AJ16" s="342" t="e">
        <f t="shared" ref="AJ16:AJ17" si="57">AF16/O16</f>
        <v>#DIV/0!</v>
      </c>
      <c r="AK16" s="342" t="e">
        <f t="shared" ref="AK16:AK17" si="58">(W16+X16+Z16)/O16</f>
        <v>#DIV/0!</v>
      </c>
    </row>
    <row r="17" spans="2:37" s="15" customFormat="1" ht="25.5" customHeight="1">
      <c r="B17" s="201" t="s">
        <v>296</v>
      </c>
      <c r="C17" s="202" t="s">
        <v>322</v>
      </c>
      <c r="D17" s="356">
        <v>10</v>
      </c>
      <c r="E17" s="198"/>
      <c r="F17" s="34">
        <f t="shared" ref="F17" si="59">IFERROR(O17-SUM(Q17:W17)+AD17,0)</f>
        <v>1238601.7400000007</v>
      </c>
      <c r="G17" s="27">
        <f>'Юнит 10'!N$105</f>
        <v>3795</v>
      </c>
      <c r="H17" s="27">
        <f>'Юнит 10'!S$105</f>
        <v>2096</v>
      </c>
      <c r="I17" s="27">
        <f>'Юнит 10'!T$105</f>
        <v>-53</v>
      </c>
      <c r="J17" s="17">
        <f>'Юнит 10'!V$105</f>
        <v>1702514.8200000003</v>
      </c>
      <c r="K17" s="18">
        <f>'Юнит 10'!W$105</f>
        <v>-41251</v>
      </c>
      <c r="L17" s="19">
        <f t="shared" ref="L17" si="60">IFERROR(J17+K17,0)</f>
        <v>1661263.8200000003</v>
      </c>
      <c r="M17" s="17">
        <f>'Юнит 10'!Y$105</f>
        <v>2657773.4200000004</v>
      </c>
      <c r="N17" s="18">
        <f>'Юнит 10'!Z$105</f>
        <v>-65375.4</v>
      </c>
      <c r="O17" s="329">
        <f t="shared" ref="O17" si="61">IFERROR(M17+N17,0)</f>
        <v>2592398.0200000005</v>
      </c>
      <c r="P17" s="184">
        <f>'Юнит 10'!AD$105</f>
        <v>254974.67999999991</v>
      </c>
      <c r="Q17" s="286">
        <f>'Юнит 10'!AG$105</f>
        <v>270558.83999999985</v>
      </c>
      <c r="R17" s="18">
        <f>'Юнит 10'!AE$105</f>
        <v>972977.24999999977</v>
      </c>
      <c r="S17" s="185">
        <f>'Юнит 10'!AL$105</f>
        <v>11702.830000000002</v>
      </c>
      <c r="T17" s="184"/>
      <c r="U17" s="18">
        <f>'Юнит 10'!AM$105</f>
        <v>0</v>
      </c>
      <c r="V17" s="184">
        <f>1083.36+22990</f>
        <v>24073.360000000001</v>
      </c>
      <c r="W17" s="20">
        <f>'Юнит 10'!AH$105</f>
        <v>74484</v>
      </c>
      <c r="X17" s="17">
        <f>'Юнит 10'!AI$105</f>
        <v>252853</v>
      </c>
      <c r="Y17" s="17"/>
      <c r="Z17" s="21">
        <f>'Юнит 10'!AK$105</f>
        <v>0</v>
      </c>
      <c r="AA17" s="21"/>
      <c r="AB17" s="21"/>
      <c r="AC17" s="327">
        <f>666212.62*O17/SUM(O$17:O$20)</f>
        <v>94861.252839340654</v>
      </c>
      <c r="AD17" s="21"/>
      <c r="AE17" s="335">
        <f>O17-SUM(P17:Z17)+AD17</f>
        <v>730774.06000000075</v>
      </c>
      <c r="AF17" s="397">
        <f>O17-SUM(P17:AC17)+AD17</f>
        <v>635912.80716066016</v>
      </c>
      <c r="AG17" s="522">
        <f>SUM(AF17:AF20)</f>
        <v>5396896.790000001</v>
      </c>
      <c r="AH17" s="342">
        <f t="shared" si="55"/>
        <v>9.8354758039816692E-2</v>
      </c>
      <c r="AI17" s="342">
        <f t="shared" si="56"/>
        <v>2.4940233562040763</v>
      </c>
      <c r="AJ17" s="342">
        <f t="shared" si="57"/>
        <v>0.24529906374510349</v>
      </c>
      <c r="AK17" s="342">
        <f t="shared" si="58"/>
        <v>0.12626803348661714</v>
      </c>
    </row>
    <row r="18" spans="2:37" s="15" customFormat="1" ht="25.5" customHeight="1">
      <c r="B18" s="363" t="s">
        <v>299</v>
      </c>
      <c r="C18" s="357" t="s">
        <v>323</v>
      </c>
      <c r="D18" s="358" t="s">
        <v>301</v>
      </c>
      <c r="E18" s="36"/>
      <c r="F18" s="34">
        <f t="shared" ref="F18" si="62">IFERROR(O18-SUM(Q18:W18)+AD18,0)</f>
        <v>2101556.839999998</v>
      </c>
      <c r="G18" s="27">
        <f>'Юнит 11'!N$105</f>
        <v>8243</v>
      </c>
      <c r="H18" s="27">
        <f>'Юнит 11'!S$105</f>
        <v>3480</v>
      </c>
      <c r="I18" s="27">
        <f>'Юнит 11'!T$105</f>
        <v>-60</v>
      </c>
      <c r="J18" s="17">
        <f>'Юнит 11'!V$105</f>
        <v>3014405.28</v>
      </c>
      <c r="K18" s="18">
        <f>'Юнит 11'!W$105</f>
        <v>-49269.89</v>
      </c>
      <c r="L18" s="19">
        <f t="shared" ref="L18" si="63">IFERROR(J18+K18,0)</f>
        <v>2965135.3899999997</v>
      </c>
      <c r="M18" s="17">
        <f>'Юнит 11'!Y$105</f>
        <v>4668001.5599999996</v>
      </c>
      <c r="N18" s="18">
        <f>'Юнит 11'!Z$105</f>
        <v>-76772.740000000005</v>
      </c>
      <c r="O18" s="329">
        <f t="shared" ref="O18" si="64">IFERROR(M18+N18,0)</f>
        <v>4591228.8199999994</v>
      </c>
      <c r="P18" s="184">
        <f>'Юнит 11'!AD$105</f>
        <v>424325.40000000026</v>
      </c>
      <c r="Q18" s="286">
        <f>'Юнит 11'!AG$105</f>
        <v>445765.14000000054</v>
      </c>
      <c r="R18" s="18">
        <f>'Юнит 11'!AE$105</f>
        <v>1726243.7500000012</v>
      </c>
      <c r="S18" s="185">
        <f>'Юнит 11'!AL$105</f>
        <v>9729.77</v>
      </c>
      <c r="T18" s="184"/>
      <c r="U18" s="18">
        <f>'Юнит 11'!AM$105</f>
        <v>1842</v>
      </c>
      <c r="V18" s="184">
        <v>1288.32</v>
      </c>
      <c r="W18" s="20">
        <f>'Юнит 11'!AH$105</f>
        <v>304803</v>
      </c>
      <c r="X18" s="17">
        <f>'Юнит 11'!AI$105</f>
        <v>178004</v>
      </c>
      <c r="Y18" s="17"/>
      <c r="Z18" s="21">
        <f>'Юнит 11'!AK$105</f>
        <v>0</v>
      </c>
      <c r="AA18" s="21"/>
      <c r="AB18" s="21"/>
      <c r="AC18" s="327">
        <f t="shared" ref="AC18:AC20" si="65">666212.62*O18/SUM(O$17:O$20)</f>
        <v>168002.64256384809</v>
      </c>
      <c r="AD18" s="21"/>
      <c r="AE18" s="335">
        <f t="shared" ref="AE18" si="66">O18-SUM(P18:Z18)+AD18</f>
        <v>1499227.4399999976</v>
      </c>
      <c r="AF18" s="397">
        <f t="shared" ref="AF18" si="67">O18-SUM(P18:AC18)+AD18</f>
        <v>1331224.7974361493</v>
      </c>
      <c r="AG18" s="523"/>
      <c r="AH18" s="342">
        <f t="shared" ref="AH18:AH19" si="68">P18/O18</f>
        <v>9.2420878295497444E-2</v>
      </c>
      <c r="AI18" s="342">
        <f t="shared" ref="AI18:AI19" si="69">AF18/P18</f>
        <v>3.1372734166659564</v>
      </c>
      <c r="AJ18" s="342">
        <f t="shared" ref="AJ18:AJ19" si="70">AF18/O18</f>
        <v>0.28994956462138377</v>
      </c>
      <c r="AK18" s="342">
        <f t="shared" ref="AK18:AK19" si="71">(W18+X18+Z18)/O18</f>
        <v>0.10515855752970292</v>
      </c>
    </row>
    <row r="19" spans="2:37" s="15" customFormat="1" ht="25.5" customHeight="1">
      <c r="B19" s="26" t="s">
        <v>300</v>
      </c>
      <c r="C19" s="16" t="s">
        <v>324</v>
      </c>
      <c r="D19" s="24" t="s">
        <v>302</v>
      </c>
      <c r="E19" s="285"/>
      <c r="F19" s="34">
        <f t="shared" ref="F19" si="72">IFERROR(O19-SUM(Q19:W19)+AD19,0)</f>
        <v>2992994.9600000014</v>
      </c>
      <c r="G19" s="27">
        <f>'Юнит 12'!N$105</f>
        <v>6902</v>
      </c>
      <c r="H19" s="27">
        <f>'Юнит 12'!S$105</f>
        <v>4072</v>
      </c>
      <c r="I19" s="27">
        <f>'Юнит 12'!T$105</f>
        <v>-94</v>
      </c>
      <c r="J19" s="17">
        <f>'Юнит 12'!V$105</f>
        <v>3910621.7700000014</v>
      </c>
      <c r="K19" s="18">
        <f>'Юнит 12'!W$105</f>
        <v>-85755</v>
      </c>
      <c r="L19" s="19">
        <f t="shared" ref="L19" si="73">IFERROR(J19+K19,0)</f>
        <v>3824866.7700000014</v>
      </c>
      <c r="M19" s="17">
        <f>'Юнит 12'!Y$105</f>
        <v>5914054.7100000028</v>
      </c>
      <c r="N19" s="18">
        <f>'Юнит 12'!Z$105</f>
        <v>-132706.71</v>
      </c>
      <c r="O19" s="329">
        <f t="shared" ref="O19" si="74">IFERROR(M19+N19,0)</f>
        <v>5781348.0000000028</v>
      </c>
      <c r="P19" s="184">
        <f>'Юнит 12'!AD$105</f>
        <v>494039.24</v>
      </c>
      <c r="Q19" s="286">
        <f>'Юнит 12'!AG$105</f>
        <v>557216.52000000095</v>
      </c>
      <c r="R19" s="18">
        <f>'Юнит 12'!AE$105</f>
        <v>2176223.0400000005</v>
      </c>
      <c r="S19" s="185">
        <f>'Юнит 12'!AL$105</f>
        <v>6558.4800000000023</v>
      </c>
      <c r="T19" s="184"/>
      <c r="U19" s="18">
        <f>'Юнит 12'!AM$105</f>
        <v>130</v>
      </c>
      <c r="V19" s="184"/>
      <c r="W19" s="20">
        <f>'Юнит 12'!AH$105</f>
        <v>48225</v>
      </c>
      <c r="X19" s="17">
        <f>'Юнит 12'!AI$105</f>
        <v>468432</v>
      </c>
      <c r="Y19" s="17"/>
      <c r="Z19" s="21">
        <f>'Юнит 12'!AK$105</f>
        <v>0</v>
      </c>
      <c r="AA19" s="21"/>
      <c r="AB19" s="21"/>
      <c r="AC19" s="327">
        <f t="shared" si="65"/>
        <v>211551.58665806131</v>
      </c>
      <c r="AD19" s="21"/>
      <c r="AE19" s="335">
        <f t="shared" ref="AE19" si="75">O19-SUM(P19:Z19)+AD19</f>
        <v>2030523.7200000011</v>
      </c>
      <c r="AF19" s="397">
        <f t="shared" ref="AF19" si="76">O19-SUM(P19:AC19)+AD19</f>
        <v>1818972.1333419397</v>
      </c>
      <c r="AG19" s="523"/>
      <c r="AH19" s="342">
        <f t="shared" si="68"/>
        <v>8.5453987547540772E-2</v>
      </c>
      <c r="AI19" s="342">
        <f t="shared" si="69"/>
        <v>3.6818373644610491</v>
      </c>
      <c r="AJ19" s="342">
        <f t="shared" si="70"/>
        <v>0.31462768429472482</v>
      </c>
      <c r="AK19" s="342">
        <f t="shared" si="71"/>
        <v>8.9366182419740134E-2</v>
      </c>
    </row>
    <row r="20" spans="2:37" s="15" customFormat="1" ht="25.5" customHeight="1" thickBot="1">
      <c r="B20" s="26" t="s">
        <v>304</v>
      </c>
      <c r="C20" s="29" t="s">
        <v>325</v>
      </c>
      <c r="D20" s="30" t="s">
        <v>303</v>
      </c>
      <c r="E20" s="369"/>
      <c r="F20" s="31">
        <f t="shared" ref="F20" si="77">IFERROR(O20-SUM(Q20:W20)+AD20,0)</f>
        <v>2696708.9000000022</v>
      </c>
      <c r="G20" s="317">
        <f>'Юнит 13'!N$105</f>
        <v>6707</v>
      </c>
      <c r="H20" s="317">
        <f>'Юнит 13'!S$105</f>
        <v>3565</v>
      </c>
      <c r="I20" s="317">
        <f>'Юнит 13'!T$105</f>
        <v>-97</v>
      </c>
      <c r="J20" s="318">
        <f>'Юнит 13'!V$105</f>
        <v>3582763.5599999996</v>
      </c>
      <c r="K20" s="319">
        <f>'Юнит 13'!W$105</f>
        <v>-97407.33</v>
      </c>
      <c r="L20" s="320">
        <f t="shared" ref="L20:L21" si="78">IFERROR(J20+K20,0)</f>
        <v>3485356.2299999995</v>
      </c>
      <c r="M20" s="318">
        <f>'Юнит 13'!Y$105</f>
        <v>5387638.1000000006</v>
      </c>
      <c r="N20" s="319">
        <f>'Юнит 13'!Z$105</f>
        <v>-146145.85999999999</v>
      </c>
      <c r="O20" s="331">
        <f t="shared" ref="O20:O21" si="79">IFERROR(M20+N20,0)</f>
        <v>5241492.24</v>
      </c>
      <c r="P20" s="321">
        <f>'Юнит 13'!AD$105</f>
        <v>429364.71000000008</v>
      </c>
      <c r="Q20" s="322">
        <f>'Юнит 13'!AG$105</f>
        <v>472771.32000000047</v>
      </c>
      <c r="R20" s="319">
        <f>'Юнит 13'!AE$105</f>
        <v>1975944.7599999974</v>
      </c>
      <c r="S20" s="323">
        <f>'Юнит 13'!AL$105</f>
        <v>8091.5400000000027</v>
      </c>
      <c r="T20" s="321"/>
      <c r="U20" s="319">
        <f>'Юнит 13'!AM$105</f>
        <v>-1073</v>
      </c>
      <c r="V20" s="321">
        <v>702.72</v>
      </c>
      <c r="W20" s="324">
        <f>'Юнит 13'!AH$105</f>
        <v>88346</v>
      </c>
      <c r="X20" s="318">
        <f>'Юнит 13'!AI$105</f>
        <v>464760</v>
      </c>
      <c r="Y20" s="318"/>
      <c r="Z20" s="32">
        <f>'Юнит 13'!AK$105</f>
        <v>0</v>
      </c>
      <c r="AA20" s="32"/>
      <c r="AB20" s="32"/>
      <c r="AC20" s="366">
        <f t="shared" si="65"/>
        <v>191797.13793874983</v>
      </c>
      <c r="AD20" s="32"/>
      <c r="AE20" s="337">
        <f t="shared" ref="AE20" si="80">O20-SUM(P20:Z20)+AD20</f>
        <v>1802584.1900000018</v>
      </c>
      <c r="AF20" s="398">
        <f t="shared" ref="AF20:AF21" si="81">O20-SUM(P20:AC20)+AD20</f>
        <v>1610787.0520612518</v>
      </c>
      <c r="AG20" s="524"/>
      <c r="AH20" s="342">
        <f t="shared" si="12"/>
        <v>8.1916502083765372E-2</v>
      </c>
      <c r="AI20" s="342">
        <f t="shared" si="13"/>
        <v>3.7515590232398268</v>
      </c>
      <c r="AJ20" s="342">
        <f t="shared" si="14"/>
        <v>0.30731459254459409</v>
      </c>
      <c r="AK20" s="342">
        <f t="shared" si="15"/>
        <v>0.10552452902229231</v>
      </c>
    </row>
    <row r="21" spans="2:37" s="15" customFormat="1" ht="25.5" customHeight="1">
      <c r="B21" s="201" t="s">
        <v>321</v>
      </c>
      <c r="C21" s="439" t="s">
        <v>326</v>
      </c>
      <c r="D21" s="440">
        <v>14</v>
      </c>
      <c r="E21" s="467"/>
      <c r="F21" s="467">
        <f>IFERROR(O21-SUM(Q21:W21)-AA21-AB21+AD21,0)</f>
        <v>2335595.6700000004</v>
      </c>
      <c r="G21" s="468">
        <f>'Юнит 14'!N$105</f>
        <v>5475</v>
      </c>
      <c r="H21" s="468">
        <f>'Юнит 14'!S$105</f>
        <v>3012</v>
      </c>
      <c r="I21" s="468">
        <f>'Юнит 14'!T$105</f>
        <v>-85</v>
      </c>
      <c r="J21" s="469">
        <f>'Юнит 14'!V$105</f>
        <v>3007932.1</v>
      </c>
      <c r="K21" s="470">
        <f>'Юнит 14'!W$105</f>
        <v>-82412.17</v>
      </c>
      <c r="L21" s="471">
        <f t="shared" si="78"/>
        <v>2925519.93</v>
      </c>
      <c r="M21" s="469">
        <f>'Юнит 14'!Y$105</f>
        <v>4561244.1899999985</v>
      </c>
      <c r="N21" s="470">
        <f>'Юнит 14'!Z$105</f>
        <v>-124396.78</v>
      </c>
      <c r="O21" s="472">
        <f t="shared" si="79"/>
        <v>4436847.4099999983</v>
      </c>
      <c r="P21" s="473">
        <f>'Юнит 14'!AD$105</f>
        <v>363233.15000000014</v>
      </c>
      <c r="Q21" s="474">
        <f>'Юнит 14'!AG$105</f>
        <v>409675.01000000007</v>
      </c>
      <c r="R21" s="470">
        <f>'Юнит 14'!AE$105</f>
        <v>1670278.0099999977</v>
      </c>
      <c r="S21" s="475">
        <f>'Юнит 14'!AL$105</f>
        <v>8536.0999999999985</v>
      </c>
      <c r="T21" s="473"/>
      <c r="U21" s="470">
        <f>'Юнит 14'!AM$105</f>
        <v>960</v>
      </c>
      <c r="V21" s="473">
        <v>702.72</v>
      </c>
      <c r="W21" s="476">
        <f>'Юнит 14'!AH$105</f>
        <v>9682</v>
      </c>
      <c r="X21" s="469">
        <f>'Юнит 14'!AI$105</f>
        <v>500888</v>
      </c>
      <c r="Y21" s="469"/>
      <c r="Z21" s="477">
        <f>'Юнит 14'!AK$105</f>
        <v>0</v>
      </c>
      <c r="AA21" s="478">
        <v>128.9</v>
      </c>
      <c r="AB21" s="478">
        <v>1289</v>
      </c>
      <c r="AC21" s="479">
        <f>'Юнит 14'!AN$105</f>
        <v>167047.18800300005</v>
      </c>
      <c r="AD21" s="477"/>
      <c r="AE21" s="478">
        <f>O21-SUM(P21:AB21)+AD21</f>
        <v>1471474.52</v>
      </c>
      <c r="AF21" s="480">
        <f t="shared" si="81"/>
        <v>1304427.3319970001</v>
      </c>
      <c r="AG21" s="522">
        <f>SUM(AF21:AF25)</f>
        <v>3664800.2227279996</v>
      </c>
      <c r="AH21" s="342">
        <f t="shared" ref="AH21:AH22" si="82">P21/O21</f>
        <v>8.1867397373487832E-2</v>
      </c>
      <c r="AI21" s="342">
        <f t="shared" ref="AI21:AI22" si="83">AF21/P21</f>
        <v>3.5911571727332698</v>
      </c>
      <c r="AJ21" s="342">
        <f t="shared" ref="AJ21:AJ22" si="84">AF21/O21</f>
        <v>0.29399869129080564</v>
      </c>
      <c r="AK21" s="342">
        <f t="shared" ref="AK21:AK22" si="85">(W21+X21+Z21)/O21</f>
        <v>0.11507495138310384</v>
      </c>
    </row>
    <row r="22" spans="2:37" s="15" customFormat="1" ht="25.5" customHeight="1">
      <c r="B22" s="363" t="s">
        <v>334</v>
      </c>
      <c r="C22" s="441" t="s">
        <v>335</v>
      </c>
      <c r="D22" s="442">
        <v>15</v>
      </c>
      <c r="E22" s="198"/>
      <c r="F22" s="34">
        <f>IFERROR(O22-SUM(Q22:W22)-AA22-AB22+AD22,0)</f>
        <v>1648542.8000000005</v>
      </c>
      <c r="G22" s="27">
        <f>'Юнит 15'!N$105</f>
        <v>3532</v>
      </c>
      <c r="H22" s="27">
        <f>'Юнит 15'!S$105</f>
        <v>2176</v>
      </c>
      <c r="I22" s="27">
        <f>'Юнит 15'!T$105</f>
        <v>-59</v>
      </c>
      <c r="J22" s="17">
        <f>'Юнит 15'!V$105</f>
        <v>2198880.5300000003</v>
      </c>
      <c r="K22" s="18">
        <f>'Юнит 15'!W$105</f>
        <v>-57961.37</v>
      </c>
      <c r="L22" s="19">
        <f t="shared" ref="L22" si="86">IFERROR(J22+K22,0)</f>
        <v>2140919.16</v>
      </c>
      <c r="M22" s="17">
        <f>'Юнит 15'!Y$105</f>
        <v>3303471.34</v>
      </c>
      <c r="N22" s="18">
        <f>'Юнит 15'!Z$105</f>
        <v>-87984.17</v>
      </c>
      <c r="O22" s="329">
        <f t="shared" ref="O22" si="87">IFERROR(M22+N22,0)</f>
        <v>3215487.17</v>
      </c>
      <c r="P22" s="184">
        <f>'Юнит 15'!AD$105</f>
        <v>261816.2</v>
      </c>
      <c r="Q22" s="286">
        <f>'Юнит 15'!AG$105</f>
        <v>302367.42999999964</v>
      </c>
      <c r="R22" s="18">
        <f>'Юнит 15'!AE$105</f>
        <v>1215469.6299999997</v>
      </c>
      <c r="S22" s="185">
        <f>'Юнит 15'!AL$105</f>
        <v>9130.3299999999981</v>
      </c>
      <c r="T22" s="184"/>
      <c r="U22" s="18">
        <f>'Юнит 15'!AM$105</f>
        <v>4923.9799999999996</v>
      </c>
      <c r="V22" s="184">
        <v>22990</v>
      </c>
      <c r="W22" s="20">
        <f>'Юнит 15'!AH$105</f>
        <v>2405</v>
      </c>
      <c r="X22" s="17">
        <f>'Юнит 15'!AI$105</f>
        <v>301236</v>
      </c>
      <c r="Y22" s="17"/>
      <c r="Z22" s="21">
        <f>'Юнит 15'!AK$105</f>
        <v>0</v>
      </c>
      <c r="AA22" s="335">
        <v>878</v>
      </c>
      <c r="AB22" s="335">
        <v>8780</v>
      </c>
      <c r="AC22" s="210">
        <f>'Юнит 15'!AN$105</f>
        <v>122246.48403600004</v>
      </c>
      <c r="AD22" s="21"/>
      <c r="AE22" s="335">
        <f>O22-SUM(P22:AB22)+AD22</f>
        <v>1085490.6000000006</v>
      </c>
      <c r="AF22" s="397">
        <f t="shared" ref="AF22" si="88">O22-SUM(P22:AC22)+AD22</f>
        <v>963244.11596400058</v>
      </c>
      <c r="AG22" s="523"/>
      <c r="AH22" s="342">
        <f t="shared" si="82"/>
        <v>8.1423493908700628E-2</v>
      </c>
      <c r="AI22" s="342">
        <f t="shared" si="83"/>
        <v>3.6790852359938024</v>
      </c>
      <c r="AJ22" s="342">
        <f t="shared" si="84"/>
        <v>0.29956397430253179</v>
      </c>
      <c r="AK22" s="342">
        <f t="shared" si="85"/>
        <v>9.4430791959900742E-2</v>
      </c>
    </row>
    <row r="23" spans="2:37" s="15" customFormat="1" ht="25.5" customHeight="1">
      <c r="B23" s="363" t="s">
        <v>340</v>
      </c>
      <c r="C23" s="441" t="s">
        <v>341</v>
      </c>
      <c r="D23" s="442">
        <v>16</v>
      </c>
      <c r="E23" s="198"/>
      <c r="F23" s="34">
        <f>IFERROR(O23-SUM(Q23:W23)-AA23-AB23+AD23,0)</f>
        <v>1468778.3100000003</v>
      </c>
      <c r="G23" s="27">
        <f>'Юнит 16'!N$106</f>
        <v>3479</v>
      </c>
      <c r="H23" s="27">
        <f>'Юнит 16'!S$106</f>
        <v>1972</v>
      </c>
      <c r="I23" s="27">
        <f>'Юнит 16'!T$106</f>
        <v>-47</v>
      </c>
      <c r="J23" s="17">
        <f>'Юнит 16'!V$106</f>
        <v>1966605.1999999995</v>
      </c>
      <c r="K23" s="18">
        <f>'Юнит 16'!W$106</f>
        <v>-45569.59</v>
      </c>
      <c r="L23" s="19">
        <f t="shared" ref="L23" si="89">IFERROR(J23+K23,0)</f>
        <v>1921035.6099999994</v>
      </c>
      <c r="M23" s="17">
        <f>'Юнит 16'!Y$106</f>
        <v>2939167.3999999994</v>
      </c>
      <c r="N23" s="18">
        <f>'Юнит 16'!Z$106</f>
        <v>-68089.33</v>
      </c>
      <c r="O23" s="329">
        <f t="shared" ref="O23" si="90">IFERROR(M23+N23,0)</f>
        <v>2871078.0699999994</v>
      </c>
      <c r="P23" s="184">
        <f>'Юнит 16'!AD$106</f>
        <v>238729.30999999994</v>
      </c>
      <c r="Q23" s="286">
        <f>'Юнит 16'!AG$106</f>
        <v>252691.82000000015</v>
      </c>
      <c r="R23" s="18">
        <f>'Юнит 16'!AE$106</f>
        <v>1082608.5099999991</v>
      </c>
      <c r="S23" s="185">
        <f>'Юнит 16'!AL$106</f>
        <v>11044.130000000003</v>
      </c>
      <c r="T23" s="184"/>
      <c r="U23" s="18">
        <f>'Юнит 16'!AM$106</f>
        <v>3110</v>
      </c>
      <c r="V23" s="184"/>
      <c r="W23" s="20">
        <f>'Юнит 16'!AH$106</f>
        <v>43580</v>
      </c>
      <c r="X23" s="17">
        <f>'Юнит 16'!AI$106</f>
        <v>287584</v>
      </c>
      <c r="Y23" s="17"/>
      <c r="Z23" s="21">
        <f>'Юнит 16'!AK$106</f>
        <v>0</v>
      </c>
      <c r="AA23" s="335">
        <v>842.3</v>
      </c>
      <c r="AB23" s="335">
        <v>8423</v>
      </c>
      <c r="AC23" s="210">
        <f>'Юнит 16'!AN$106</f>
        <v>109691.13333099996</v>
      </c>
      <c r="AD23" s="21"/>
      <c r="AE23" s="335">
        <f>O23-SUM(P23:AB23)+AD23</f>
        <v>942465.00000000023</v>
      </c>
      <c r="AF23" s="397">
        <f t="shared" ref="AF23" si="91">O23-SUM(P23:AC23)+AD23</f>
        <v>832773.86666900036</v>
      </c>
      <c r="AG23" s="523"/>
      <c r="AH23" s="342">
        <f t="shared" ref="AH23:AH25" si="92">P23/O23</f>
        <v>8.3149710380393801E-2</v>
      </c>
      <c r="AI23" s="342">
        <f t="shared" ref="AI23:AI25" si="93">AF23/P23</f>
        <v>3.488360380503762</v>
      </c>
      <c r="AJ23" s="342">
        <f t="shared" ref="AJ23:AJ25" si="94">AF23/O23</f>
        <v>0.29005615534132811</v>
      </c>
      <c r="AK23" s="342">
        <f t="shared" ref="AK23:AK25" si="95">(W23+X23+Z23)/O23</f>
        <v>0.11534482585490964</v>
      </c>
    </row>
    <row r="24" spans="2:37" s="15" customFormat="1" ht="25.5" customHeight="1">
      <c r="B24" s="363" t="s">
        <v>342</v>
      </c>
      <c r="C24" s="441" t="s">
        <v>344</v>
      </c>
      <c r="D24" s="442">
        <v>17</v>
      </c>
      <c r="E24" s="444"/>
      <c r="F24" s="34">
        <f>IFERROR(O24-SUM(Q24:W24)-AA24-AB24+AD24,0)</f>
        <v>1257598.6199999987</v>
      </c>
      <c r="G24" s="27">
        <f>'Юнит 17'!N$106</f>
        <v>3101</v>
      </c>
      <c r="H24" s="27">
        <f>'Юнит 17'!S$106</f>
        <v>1730</v>
      </c>
      <c r="I24" s="27">
        <f>'Юнит 17'!T$106</f>
        <v>-35</v>
      </c>
      <c r="J24" s="17">
        <f>'Юнит 17'!V$106</f>
        <v>1694803.0599999998</v>
      </c>
      <c r="K24" s="18">
        <f>'Юнит 17'!W$106</f>
        <v>-35587.440000000002</v>
      </c>
      <c r="L24" s="19">
        <f t="shared" ref="L24" si="96">IFERROR(J24+K24,0)</f>
        <v>1659215.6199999999</v>
      </c>
      <c r="M24" s="17">
        <f>'Юнит 17'!Y$106</f>
        <v>2465283.2499999995</v>
      </c>
      <c r="N24" s="18">
        <f>'Юнит 17'!Z$106</f>
        <v>-52946.239999999998</v>
      </c>
      <c r="O24" s="329">
        <f t="shared" ref="O24" si="97">IFERROR(M24+N24,0)</f>
        <v>2412337.0099999993</v>
      </c>
      <c r="P24" s="184">
        <f>'Юнит 17'!AD$106</f>
        <v>210794.49999999997</v>
      </c>
      <c r="Q24" s="286">
        <f>'Юнит 17'!AG$106</f>
        <v>226778.54999999976</v>
      </c>
      <c r="R24" s="18">
        <f>'Юнит 17'!AE$106</f>
        <v>908073.200000001</v>
      </c>
      <c r="S24" s="185">
        <f>'Юнит 17'!AL$106</f>
        <v>10756.940000000004</v>
      </c>
      <c r="T24" s="184"/>
      <c r="U24" s="18">
        <f>'Юнит 17'!AM$106</f>
        <v>1310</v>
      </c>
      <c r="V24" s="184"/>
      <c r="W24" s="20">
        <f>'Юнит 17'!AH$106</f>
        <v>6217</v>
      </c>
      <c r="X24" s="17">
        <f>'Юнит 17'!AI$106</f>
        <v>172288</v>
      </c>
      <c r="Y24" s="17">
        <f>'Юнит 17'!AJ106</f>
        <v>215420</v>
      </c>
      <c r="Z24" s="21">
        <f>'Юнит 17'!AK$106</f>
        <v>0</v>
      </c>
      <c r="AA24" s="335">
        <v>145.69999999999999</v>
      </c>
      <c r="AB24" s="335">
        <v>1457</v>
      </c>
      <c r="AC24" s="210">
        <f>'Юнит 17'!AN$106</f>
        <v>94741.211902000054</v>
      </c>
      <c r="AD24" s="21"/>
      <c r="AE24" s="335">
        <f>O24-SUM(P24:AB24)+AD24</f>
        <v>659096.11999999871</v>
      </c>
      <c r="AF24" s="397">
        <f t="shared" ref="AF24" si="98">O24-SUM(P24:AC24)+AD24</f>
        <v>564354.9080979987</v>
      </c>
      <c r="AG24" s="523"/>
      <c r="AH24" s="342">
        <f t="shared" si="92"/>
        <v>8.7381862122158468E-2</v>
      </c>
      <c r="AI24" s="342">
        <f t="shared" si="93"/>
        <v>2.6772752993934792</v>
      </c>
      <c r="AJ24" s="342">
        <f t="shared" si="94"/>
        <v>0.23394530107466158</v>
      </c>
      <c r="AK24" s="342">
        <f t="shared" si="95"/>
        <v>7.3996709108235276E-2</v>
      </c>
    </row>
    <row r="25" spans="2:37" s="15" customFormat="1" ht="25.5" customHeight="1" thickBot="1">
      <c r="B25" s="380" t="s">
        <v>343</v>
      </c>
      <c r="C25" s="481" t="s">
        <v>345</v>
      </c>
      <c r="D25" s="482">
        <v>18</v>
      </c>
      <c r="E25" s="483"/>
      <c r="F25" s="284"/>
      <c r="G25" s="190"/>
      <c r="H25" s="190"/>
      <c r="I25" s="190"/>
      <c r="J25" s="191"/>
      <c r="K25" s="192"/>
      <c r="L25" s="193"/>
      <c r="M25" s="191"/>
      <c r="N25" s="192"/>
      <c r="O25" s="330"/>
      <c r="P25" s="194"/>
      <c r="Q25" s="287"/>
      <c r="R25" s="192"/>
      <c r="S25" s="273"/>
      <c r="T25" s="194"/>
      <c r="U25" s="192"/>
      <c r="V25" s="194"/>
      <c r="W25" s="195"/>
      <c r="X25" s="191"/>
      <c r="Y25" s="191"/>
      <c r="Z25" s="196"/>
      <c r="AA25" s="336"/>
      <c r="AB25" s="336"/>
      <c r="AC25" s="484"/>
      <c r="AD25" s="196"/>
      <c r="AE25" s="336"/>
      <c r="AF25" s="485"/>
      <c r="AG25" s="524"/>
      <c r="AH25" s="342" t="e">
        <f t="shared" si="92"/>
        <v>#DIV/0!</v>
      </c>
      <c r="AI25" s="342" t="e">
        <f t="shared" si="93"/>
        <v>#DIV/0!</v>
      </c>
      <c r="AJ25" s="342" t="e">
        <f t="shared" si="94"/>
        <v>#DIV/0!</v>
      </c>
      <c r="AK25" s="342" t="e">
        <f t="shared" si="95"/>
        <v>#DIV/0!</v>
      </c>
    </row>
    <row r="26" spans="2:37" s="15" customFormat="1" ht="25.5" customHeight="1">
      <c r="B26" s="26"/>
      <c r="C26" s="16"/>
      <c r="D26" s="24"/>
      <c r="E26" s="285"/>
      <c r="F26" s="198"/>
      <c r="G26" s="27"/>
      <c r="H26" s="27"/>
      <c r="I26" s="27"/>
      <c r="J26" s="17"/>
      <c r="K26" s="18"/>
      <c r="L26" s="19"/>
      <c r="M26" s="17"/>
      <c r="N26" s="18"/>
      <c r="O26" s="329"/>
      <c r="P26" s="184"/>
      <c r="Q26" s="286"/>
      <c r="R26" s="18"/>
      <c r="S26" s="185"/>
      <c r="T26" s="184"/>
      <c r="U26" s="18"/>
      <c r="V26" s="184"/>
      <c r="W26" s="20"/>
      <c r="X26" s="17"/>
      <c r="Y26" s="17"/>
      <c r="Z26" s="21"/>
      <c r="AA26" s="21"/>
      <c r="AB26" s="21"/>
      <c r="AC26" s="209"/>
      <c r="AD26" s="17"/>
      <c r="AE26" s="209"/>
      <c r="AF26" s="28"/>
      <c r="AG26" s="360"/>
      <c r="AH26" s="6"/>
      <c r="AI26" s="6"/>
      <c r="AJ26" s="6"/>
      <c r="AK26" s="6"/>
    </row>
    <row r="27" spans="2:37" s="15" customFormat="1" ht="25.5" customHeight="1" thickBot="1">
      <c r="B27" s="380"/>
      <c r="C27" s="29"/>
      <c r="D27" s="30"/>
      <c r="E27" s="369"/>
      <c r="F27" s="31"/>
      <c r="G27" s="317"/>
      <c r="H27" s="317"/>
      <c r="I27" s="317"/>
      <c r="J27" s="318"/>
      <c r="K27" s="319"/>
      <c r="L27" s="320"/>
      <c r="M27" s="318"/>
      <c r="N27" s="319"/>
      <c r="O27" s="331"/>
      <c r="P27" s="321"/>
      <c r="Q27" s="370"/>
      <c r="R27" s="319"/>
      <c r="S27" s="323"/>
      <c r="T27" s="321"/>
      <c r="U27" s="319"/>
      <c r="V27" s="321"/>
      <c r="W27" s="324"/>
      <c r="X27" s="32"/>
      <c r="Y27" s="32"/>
      <c r="Z27" s="32"/>
      <c r="AA27" s="32"/>
      <c r="AB27" s="32"/>
      <c r="AC27" s="371"/>
      <c r="AD27" s="32"/>
      <c r="AE27" s="337"/>
      <c r="AF27" s="33"/>
      <c r="AG27" s="197"/>
      <c r="AH27" s="6"/>
      <c r="AI27" s="6"/>
      <c r="AJ27" s="6"/>
      <c r="AK27" s="6"/>
    </row>
    <row r="28" spans="2:37" ht="22" customHeight="1" thickBot="1">
      <c r="B28" s="37" t="s">
        <v>29</v>
      </c>
      <c r="C28" s="38"/>
      <c r="D28" s="39"/>
      <c r="E28" s="40"/>
      <c r="F28" s="41">
        <f t="shared" ref="F28:Z28" si="99">SUM(F4:F27)</f>
        <v>20523318.059999995</v>
      </c>
      <c r="G28" s="42">
        <f t="shared" si="99"/>
        <v>60843</v>
      </c>
      <c r="H28" s="42">
        <f t="shared" si="99"/>
        <v>32560</v>
      </c>
      <c r="I28" s="42">
        <f t="shared" si="99"/>
        <v>-759</v>
      </c>
      <c r="J28" s="41">
        <f t="shared" si="99"/>
        <v>28469841.280000001</v>
      </c>
      <c r="K28" s="41">
        <f t="shared" si="99"/>
        <v>-665273.84000000008</v>
      </c>
      <c r="L28" s="41">
        <f t="shared" si="99"/>
        <v>27804567.440000001</v>
      </c>
      <c r="M28" s="41">
        <f t="shared" si="99"/>
        <v>42999099.389999993</v>
      </c>
      <c r="N28" s="41">
        <f t="shared" si="99"/>
        <v>-1006843.73</v>
      </c>
      <c r="O28" s="332">
        <f t="shared" si="99"/>
        <v>41992255.659999996</v>
      </c>
      <c r="P28" s="41">
        <f t="shared" si="99"/>
        <v>3960292.3800000013</v>
      </c>
      <c r="Q28" s="41">
        <f t="shared" si="99"/>
        <v>4165489.5600000015</v>
      </c>
      <c r="R28" s="41">
        <f t="shared" si="99"/>
        <v>15771412.689999999</v>
      </c>
      <c r="S28" s="211">
        <f t="shared" si="99"/>
        <v>152891.9</v>
      </c>
      <c r="T28" s="211">
        <f t="shared" si="99"/>
        <v>31.7</v>
      </c>
      <c r="U28" s="41">
        <f t="shared" si="99"/>
        <v>13887.09</v>
      </c>
      <c r="V28" s="41">
        <f t="shared" si="99"/>
        <v>110443.76000000001</v>
      </c>
      <c r="W28" s="41">
        <f t="shared" si="99"/>
        <v>1232837</v>
      </c>
      <c r="X28" s="41">
        <f t="shared" si="99"/>
        <v>3639693</v>
      </c>
      <c r="Y28" s="41"/>
      <c r="Z28" s="41">
        <f t="shared" si="99"/>
        <v>0</v>
      </c>
      <c r="AA28" s="41"/>
      <c r="AB28" s="41"/>
      <c r="AC28" s="211">
        <f>SUM(AC4:AC27)</f>
        <v>1566485.757272</v>
      </c>
      <c r="AD28" s="41">
        <f>SUM(AD4:AD27)</f>
        <v>0</v>
      </c>
      <c r="AE28" s="211">
        <f>SUM(AE4:AE27)</f>
        <v>12707912.679999998</v>
      </c>
      <c r="AF28" s="41">
        <f>SUM(AF4:AF27)</f>
        <v>11141426.922727998</v>
      </c>
      <c r="AG28" s="41">
        <f>SUM(AG4:AG27)</f>
        <v>11141426.922727996</v>
      </c>
      <c r="AH28" s="43">
        <f>P28/O28</f>
        <v>9.4310065457436337E-2</v>
      </c>
      <c r="AI28" s="43">
        <f t="shared" ref="AI28" si="100">AF28/P28</f>
        <v>2.8132839330231456</v>
      </c>
      <c r="AJ28" s="43">
        <f t="shared" ref="AJ28" si="101">AF28/O28</f>
        <v>0.26532099187376684</v>
      </c>
      <c r="AK28" s="43">
        <f>(W28+X28+Z28)/O28</f>
        <v>0.11603401444903473</v>
      </c>
    </row>
    <row r="29" spans="2:37" ht="13.5" customHeight="1">
      <c r="B29" s="44"/>
      <c r="C29" s="44"/>
      <c r="D29" s="25"/>
      <c r="E29" s="45"/>
      <c r="F29" s="46"/>
      <c r="G29" s="46"/>
      <c r="H29" s="46"/>
      <c r="I29" s="46"/>
      <c r="J29" s="46"/>
      <c r="K29" s="46"/>
      <c r="L29" s="46"/>
      <c r="M29" s="47" t="s">
        <v>41</v>
      </c>
      <c r="N29" s="47"/>
      <c r="O29" s="47"/>
      <c r="P29" s="46"/>
      <c r="Q29" s="46"/>
      <c r="R29" s="46"/>
      <c r="S29" s="274"/>
      <c r="T29" s="274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3"/>
      <c r="AI29" s="43"/>
      <c r="AJ29" s="43"/>
      <c r="AK29" s="43"/>
    </row>
    <row r="30" spans="2:37" s="4" customFormat="1">
      <c r="B30" s="48"/>
      <c r="C30" s="48"/>
      <c r="E30" s="49"/>
      <c r="F30" s="50"/>
      <c r="G30" s="51"/>
      <c r="H30" s="51"/>
      <c r="I30" s="51"/>
      <c r="J30" s="51"/>
      <c r="K30" s="51"/>
      <c r="L30" s="51"/>
      <c r="M30" s="47"/>
      <c r="N30" s="52">
        <f>-N28/M28</f>
        <v>2.341546088833095E-2</v>
      </c>
      <c r="O30" s="53"/>
      <c r="P30" s="186">
        <f t="shared" ref="P30:AC30" si="102">P28/$O$28</f>
        <v>9.4310065457436337E-2</v>
      </c>
      <c r="Q30" s="186">
        <f t="shared" si="102"/>
        <v>9.919661362625648E-2</v>
      </c>
      <c r="R30" s="186">
        <f t="shared" si="102"/>
        <v>0.37557907862099355</v>
      </c>
      <c r="S30" s="275">
        <f t="shared" si="102"/>
        <v>3.640954685500217E-3</v>
      </c>
      <c r="T30" s="275">
        <f t="shared" si="102"/>
        <v>7.5490110025682773E-7</v>
      </c>
      <c r="U30" s="186">
        <f t="shared" si="102"/>
        <v>3.3070597856042869E-4</v>
      </c>
      <c r="V30" s="186">
        <f t="shared" si="102"/>
        <v>2.6300982946530294E-3</v>
      </c>
      <c r="W30" s="186">
        <f t="shared" si="102"/>
        <v>2.9358675322944061E-2</v>
      </c>
      <c r="X30" s="186">
        <f t="shared" si="102"/>
        <v>8.667533912609067E-2</v>
      </c>
      <c r="Y30" s="186"/>
      <c r="Z30" s="186">
        <f t="shared" si="102"/>
        <v>0</v>
      </c>
      <c r="AA30" s="186"/>
      <c r="AB30" s="186"/>
      <c r="AC30" s="186">
        <f t="shared" si="102"/>
        <v>3.7304158413289677E-2</v>
      </c>
      <c r="AD30" s="54"/>
      <c r="AE30" s="54"/>
      <c r="AG30" s="52">
        <f>AF28/P28</f>
        <v>2.8132839330231456</v>
      </c>
      <c r="AH30" s="8" t="s">
        <v>32</v>
      </c>
      <c r="AI30" s="55"/>
      <c r="AJ30" s="55"/>
      <c r="AK30" s="55"/>
    </row>
    <row r="31" spans="2:37" s="4" customFormat="1">
      <c r="B31" s="56"/>
      <c r="C31" s="56"/>
      <c r="D31" s="57"/>
      <c r="E31" s="58"/>
      <c r="F31" s="59"/>
      <c r="G31" s="204"/>
      <c r="H31" s="204"/>
      <c r="I31" s="204"/>
      <c r="J31" s="59"/>
      <c r="K31" s="59"/>
      <c r="L31" s="59"/>
      <c r="M31" s="60"/>
      <c r="N31" s="61"/>
      <c r="O31" s="62"/>
      <c r="P31" s="187"/>
      <c r="Q31" s="187"/>
      <c r="R31" s="187"/>
      <c r="S31" s="276"/>
      <c r="T31" s="276"/>
      <c r="U31" s="187"/>
      <c r="V31" s="187"/>
      <c r="W31" s="187">
        <f>(W28+X28)/O28</f>
        <v>0.11603401444903473</v>
      </c>
      <c r="X31" s="187"/>
      <c r="Y31" s="187"/>
      <c r="Z31" s="188"/>
      <c r="AA31" s="188"/>
      <c r="AB31" s="188"/>
      <c r="AC31" s="187"/>
      <c r="AD31" s="63"/>
      <c r="AE31" s="63"/>
      <c r="AF31" s="63"/>
      <c r="AG31" s="61">
        <f>AF28/O28</f>
        <v>0.26532099187376684</v>
      </c>
      <c r="AH31" s="64" t="s">
        <v>33</v>
      </c>
      <c r="AI31" s="55"/>
      <c r="AJ31" s="55"/>
      <c r="AK31" s="55"/>
    </row>
    <row r="32" spans="2:37" s="4" customFormat="1">
      <c r="B32" s="372"/>
      <c r="C32" s="372"/>
      <c r="D32" s="373"/>
      <c r="E32" s="374"/>
      <c r="F32" s="375"/>
      <c r="G32" s="376"/>
      <c r="H32" s="376"/>
      <c r="I32" s="376"/>
      <c r="J32" s="375"/>
      <c r="K32" s="375"/>
      <c r="L32" s="375"/>
      <c r="M32" s="377"/>
      <c r="N32" s="52"/>
      <c r="O32" s="53"/>
      <c r="P32" s="186"/>
      <c r="Q32" s="186"/>
      <c r="R32" s="186"/>
      <c r="S32" s="275"/>
      <c r="T32" s="275"/>
      <c r="U32" s="186"/>
      <c r="V32" s="186"/>
      <c r="W32" s="186"/>
      <c r="X32" s="186"/>
      <c r="Y32" s="186"/>
      <c r="Z32" s="378"/>
      <c r="AA32" s="378"/>
      <c r="AB32" s="378"/>
      <c r="AC32" s="186"/>
      <c r="AD32" s="379"/>
      <c r="AE32" s="379"/>
      <c r="AF32" s="52"/>
      <c r="AG32" s="54"/>
      <c r="AH32" s="54"/>
      <c r="AI32" s="55"/>
      <c r="AJ32" s="55"/>
      <c r="AK32" s="55"/>
    </row>
    <row r="33" spans="2:37">
      <c r="B33" s="203" t="s">
        <v>254</v>
      </c>
      <c r="F33" s="65"/>
      <c r="G33" s="205">
        <f t="shared" ref="G33:AE33" si="103">G6</f>
        <v>4961</v>
      </c>
      <c r="H33" s="205">
        <f t="shared" si="103"/>
        <v>2362</v>
      </c>
      <c r="I33" s="205">
        <f t="shared" si="103"/>
        <v>-53</v>
      </c>
      <c r="J33" s="206">
        <f t="shared" si="103"/>
        <v>1728382.78</v>
      </c>
      <c r="K33" s="206">
        <f t="shared" si="103"/>
        <v>-44657.88</v>
      </c>
      <c r="L33" s="206">
        <f t="shared" si="103"/>
        <v>1683724.9000000001</v>
      </c>
      <c r="M33" s="206">
        <f t="shared" si="103"/>
        <v>2303342.0599999991</v>
      </c>
      <c r="N33" s="206">
        <f>N6</f>
        <v>-58267.040000000001</v>
      </c>
      <c r="O33" s="206">
        <f t="shared" si="103"/>
        <v>2245075.0199999991</v>
      </c>
      <c r="P33" s="206">
        <f t="shared" si="103"/>
        <v>292876.64000000007</v>
      </c>
      <c r="Q33" s="206">
        <f t="shared" si="103"/>
        <v>276475.65000000008</v>
      </c>
      <c r="R33" s="206">
        <f t="shared" si="103"/>
        <v>833669.77000000118</v>
      </c>
      <c r="S33" s="277">
        <f t="shared" si="103"/>
        <v>40333.140296013356</v>
      </c>
      <c r="T33" s="277">
        <f t="shared" si="103"/>
        <v>0</v>
      </c>
      <c r="U33" s="206">
        <f t="shared" si="103"/>
        <v>0</v>
      </c>
      <c r="V33" s="206">
        <f t="shared" si="103"/>
        <v>25431.599999999999</v>
      </c>
      <c r="W33" s="206">
        <f t="shared" si="103"/>
        <v>113446</v>
      </c>
      <c r="X33" s="206">
        <f t="shared" si="103"/>
        <v>404487</v>
      </c>
      <c r="Y33" s="206"/>
      <c r="Z33" s="206">
        <f t="shared" si="103"/>
        <v>0</v>
      </c>
      <c r="AA33" s="206"/>
      <c r="AB33" s="206"/>
      <c r="AC33" s="206">
        <f t="shared" si="103"/>
        <v>95827.420000000071</v>
      </c>
      <c r="AD33" s="206">
        <f t="shared" si="103"/>
        <v>0</v>
      </c>
      <c r="AE33" s="206">
        <f t="shared" si="103"/>
        <v>258355.21970398421</v>
      </c>
      <c r="AF33" s="206">
        <f>AF6</f>
        <v>162527.79970398406</v>
      </c>
      <c r="AG33" s="186">
        <f>AF33/P33</f>
        <v>0.5549360293944372</v>
      </c>
    </row>
    <row r="34" spans="2:37">
      <c r="F34" s="65"/>
      <c r="G34" s="65"/>
      <c r="H34" s="65"/>
      <c r="I34" s="65"/>
      <c r="J34" s="65"/>
      <c r="K34" s="65"/>
      <c r="L34" s="65"/>
      <c r="M34" s="65"/>
      <c r="N34" s="207">
        <f>-N33/M33</f>
        <v>2.5296737732475576E-2</v>
      </c>
      <c r="O34" s="53"/>
      <c r="P34" s="208">
        <f t="shared" ref="P34:AD34" si="104">P33/$O$33</f>
        <v>0.13045294138990518</v>
      </c>
      <c r="Q34" s="208">
        <f t="shared" si="104"/>
        <v>0.12314762203358362</v>
      </c>
      <c r="R34" s="208">
        <f t="shared" si="104"/>
        <v>0.37133270049924727</v>
      </c>
      <c r="S34" s="208">
        <f t="shared" si="104"/>
        <v>1.7965163719123014E-2</v>
      </c>
      <c r="T34" s="278">
        <f t="shared" si="104"/>
        <v>0</v>
      </c>
      <c r="U34" s="208">
        <f t="shared" si="104"/>
        <v>0</v>
      </c>
      <c r="V34" s="208">
        <f t="shared" si="104"/>
        <v>1.1327728371410951E-2</v>
      </c>
      <c r="W34" s="208">
        <f t="shared" si="104"/>
        <v>5.0531050851031267E-2</v>
      </c>
      <c r="X34" s="208">
        <f t="shared" si="104"/>
        <v>0.18016636254765339</v>
      </c>
      <c r="Y34" s="208"/>
      <c r="Z34" s="208">
        <f t="shared" si="104"/>
        <v>0</v>
      </c>
      <c r="AA34" s="208"/>
      <c r="AB34" s="208"/>
      <c r="AC34" s="208">
        <f>AC33/$O$33</f>
        <v>4.2683393270306E-2</v>
      </c>
      <c r="AD34" s="208">
        <f t="shared" si="104"/>
        <v>0</v>
      </c>
      <c r="AE34" s="208"/>
      <c r="AF34" s="208">
        <f>AF33/O33</f>
        <v>7.2393037317739217E-2</v>
      </c>
      <c r="AG34" s="186">
        <f>AF33/O33</f>
        <v>7.2393037317739217E-2</v>
      </c>
    </row>
    <row r="35" spans="2:37" ht="15.5">
      <c r="F35" s="65"/>
      <c r="G35" s="65"/>
      <c r="H35" s="65"/>
      <c r="I35" s="65"/>
      <c r="J35" s="65"/>
      <c r="K35" s="65"/>
      <c r="L35" s="65"/>
      <c r="M35" s="67"/>
      <c r="N35" s="65"/>
      <c r="O35" s="65"/>
      <c r="P35" s="68"/>
      <c r="Q35" s="69"/>
      <c r="R35" s="65"/>
      <c r="S35" s="65"/>
      <c r="T35" s="65"/>
    </row>
    <row r="36" spans="2:37">
      <c r="B36" s="334" t="s">
        <v>275</v>
      </c>
      <c r="F36" s="65"/>
      <c r="G36" s="65"/>
      <c r="H36" s="65"/>
      <c r="I36" s="65"/>
      <c r="J36" s="65"/>
      <c r="K36" s="65"/>
      <c r="L36" s="65"/>
      <c r="M36" s="70"/>
      <c r="N36" s="65"/>
      <c r="O36" s="65"/>
      <c r="P36" s="208">
        <f>P11/$O$11</f>
        <v>0.12260071518502115</v>
      </c>
      <c r="Q36" s="208">
        <f t="shared" ref="Q36:AD36" si="105">Q11/$O$11</f>
        <v>0.11302458636103402</v>
      </c>
      <c r="R36" s="208">
        <f t="shared" si="105"/>
        <v>0.37030707592952261</v>
      </c>
      <c r="S36" s="208">
        <f t="shared" si="105"/>
        <v>4.3282030191379092E-3</v>
      </c>
      <c r="T36" s="208">
        <f t="shared" si="105"/>
        <v>1.5965376845158517E-5</v>
      </c>
      <c r="U36" s="208">
        <f t="shared" si="105"/>
        <v>4.3958004247003114E-4</v>
      </c>
      <c r="V36" s="208">
        <f t="shared" si="105"/>
        <v>2.547690975443015E-3</v>
      </c>
      <c r="W36" s="208">
        <f t="shared" si="105"/>
        <v>7.7475184216500737E-2</v>
      </c>
      <c r="X36" s="208">
        <f t="shared" si="105"/>
        <v>7.3797293570604383E-2</v>
      </c>
      <c r="Y36" s="208"/>
      <c r="Z36" s="208">
        <f t="shared" si="105"/>
        <v>0</v>
      </c>
      <c r="AA36" s="208"/>
      <c r="AB36" s="208"/>
      <c r="AC36" s="208">
        <f t="shared" si="105"/>
        <v>3.5953448905309417E-2</v>
      </c>
      <c r="AD36" s="208">
        <f t="shared" si="105"/>
        <v>0</v>
      </c>
      <c r="AE36" s="208"/>
      <c r="AG36" s="186">
        <f>AF11/P11</f>
        <v>1.6273172315269406</v>
      </c>
      <c r="AH36" s="8" t="s">
        <v>32</v>
      </c>
    </row>
    <row r="37" spans="2:37">
      <c r="F37" s="65"/>
      <c r="G37" s="65"/>
      <c r="H37" s="65"/>
      <c r="I37" s="65"/>
      <c r="J37" s="65"/>
      <c r="K37" s="65"/>
      <c r="L37" s="65"/>
      <c r="M37" s="66"/>
      <c r="N37" s="65"/>
      <c r="O37" s="65"/>
      <c r="P37" s="66"/>
      <c r="Q37" s="71"/>
      <c r="R37" s="65"/>
      <c r="S37" s="65"/>
      <c r="T37" s="65"/>
      <c r="AG37" s="186">
        <f>AF11/O11</f>
        <v>0.19951025641811157</v>
      </c>
      <c r="AH37" s="64" t="s">
        <v>33</v>
      </c>
    </row>
    <row r="38" spans="2:37">
      <c r="F38" s="65"/>
      <c r="G38" s="65"/>
      <c r="H38" s="65"/>
      <c r="I38" s="65"/>
      <c r="J38" s="65"/>
      <c r="K38" s="65"/>
      <c r="L38" s="65"/>
      <c r="M38" s="66"/>
      <c r="N38" s="65"/>
      <c r="O38" s="65"/>
      <c r="P38" s="66"/>
      <c r="Q38" s="71"/>
      <c r="R38" s="65"/>
      <c r="S38" s="65"/>
      <c r="T38" s="65"/>
      <c r="AF38" s="186"/>
      <c r="AH38" s="333"/>
    </row>
    <row r="39" spans="2:37">
      <c r="B39" s="203" t="s">
        <v>276</v>
      </c>
      <c r="F39" s="65"/>
      <c r="G39" s="205">
        <f>G9+G11+G13+G15</f>
        <v>14517</v>
      </c>
      <c r="H39" s="205">
        <f t="shared" ref="H39:K39" si="106">H9+H11+H13+H15</f>
        <v>7967</v>
      </c>
      <c r="I39" s="205">
        <f t="shared" si="106"/>
        <v>-171</v>
      </c>
      <c r="J39" s="206">
        <f t="shared" si="106"/>
        <v>5543477.6100000003</v>
      </c>
      <c r="K39" s="206">
        <f t="shared" si="106"/>
        <v>-118993.17000000001</v>
      </c>
      <c r="L39" s="206">
        <f>L9+L11+L13+L15</f>
        <v>5424484.4399999995</v>
      </c>
      <c r="M39" s="206">
        <f t="shared" ref="M39" si="107">M9+M11+M13+M15</f>
        <v>8658079.7899999991</v>
      </c>
      <c r="N39" s="206">
        <f>N9+N11+N13+N15</f>
        <v>-186633.46000000002</v>
      </c>
      <c r="O39" s="206">
        <f t="shared" ref="O39:AD39" si="108">O9+O11+O13+O15</f>
        <v>8471446.3299999982</v>
      </c>
      <c r="P39" s="206">
        <f t="shared" si="108"/>
        <v>974318.92000000016</v>
      </c>
      <c r="Q39" s="206">
        <f>Q9+Q11+Q13+Q15</f>
        <v>933157.6599999998</v>
      </c>
      <c r="R39" s="206">
        <f t="shared" si="108"/>
        <v>3161035.1400000006</v>
      </c>
      <c r="S39" s="277">
        <f t="shared" si="108"/>
        <v>33388.342753142293</v>
      </c>
      <c r="T39" s="277">
        <f t="shared" si="108"/>
        <v>30</v>
      </c>
      <c r="U39" s="206">
        <f t="shared" si="108"/>
        <v>2684.1099999999997</v>
      </c>
      <c r="V39" s="206">
        <f t="shared" si="108"/>
        <v>35255.039999999994</v>
      </c>
      <c r="W39" s="206">
        <f t="shared" si="108"/>
        <v>541649</v>
      </c>
      <c r="X39" s="206">
        <f t="shared" si="108"/>
        <v>609161</v>
      </c>
      <c r="Y39" s="206"/>
      <c r="Z39" s="206">
        <f t="shared" si="108"/>
        <v>0</v>
      </c>
      <c r="AA39" s="206"/>
      <c r="AB39" s="206"/>
      <c r="AC39" s="206">
        <f>AC9+AC11+AC13+AC15</f>
        <v>304577.7127797259</v>
      </c>
      <c r="AD39" s="206">
        <f t="shared" si="108"/>
        <v>0</v>
      </c>
      <c r="AE39" s="206">
        <f>AE9+AE11+AE13+AE15</f>
        <v>2180767.117246856</v>
      </c>
      <c r="AF39" s="206">
        <f>AF9+AF11+AF13+AF15</f>
        <v>1876189.4044671301</v>
      </c>
      <c r="AG39" s="186">
        <f>AF39/P39</f>
        <v>1.925641969948741</v>
      </c>
    </row>
    <row r="40" spans="2:37">
      <c r="F40" s="65"/>
      <c r="G40" s="65"/>
      <c r="H40" s="65"/>
      <c r="I40" s="65"/>
      <c r="J40" s="65"/>
      <c r="K40" s="65"/>
      <c r="L40" s="65"/>
      <c r="M40" s="66"/>
      <c r="N40" s="207">
        <f>-N39/M39</f>
        <v>2.1555987531503222E-2</v>
      </c>
      <c r="O40" s="53"/>
      <c r="P40" s="208">
        <f>P39/$O$39</f>
        <v>0.11501211033464699</v>
      </c>
      <c r="Q40" s="208">
        <f t="shared" ref="Q40:AD40" si="109">Q39/$O$39</f>
        <v>0.110153287130605</v>
      </c>
      <c r="R40" s="208">
        <f t="shared" si="109"/>
        <v>0.37313995944302952</v>
      </c>
      <c r="S40" s="208">
        <f t="shared" si="109"/>
        <v>3.9412800899067141E-3</v>
      </c>
      <c r="T40" s="278">
        <f t="shared" si="109"/>
        <v>3.5413079220912691E-6</v>
      </c>
      <c r="U40" s="208">
        <f t="shared" si="109"/>
        <v>3.168420002254798E-4</v>
      </c>
      <c r="V40" s="208">
        <f t="shared" si="109"/>
        <v>4.1616317481881519E-3</v>
      </c>
      <c r="W40" s="208">
        <f t="shared" si="109"/>
        <v>6.3938196489760457E-2</v>
      </c>
      <c r="X40" s="208">
        <f t="shared" si="109"/>
        <v>7.1907555837634654E-2</v>
      </c>
      <c r="Y40" s="208"/>
      <c r="Z40" s="208">
        <f t="shared" si="109"/>
        <v>0</v>
      </c>
      <c r="AA40" s="208"/>
      <c r="AB40" s="208"/>
      <c r="AC40" s="208">
        <f t="shared" si="109"/>
        <v>3.5953448905309417E-2</v>
      </c>
      <c r="AD40" s="208">
        <f t="shared" si="109"/>
        <v>0</v>
      </c>
      <c r="AE40" s="208"/>
      <c r="AF40" s="208">
        <f>AF39/O39</f>
        <v>0.2214721467127716</v>
      </c>
      <c r="AG40" s="186">
        <f>AF39/O39</f>
        <v>0.2214721467127716</v>
      </c>
    </row>
    <row r="41" spans="2:37"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</row>
    <row r="42" spans="2:37" s="343" customFormat="1">
      <c r="B42" s="344" t="s">
        <v>284</v>
      </c>
      <c r="D42" s="345"/>
      <c r="F42" s="346"/>
      <c r="G42" s="346"/>
      <c r="H42" s="346"/>
      <c r="I42" s="346"/>
      <c r="J42" s="346"/>
      <c r="K42" s="346"/>
      <c r="L42" s="346"/>
      <c r="M42" s="347"/>
      <c r="N42" s="346"/>
      <c r="O42" s="346"/>
      <c r="P42" s="208">
        <f t="shared" ref="P42:AD42" si="110">P15/$O$15</f>
        <v>0.10266613106265597</v>
      </c>
      <c r="Q42" s="208">
        <f t="shared" si="110"/>
        <v>0.10672521810799464</v>
      </c>
      <c r="R42" s="208">
        <f t="shared" si="110"/>
        <v>0.37489215796077113</v>
      </c>
      <c r="S42" s="208">
        <f t="shared" si="110"/>
        <v>3.0195895739945989E-3</v>
      </c>
      <c r="T42" s="208">
        <f t="shared" si="110"/>
        <v>0</v>
      </c>
      <c r="U42" s="208">
        <f t="shared" si="110"/>
        <v>4.9621087917624219E-4</v>
      </c>
      <c r="V42" s="208">
        <f t="shared" si="110"/>
        <v>8.558105842691961E-4</v>
      </c>
      <c r="W42" s="208">
        <f t="shared" si="110"/>
        <v>8.3286977342538135E-2</v>
      </c>
      <c r="X42" s="208">
        <f t="shared" si="110"/>
        <v>2.8024075347289609E-2</v>
      </c>
      <c r="Y42" s="208"/>
      <c r="Z42" s="208">
        <f t="shared" si="110"/>
        <v>0</v>
      </c>
      <c r="AA42" s="208"/>
      <c r="AB42" s="208"/>
      <c r="AC42" s="208">
        <f t="shared" si="110"/>
        <v>3.5953448905309417E-2</v>
      </c>
      <c r="AD42" s="208">
        <f t="shared" si="110"/>
        <v>0</v>
      </c>
      <c r="AE42" s="208"/>
      <c r="AG42" s="186">
        <f>AF15/P15</f>
        <v>2.5722249149024203</v>
      </c>
      <c r="AH42" s="348" t="s">
        <v>32</v>
      </c>
      <c r="AI42" s="342"/>
      <c r="AJ42" s="342"/>
      <c r="AK42" s="342"/>
    </row>
    <row r="43" spans="2:37" s="343" customFormat="1">
      <c r="B43" s="344"/>
      <c r="D43" s="345"/>
      <c r="F43" s="346"/>
      <c r="G43" s="346"/>
      <c r="H43" s="346"/>
      <c r="I43" s="346"/>
      <c r="J43" s="346"/>
      <c r="K43" s="346"/>
      <c r="L43" s="346"/>
      <c r="M43" s="347"/>
      <c r="N43" s="346"/>
      <c r="O43" s="346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  <c r="AD43" s="208"/>
      <c r="AE43" s="208"/>
      <c r="AG43" s="186">
        <f>AF15/O15</f>
        <v>0.264080380236001</v>
      </c>
      <c r="AH43" s="64" t="s">
        <v>33</v>
      </c>
      <c r="AI43" s="342"/>
      <c r="AJ43" s="342"/>
      <c r="AK43" s="342"/>
    </row>
    <row r="45" spans="2:37">
      <c r="B45" s="203" t="s">
        <v>305</v>
      </c>
      <c r="F45" s="65"/>
      <c r="G45" s="205">
        <f>SUM(G17:G20)</f>
        <v>25647</v>
      </c>
      <c r="H45" s="205">
        <f t="shared" ref="H45:AE45" si="111">SUM(H17:H20)</f>
        <v>13213</v>
      </c>
      <c r="I45" s="205">
        <f t="shared" si="111"/>
        <v>-304</v>
      </c>
      <c r="J45" s="206">
        <f t="shared" si="111"/>
        <v>12210305.43</v>
      </c>
      <c r="K45" s="206">
        <f t="shared" si="111"/>
        <v>-273683.22000000003</v>
      </c>
      <c r="L45" s="206">
        <f t="shared" si="111"/>
        <v>11936622.210000001</v>
      </c>
      <c r="M45" s="206">
        <f t="shared" si="111"/>
        <v>18627467.790000003</v>
      </c>
      <c r="N45" s="206">
        <f t="shared" si="111"/>
        <v>-421000.70999999996</v>
      </c>
      <c r="O45" s="206">
        <f t="shared" si="111"/>
        <v>18206467.080000006</v>
      </c>
      <c r="P45" s="206">
        <f t="shared" si="111"/>
        <v>1602704.0300000003</v>
      </c>
      <c r="Q45" s="206">
        <f t="shared" si="111"/>
        <v>1746311.8200000019</v>
      </c>
      <c r="R45" s="206">
        <f t="shared" si="111"/>
        <v>6851388.7999999989</v>
      </c>
      <c r="S45" s="277">
        <f t="shared" si="111"/>
        <v>36082.62000000001</v>
      </c>
      <c r="T45" s="277">
        <f t="shared" si="111"/>
        <v>0</v>
      </c>
      <c r="U45" s="206">
        <f t="shared" si="111"/>
        <v>899</v>
      </c>
      <c r="V45" s="206">
        <f t="shared" si="111"/>
        <v>26064.400000000001</v>
      </c>
      <c r="W45" s="206">
        <f t="shared" si="111"/>
        <v>515858</v>
      </c>
      <c r="X45" s="206">
        <f t="shared" si="111"/>
        <v>1364049</v>
      </c>
      <c r="Y45" s="206"/>
      <c r="Z45" s="206">
        <f t="shared" si="111"/>
        <v>0</v>
      </c>
      <c r="AA45" s="206"/>
      <c r="AB45" s="206"/>
      <c r="AC45" s="206">
        <f t="shared" si="111"/>
        <v>666212.61999999988</v>
      </c>
      <c r="AD45" s="206">
        <f t="shared" si="111"/>
        <v>0</v>
      </c>
      <c r="AE45" s="206">
        <f t="shared" si="111"/>
        <v>6063109.4100000001</v>
      </c>
      <c r="AF45" s="206">
        <f>SUM(AF17:AF20)</f>
        <v>5396896.790000001</v>
      </c>
      <c r="AG45" s="186">
        <f>AF45/P45</f>
        <v>3.3673695760283326</v>
      </c>
      <c r="AH45" s="348" t="s">
        <v>32</v>
      </c>
    </row>
    <row r="46" spans="2:37">
      <c r="P46" s="208">
        <f t="shared" ref="P46:AD46" si="112">P45/$O$45</f>
        <v>8.8029381151084898E-2</v>
      </c>
      <c r="Q46" s="208">
        <f t="shared" si="112"/>
        <v>9.5917116282177764E-2</v>
      </c>
      <c r="R46" s="208">
        <f t="shared" si="112"/>
        <v>0.37631621609479199</v>
      </c>
      <c r="S46" s="208">
        <f t="shared" si="112"/>
        <v>1.9818573170429722E-3</v>
      </c>
      <c r="T46" s="278">
        <f t="shared" si="112"/>
        <v>0</v>
      </c>
      <c r="U46" s="208">
        <f t="shared" si="112"/>
        <v>4.9378058689242397E-5</v>
      </c>
      <c r="V46" s="208">
        <f t="shared" si="112"/>
        <v>1.4316011934370296E-3</v>
      </c>
      <c r="W46" s="208">
        <f t="shared" si="112"/>
        <v>2.8333778197236047E-2</v>
      </c>
      <c r="X46" s="208">
        <f t="shared" si="112"/>
        <v>7.492112522469678E-2</v>
      </c>
      <c r="Y46" s="208"/>
      <c r="Z46" s="208">
        <f t="shared" si="112"/>
        <v>0</v>
      </c>
      <c r="AA46" s="208"/>
      <c r="AB46" s="208"/>
      <c r="AC46" s="208">
        <f t="shared" si="112"/>
        <v>3.6592086596077794E-2</v>
      </c>
      <c r="AD46" s="208">
        <f t="shared" si="112"/>
        <v>0</v>
      </c>
      <c r="AE46" s="208"/>
      <c r="AF46" s="208">
        <f>AF45/O45</f>
        <v>0.29642745988476527</v>
      </c>
      <c r="AG46" s="186">
        <f>AF45/O45</f>
        <v>0.29642745988476527</v>
      </c>
      <c r="AH46" s="64" t="s">
        <v>33</v>
      </c>
    </row>
  </sheetData>
  <mergeCells count="33">
    <mergeCell ref="AG21:AG25"/>
    <mergeCell ref="AG4:AG5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A2:AA3"/>
    <mergeCell ref="AB2:AB3"/>
    <mergeCell ref="V2:V3"/>
    <mergeCell ref="W2:W3"/>
    <mergeCell ref="X2:X3"/>
    <mergeCell ref="Z2:Z3"/>
    <mergeCell ref="AC2:AC3"/>
    <mergeCell ref="Y2:Y3"/>
    <mergeCell ref="AG17:AG20"/>
    <mergeCell ref="AG9:AG16"/>
    <mergeCell ref="AJ2:AJ3"/>
    <mergeCell ref="AK2:AK3"/>
    <mergeCell ref="AD2:AD3"/>
    <mergeCell ref="AF2:AF3"/>
    <mergeCell ref="AG2:AG3"/>
    <mergeCell ref="AH2:AH3"/>
    <mergeCell ref="AI2:AI3"/>
    <mergeCell ref="AE2:AE3"/>
    <mergeCell ref="AG6:AG8"/>
  </mergeCells>
  <conditionalFormatting sqref="O3">
    <cfRule type="dataBar" priority="40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38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AI4:AI6 AI8:AI27">
    <cfRule type="dataBar" priority="1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{5FFA63D3-7107-4FF8-855A-503A44F98047}</x14:id>
        </ext>
      </extLst>
    </cfRule>
  </conditionalFormatting>
  <conditionalFormatting sqref="AJ4:AJ6 AJ8:AJ27">
    <cfRule type="dataBar" priority="1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{448D7FC1-2097-4211-B6F5-2E60AD1D53CF}</x14:id>
        </ext>
      </extLst>
    </cfRule>
  </conditionalFormatting>
  <conditionalFormatting sqref="AK4:AK6 AK8:AK27">
    <cfRule type="dataBar" priority="1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{1BF37E50-92CA-495C-A2E8-DE04BEDBF5FC}</x14:id>
        </ext>
      </extLst>
    </cfRule>
  </conditionalFormatting>
  <conditionalFormatting sqref="Q4">
    <cfRule type="dataBar" priority="12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{417A88BA-D4C9-449F-8CD8-76752D3CA761}</x14:id>
        </ext>
      </extLst>
    </cfRule>
  </conditionalFormatting>
  <conditionalFormatting sqref="Q4">
    <cfRule type="dataBar" priority="1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{A067F322-E5CA-48F8-B962-D9AABAA8564A}</x14:id>
        </ext>
      </extLst>
    </cfRule>
  </conditionalFormatting>
  <conditionalFormatting sqref="R4">
    <cfRule type="dataBar" priority="12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{D1114DE9-5D24-46AB-B9AD-1D85B528DE3F}</x14:id>
        </ext>
      </extLst>
    </cfRule>
    <cfRule type="dataBar" priority="12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{30D622C5-0EB1-4C91-AE57-1015AE13F6C5}</x14:id>
        </ext>
      </extLst>
    </cfRule>
  </conditionalFormatting>
  <conditionalFormatting sqref="Q4">
    <cfRule type="dataBar" priority="1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{595A4160-16D9-4393-B050-89F75DDE4FBB}</x14:id>
        </ext>
      </extLst>
    </cfRule>
  </conditionalFormatting>
  <conditionalFormatting sqref="R4">
    <cfRule type="dataBar" priority="1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{3DD64A4C-E99C-4C05-9F5C-1FA6725DD60A}</x14:id>
        </ext>
      </extLst>
    </cfRule>
  </conditionalFormatting>
  <conditionalFormatting sqref="Q4">
    <cfRule type="dataBar" priority="1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{1C7F280D-A583-4584-A45F-89EEED1B93CB}</x14:id>
        </ext>
      </extLst>
    </cfRule>
  </conditionalFormatting>
  <conditionalFormatting sqref="R4">
    <cfRule type="dataBar" priority="12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{6667AB5E-F5D0-4221-AA11-489FB3F1933D}</x14:id>
        </ext>
      </extLst>
    </cfRule>
  </conditionalFormatting>
  <conditionalFormatting sqref="Q4">
    <cfRule type="dataBar" priority="1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{57348128-FC1D-4F20-99CB-50E829EDB1F8}</x14:id>
        </ext>
      </extLst>
    </cfRule>
  </conditionalFormatting>
  <conditionalFormatting sqref="R4">
    <cfRule type="dataBar" priority="12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{B082559A-731A-4CF5-A52A-E2DD001FE8BB}</x14:id>
        </ext>
      </extLst>
    </cfRule>
  </conditionalFormatting>
  <conditionalFormatting sqref="R4">
    <cfRule type="dataBar" priority="12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{44EDC2C2-9F38-4F6E-A9DA-BF952DEA369B}</x14:id>
        </ext>
      </extLst>
    </cfRule>
  </conditionalFormatting>
  <conditionalFormatting sqref="O4">
    <cfRule type="dataBar" priority="1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{99F0C950-DFCF-40FB-B906-EFA218DC725C}</x14:id>
        </ext>
      </extLst>
    </cfRule>
    <cfRule type="dataBar" priority="1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{1D438D12-CB66-4679-ACAA-9780E30588B1}</x14:id>
        </ext>
      </extLst>
    </cfRule>
  </conditionalFormatting>
  <conditionalFormatting sqref="O4">
    <cfRule type="dataBar" priority="1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{41B68341-4C3A-40E1-8DD9-8D497C45749E}</x14:id>
        </ext>
      </extLst>
    </cfRule>
  </conditionalFormatting>
  <conditionalFormatting sqref="O4">
    <cfRule type="dataBar" priority="12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{968CC8C7-98F4-43FA-A08F-F9C6F11878C2}</x14:id>
        </ext>
      </extLst>
    </cfRule>
  </conditionalFormatting>
  <conditionalFormatting sqref="L4">
    <cfRule type="dataBar" priority="12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{B9856F7B-A97E-4422-8119-E870C346444C}</x14:id>
        </ext>
      </extLst>
    </cfRule>
    <cfRule type="dataBar" priority="12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{D86E83A2-2167-4883-9605-24E3F45B19F4}</x14:id>
        </ext>
      </extLst>
    </cfRule>
  </conditionalFormatting>
  <conditionalFormatting sqref="L4">
    <cfRule type="dataBar" priority="1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{75C9BE6E-C455-47B3-8BD0-497A63344910}</x14:id>
        </ext>
      </extLst>
    </cfRule>
  </conditionalFormatting>
  <conditionalFormatting sqref="L4">
    <cfRule type="dataBar" priority="12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{CCAAF770-6E3E-49F3-B459-2A478F02ECCB}</x14:id>
        </ext>
      </extLst>
    </cfRule>
  </conditionalFormatting>
  <conditionalFormatting sqref="O4">
    <cfRule type="dataBar" priority="12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{5747D949-1C65-45B4-A721-4998775F636B}</x14:id>
        </ext>
      </extLst>
    </cfRule>
  </conditionalFormatting>
  <conditionalFormatting sqref="Q4">
    <cfRule type="dataBar" priority="12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{D10A1D7F-828D-4560-81D9-22F3EA180660}</x14:id>
        </ext>
      </extLst>
    </cfRule>
  </conditionalFormatting>
  <conditionalFormatting sqref="R4">
    <cfRule type="dataBar" priority="12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{1181F80F-42BB-4112-95E0-066EDC24A03B}</x14:id>
        </ext>
      </extLst>
    </cfRule>
  </conditionalFormatting>
  <conditionalFormatting sqref="L4">
    <cfRule type="dataBar" priority="12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{A7A3C09F-E053-4557-9601-5C06D216839C}</x14:id>
        </ext>
      </extLst>
    </cfRule>
  </conditionalFormatting>
  <conditionalFormatting sqref="L4">
    <cfRule type="dataBar" priority="12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{C9A2F70A-1021-4A2D-B6C8-6D0F79F52434}</x14:id>
        </ext>
      </extLst>
    </cfRule>
  </conditionalFormatting>
  <conditionalFormatting sqref="O4">
    <cfRule type="dataBar" priority="1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{94685940-6DBC-465B-8489-48096AE7E4F2}</x14:id>
        </ext>
      </extLst>
    </cfRule>
  </conditionalFormatting>
  <conditionalFormatting sqref="Q4">
    <cfRule type="dataBar" priority="1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{D22F2710-656C-4E43-AF2A-9B6E2E5D54FF}</x14:id>
        </ext>
      </extLst>
    </cfRule>
  </conditionalFormatting>
  <conditionalFormatting sqref="R4">
    <cfRule type="dataBar" priority="1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{41915AE7-784D-4C19-A2D2-99A54DA3F291}</x14:id>
        </ext>
      </extLst>
    </cfRule>
  </conditionalFormatting>
  <conditionalFormatting sqref="L4">
    <cfRule type="dataBar" priority="12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{56BB6907-03DB-4748-86DA-7E631F86D1BA}</x14:id>
        </ext>
      </extLst>
    </cfRule>
  </conditionalFormatting>
  <conditionalFormatting sqref="O4">
    <cfRule type="dataBar" priority="1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{9F95B540-63A3-4541-AA88-4A63F17B43D8}</x14:id>
        </ext>
      </extLst>
    </cfRule>
  </conditionalFormatting>
  <conditionalFormatting sqref="Q4">
    <cfRule type="dataBar" priority="1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{E4937426-026D-435A-865A-922870DC8F20}</x14:id>
        </ext>
      </extLst>
    </cfRule>
  </conditionalFormatting>
  <conditionalFormatting sqref="R4">
    <cfRule type="dataBar" priority="1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{E4DFA4F4-35D2-433A-B73C-7E85C2361E4F}</x14:id>
        </ext>
      </extLst>
    </cfRule>
  </conditionalFormatting>
  <conditionalFormatting sqref="L4">
    <cfRule type="dataBar" priority="12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{B2D4F555-FBD4-4632-8645-743CEB726591}</x14:id>
        </ext>
      </extLst>
    </cfRule>
  </conditionalFormatting>
  <conditionalFormatting sqref="O4">
    <cfRule type="dataBar" priority="1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{656F7C03-B3F8-4DD3-A332-5637C91E9281}</x14:id>
        </ext>
      </extLst>
    </cfRule>
  </conditionalFormatting>
  <conditionalFormatting sqref="Q4">
    <cfRule type="dataBar" priority="1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{1FB15C3E-646B-4942-9E6A-01D08A54554D}</x14:id>
        </ext>
      </extLst>
    </cfRule>
  </conditionalFormatting>
  <conditionalFormatting sqref="R4">
    <cfRule type="dataBar" priority="1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{ED0394AD-EF73-4200-AF48-8B62EB1DBFB8}</x14:id>
        </ext>
      </extLst>
    </cfRule>
  </conditionalFormatting>
  <conditionalFormatting sqref="AI28:AI29">
    <cfRule type="dataBar" priority="4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J28:AJ29">
    <cfRule type="dataBar" priority="4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K28:AK29">
    <cfRule type="dataBar" priority="4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Q5">
    <cfRule type="dataBar" priority="1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{F849DCE8-5CD6-4EEF-8D69-1ACFAEB663D1}</x14:id>
        </ext>
      </extLst>
    </cfRule>
  </conditionalFormatting>
  <conditionalFormatting sqref="Q5">
    <cfRule type="dataBar" priority="1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{CC174B14-3594-4D77-B7F5-3EA47D978905}</x14:id>
        </ext>
      </extLst>
    </cfRule>
  </conditionalFormatting>
  <conditionalFormatting sqref="R5">
    <cfRule type="dataBar" priority="1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{9B0D1A45-DBCC-4BEE-942F-0F3215598348}</x14:id>
        </ext>
      </extLst>
    </cfRule>
    <cfRule type="dataBar" priority="1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{60C47084-9DA7-48AD-B29B-3A81E3272E7A}</x14:id>
        </ext>
      </extLst>
    </cfRule>
  </conditionalFormatting>
  <conditionalFormatting sqref="Q5">
    <cfRule type="dataBar" priority="1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{0F9629CC-9E3B-4FF3-88C9-6FB3D23A25B3}</x14:id>
        </ext>
      </extLst>
    </cfRule>
  </conditionalFormatting>
  <conditionalFormatting sqref="R5">
    <cfRule type="dataBar" priority="11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{D80FC118-A076-4256-A6F5-23CCAD204D78}</x14:id>
        </ext>
      </extLst>
    </cfRule>
  </conditionalFormatting>
  <conditionalFormatting sqref="Q5">
    <cfRule type="dataBar" priority="1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{12A1DED2-F7FF-408D-AFF0-A922B7C83BC1}</x14:id>
        </ext>
      </extLst>
    </cfRule>
  </conditionalFormatting>
  <conditionalFormatting sqref="R5">
    <cfRule type="dataBar" priority="11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{ED2D663C-CF04-4C6A-95AA-D002B47F67D8}</x14:id>
        </ext>
      </extLst>
    </cfRule>
  </conditionalFormatting>
  <conditionalFormatting sqref="Q5">
    <cfRule type="dataBar" priority="1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{94ADF1B5-6F5D-4932-8E6D-0F62FFD98CB0}</x14:id>
        </ext>
      </extLst>
    </cfRule>
  </conditionalFormatting>
  <conditionalFormatting sqref="R5">
    <cfRule type="dataBar" priority="11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{DD40CE13-39A5-49CF-8DA1-100998BCF6DC}</x14:id>
        </ext>
      </extLst>
    </cfRule>
  </conditionalFormatting>
  <conditionalFormatting sqref="R5">
    <cfRule type="dataBar" priority="11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{D139E669-8B01-410D-A409-DC443F35743F}</x14:id>
        </ext>
      </extLst>
    </cfRule>
  </conditionalFormatting>
  <conditionalFormatting sqref="O5">
    <cfRule type="dataBar" priority="1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{4CE45360-7741-4B40-8E3C-A3921423EA93}</x14:id>
        </ext>
      </extLst>
    </cfRule>
    <cfRule type="dataBar" priority="1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{563356CC-C562-40B7-9FCA-E82B9F570521}</x14:id>
        </ext>
      </extLst>
    </cfRule>
  </conditionalFormatting>
  <conditionalFormatting sqref="O5">
    <cfRule type="dataBar" priority="1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{EA870BB5-47CF-4F03-97A5-8BD8955C3937}</x14:id>
        </ext>
      </extLst>
    </cfRule>
  </conditionalFormatting>
  <conditionalFormatting sqref="O5">
    <cfRule type="dataBar" priority="1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{2B0812B4-3815-4A4E-A6CB-C98471D3EB9E}</x14:id>
        </ext>
      </extLst>
    </cfRule>
  </conditionalFormatting>
  <conditionalFormatting sqref="L5">
    <cfRule type="dataBar" priority="1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{40720825-A047-44F0-89BA-8E67054E669F}</x14:id>
        </ext>
      </extLst>
    </cfRule>
    <cfRule type="dataBar" priority="1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{BABB741D-BCAC-4912-A865-16C3602D7068}</x14:id>
        </ext>
      </extLst>
    </cfRule>
  </conditionalFormatting>
  <conditionalFormatting sqref="L5">
    <cfRule type="dataBar" priority="1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{3BE05A31-C544-472F-BBF7-383E991601DE}</x14:id>
        </ext>
      </extLst>
    </cfRule>
  </conditionalFormatting>
  <conditionalFormatting sqref="L5">
    <cfRule type="dataBar" priority="1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{3E91CA42-CC1F-4B5E-A8DD-E486DE3B0B1A}</x14:id>
        </ext>
      </extLst>
    </cfRule>
  </conditionalFormatting>
  <conditionalFormatting sqref="O5">
    <cfRule type="dataBar" priority="1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{77B6BA0B-E0F9-4F9C-A1E0-6C43786CF8C5}</x14:id>
        </ext>
      </extLst>
    </cfRule>
  </conditionalFormatting>
  <conditionalFormatting sqref="Q5">
    <cfRule type="dataBar" priority="1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{98AA662E-BC4F-47F7-952B-2C6D04C8A185}</x14:id>
        </ext>
      </extLst>
    </cfRule>
  </conditionalFormatting>
  <conditionalFormatting sqref="R5">
    <cfRule type="dataBar" priority="1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{C76C75BE-9FAB-4CA6-8B21-F2A449D0C5BB}</x14:id>
        </ext>
      </extLst>
    </cfRule>
  </conditionalFormatting>
  <conditionalFormatting sqref="L5">
    <cfRule type="dataBar" priority="1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{FB71F0D7-2CC3-4A59-B881-568A73B60A91}</x14:id>
        </ext>
      </extLst>
    </cfRule>
  </conditionalFormatting>
  <conditionalFormatting sqref="L5">
    <cfRule type="dataBar" priority="11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{E9ADEDAA-862D-44EA-A981-5264CBF43B84}</x14:id>
        </ext>
      </extLst>
    </cfRule>
  </conditionalFormatting>
  <conditionalFormatting sqref="O5">
    <cfRule type="dataBar" priority="1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{AA684F48-035A-4B8E-A9BE-71D0C0A83F1E}</x14:id>
        </ext>
      </extLst>
    </cfRule>
  </conditionalFormatting>
  <conditionalFormatting sqref="Q5">
    <cfRule type="dataBar" priority="1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{AAB6EC2D-676A-4B41-A7CC-2411CF07A81A}</x14:id>
        </ext>
      </extLst>
    </cfRule>
  </conditionalFormatting>
  <conditionalFormatting sqref="R5">
    <cfRule type="dataBar" priority="1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{62B9F4A2-DEDA-410A-89CC-5B5B77E6669B}</x14:id>
        </ext>
      </extLst>
    </cfRule>
  </conditionalFormatting>
  <conditionalFormatting sqref="L5">
    <cfRule type="dataBar" priority="11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{FAE11E95-F6AD-4466-A0C3-E50F42CC1D8C}</x14:id>
        </ext>
      </extLst>
    </cfRule>
  </conditionalFormatting>
  <conditionalFormatting sqref="O5">
    <cfRule type="dataBar" priority="1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{AF418C36-81DA-4FA1-BB6D-BA12EF137276}</x14:id>
        </ext>
      </extLst>
    </cfRule>
  </conditionalFormatting>
  <conditionalFormatting sqref="Q5">
    <cfRule type="dataBar" priority="1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{5FDB5BCE-FFA0-45A0-8FCA-4F784A3BF5DB}</x14:id>
        </ext>
      </extLst>
    </cfRule>
  </conditionalFormatting>
  <conditionalFormatting sqref="R5">
    <cfRule type="dataBar" priority="1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{A86D8D2F-64CA-43FC-B1F5-D93EA7CEB2AD}</x14:id>
        </ext>
      </extLst>
    </cfRule>
  </conditionalFormatting>
  <conditionalFormatting sqref="L5">
    <cfRule type="dataBar" priority="11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{C3B250EF-1238-4B9A-A909-CC0F6CBDCFAA}</x14:id>
        </ext>
      </extLst>
    </cfRule>
  </conditionalFormatting>
  <conditionalFormatting sqref="O5">
    <cfRule type="dataBar" priority="1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{C6D74B30-2276-4442-A1DF-9E28679F347A}</x14:id>
        </ext>
      </extLst>
    </cfRule>
  </conditionalFormatting>
  <conditionalFormatting sqref="Q5">
    <cfRule type="dataBar" priority="1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{14843906-864B-405A-8A5F-F112B532C30E}</x14:id>
        </ext>
      </extLst>
    </cfRule>
  </conditionalFormatting>
  <conditionalFormatting sqref="R5">
    <cfRule type="dataBar" priority="1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{70AF24A7-2CFE-4079-BFC8-6AEDA7CF83F2}</x14:id>
        </ext>
      </extLst>
    </cfRule>
  </conditionalFormatting>
  <conditionalFormatting sqref="Q6">
    <cfRule type="dataBar" priority="1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{47EBDB12-48A9-4C64-BC80-FB08B8B0E20E}</x14:id>
        </ext>
      </extLst>
    </cfRule>
  </conditionalFormatting>
  <conditionalFormatting sqref="Q6">
    <cfRule type="dataBar" priority="1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{46303DDF-79AF-439B-9D8A-F2F8E75C49F1}</x14:id>
        </ext>
      </extLst>
    </cfRule>
  </conditionalFormatting>
  <conditionalFormatting sqref="R6">
    <cfRule type="dataBar" priority="11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{FCE01F56-C43A-4441-ADD3-F88E15F04599}</x14:id>
        </ext>
      </extLst>
    </cfRule>
    <cfRule type="dataBar" priority="1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{082D0467-5CC4-4B72-988C-9070919DE243}</x14:id>
        </ext>
      </extLst>
    </cfRule>
  </conditionalFormatting>
  <conditionalFormatting sqref="Q6">
    <cfRule type="dataBar" priority="1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{ACFE6543-7572-4699-B40D-2499E7E1223C}</x14:id>
        </ext>
      </extLst>
    </cfRule>
  </conditionalFormatting>
  <conditionalFormatting sqref="R6">
    <cfRule type="dataBar" priority="1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{81325865-543C-4F34-82CB-792887CD4F38}</x14:id>
        </ext>
      </extLst>
    </cfRule>
  </conditionalFormatting>
  <conditionalFormatting sqref="Q6">
    <cfRule type="dataBar" priority="1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{692D85F9-EA56-4C74-AB8C-45B037E45883}</x14:id>
        </ext>
      </extLst>
    </cfRule>
  </conditionalFormatting>
  <conditionalFormatting sqref="R6">
    <cfRule type="dataBar" priority="11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{4C3A5435-C039-4317-A128-D8A5DCC338A2}</x14:id>
        </ext>
      </extLst>
    </cfRule>
  </conditionalFormatting>
  <conditionalFormatting sqref="Q6">
    <cfRule type="dataBar" priority="1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{EB1DAC28-B14C-44CD-B876-4B02C400DE1C}</x14:id>
        </ext>
      </extLst>
    </cfRule>
  </conditionalFormatting>
  <conditionalFormatting sqref="R6">
    <cfRule type="dataBar" priority="1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{6538F89D-B717-42A5-A920-A72A29615FBC}</x14:id>
        </ext>
      </extLst>
    </cfRule>
  </conditionalFormatting>
  <conditionalFormatting sqref="R6">
    <cfRule type="dataBar" priority="11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{86CD0CEE-1A4D-4363-B37F-5D31C630A2F3}</x14:id>
        </ext>
      </extLst>
    </cfRule>
  </conditionalFormatting>
  <conditionalFormatting sqref="O6">
    <cfRule type="dataBar" priority="1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{2808688A-D258-410F-BA0F-44ED51962E2E}</x14:id>
        </ext>
      </extLst>
    </cfRule>
    <cfRule type="dataBar" priority="1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{ECC93840-C23D-4ADD-A9C3-C38C4240B0FA}</x14:id>
        </ext>
      </extLst>
    </cfRule>
  </conditionalFormatting>
  <conditionalFormatting sqref="O6">
    <cfRule type="dataBar" priority="1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{42C9B5DA-B941-404A-AA53-B3EE632F6D11}</x14:id>
        </ext>
      </extLst>
    </cfRule>
  </conditionalFormatting>
  <conditionalFormatting sqref="O6">
    <cfRule type="dataBar" priority="1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{BA021E17-E003-4660-AEAF-CEC18B7F27FA}</x14:id>
        </ext>
      </extLst>
    </cfRule>
  </conditionalFormatting>
  <conditionalFormatting sqref="L6">
    <cfRule type="dataBar" priority="1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{49984C26-7EE0-46FD-8F4F-C1521DD3CE14}</x14:id>
        </ext>
      </extLst>
    </cfRule>
    <cfRule type="dataBar" priority="1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{E500800B-9D3D-4DED-95F6-0223C324C10F}</x14:id>
        </ext>
      </extLst>
    </cfRule>
  </conditionalFormatting>
  <conditionalFormatting sqref="L6">
    <cfRule type="dataBar" priority="1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{7D3EBCF7-89EE-4113-919F-BA0E152C5C97}</x14:id>
        </ext>
      </extLst>
    </cfRule>
  </conditionalFormatting>
  <conditionalFormatting sqref="L6">
    <cfRule type="dataBar" priority="1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{551E3E2E-9976-4610-AFD7-8DA2BA9DAD34}</x14:id>
        </ext>
      </extLst>
    </cfRule>
  </conditionalFormatting>
  <conditionalFormatting sqref="O6">
    <cfRule type="dataBar" priority="1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{44CD22EF-2E9C-401B-82A7-FC629010C316}</x14:id>
        </ext>
      </extLst>
    </cfRule>
  </conditionalFormatting>
  <conditionalFormatting sqref="Q6">
    <cfRule type="dataBar" priority="11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{B745303A-C59E-43FC-BD32-9191EE170F01}</x14:id>
        </ext>
      </extLst>
    </cfRule>
  </conditionalFormatting>
  <conditionalFormatting sqref="R6">
    <cfRule type="dataBar" priority="11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{EC7798F8-F2FB-46A2-9FB8-521F552D64EE}</x14:id>
        </ext>
      </extLst>
    </cfRule>
  </conditionalFormatting>
  <conditionalFormatting sqref="L6">
    <cfRule type="dataBar" priority="1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{47282B08-F4D1-481A-B47D-5AA33D43759B}</x14:id>
        </ext>
      </extLst>
    </cfRule>
  </conditionalFormatting>
  <conditionalFormatting sqref="L6">
    <cfRule type="dataBar" priority="11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{397E14F3-71C1-439D-A57C-955D6D11A288}</x14:id>
        </ext>
      </extLst>
    </cfRule>
  </conditionalFormatting>
  <conditionalFormatting sqref="O6">
    <cfRule type="dataBar" priority="1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{D1991B70-0B24-4F56-AFEB-2599BFE813F9}</x14:id>
        </ext>
      </extLst>
    </cfRule>
  </conditionalFormatting>
  <conditionalFormatting sqref="Q6">
    <cfRule type="dataBar" priority="1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{270DE6AF-0C2F-43E4-B602-0C43755097A8}</x14:id>
        </ext>
      </extLst>
    </cfRule>
  </conditionalFormatting>
  <conditionalFormatting sqref="R6">
    <cfRule type="dataBar" priority="1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{D35E0D4D-1DCE-4475-A41B-47C7745BA610}</x14:id>
        </ext>
      </extLst>
    </cfRule>
  </conditionalFormatting>
  <conditionalFormatting sqref="L6">
    <cfRule type="dataBar" priority="11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{771D4A3F-1B9A-4A6C-A804-C58AF57DD84D}</x14:id>
        </ext>
      </extLst>
    </cfRule>
  </conditionalFormatting>
  <conditionalFormatting sqref="O6">
    <cfRule type="dataBar" priority="1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{AFC3D13B-3588-4D19-B54B-825633841A61}</x14:id>
        </ext>
      </extLst>
    </cfRule>
  </conditionalFormatting>
  <conditionalFormatting sqref="Q6">
    <cfRule type="dataBar" priority="1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{53D32253-5873-4F4F-90E8-41B301C7E825}</x14:id>
        </ext>
      </extLst>
    </cfRule>
  </conditionalFormatting>
  <conditionalFormatting sqref="R6">
    <cfRule type="dataBar" priority="1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{692E5419-03FF-4A57-9380-CC57757D4DD6}</x14:id>
        </ext>
      </extLst>
    </cfRule>
  </conditionalFormatting>
  <conditionalFormatting sqref="L6">
    <cfRule type="dataBar" priority="11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{3DBE353E-68A0-46A8-B163-0CB09E127019}</x14:id>
        </ext>
      </extLst>
    </cfRule>
  </conditionalFormatting>
  <conditionalFormatting sqref="O6">
    <cfRule type="dataBar" priority="1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{19D89E92-AC23-468A-870B-61F47F85B0D8}</x14:id>
        </ext>
      </extLst>
    </cfRule>
  </conditionalFormatting>
  <conditionalFormatting sqref="Q6">
    <cfRule type="dataBar" priority="1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{D02936C4-06B0-479A-9FF8-C1AAC084D67B}</x14:id>
        </ext>
      </extLst>
    </cfRule>
  </conditionalFormatting>
  <conditionalFormatting sqref="R6">
    <cfRule type="dataBar" priority="1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{23C953E1-2C17-43E5-A35E-0803EDEC309E}</x14:id>
        </ext>
      </extLst>
    </cfRule>
  </conditionalFormatting>
  <conditionalFormatting sqref="Q8">
    <cfRule type="dataBar" priority="1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{447FC8A1-5FDF-4268-9F04-AC813F6F83ED}</x14:id>
        </ext>
      </extLst>
    </cfRule>
  </conditionalFormatting>
  <conditionalFormatting sqref="Q8">
    <cfRule type="dataBar" priority="1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{761FA047-35BC-4156-8937-1E2E4CBB1EA2}</x14:id>
        </ext>
      </extLst>
    </cfRule>
  </conditionalFormatting>
  <conditionalFormatting sqref="R8">
    <cfRule type="dataBar" priority="11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{E5D20F9A-682B-4D64-8DDE-B4DB4741FEFF}</x14:id>
        </ext>
      </extLst>
    </cfRule>
    <cfRule type="dataBar" priority="1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{F6D8E31F-21AF-4E33-B064-9B40F7D3E7DE}</x14:id>
        </ext>
      </extLst>
    </cfRule>
  </conditionalFormatting>
  <conditionalFormatting sqref="Q8">
    <cfRule type="dataBar" priority="1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{753E41A6-5DD9-45A5-8E75-E27A7BF4EF27}</x14:id>
        </ext>
      </extLst>
    </cfRule>
  </conditionalFormatting>
  <conditionalFormatting sqref="R8">
    <cfRule type="dataBar" priority="1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{77D346EF-2F3E-4424-A10A-11026B32B613}</x14:id>
        </ext>
      </extLst>
    </cfRule>
  </conditionalFormatting>
  <conditionalFormatting sqref="Q8">
    <cfRule type="dataBar" priority="1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{4EB33288-708E-496B-BEC2-C7AD9EDFE312}</x14:id>
        </ext>
      </extLst>
    </cfRule>
  </conditionalFormatting>
  <conditionalFormatting sqref="R8">
    <cfRule type="dataBar" priority="11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{5ACE6392-4EEF-43F8-BC15-0AE0A33134F8}</x14:id>
        </ext>
      </extLst>
    </cfRule>
  </conditionalFormatting>
  <conditionalFormatting sqref="Q8">
    <cfRule type="dataBar" priority="1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{341D1377-890F-4938-A420-40804894552C}</x14:id>
        </ext>
      </extLst>
    </cfRule>
  </conditionalFormatting>
  <conditionalFormatting sqref="R8">
    <cfRule type="dataBar" priority="11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{AFF5E8C5-A8BB-49E1-9130-5094AB8BFB08}</x14:id>
        </ext>
      </extLst>
    </cfRule>
  </conditionalFormatting>
  <conditionalFormatting sqref="R8">
    <cfRule type="dataBar" priority="1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{5275BB2A-291B-4FD4-96C2-E359CF2EC980}</x14:id>
        </ext>
      </extLst>
    </cfRule>
  </conditionalFormatting>
  <conditionalFormatting sqref="O8">
    <cfRule type="dataBar" priority="1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{A0E71EEC-5943-43A8-B092-41AF35C8FFBF}</x14:id>
        </ext>
      </extLst>
    </cfRule>
    <cfRule type="dataBar" priority="1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{9198CFEC-96D9-4DED-BF7E-87B2153DD5E2}</x14:id>
        </ext>
      </extLst>
    </cfRule>
  </conditionalFormatting>
  <conditionalFormatting sqref="O8">
    <cfRule type="dataBar" priority="1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{89F69992-D203-493B-B7E0-3D7932D49BAD}</x14:id>
        </ext>
      </extLst>
    </cfRule>
  </conditionalFormatting>
  <conditionalFormatting sqref="O8">
    <cfRule type="dataBar" priority="1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{E147A41C-D32C-47D7-9F1D-32396FB8726F}</x14:id>
        </ext>
      </extLst>
    </cfRule>
  </conditionalFormatting>
  <conditionalFormatting sqref="L8">
    <cfRule type="dataBar" priority="1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{9023E0D6-B4A3-4DB3-BE27-D8E3148204F8}</x14:id>
        </ext>
      </extLst>
    </cfRule>
    <cfRule type="dataBar" priority="1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{E6D3CEFB-68B3-49D2-9BEA-0CBDCE407480}</x14:id>
        </ext>
      </extLst>
    </cfRule>
  </conditionalFormatting>
  <conditionalFormatting sqref="L8">
    <cfRule type="dataBar" priority="1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{F7469535-53B1-4256-91B3-F13151C37517}</x14:id>
        </ext>
      </extLst>
    </cfRule>
  </conditionalFormatting>
  <conditionalFormatting sqref="L8">
    <cfRule type="dataBar" priority="1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{87C03FC8-061C-4437-93D3-7CD5E2B28416}</x14:id>
        </ext>
      </extLst>
    </cfRule>
  </conditionalFormatting>
  <conditionalFormatting sqref="O8">
    <cfRule type="dataBar" priority="1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{47581F15-29D5-4BF5-9F6B-72CA97A2291E}</x14:id>
        </ext>
      </extLst>
    </cfRule>
  </conditionalFormatting>
  <conditionalFormatting sqref="Q8">
    <cfRule type="dataBar" priority="1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{A90783A4-061C-491A-8758-CD7B0A93AFB0}</x14:id>
        </ext>
      </extLst>
    </cfRule>
  </conditionalFormatting>
  <conditionalFormatting sqref="R8">
    <cfRule type="dataBar" priority="1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{140239BE-5AEF-4A15-B957-084C89697F68}</x14:id>
        </ext>
      </extLst>
    </cfRule>
  </conditionalFormatting>
  <conditionalFormatting sqref="L8">
    <cfRule type="dataBar" priority="1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{519D8059-2886-46C8-8D9A-CAE35CA84899}</x14:id>
        </ext>
      </extLst>
    </cfRule>
  </conditionalFormatting>
  <conditionalFormatting sqref="L8">
    <cfRule type="dataBar" priority="11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{263F3F3F-65E4-4481-AF73-0D12A799E67D}</x14:id>
        </ext>
      </extLst>
    </cfRule>
  </conditionalFormatting>
  <conditionalFormatting sqref="O8">
    <cfRule type="dataBar" priority="10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{CBB5D268-908A-4B72-B9CE-2BA6A925345E}</x14:id>
        </ext>
      </extLst>
    </cfRule>
  </conditionalFormatting>
  <conditionalFormatting sqref="Q8">
    <cfRule type="dataBar" priority="10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{FEAA52B0-594E-4B90-BC46-85DF6E2C71C0}</x14:id>
        </ext>
      </extLst>
    </cfRule>
  </conditionalFormatting>
  <conditionalFormatting sqref="R8">
    <cfRule type="dataBar" priority="10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{39CD13E6-73B1-406F-BE67-BA4D493A48D7}</x14:id>
        </ext>
      </extLst>
    </cfRule>
  </conditionalFormatting>
  <conditionalFormatting sqref="L8">
    <cfRule type="dataBar" priority="10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{B87B5DAF-88B5-479B-BA96-862C80C61B80}</x14:id>
        </ext>
      </extLst>
    </cfRule>
  </conditionalFormatting>
  <conditionalFormatting sqref="O8">
    <cfRule type="dataBar" priority="10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{169CCD22-4B26-48F1-8435-E8F9EF98B2E9}</x14:id>
        </ext>
      </extLst>
    </cfRule>
  </conditionalFormatting>
  <conditionalFormatting sqref="Q8">
    <cfRule type="dataBar" priority="10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{1EB7EFAB-338C-4219-B58E-38839B30E596}</x14:id>
        </ext>
      </extLst>
    </cfRule>
  </conditionalFormatting>
  <conditionalFormatting sqref="R8">
    <cfRule type="dataBar" priority="10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{6DBA9C61-3031-427F-8F2A-125A3F035645}</x14:id>
        </ext>
      </extLst>
    </cfRule>
  </conditionalFormatting>
  <conditionalFormatting sqref="L8">
    <cfRule type="dataBar" priority="10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{3E8A0735-97EF-427D-81AA-5514F1039ED8}</x14:id>
        </ext>
      </extLst>
    </cfRule>
  </conditionalFormatting>
  <conditionalFormatting sqref="O8">
    <cfRule type="dataBar" priority="10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{7EAF6601-E10D-4901-BC70-E06ADC00C6D1}</x14:id>
        </ext>
      </extLst>
    </cfRule>
  </conditionalFormatting>
  <conditionalFormatting sqref="Q8">
    <cfRule type="dataBar" priority="10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{EE7B74B0-F116-4FD5-B85F-753A89BC1889}</x14:id>
        </ext>
      </extLst>
    </cfRule>
  </conditionalFormatting>
  <conditionalFormatting sqref="R8">
    <cfRule type="dataBar" priority="10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{99A11E11-8DB6-4252-A5EC-ADE613DF7EC6}</x14:id>
        </ext>
      </extLst>
    </cfRule>
  </conditionalFormatting>
  <conditionalFormatting sqref="AI7">
    <cfRule type="dataBar" priority="10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{B6EF2B95-6BDC-49C4-B46D-BE69BE565EC6}</x14:id>
        </ext>
      </extLst>
    </cfRule>
  </conditionalFormatting>
  <conditionalFormatting sqref="AJ7">
    <cfRule type="dataBar" priority="10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{D7A7C4D2-808E-48E9-9522-A8DBAD2463DF}</x14:id>
        </ext>
      </extLst>
    </cfRule>
  </conditionalFormatting>
  <conditionalFormatting sqref="AK7">
    <cfRule type="dataBar" priority="10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{1CA16817-8F75-4DEF-9660-E58B25B65F13}</x14:id>
        </ext>
      </extLst>
    </cfRule>
  </conditionalFormatting>
  <conditionalFormatting sqref="Q7">
    <cfRule type="dataBar" priority="10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{177D0F31-219B-4D95-9463-ACB469559BD6}</x14:id>
        </ext>
      </extLst>
    </cfRule>
  </conditionalFormatting>
  <conditionalFormatting sqref="Q7">
    <cfRule type="dataBar" priority="10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{4C96213E-360B-4824-8640-6870D5C97ABF}</x14:id>
        </ext>
      </extLst>
    </cfRule>
  </conditionalFormatting>
  <conditionalFormatting sqref="R7">
    <cfRule type="dataBar" priority="10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{E1CFC726-7ECD-4333-A97A-CEFCA37DC3D1}</x14:id>
        </ext>
      </extLst>
    </cfRule>
    <cfRule type="dataBar" priority="10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{8C9552F6-D274-42BE-BC97-A277056BD4CA}</x14:id>
        </ext>
      </extLst>
    </cfRule>
  </conditionalFormatting>
  <conditionalFormatting sqref="Q7">
    <cfRule type="dataBar" priority="10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{64A55806-7327-4B29-A576-B760399EF037}</x14:id>
        </ext>
      </extLst>
    </cfRule>
  </conditionalFormatting>
  <conditionalFormatting sqref="R7">
    <cfRule type="dataBar" priority="10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{6A3D88C4-4087-4660-B44F-45DC8BD293A1}</x14:id>
        </ext>
      </extLst>
    </cfRule>
  </conditionalFormatting>
  <conditionalFormatting sqref="Q7">
    <cfRule type="dataBar" priority="10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{83F7DBAB-1A8F-41FD-912D-D000045FC1C2}</x14:id>
        </ext>
      </extLst>
    </cfRule>
  </conditionalFormatting>
  <conditionalFormatting sqref="R7">
    <cfRule type="dataBar" priority="10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{918F3707-A50D-4B83-812B-F32666A3DF25}</x14:id>
        </ext>
      </extLst>
    </cfRule>
  </conditionalFormatting>
  <conditionalFormatting sqref="Q7">
    <cfRule type="dataBar" priority="10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{F07F3387-0EBD-4597-9B5D-FABAD4033062}</x14:id>
        </ext>
      </extLst>
    </cfRule>
  </conditionalFormatting>
  <conditionalFormatting sqref="R7">
    <cfRule type="dataBar" priority="10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{903734FC-C65D-46BE-A849-584B7CD7A8A2}</x14:id>
        </ext>
      </extLst>
    </cfRule>
  </conditionalFormatting>
  <conditionalFormatting sqref="R7">
    <cfRule type="dataBar" priority="10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{31A6810E-2EE8-4059-AC32-27C902923B56}</x14:id>
        </ext>
      </extLst>
    </cfRule>
  </conditionalFormatting>
  <conditionalFormatting sqref="O7">
    <cfRule type="dataBar" priority="10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{11E60FE1-EA92-4337-8904-8A4FA6175649}</x14:id>
        </ext>
      </extLst>
    </cfRule>
    <cfRule type="dataBar" priority="10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{D6CD69D6-666B-4E05-B0E5-CBA43585995C}</x14:id>
        </ext>
      </extLst>
    </cfRule>
  </conditionalFormatting>
  <conditionalFormatting sqref="O7">
    <cfRule type="dataBar" priority="10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{3AF3BECF-EF39-4DCE-ACBC-721F9A88D300}</x14:id>
        </ext>
      </extLst>
    </cfRule>
  </conditionalFormatting>
  <conditionalFormatting sqref="O7">
    <cfRule type="dataBar" priority="10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{85D1AF65-26DD-485D-ABCB-F626ED2BF3AD}</x14:id>
        </ext>
      </extLst>
    </cfRule>
  </conditionalFormatting>
  <conditionalFormatting sqref="L7">
    <cfRule type="dataBar" priority="10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{07F95AC6-BE0C-417A-9044-349D6E0F1A4A}</x14:id>
        </ext>
      </extLst>
    </cfRule>
    <cfRule type="dataBar" priority="10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{51A28938-7035-4A44-A097-C10716DB80A6}</x14:id>
        </ext>
      </extLst>
    </cfRule>
  </conditionalFormatting>
  <conditionalFormatting sqref="L7">
    <cfRule type="dataBar" priority="10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{43ED7522-BE95-4897-B804-03F508783DC6}</x14:id>
        </ext>
      </extLst>
    </cfRule>
  </conditionalFormatting>
  <conditionalFormatting sqref="L7">
    <cfRule type="dataBar" priority="10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{985B71DD-FC12-4124-A6BA-6787D780FBF4}</x14:id>
        </ext>
      </extLst>
    </cfRule>
  </conditionalFormatting>
  <conditionalFormatting sqref="O7">
    <cfRule type="dataBar" priority="10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{33FE1EDF-9674-4EA9-B644-940D9E444CF2}</x14:id>
        </ext>
      </extLst>
    </cfRule>
  </conditionalFormatting>
  <conditionalFormatting sqref="Q7">
    <cfRule type="dataBar" priority="10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{EA343E69-90E6-48DC-B5C8-5FADF4046281}</x14:id>
        </ext>
      </extLst>
    </cfRule>
  </conditionalFormatting>
  <conditionalFormatting sqref="R7">
    <cfRule type="dataBar" priority="10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{4103B2A4-ED18-4FD3-8DE7-685671E8877C}</x14:id>
        </ext>
      </extLst>
    </cfRule>
  </conditionalFormatting>
  <conditionalFormatting sqref="L7">
    <cfRule type="dataBar" priority="10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{657BCC0F-AE8C-49D0-8D7D-61CCB0E3A95C}</x14:id>
        </ext>
      </extLst>
    </cfRule>
  </conditionalFormatting>
  <conditionalFormatting sqref="L7">
    <cfRule type="dataBar" priority="10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{931C294E-BB58-44FC-8744-9083713CB17D}</x14:id>
        </ext>
      </extLst>
    </cfRule>
  </conditionalFormatting>
  <conditionalFormatting sqref="O7">
    <cfRule type="dataBar" priority="10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{6D342A84-426C-4758-8CF1-AD01E9A3407F}</x14:id>
        </ext>
      </extLst>
    </cfRule>
  </conditionalFormatting>
  <conditionalFormatting sqref="Q7">
    <cfRule type="dataBar" priority="10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{1F62E1F3-CFBF-4CD6-9D97-4E3FADBFB92C}</x14:id>
        </ext>
      </extLst>
    </cfRule>
  </conditionalFormatting>
  <conditionalFormatting sqref="R7">
    <cfRule type="dataBar" priority="10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{7AC4A9EE-1976-4911-BAE2-DAD4A2F129A6}</x14:id>
        </ext>
      </extLst>
    </cfRule>
  </conditionalFormatting>
  <conditionalFormatting sqref="L7">
    <cfRule type="dataBar" priority="10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{B58F4E8B-06E7-4850-AF9F-33ECDA3A56E5}</x14:id>
        </ext>
      </extLst>
    </cfRule>
  </conditionalFormatting>
  <conditionalFormatting sqref="O7">
    <cfRule type="dataBar" priority="10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{F5153359-46AF-45A7-852B-76890682A749}</x14:id>
        </ext>
      </extLst>
    </cfRule>
  </conditionalFormatting>
  <conditionalFormatting sqref="Q7">
    <cfRule type="dataBar" priority="10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{FE59CC7E-DE4E-41CE-8CE5-B96F3FABC470}</x14:id>
        </ext>
      </extLst>
    </cfRule>
  </conditionalFormatting>
  <conditionalFormatting sqref="R7">
    <cfRule type="dataBar" priority="10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{0665B6D3-5B9F-4631-B6EF-A4DB982C5F77}</x14:id>
        </ext>
      </extLst>
    </cfRule>
  </conditionalFormatting>
  <conditionalFormatting sqref="L7">
    <cfRule type="dataBar" priority="10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{2C9D47B7-22A8-4F9F-800F-585DC32AD4F7}</x14:id>
        </ext>
      </extLst>
    </cfRule>
  </conditionalFormatting>
  <conditionalFormatting sqref="O7">
    <cfRule type="dataBar" priority="10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{167F8FF7-76B4-4FF4-9DF9-F5DF51AA488A}</x14:id>
        </ext>
      </extLst>
    </cfRule>
  </conditionalFormatting>
  <conditionalFormatting sqref="Q7">
    <cfRule type="dataBar" priority="10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{F9320AF1-8668-411C-873C-AB74116C0CB9}</x14:id>
        </ext>
      </extLst>
    </cfRule>
  </conditionalFormatting>
  <conditionalFormatting sqref="R7">
    <cfRule type="dataBar" priority="10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{ED68EB8D-E777-4162-B26F-518A8960F93A}</x14:id>
        </ext>
      </extLst>
    </cfRule>
  </conditionalFormatting>
  <conditionalFormatting sqref="Q13">
    <cfRule type="dataBar" priority="10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{CFB9DABF-CD77-49B3-AB63-711A22330169}</x14:id>
        </ext>
      </extLst>
    </cfRule>
  </conditionalFormatting>
  <conditionalFormatting sqref="Q13">
    <cfRule type="dataBar" priority="10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{CF6DA770-7DBE-4F9F-9DCF-84CDE7BBEF93}</x14:id>
        </ext>
      </extLst>
    </cfRule>
  </conditionalFormatting>
  <conditionalFormatting sqref="R13">
    <cfRule type="dataBar" priority="10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{4D699052-7E58-457B-A54C-8DE7FA577C22}</x14:id>
        </ext>
      </extLst>
    </cfRule>
    <cfRule type="dataBar" priority="10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{BEF6DC47-BA45-426E-90BE-42CE0DD77177}</x14:id>
        </ext>
      </extLst>
    </cfRule>
  </conditionalFormatting>
  <conditionalFormatting sqref="Q13">
    <cfRule type="dataBar" priority="10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{6B98A12B-BA1D-4AE3-AA9A-65868B38B8E1}</x14:id>
        </ext>
      </extLst>
    </cfRule>
  </conditionalFormatting>
  <conditionalFormatting sqref="R13">
    <cfRule type="dataBar" priority="10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{415AFB07-333C-4F6C-AEC1-54D5F4832BA4}</x14:id>
        </ext>
      </extLst>
    </cfRule>
  </conditionalFormatting>
  <conditionalFormatting sqref="Q13">
    <cfRule type="dataBar" priority="10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{ED26F7AF-2339-4418-BB1A-B1A11D719E00}</x14:id>
        </ext>
      </extLst>
    </cfRule>
  </conditionalFormatting>
  <conditionalFormatting sqref="R13">
    <cfRule type="dataBar" priority="10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{A4D5C461-AE9F-474B-8A4D-6ED43342D4F4}</x14:id>
        </ext>
      </extLst>
    </cfRule>
  </conditionalFormatting>
  <conditionalFormatting sqref="Q13">
    <cfRule type="dataBar" priority="10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{B60857DD-5146-4930-BCDD-881649E6AE6F}</x14:id>
        </ext>
      </extLst>
    </cfRule>
  </conditionalFormatting>
  <conditionalFormatting sqref="R13">
    <cfRule type="dataBar" priority="10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{D85DC7D8-F688-48B4-B691-49E18BEDA88B}</x14:id>
        </ext>
      </extLst>
    </cfRule>
  </conditionalFormatting>
  <conditionalFormatting sqref="R13">
    <cfRule type="dataBar" priority="10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{85CCC84B-BA5D-4D89-84E7-006632B51B16}</x14:id>
        </ext>
      </extLst>
    </cfRule>
  </conditionalFormatting>
  <conditionalFormatting sqref="O13">
    <cfRule type="dataBar" priority="10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{005012B6-635D-4173-B6BD-17B4A49A00D0}</x14:id>
        </ext>
      </extLst>
    </cfRule>
    <cfRule type="dataBar" priority="10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{2C970EEB-A28B-4484-A45F-057346CD5693}</x14:id>
        </ext>
      </extLst>
    </cfRule>
  </conditionalFormatting>
  <conditionalFormatting sqref="O13">
    <cfRule type="dataBar" priority="10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{963287DA-FEF1-41E4-898D-0035328DBCEA}</x14:id>
        </ext>
      </extLst>
    </cfRule>
  </conditionalFormatting>
  <conditionalFormatting sqref="O13">
    <cfRule type="dataBar" priority="10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{F69EDB09-B9F2-4992-8C48-08B07458A5EC}</x14:id>
        </ext>
      </extLst>
    </cfRule>
  </conditionalFormatting>
  <conditionalFormatting sqref="L13">
    <cfRule type="dataBar" priority="10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{80B2FAF2-04EA-495E-9D66-0A9EE5BA75BD}</x14:id>
        </ext>
      </extLst>
    </cfRule>
    <cfRule type="dataBar" priority="10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{3D98EFE0-B46B-43ED-8E7A-3CB86830E9C8}</x14:id>
        </ext>
      </extLst>
    </cfRule>
  </conditionalFormatting>
  <conditionalFormatting sqref="L13">
    <cfRule type="dataBar" priority="10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{BBC54713-43BA-4358-9A9B-A3920C2F467B}</x14:id>
        </ext>
      </extLst>
    </cfRule>
  </conditionalFormatting>
  <conditionalFormatting sqref="L13">
    <cfRule type="dataBar" priority="10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{1C1F9E5C-B26D-4411-A37C-17438E36FEF1}</x14:id>
        </ext>
      </extLst>
    </cfRule>
  </conditionalFormatting>
  <conditionalFormatting sqref="O13">
    <cfRule type="dataBar" priority="10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{3863A76D-ECFF-474E-9434-3885A085772B}</x14:id>
        </ext>
      </extLst>
    </cfRule>
  </conditionalFormatting>
  <conditionalFormatting sqref="Q13">
    <cfRule type="dataBar" priority="10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{453BAF1B-FFA7-4BE2-A86C-628C0922D850}</x14:id>
        </ext>
      </extLst>
    </cfRule>
  </conditionalFormatting>
  <conditionalFormatting sqref="R13">
    <cfRule type="dataBar" priority="10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{66AA27B2-F5B9-4B39-9651-5D88249FC64F}</x14:id>
        </ext>
      </extLst>
    </cfRule>
  </conditionalFormatting>
  <conditionalFormatting sqref="L13">
    <cfRule type="dataBar" priority="10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{5902A89C-B352-4D64-BCF8-A57AD0BB4E32}</x14:id>
        </ext>
      </extLst>
    </cfRule>
  </conditionalFormatting>
  <conditionalFormatting sqref="L13">
    <cfRule type="dataBar" priority="10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{8D5FA789-A950-4FB7-BB0C-7B261FCCF630}</x14:id>
        </ext>
      </extLst>
    </cfRule>
  </conditionalFormatting>
  <conditionalFormatting sqref="O13">
    <cfRule type="dataBar" priority="10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{08203545-DE11-42AA-8A55-3E25A617E13A}</x14:id>
        </ext>
      </extLst>
    </cfRule>
  </conditionalFormatting>
  <conditionalFormatting sqref="Q13">
    <cfRule type="dataBar" priority="10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{293AB782-CFB9-4C73-B923-B4CA85CFF188}</x14:id>
        </ext>
      </extLst>
    </cfRule>
  </conditionalFormatting>
  <conditionalFormatting sqref="R13">
    <cfRule type="dataBar" priority="10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{62CA370F-FCAB-4BFA-8556-5BA2B704B24A}</x14:id>
        </ext>
      </extLst>
    </cfRule>
  </conditionalFormatting>
  <conditionalFormatting sqref="L13">
    <cfRule type="dataBar" priority="10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{4F8F9CE9-DF13-434C-B82C-0486C900E6D2}</x14:id>
        </ext>
      </extLst>
    </cfRule>
  </conditionalFormatting>
  <conditionalFormatting sqref="O13">
    <cfRule type="dataBar" priority="10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{3ED144D7-0A40-49B0-A278-95CF9B55B2D2}</x14:id>
        </ext>
      </extLst>
    </cfRule>
  </conditionalFormatting>
  <conditionalFormatting sqref="Q13">
    <cfRule type="dataBar" priority="10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{00ACE27E-7945-496B-B265-9E18B888AA87}</x14:id>
        </ext>
      </extLst>
    </cfRule>
  </conditionalFormatting>
  <conditionalFormatting sqref="R13">
    <cfRule type="dataBar" priority="10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{A82F4D62-FD0C-4299-9082-2D80C6ED9470}</x14:id>
        </ext>
      </extLst>
    </cfRule>
  </conditionalFormatting>
  <conditionalFormatting sqref="L13">
    <cfRule type="dataBar" priority="10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{32FD0549-D9D2-4313-A52F-8643828780FF}</x14:id>
        </ext>
      </extLst>
    </cfRule>
  </conditionalFormatting>
  <conditionalFormatting sqref="O13">
    <cfRule type="dataBar" priority="10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{C575C061-B8E6-4306-AD3A-0DB3C386E557}</x14:id>
        </ext>
      </extLst>
    </cfRule>
  </conditionalFormatting>
  <conditionalFormatting sqref="Q13">
    <cfRule type="dataBar" priority="10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{7FF4B146-E164-4B63-929C-8DFCA7C1294D}</x14:id>
        </ext>
      </extLst>
    </cfRule>
  </conditionalFormatting>
  <conditionalFormatting sqref="R13">
    <cfRule type="dataBar" priority="10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{81E8F1C3-8F3A-43B7-BFE5-D630F979C1A0}</x14:id>
        </ext>
      </extLst>
    </cfRule>
  </conditionalFormatting>
  <conditionalFormatting sqref="Q14">
    <cfRule type="dataBar" priority="10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{8A2C3A29-05B7-4FA1-AE76-155BA4863B0A}</x14:id>
        </ext>
      </extLst>
    </cfRule>
  </conditionalFormatting>
  <conditionalFormatting sqref="Q14">
    <cfRule type="dataBar" priority="10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{66FA31F0-1A91-4E30-BF75-2C2A22E7786F}</x14:id>
        </ext>
      </extLst>
    </cfRule>
  </conditionalFormatting>
  <conditionalFormatting sqref="R14">
    <cfRule type="dataBar" priority="10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{1187B359-40C2-42C7-B34D-00BEDD4BCB4C}</x14:id>
        </ext>
      </extLst>
    </cfRule>
    <cfRule type="dataBar" priority="10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{2E0008F0-19F2-48B0-84EF-290ADB266196}</x14:id>
        </ext>
      </extLst>
    </cfRule>
  </conditionalFormatting>
  <conditionalFormatting sqref="Q14">
    <cfRule type="dataBar" priority="10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{D14C3C19-0286-4055-A9CE-F528B001D5C4}</x14:id>
        </ext>
      </extLst>
    </cfRule>
  </conditionalFormatting>
  <conditionalFormatting sqref="R14">
    <cfRule type="dataBar" priority="10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{6E7E73CD-3B46-498A-8F04-D3B679D94928}</x14:id>
        </ext>
      </extLst>
    </cfRule>
  </conditionalFormatting>
  <conditionalFormatting sqref="Q14">
    <cfRule type="dataBar" priority="1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{965BE8DB-63F5-4C2F-856A-1B3352073684}</x14:id>
        </ext>
      </extLst>
    </cfRule>
  </conditionalFormatting>
  <conditionalFormatting sqref="R14">
    <cfRule type="dataBar" priority="10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{BCD29E2E-CB60-477D-A5F6-432512B5B3DB}</x14:id>
        </ext>
      </extLst>
    </cfRule>
  </conditionalFormatting>
  <conditionalFormatting sqref="Q14">
    <cfRule type="dataBar" priority="1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{3794E680-3D72-4F0F-AFD5-18CD5E437327}</x14:id>
        </ext>
      </extLst>
    </cfRule>
  </conditionalFormatting>
  <conditionalFormatting sqref="R14">
    <cfRule type="dataBar" priority="10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{E36235CC-E320-479F-B3E8-60217919C1D1}</x14:id>
        </ext>
      </extLst>
    </cfRule>
  </conditionalFormatting>
  <conditionalFormatting sqref="R14">
    <cfRule type="dataBar" priority="10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{F0703809-4FD9-436B-B27F-F2DDB0DBB352}</x14:id>
        </ext>
      </extLst>
    </cfRule>
  </conditionalFormatting>
  <conditionalFormatting sqref="O14">
    <cfRule type="dataBar" priority="10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{132D0DEF-2A9D-41ED-A869-ABCF92368CFA}</x14:id>
        </ext>
      </extLst>
    </cfRule>
    <cfRule type="dataBar" priority="10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{7A343154-DC50-4DAD-B942-FC878E1C70BA}</x14:id>
        </ext>
      </extLst>
    </cfRule>
  </conditionalFormatting>
  <conditionalFormatting sqref="O14">
    <cfRule type="dataBar" priority="10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{50D654D4-A009-4849-9707-D29E59D521F1}</x14:id>
        </ext>
      </extLst>
    </cfRule>
  </conditionalFormatting>
  <conditionalFormatting sqref="O14">
    <cfRule type="dataBar" priority="10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{9BEE3D50-6D49-463E-AEF9-C27F84C85E0E}</x14:id>
        </ext>
      </extLst>
    </cfRule>
  </conditionalFormatting>
  <conditionalFormatting sqref="L14">
    <cfRule type="dataBar" priority="9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{DDC20726-8686-4135-8868-9F464B2D4C06}</x14:id>
        </ext>
      </extLst>
    </cfRule>
    <cfRule type="dataBar" priority="9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{0CDA4C19-F4EF-4B4E-B107-E298209A7BE1}</x14:id>
        </ext>
      </extLst>
    </cfRule>
  </conditionalFormatting>
  <conditionalFormatting sqref="L14">
    <cfRule type="dataBar" priority="9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{4DE82DD3-F0F3-46FC-9494-C00AAA924348}</x14:id>
        </ext>
      </extLst>
    </cfRule>
  </conditionalFormatting>
  <conditionalFormatting sqref="L14">
    <cfRule type="dataBar" priority="10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{6EA13DBC-98EC-4EC4-B6A9-81FBDB4C8ABE}</x14:id>
        </ext>
      </extLst>
    </cfRule>
  </conditionalFormatting>
  <conditionalFormatting sqref="O14">
    <cfRule type="dataBar" priority="9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{E51887DA-7D18-45F3-A711-2A83E04E6FE6}</x14:id>
        </ext>
      </extLst>
    </cfRule>
  </conditionalFormatting>
  <conditionalFormatting sqref="Q14">
    <cfRule type="dataBar" priority="9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{A3FE6390-E394-47A7-BF64-BBB8AF208E0E}</x14:id>
        </ext>
      </extLst>
    </cfRule>
  </conditionalFormatting>
  <conditionalFormatting sqref="R14">
    <cfRule type="dataBar" priority="9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{6881BAA7-8110-4233-945C-05E55EC2ECE8}</x14:id>
        </ext>
      </extLst>
    </cfRule>
  </conditionalFormatting>
  <conditionalFormatting sqref="L14">
    <cfRule type="dataBar" priority="9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{4057C193-BE04-4F45-BC89-3E60F6120745}</x14:id>
        </ext>
      </extLst>
    </cfRule>
  </conditionalFormatting>
  <conditionalFormatting sqref="L14">
    <cfRule type="dataBar" priority="9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{EEED9012-6736-481D-9033-8E5589ACB348}</x14:id>
        </ext>
      </extLst>
    </cfRule>
  </conditionalFormatting>
  <conditionalFormatting sqref="O14">
    <cfRule type="dataBar" priority="9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{BBCE8887-D4D9-4534-B39F-DDE157E4FB05}</x14:id>
        </ext>
      </extLst>
    </cfRule>
  </conditionalFormatting>
  <conditionalFormatting sqref="Q14">
    <cfRule type="dataBar" priority="9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{8DC263ED-FFAB-4B68-84A3-B318CFF81DB0}</x14:id>
        </ext>
      </extLst>
    </cfRule>
  </conditionalFormatting>
  <conditionalFormatting sqref="R14">
    <cfRule type="dataBar" priority="9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{D94F830C-31CB-46DA-8E07-ED71795A566B}</x14:id>
        </ext>
      </extLst>
    </cfRule>
  </conditionalFormatting>
  <conditionalFormatting sqref="L14">
    <cfRule type="dataBar" priority="9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{56E7E6BE-946F-48F9-B4E0-54B73431EDDA}</x14:id>
        </ext>
      </extLst>
    </cfRule>
  </conditionalFormatting>
  <conditionalFormatting sqref="O14">
    <cfRule type="dataBar" priority="9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{1E99F6DA-EF08-4357-B205-8CD734834997}</x14:id>
        </ext>
      </extLst>
    </cfRule>
  </conditionalFormatting>
  <conditionalFormatting sqref="Q14">
    <cfRule type="dataBar" priority="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{36DB97E5-BF94-42B2-8D57-19AF8A4DFEB8}</x14:id>
        </ext>
      </extLst>
    </cfRule>
  </conditionalFormatting>
  <conditionalFormatting sqref="R14">
    <cfRule type="dataBar" priority="9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{1FAF0AA6-E2F7-4191-9714-7313C54632E7}</x14:id>
        </ext>
      </extLst>
    </cfRule>
  </conditionalFormatting>
  <conditionalFormatting sqref="L14">
    <cfRule type="dataBar" priority="9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{DCB9CE5E-86C1-4F60-AD32-665D37BB05CE}</x14:id>
        </ext>
      </extLst>
    </cfRule>
  </conditionalFormatting>
  <conditionalFormatting sqref="O14">
    <cfRule type="dataBar" priority="9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{D647A444-488F-4E1A-83A7-FCA1FFBC5028}</x14:id>
        </ext>
      </extLst>
    </cfRule>
  </conditionalFormatting>
  <conditionalFormatting sqref="Q14"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{7551AC1D-A407-4A4E-85BE-9209B763A2F2}</x14:id>
        </ext>
      </extLst>
    </cfRule>
  </conditionalFormatting>
  <conditionalFormatting sqref="R14">
    <cfRule type="dataBar" priority="9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{BB35DDD6-DCEA-41F9-9F40-07900A9BC147}</x14:id>
        </ext>
      </extLst>
    </cfRule>
  </conditionalFormatting>
  <conditionalFormatting sqref="Q9">
    <cfRule type="dataBar" priority="9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{7E7A55A4-8ED7-4F29-AD6C-0AA0FCD1C167}</x14:id>
        </ext>
      </extLst>
    </cfRule>
  </conditionalFormatting>
  <conditionalFormatting sqref="Q9">
    <cfRule type="dataBar" priority="9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{AF899754-34F9-4996-A2B5-B0A59E7F24E6}</x14:id>
        </ext>
      </extLst>
    </cfRule>
  </conditionalFormatting>
  <conditionalFormatting sqref="R9">
    <cfRule type="dataBar" priority="9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{C42AE7FB-A582-4F75-8EC5-AC1C6F48FEB0}</x14:id>
        </ext>
      </extLst>
    </cfRule>
    <cfRule type="dataBar" priority="9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{F5DB7BCC-BA74-474C-BC9A-7E94544446AB}</x14:id>
        </ext>
      </extLst>
    </cfRule>
  </conditionalFormatting>
  <conditionalFormatting sqref="Q9">
    <cfRule type="dataBar" priority="9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{A8FD2705-305D-495C-B052-AEC096DF5B90}</x14:id>
        </ext>
      </extLst>
    </cfRule>
  </conditionalFormatting>
  <conditionalFormatting sqref="R9">
    <cfRule type="dataBar" priority="9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{916F76AF-6644-4208-9B4C-AA0007425E11}</x14:id>
        </ext>
      </extLst>
    </cfRule>
  </conditionalFormatting>
  <conditionalFormatting sqref="Q9">
    <cfRule type="dataBar" priority="9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{78A8606E-1085-4959-A195-C18C533F822B}</x14:id>
        </ext>
      </extLst>
    </cfRule>
  </conditionalFormatting>
  <conditionalFormatting sqref="R9">
    <cfRule type="dataBar" priority="9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{62063AB7-715A-4168-9DD9-E733245A8E48}</x14:id>
        </ext>
      </extLst>
    </cfRule>
  </conditionalFormatting>
  <conditionalFormatting sqref="Q9">
    <cfRule type="dataBar" priority="9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{E2A74C08-0465-498C-9F95-672C4359D0FE}</x14:id>
        </ext>
      </extLst>
    </cfRule>
  </conditionalFormatting>
  <conditionalFormatting sqref="R9">
    <cfRule type="dataBar" priority="9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{1DFC7550-E5B0-42BD-86A6-A781F2204AFC}</x14:id>
        </ext>
      </extLst>
    </cfRule>
  </conditionalFormatting>
  <conditionalFormatting sqref="R9">
    <cfRule type="dataBar" priority="9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{366DA59B-3ED5-4121-B622-AD87FA254DE3}</x14:id>
        </ext>
      </extLst>
    </cfRule>
  </conditionalFormatting>
  <conditionalFormatting sqref="O9">
    <cfRule type="dataBar" priority="9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{1989AE36-427B-4263-A103-6902661DA7F0}</x14:id>
        </ext>
      </extLst>
    </cfRule>
    <cfRule type="dataBar" priority="9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{7FEC805B-6FA2-4E9A-8CB6-17ABB2F3C375}</x14:id>
        </ext>
      </extLst>
    </cfRule>
  </conditionalFormatting>
  <conditionalFormatting sqref="O9">
    <cfRule type="dataBar" priority="9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{A3344E1E-2685-4F88-AFA9-BA30CBDF178A}</x14:id>
        </ext>
      </extLst>
    </cfRule>
  </conditionalFormatting>
  <conditionalFormatting sqref="O9">
    <cfRule type="dataBar" priority="9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{57B22F29-6348-46E8-87FB-AED22BAE23B4}</x14:id>
        </ext>
      </extLst>
    </cfRule>
  </conditionalFormatting>
  <conditionalFormatting sqref="L9">
    <cfRule type="dataBar" priority="9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{2FF56B1F-339D-492D-98FD-164447A88927}</x14:id>
        </ext>
      </extLst>
    </cfRule>
    <cfRule type="dataBar" priority="9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{15F048DF-A702-4971-AAED-7949C8DC3112}</x14:id>
        </ext>
      </extLst>
    </cfRule>
  </conditionalFormatting>
  <conditionalFormatting sqref="L9">
    <cfRule type="dataBar" priority="9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{E0110A28-C8CA-46BA-96EE-E98614C3E9FB}</x14:id>
        </ext>
      </extLst>
    </cfRule>
  </conditionalFormatting>
  <conditionalFormatting sqref="L9">
    <cfRule type="dataBar" priority="9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{8F6CD84F-44D7-4381-8612-5BDC16F01383}</x14:id>
        </ext>
      </extLst>
    </cfRule>
  </conditionalFormatting>
  <conditionalFormatting sqref="O9">
    <cfRule type="dataBar" priority="9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{288692FE-33DE-420C-BFFC-AC862B36F548}</x14:id>
        </ext>
      </extLst>
    </cfRule>
  </conditionalFormatting>
  <conditionalFormatting sqref="Q9">
    <cfRule type="dataBar" priority="9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{8A0B407C-9D93-41B9-B5ED-3EE289AE137D}</x14:id>
        </ext>
      </extLst>
    </cfRule>
  </conditionalFormatting>
  <conditionalFormatting sqref="R9">
    <cfRule type="dataBar" priority="9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{8D9B4E4A-3B83-456B-AFF1-8F2CF98FBF99}</x14:id>
        </ext>
      </extLst>
    </cfRule>
  </conditionalFormatting>
  <conditionalFormatting sqref="L9">
    <cfRule type="dataBar" priority="9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{EA318D67-6129-488E-A3AC-D12E44166FEC}</x14:id>
        </ext>
      </extLst>
    </cfRule>
  </conditionalFormatting>
  <conditionalFormatting sqref="L9">
    <cfRule type="dataBar" priority="9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{4461C38B-D7F3-4429-A3FC-ABE197273D35}</x14:id>
        </ext>
      </extLst>
    </cfRule>
  </conditionalFormatting>
  <conditionalFormatting sqref="O9">
    <cfRule type="dataBar" priority="9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{B4D50A26-BCD1-42C0-8186-DCCE61F7E311}</x14:id>
        </ext>
      </extLst>
    </cfRule>
  </conditionalFormatting>
  <conditionalFormatting sqref="Q9">
    <cfRule type="dataBar" priority="9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{3F7B10CC-9DC7-40B5-9759-416BA73A3FF4}</x14:id>
        </ext>
      </extLst>
    </cfRule>
  </conditionalFormatting>
  <conditionalFormatting sqref="R9">
    <cfRule type="dataBar" priority="9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{4CC2A720-AC2D-403D-B15D-BF6F1CD51F18}</x14:id>
        </ext>
      </extLst>
    </cfRule>
  </conditionalFormatting>
  <conditionalFormatting sqref="L9">
    <cfRule type="dataBar" priority="9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{AB442774-C3AB-4404-91D3-F756FB1D6390}</x14:id>
        </ext>
      </extLst>
    </cfRule>
  </conditionalFormatting>
  <conditionalFormatting sqref="O9">
    <cfRule type="dataBar" priority="9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{2B6D735B-E741-4113-B215-DFED76E341AB}</x14:id>
        </ext>
      </extLst>
    </cfRule>
  </conditionalFormatting>
  <conditionalFormatting sqref="Q9">
    <cfRule type="dataBar" priority="9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{DF9B2845-6117-42E3-8F96-D9BDD6A839B3}</x14:id>
        </ext>
      </extLst>
    </cfRule>
  </conditionalFormatting>
  <conditionalFormatting sqref="R9">
    <cfRule type="dataBar" priority="9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{319CD6B8-7BE6-4DD9-AAFB-008D38384303}</x14:id>
        </ext>
      </extLst>
    </cfRule>
  </conditionalFormatting>
  <conditionalFormatting sqref="L9">
    <cfRule type="dataBar" priority="9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{23F0F2BF-9424-4BE6-B723-258A954EDCC1}</x14:id>
        </ext>
      </extLst>
    </cfRule>
  </conditionalFormatting>
  <conditionalFormatting sqref="O9">
    <cfRule type="dataBar" priority="9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{156BAD19-053C-4C32-A671-D81CBE41EA61}</x14:id>
        </ext>
      </extLst>
    </cfRule>
  </conditionalFormatting>
  <conditionalFormatting sqref="Q9">
    <cfRule type="dataBar" priority="9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{D439C837-17E2-4E22-9911-B9CAF9BAC21D}</x14:id>
        </ext>
      </extLst>
    </cfRule>
  </conditionalFormatting>
  <conditionalFormatting sqref="R9">
    <cfRule type="dataBar" priority="9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{685412F6-4DC1-4F4F-8FF5-C3AD7165AA92}</x14:id>
        </ext>
      </extLst>
    </cfRule>
  </conditionalFormatting>
  <conditionalFormatting sqref="Q10">
    <cfRule type="dataBar" priority="9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{E35FBE6E-1D61-471E-8264-1D94B497948F}</x14:id>
        </ext>
      </extLst>
    </cfRule>
  </conditionalFormatting>
  <conditionalFormatting sqref="Q10">
    <cfRule type="dataBar" priority="9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{CC55B96D-C252-43AA-BAB8-27DE848075D3}</x14:id>
        </ext>
      </extLst>
    </cfRule>
  </conditionalFormatting>
  <conditionalFormatting sqref="R10">
    <cfRule type="dataBar" priority="9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{9B097094-1D41-4500-94E7-2F63DF6C72B2}</x14:id>
        </ext>
      </extLst>
    </cfRule>
    <cfRule type="dataBar" priority="9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{01B96C03-1497-43E2-9270-50F453AF4F5A}</x14:id>
        </ext>
      </extLst>
    </cfRule>
  </conditionalFormatting>
  <conditionalFormatting sqref="Q10">
    <cfRule type="dataBar" priority="9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{3CE19715-3492-4521-ADB0-332C431406EF}</x14:id>
        </ext>
      </extLst>
    </cfRule>
  </conditionalFormatting>
  <conditionalFormatting sqref="R10">
    <cfRule type="dataBar" priority="9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{D8B13E25-93DA-4C08-87A3-D04FF72A9D4B}</x14:id>
        </ext>
      </extLst>
    </cfRule>
  </conditionalFormatting>
  <conditionalFormatting sqref="Q10">
    <cfRule type="dataBar" priority="9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{643AAE97-C04F-481F-A7FE-1DF194B3E632}</x14:id>
        </ext>
      </extLst>
    </cfRule>
  </conditionalFormatting>
  <conditionalFormatting sqref="R10">
    <cfRule type="dataBar" priority="9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{B3E1640F-58D7-4C97-AA39-1D9B02223473}</x14:id>
        </ext>
      </extLst>
    </cfRule>
  </conditionalFormatting>
  <conditionalFormatting sqref="Q10">
    <cfRule type="dataBar" priority="9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{B34C4489-64E9-4CBC-BE7C-99AF50966810}</x14:id>
        </ext>
      </extLst>
    </cfRule>
  </conditionalFormatting>
  <conditionalFormatting sqref="R10">
    <cfRule type="dataBar" priority="9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{1989CC7C-DFEB-4C66-A09F-35AAF8CD22CD}</x14:id>
        </ext>
      </extLst>
    </cfRule>
  </conditionalFormatting>
  <conditionalFormatting sqref="R10">
    <cfRule type="dataBar" priority="9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{405927FB-1316-492A-AD30-58642F20CEAC}</x14:id>
        </ext>
      </extLst>
    </cfRule>
  </conditionalFormatting>
  <conditionalFormatting sqref="O10">
    <cfRule type="dataBar" priority="9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{BCA7FDC6-21FE-41DB-8C6B-7FD4004A1D17}</x14:id>
        </ext>
      </extLst>
    </cfRule>
    <cfRule type="dataBar" priority="9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{003DF2BF-8627-48B4-850A-31EF899919BD}</x14:id>
        </ext>
      </extLst>
    </cfRule>
  </conditionalFormatting>
  <conditionalFormatting sqref="O10">
    <cfRule type="dataBar" priority="9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{E79894A8-E018-42FA-BAF9-40BB52E087FA}</x14:id>
        </ext>
      </extLst>
    </cfRule>
  </conditionalFormatting>
  <conditionalFormatting sqref="O10">
    <cfRule type="dataBar" priority="9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{370B6108-33BD-46E6-B938-5FC0F4065F20}</x14:id>
        </ext>
      </extLst>
    </cfRule>
  </conditionalFormatting>
  <conditionalFormatting sqref="L10">
    <cfRule type="dataBar" priority="9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{7456EE03-2B58-44BF-B637-8F2ABD4835CB}</x14:id>
        </ext>
      </extLst>
    </cfRule>
    <cfRule type="dataBar" priority="9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{51D134E6-75B0-4021-8E93-B29CB81087F0}</x14:id>
        </ext>
      </extLst>
    </cfRule>
  </conditionalFormatting>
  <conditionalFormatting sqref="L10">
    <cfRule type="dataBar" priority="9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{7E03A448-8333-4508-B794-814C4AF335D7}</x14:id>
        </ext>
      </extLst>
    </cfRule>
  </conditionalFormatting>
  <conditionalFormatting sqref="L10">
    <cfRule type="dataBar" priority="9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{E56ED6BF-9924-42D5-AFB3-B59AEBA97346}</x14:id>
        </ext>
      </extLst>
    </cfRule>
  </conditionalFormatting>
  <conditionalFormatting sqref="O10">
    <cfRule type="dataBar" priority="9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{B7FEE2E0-3798-453C-A8DB-C945E473B93A}</x14:id>
        </ext>
      </extLst>
    </cfRule>
  </conditionalFormatting>
  <conditionalFormatting sqref="Q10">
    <cfRule type="dataBar" priority="9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{6A1C6C2F-9314-40FF-8C56-B65A844E8185}</x14:id>
        </ext>
      </extLst>
    </cfRule>
  </conditionalFormatting>
  <conditionalFormatting sqref="R10">
    <cfRule type="dataBar" priority="9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{1BECD609-73B6-4EEE-814C-915155B819C8}</x14:id>
        </ext>
      </extLst>
    </cfRule>
  </conditionalFormatting>
  <conditionalFormatting sqref="L10">
    <cfRule type="dataBar" priority="9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{2616C51A-C146-4FEF-87FE-226C6B65757A}</x14:id>
        </ext>
      </extLst>
    </cfRule>
  </conditionalFormatting>
  <conditionalFormatting sqref="L10">
    <cfRule type="dataBar" priority="9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{82942932-D50A-4879-9AE8-A63F5E203D43}</x14:id>
        </ext>
      </extLst>
    </cfRule>
  </conditionalFormatting>
  <conditionalFormatting sqref="O10">
    <cfRule type="dataBar" priority="9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{DB0957F5-BA9C-4B3F-BDD4-136B22E4FDED}</x14:id>
        </ext>
      </extLst>
    </cfRule>
  </conditionalFormatting>
  <conditionalFormatting sqref="Q10">
    <cfRule type="dataBar" priority="9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{651D86FC-8401-49F0-8C5E-0DDBC8B3C9BA}</x14:id>
        </ext>
      </extLst>
    </cfRule>
  </conditionalFormatting>
  <conditionalFormatting sqref="R10">
    <cfRule type="dataBar" priority="9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{F2BF6AAD-81CC-41EF-BAE7-4BB747885E63}</x14:id>
        </ext>
      </extLst>
    </cfRule>
  </conditionalFormatting>
  <conditionalFormatting sqref="L10">
    <cfRule type="dataBar" priority="9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{6DA663FA-C012-4A01-B690-8D33494E58A0}</x14:id>
        </ext>
      </extLst>
    </cfRule>
  </conditionalFormatting>
  <conditionalFormatting sqref="O10">
    <cfRule type="dataBar" priority="9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{C2C2C778-7EB6-4D3C-970F-75CC66C77688}</x14:id>
        </ext>
      </extLst>
    </cfRule>
  </conditionalFormatting>
  <conditionalFormatting sqref="Q10">
    <cfRule type="dataBar" priority="9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{DF16F7C0-162D-4026-9250-52703DD8A1B2}</x14:id>
        </ext>
      </extLst>
    </cfRule>
  </conditionalFormatting>
  <conditionalFormatting sqref="R10">
    <cfRule type="dataBar" priority="9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{0791C919-0EAD-43FC-B7ED-EAE0F8F80E06}</x14:id>
        </ext>
      </extLst>
    </cfRule>
  </conditionalFormatting>
  <conditionalFormatting sqref="L10">
    <cfRule type="dataBar" priority="9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{6C5D51BD-97E9-4DB7-8939-32D31F679467}</x14:id>
        </ext>
      </extLst>
    </cfRule>
  </conditionalFormatting>
  <conditionalFormatting sqref="O10">
    <cfRule type="dataBar" priority="9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{80878834-7F8A-4913-99AD-F7FE4C119102}</x14:id>
        </ext>
      </extLst>
    </cfRule>
  </conditionalFormatting>
  <conditionalFormatting sqref="Q10">
    <cfRule type="dataBar" priority="9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{152FDA65-7E94-4CA5-A26E-89AA38EDE37B}</x14:id>
        </ext>
      </extLst>
    </cfRule>
  </conditionalFormatting>
  <conditionalFormatting sqref="R10">
    <cfRule type="dataBar" priority="9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{A1975799-698F-4705-93B2-D41D055968F9}</x14:id>
        </ext>
      </extLst>
    </cfRule>
  </conditionalFormatting>
  <conditionalFormatting sqref="Q11">
    <cfRule type="dataBar" priority="9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{AF9AA496-8B0B-42D9-B50C-ADA6DFCD3294}</x14:id>
        </ext>
      </extLst>
    </cfRule>
  </conditionalFormatting>
  <conditionalFormatting sqref="Q11">
    <cfRule type="dataBar" priority="9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{90ED7611-DEB7-455E-BEAC-FD67F861EF5E}</x14:id>
        </ext>
      </extLst>
    </cfRule>
  </conditionalFormatting>
  <conditionalFormatting sqref="R11">
    <cfRule type="dataBar" priority="9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{1B1E2EF4-39CE-4BD4-B852-4C7BC60705B2}</x14:id>
        </ext>
      </extLst>
    </cfRule>
    <cfRule type="dataBar" priority="9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{7D3A3A41-1DA4-4237-8302-18BEF2607BE3}</x14:id>
        </ext>
      </extLst>
    </cfRule>
  </conditionalFormatting>
  <conditionalFormatting sqref="Q11">
    <cfRule type="dataBar" priority="9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{6B58A8DB-252B-4C56-95C7-6BA0CE85B1BC}</x14:id>
        </ext>
      </extLst>
    </cfRule>
  </conditionalFormatting>
  <conditionalFormatting sqref="R11">
    <cfRule type="dataBar" priority="9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{D5D2B4B8-9664-42B5-A216-C65E180FC34E}</x14:id>
        </ext>
      </extLst>
    </cfRule>
  </conditionalFormatting>
  <conditionalFormatting sqref="Q11">
    <cfRule type="dataBar" priority="8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{D1CF813F-1AF1-4A51-AB35-E20D50108403}</x14:id>
        </ext>
      </extLst>
    </cfRule>
  </conditionalFormatting>
  <conditionalFormatting sqref="R11">
    <cfRule type="dataBar" priority="8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{5F965F9D-1EC4-491C-BEF6-990A50AB1E53}</x14:id>
        </ext>
      </extLst>
    </cfRule>
  </conditionalFormatting>
  <conditionalFormatting sqref="Q11">
    <cfRule type="dataBar" priority="8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{108D220B-9F5B-4717-9E40-3373AE2D8038}</x14:id>
        </ext>
      </extLst>
    </cfRule>
  </conditionalFormatting>
  <conditionalFormatting sqref="R11">
    <cfRule type="dataBar" priority="8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{8B684A33-27F4-428B-AED2-BD4A8E201895}</x14:id>
        </ext>
      </extLst>
    </cfRule>
  </conditionalFormatting>
  <conditionalFormatting sqref="R11">
    <cfRule type="dataBar" priority="9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{21FA01AF-DA5B-4D19-AB22-FA4942501184}</x14:id>
        </ext>
      </extLst>
    </cfRule>
  </conditionalFormatting>
  <conditionalFormatting sqref="O11">
    <cfRule type="dataBar" priority="9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{EFCCED0E-397E-41B1-BE75-81132C1FB8D1}</x14:id>
        </ext>
      </extLst>
    </cfRule>
    <cfRule type="dataBar" priority="9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{EA9F3D08-22B1-4404-BE72-CEC8C3AC49EF}</x14:id>
        </ext>
      </extLst>
    </cfRule>
  </conditionalFormatting>
  <conditionalFormatting sqref="O11">
    <cfRule type="dataBar" priority="9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{2FA4D5C0-C79F-41EA-8A64-AB782521CCE4}</x14:id>
        </ext>
      </extLst>
    </cfRule>
  </conditionalFormatting>
  <conditionalFormatting sqref="O11">
    <cfRule type="dataBar" priority="9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{E9DF4A13-1C85-49FC-89C2-446AF85E672A}</x14:id>
        </ext>
      </extLst>
    </cfRule>
  </conditionalFormatting>
  <conditionalFormatting sqref="L11">
    <cfRule type="dataBar" priority="8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{8DF4D370-3B83-4591-BA06-566B657D9D00}</x14:id>
        </ext>
      </extLst>
    </cfRule>
    <cfRule type="dataBar" priority="8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{988BFCB3-B5D7-42A9-BBF2-264C107C5D9F}</x14:id>
        </ext>
      </extLst>
    </cfRule>
  </conditionalFormatting>
  <conditionalFormatting sqref="L11">
    <cfRule type="dataBar" priority="8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{DF0F8C00-CD97-49B0-852C-83FE8AD595B0}</x14:id>
        </ext>
      </extLst>
    </cfRule>
  </conditionalFormatting>
  <conditionalFormatting sqref="L11">
    <cfRule type="dataBar" priority="8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{676FFB37-9337-4F3B-9AB0-61C812EB1287}</x14:id>
        </ext>
      </extLst>
    </cfRule>
  </conditionalFormatting>
  <conditionalFormatting sqref="O11">
    <cfRule type="dataBar" priority="8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{4CB70B68-03D3-4119-8378-F41B07C9579E}</x14:id>
        </ext>
      </extLst>
    </cfRule>
  </conditionalFormatting>
  <conditionalFormatting sqref="Q11">
    <cfRule type="dataBar" priority="8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{76E81691-79F3-4BA7-8F5C-0A4408728EC2}</x14:id>
        </ext>
      </extLst>
    </cfRule>
  </conditionalFormatting>
  <conditionalFormatting sqref="R11">
    <cfRule type="dataBar" priority="8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{6907090F-BDF9-4128-9270-C0D28D661D08}</x14:id>
        </ext>
      </extLst>
    </cfRule>
  </conditionalFormatting>
  <conditionalFormatting sqref="L11">
    <cfRule type="dataBar" priority="8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{3C8CC049-0E63-498D-ABF1-C8A592AB9F2C}</x14:id>
        </ext>
      </extLst>
    </cfRule>
  </conditionalFormatting>
  <conditionalFormatting sqref="L11">
    <cfRule type="dataBar" priority="8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{10B10A75-0C5E-4CD8-855C-83E6E74376C2}</x14:id>
        </ext>
      </extLst>
    </cfRule>
  </conditionalFormatting>
  <conditionalFormatting sqref="O11">
    <cfRule type="dataBar" priority="8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{08636B03-B04B-46C3-80D2-F107B15F9D55}</x14:id>
        </ext>
      </extLst>
    </cfRule>
  </conditionalFormatting>
  <conditionalFormatting sqref="Q11">
    <cfRule type="dataBar" priority="8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{5D5BBEAE-5AF4-4C04-B426-66F7655536AB}</x14:id>
        </ext>
      </extLst>
    </cfRule>
  </conditionalFormatting>
  <conditionalFormatting sqref="R11">
    <cfRule type="dataBar" priority="8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{C46907D6-4CC0-4390-B8E4-107D59FCFC63}</x14:id>
        </ext>
      </extLst>
    </cfRule>
  </conditionalFormatting>
  <conditionalFormatting sqref="L11">
    <cfRule type="dataBar" priority="8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{A0C993FE-55B6-4E83-BCED-ED0C3CC60D3A}</x14:id>
        </ext>
      </extLst>
    </cfRule>
  </conditionalFormatting>
  <conditionalFormatting sqref="O11">
    <cfRule type="dataBar" priority="8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{BA8738EA-1577-420A-ACDF-F0FA86623B0F}</x14:id>
        </ext>
      </extLst>
    </cfRule>
  </conditionalFormatting>
  <conditionalFormatting sqref="Q11">
    <cfRule type="dataBar" priority="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{DC7238D8-39CE-4E03-9C3C-9F59A77B89E8}</x14:id>
        </ext>
      </extLst>
    </cfRule>
  </conditionalFormatting>
  <conditionalFormatting sqref="R11">
    <cfRule type="dataBar" priority="8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{F2AE8883-B74B-43E9-A432-0E388916CE0A}</x14:id>
        </ext>
      </extLst>
    </cfRule>
  </conditionalFormatting>
  <conditionalFormatting sqref="L11">
    <cfRule type="dataBar" priority="8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{FB959452-7AE0-4407-9C31-3E2A24E44157}</x14:id>
        </ext>
      </extLst>
    </cfRule>
  </conditionalFormatting>
  <conditionalFormatting sqref="O11">
    <cfRule type="dataBar" priority="8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{D6B73E81-90E0-452E-B30C-052B2CB5626A}</x14:id>
        </ext>
      </extLst>
    </cfRule>
  </conditionalFormatting>
  <conditionalFormatting sqref="Q11">
    <cfRule type="dataBar" priority="8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{997887A9-A1B4-4805-B8BC-7F3D5FEB2E3C}</x14:id>
        </ext>
      </extLst>
    </cfRule>
  </conditionalFormatting>
  <conditionalFormatting sqref="R11">
    <cfRule type="dataBar" priority="8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{106507F9-1048-4AAD-BA01-154BC92D77A1}</x14:id>
        </ext>
      </extLst>
    </cfRule>
  </conditionalFormatting>
  <conditionalFormatting sqref="Q12">
    <cfRule type="dataBar" priority="8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{CAF9B5B0-9447-4A60-9ED1-2ADF6DA4BA9F}</x14:id>
        </ext>
      </extLst>
    </cfRule>
  </conditionalFormatting>
  <conditionalFormatting sqref="Q12">
    <cfRule type="dataBar" priority="8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{F112523B-4EAD-429C-9800-CD074211F35F}</x14:id>
        </ext>
      </extLst>
    </cfRule>
  </conditionalFormatting>
  <conditionalFormatting sqref="R12">
    <cfRule type="dataBar" priority="8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{548094D8-2101-47BB-8B29-3362F69F70BE}</x14:id>
        </ext>
      </extLst>
    </cfRule>
    <cfRule type="dataBar" priority="8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{AB51D5FA-2456-467B-81A8-B2D2EDDB9323}</x14:id>
        </ext>
      </extLst>
    </cfRule>
  </conditionalFormatting>
  <conditionalFormatting sqref="Q12">
    <cfRule type="dataBar" priority="8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{EA5AB669-6E8A-4362-A359-E56E2E376127}</x14:id>
        </ext>
      </extLst>
    </cfRule>
  </conditionalFormatting>
  <conditionalFormatting sqref="R12">
    <cfRule type="dataBar" priority="8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{CDAFE05A-0A53-4161-A01C-BF8764BDDFD8}</x14:id>
        </ext>
      </extLst>
    </cfRule>
  </conditionalFormatting>
  <conditionalFormatting sqref="Q12">
    <cfRule type="dataBar" priority="8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{FE4DAFE1-6E95-49FA-BEC6-35E0C8887759}</x14:id>
        </ext>
      </extLst>
    </cfRule>
  </conditionalFormatting>
  <conditionalFormatting sqref="R12">
    <cfRule type="dataBar" priority="8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{F22714EE-E7EA-4340-920E-1892D6BE5C6A}</x14:id>
        </ext>
      </extLst>
    </cfRule>
  </conditionalFormatting>
  <conditionalFormatting sqref="Q12">
    <cfRule type="dataBar" priority="8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{725DF871-A116-489C-88AA-967CD84DE354}</x14:id>
        </ext>
      </extLst>
    </cfRule>
  </conditionalFormatting>
  <conditionalFormatting sqref="R12">
    <cfRule type="dataBar" priority="8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{3C5FFC8E-1677-469C-A4DE-5F9115AFF3D9}</x14:id>
        </ext>
      </extLst>
    </cfRule>
  </conditionalFormatting>
  <conditionalFormatting sqref="R12">
    <cfRule type="dataBar" priority="8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{D7B1B33B-4FD6-4463-8CEF-73F8C49DB3B2}</x14:id>
        </ext>
      </extLst>
    </cfRule>
  </conditionalFormatting>
  <conditionalFormatting sqref="O12">
    <cfRule type="dataBar" priority="8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{D40A2BC6-E078-41AF-84E6-73A14882D803}</x14:id>
        </ext>
      </extLst>
    </cfRule>
    <cfRule type="dataBar" priority="8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{BFBB5CA9-772C-4AC4-A451-51A2A07969FF}</x14:id>
        </ext>
      </extLst>
    </cfRule>
  </conditionalFormatting>
  <conditionalFormatting sqref="O12">
    <cfRule type="dataBar" priority="8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{387F7DB0-4DB6-4C5E-A915-19E71B295C83}</x14:id>
        </ext>
      </extLst>
    </cfRule>
  </conditionalFormatting>
  <conditionalFormatting sqref="O12">
    <cfRule type="dataBar" priority="8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{1F0AF157-B07C-4420-90C1-BBA08813524D}</x14:id>
        </ext>
      </extLst>
    </cfRule>
  </conditionalFormatting>
  <conditionalFormatting sqref="L12">
    <cfRule type="dataBar" priority="8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{DAD76051-B166-4059-B0D5-AF08816F55DF}</x14:id>
        </ext>
      </extLst>
    </cfRule>
    <cfRule type="dataBar" priority="8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{9647D608-231A-4CCA-9AE7-A4DB0BE1DFA6}</x14:id>
        </ext>
      </extLst>
    </cfRule>
  </conditionalFormatting>
  <conditionalFormatting sqref="L12">
    <cfRule type="dataBar" priority="8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{2549706F-1561-413E-AD5E-2CE5F4B953DB}</x14:id>
        </ext>
      </extLst>
    </cfRule>
  </conditionalFormatting>
  <conditionalFormatting sqref="L12">
    <cfRule type="dataBar" priority="8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{28003349-2CFF-4999-9DE6-AD9A3501AEAD}</x14:id>
        </ext>
      </extLst>
    </cfRule>
  </conditionalFormatting>
  <conditionalFormatting sqref="O12">
    <cfRule type="dataBar" priority="8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{3BF3B147-1FC6-4158-BA9F-ADFE5D3D8AD6}</x14:id>
        </ext>
      </extLst>
    </cfRule>
  </conditionalFormatting>
  <conditionalFormatting sqref="Q12">
    <cfRule type="dataBar" priority="8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{CBE7C2D2-8FE5-470F-8423-66A519645543}</x14:id>
        </ext>
      </extLst>
    </cfRule>
  </conditionalFormatting>
  <conditionalFormatting sqref="R12">
    <cfRule type="dataBar" priority="8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{653E436B-C939-4583-8604-2F6FD950DAD9}</x14:id>
        </ext>
      </extLst>
    </cfRule>
  </conditionalFormatting>
  <conditionalFormatting sqref="L12">
    <cfRule type="dataBar" priority="8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{CCFD8F08-DA1F-4517-A68D-8D3EE3F3E7B6}</x14:id>
        </ext>
      </extLst>
    </cfRule>
  </conditionalFormatting>
  <conditionalFormatting sqref="L12">
    <cfRule type="dataBar" priority="8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{1D4E7FEC-789D-4422-8B41-C06A06492DD1}</x14:id>
        </ext>
      </extLst>
    </cfRule>
  </conditionalFormatting>
  <conditionalFormatting sqref="O12">
    <cfRule type="dataBar" priority="8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{5883B935-1AC9-4DB6-81B3-3A1E0B04F63A}</x14:id>
        </ext>
      </extLst>
    </cfRule>
  </conditionalFormatting>
  <conditionalFormatting sqref="Q12">
    <cfRule type="dataBar" priority="8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{91335C50-C9D7-450D-979A-3F0BB998BDB0}</x14:id>
        </ext>
      </extLst>
    </cfRule>
  </conditionalFormatting>
  <conditionalFormatting sqref="R12">
    <cfRule type="dataBar" priority="8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{6052B7EA-57FE-48DA-99D9-012871B6F124}</x14:id>
        </ext>
      </extLst>
    </cfRule>
  </conditionalFormatting>
  <conditionalFormatting sqref="L12">
    <cfRule type="dataBar" priority="8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{4D55675C-91A0-40B6-8908-CC95183F022C}</x14:id>
        </ext>
      </extLst>
    </cfRule>
  </conditionalFormatting>
  <conditionalFormatting sqref="O12">
    <cfRule type="dataBar" priority="8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{2574FBA1-1862-44F5-A91C-AE82177F7BC1}</x14:id>
        </ext>
      </extLst>
    </cfRule>
  </conditionalFormatting>
  <conditionalFormatting sqref="Q12">
    <cfRule type="dataBar" priority="8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{4AA9BDDD-9B15-4EF6-BD22-EA954544EBF7}</x14:id>
        </ext>
      </extLst>
    </cfRule>
  </conditionalFormatting>
  <conditionalFormatting sqref="R12">
    <cfRule type="dataBar" priority="8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{8CD26D7B-6F9B-4134-9E5E-6840896DBB95}</x14:id>
        </ext>
      </extLst>
    </cfRule>
  </conditionalFormatting>
  <conditionalFormatting sqref="L12">
    <cfRule type="dataBar" priority="8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{AC43C5B7-1EA2-44EB-BD3D-047EB4A29F75}</x14:id>
        </ext>
      </extLst>
    </cfRule>
  </conditionalFormatting>
  <conditionalFormatting sqref="O12">
    <cfRule type="dataBar" priority="8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{FDBA66D3-7E1A-4719-9404-82E96ECDA9A2}</x14:id>
        </ext>
      </extLst>
    </cfRule>
  </conditionalFormatting>
  <conditionalFormatting sqref="Q12">
    <cfRule type="dataBar" priority="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{19C5284D-B00D-47C3-8594-60C781BE0D0E}</x14:id>
        </ext>
      </extLst>
    </cfRule>
  </conditionalFormatting>
  <conditionalFormatting sqref="R12">
    <cfRule type="dataBar" priority="8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{53DD4BD5-A7B3-4B22-9CEC-3474EDF47BBE}</x14:id>
        </ext>
      </extLst>
    </cfRule>
  </conditionalFormatting>
  <conditionalFormatting sqref="Q15:Q16">
    <cfRule type="dataBar" priority="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{1BB74858-01F8-4931-8E47-28FCF4670EAB}</x14:id>
        </ext>
      </extLst>
    </cfRule>
  </conditionalFormatting>
  <conditionalFormatting sqref="Q15:Q16">
    <cfRule type="dataBar" priority="8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{7B5B327D-7DA8-4557-AF89-03A1C5DDD915}</x14:id>
        </ext>
      </extLst>
    </cfRule>
  </conditionalFormatting>
  <conditionalFormatting sqref="R15:R16">
    <cfRule type="dataBar" priority="8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{E7CC5097-F0E3-4150-884C-A226762A3338}</x14:id>
        </ext>
      </extLst>
    </cfRule>
    <cfRule type="dataBar" priority="8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{3DDCC569-355C-43F5-A5FE-DAA73054063F}</x14:id>
        </ext>
      </extLst>
    </cfRule>
  </conditionalFormatting>
  <conditionalFormatting sqref="Q15:Q16">
    <cfRule type="dataBar" priority="8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{40FFA4C7-5483-46E4-9F7E-1B0A1DA79655}</x14:id>
        </ext>
      </extLst>
    </cfRule>
  </conditionalFormatting>
  <conditionalFormatting sqref="R15:R16">
    <cfRule type="dataBar" priority="8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{F6B2926F-FEAD-4B20-A4F4-8AE11795FBDB}</x14:id>
        </ext>
      </extLst>
    </cfRule>
  </conditionalFormatting>
  <conditionalFormatting sqref="Q15:Q16">
    <cfRule type="dataBar" priority="8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{67B0AC16-7952-495D-ADE3-9E3004ED17B7}</x14:id>
        </ext>
      </extLst>
    </cfRule>
  </conditionalFormatting>
  <conditionalFormatting sqref="R15:R16">
    <cfRule type="dataBar" priority="8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{36F78A82-2B43-4B6E-B0D6-398F3A23F395}</x14:id>
        </ext>
      </extLst>
    </cfRule>
  </conditionalFormatting>
  <conditionalFormatting sqref="Q15:Q16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{F09B4A51-953F-4BC7-B0AD-D65AFC37549B}</x14:id>
        </ext>
      </extLst>
    </cfRule>
  </conditionalFormatting>
  <conditionalFormatting sqref="R15:R16">
    <cfRule type="dataBar" priority="8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{5FE11056-E6F8-4AE5-A6F8-475478A3AF53}</x14:id>
        </ext>
      </extLst>
    </cfRule>
  </conditionalFormatting>
  <conditionalFormatting sqref="R15:R16">
    <cfRule type="dataBar" priority="8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{928C4F7E-D915-43DF-AE23-74C0AAFBE20C}</x14:id>
        </ext>
      </extLst>
    </cfRule>
  </conditionalFormatting>
  <conditionalFormatting sqref="O15:O16">
    <cfRule type="dataBar" priority="8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{4CFB5FCA-08B5-4E52-B37D-E1934AD1030F}</x14:id>
        </ext>
      </extLst>
    </cfRule>
    <cfRule type="dataBar" priority="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{F2C29ABE-948F-435D-B354-4CD468842E89}</x14:id>
        </ext>
      </extLst>
    </cfRule>
  </conditionalFormatting>
  <conditionalFormatting sqref="O15:O16">
    <cfRule type="dataBar" priority="8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{BF5213E2-9A94-40D8-AD87-4B317072F644}</x14:id>
        </ext>
      </extLst>
    </cfRule>
  </conditionalFormatting>
  <conditionalFormatting sqref="O15:O16">
    <cfRule type="dataBar" priority="8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{37451277-0B0E-41CE-947B-D26D4FBE3EA8}</x14:id>
        </ext>
      </extLst>
    </cfRule>
  </conditionalFormatting>
  <conditionalFormatting sqref="L15:L16">
    <cfRule type="dataBar" priority="8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{6E1850F9-0586-4664-BCA9-7B967700144E}</x14:id>
        </ext>
      </extLst>
    </cfRule>
    <cfRule type="dataBar" priority="8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{0158E512-6903-4875-8B4B-659F4EB405DA}</x14:id>
        </ext>
      </extLst>
    </cfRule>
  </conditionalFormatting>
  <conditionalFormatting sqref="L15:L16">
    <cfRule type="dataBar" priority="8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{46D8A412-85F7-4622-AE17-499F438EBE8C}</x14:id>
        </ext>
      </extLst>
    </cfRule>
  </conditionalFormatting>
  <conditionalFormatting sqref="L15:L16">
    <cfRule type="dataBar" priority="8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{FCB45FFB-9E57-49E5-BC02-DD0FEA4CE6FC}</x14:id>
        </ext>
      </extLst>
    </cfRule>
  </conditionalFormatting>
  <conditionalFormatting sqref="O15:O16">
    <cfRule type="dataBar" priority="8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{5E7078E4-CDE9-40EE-9FED-720E4CD802CD}</x14:id>
        </ext>
      </extLst>
    </cfRule>
  </conditionalFormatting>
  <conditionalFormatting sqref="Q15:Q16">
    <cfRule type="dataBar" priority="8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{FEAABE13-D3A7-4B41-BD7D-0FB8955C9260}</x14:id>
        </ext>
      </extLst>
    </cfRule>
  </conditionalFormatting>
  <conditionalFormatting sqref="R15:R16">
    <cfRule type="dataBar" priority="8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{29682FF1-3A92-4392-A33D-6812BC7CC8CE}</x14:id>
        </ext>
      </extLst>
    </cfRule>
  </conditionalFormatting>
  <conditionalFormatting sqref="L15:L16">
    <cfRule type="dataBar" priority="8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{D59E2E9F-7300-4EEB-953B-F35F6E430F8C}</x14:id>
        </ext>
      </extLst>
    </cfRule>
  </conditionalFormatting>
  <conditionalFormatting sqref="L15:L16">
    <cfRule type="dataBar" priority="8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{B3D13072-C9E4-4ACA-88FF-CA1D5E49A0EB}</x14:id>
        </ext>
      </extLst>
    </cfRule>
  </conditionalFormatting>
  <conditionalFormatting sqref="O15:O16">
    <cfRule type="dataBar" priority="8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{E4769D7F-C182-47DA-994E-F0FBF1A977C3}</x14:id>
        </ext>
      </extLst>
    </cfRule>
  </conditionalFormatting>
  <conditionalFormatting sqref="Q15:Q16">
    <cfRule type="dataBar" priority="8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{E1AC436C-B03B-447E-8731-5860CE166286}</x14:id>
        </ext>
      </extLst>
    </cfRule>
  </conditionalFormatting>
  <conditionalFormatting sqref="R15:R16">
    <cfRule type="dataBar" priority="8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{63CB5B91-D4CF-419B-874A-1212B3B674D0}</x14:id>
        </ext>
      </extLst>
    </cfRule>
  </conditionalFormatting>
  <conditionalFormatting sqref="L15:L16">
    <cfRule type="dataBar" priority="8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{F9388696-F02D-47B9-AE02-F47AA426B9D5}</x14:id>
        </ext>
      </extLst>
    </cfRule>
  </conditionalFormatting>
  <conditionalFormatting sqref="O15:O16">
    <cfRule type="dataBar" priority="8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{B00C74B7-4305-43C1-AC91-F0DB6B337298}</x14:id>
        </ext>
      </extLst>
    </cfRule>
  </conditionalFormatting>
  <conditionalFormatting sqref="Q15:Q16">
    <cfRule type="dataBar" priority="8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{DE43D80F-F524-4EA3-8CF7-AA8B0B3AAF46}</x14:id>
        </ext>
      </extLst>
    </cfRule>
  </conditionalFormatting>
  <conditionalFormatting sqref="R15:R16">
    <cfRule type="dataBar" priority="8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{61F90C90-5FA8-4D80-9C40-CB819A543B32}</x14:id>
        </ext>
      </extLst>
    </cfRule>
  </conditionalFormatting>
  <conditionalFormatting sqref="L15:L16">
    <cfRule type="dataBar" priority="8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{299E94A1-F9E6-445D-A25A-FF33F6AF5FCD}</x14:id>
        </ext>
      </extLst>
    </cfRule>
  </conditionalFormatting>
  <conditionalFormatting sqref="O15:O16">
    <cfRule type="dataBar" priority="8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{842D6D01-C781-4F6D-9956-B12629794456}</x14:id>
        </ext>
      </extLst>
    </cfRule>
  </conditionalFormatting>
  <conditionalFormatting sqref="Q15:Q16">
    <cfRule type="dataBar" priority="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{0B91B3C8-581A-440A-808D-7253AD0CD2D7}</x14:id>
        </ext>
      </extLst>
    </cfRule>
  </conditionalFormatting>
  <conditionalFormatting sqref="R15:R16">
    <cfRule type="dataBar" priority="8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{6F3B8203-F83E-427B-9EB7-57CBE38BE4AC}</x14:id>
        </ext>
      </extLst>
    </cfRule>
  </conditionalFormatting>
  <conditionalFormatting sqref="Q15">
    <cfRule type="dataBar" priority="8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{5C0F37E8-15B9-4EBB-8560-8A384F86FAE3}</x14:id>
        </ext>
      </extLst>
    </cfRule>
  </conditionalFormatting>
  <conditionalFormatting sqref="Q15">
    <cfRule type="dataBar" priority="8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{CD0C546E-B291-41B0-8AC6-E9595DD8C186}</x14:id>
        </ext>
      </extLst>
    </cfRule>
  </conditionalFormatting>
  <conditionalFormatting sqref="R15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{9BA7ACD2-8BB4-4EB7-85A7-61AA85F76622}</x14:id>
        </ext>
      </extLst>
    </cfRule>
    <cfRule type="dataBar" priority="7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{C57D4878-18F4-44E6-9840-6D1F8C3142E0}</x14:id>
        </ext>
      </extLst>
    </cfRule>
  </conditionalFormatting>
  <conditionalFormatting sqref="Q15">
    <cfRule type="dataBar" priority="7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{D7D28A6A-72ED-48A7-9D88-2EECE41EA385}</x14:id>
        </ext>
      </extLst>
    </cfRule>
  </conditionalFormatting>
  <conditionalFormatting sqref="R15">
    <cfRule type="dataBar" priority="7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{25101FC9-AEBD-4E08-B62B-E9F434687F72}</x14:id>
        </ext>
      </extLst>
    </cfRule>
  </conditionalFormatting>
  <conditionalFormatting sqref="Q15">
    <cfRule type="dataBar" priority="7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{C7D4D8AC-D4F4-41F0-8F0A-0168C116BA50}</x14:id>
        </ext>
      </extLst>
    </cfRule>
  </conditionalFormatting>
  <conditionalFormatting sqref="R15">
    <cfRule type="dataBar" priority="7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{8D6BF424-C46A-4314-868A-3F760143FB09}</x14:id>
        </ext>
      </extLst>
    </cfRule>
  </conditionalFormatting>
  <conditionalFormatting sqref="Q15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{692808AA-0600-421A-A1B7-9EE8228A34E1}</x14:id>
        </ext>
      </extLst>
    </cfRule>
  </conditionalFormatting>
  <conditionalFormatting sqref="R15">
    <cfRule type="dataBar" priority="7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{FAFCDC53-BAA6-4035-97E8-5FF17E7AE974}</x14:id>
        </ext>
      </extLst>
    </cfRule>
  </conditionalFormatting>
  <conditionalFormatting sqref="R15">
    <cfRule type="dataBar" priority="7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{EAF455A2-F67A-46BD-832F-A4DAD1EC3D25}</x14:id>
        </ext>
      </extLst>
    </cfRule>
  </conditionalFormatting>
  <conditionalFormatting sqref="O15">
    <cfRule type="dataBar" priority="8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{156FB602-FFD2-4377-A347-DEC0DBA71280}</x14:id>
        </ext>
      </extLst>
    </cfRule>
    <cfRule type="dataBar" priority="8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{2006300E-B300-4712-A9CA-A976B03E828F}</x14:id>
        </ext>
      </extLst>
    </cfRule>
  </conditionalFormatting>
  <conditionalFormatting sqref="O15">
    <cfRule type="dataBar" priority="8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{923B971A-2F54-4DF0-BBD3-F3840ABD6664}</x14:id>
        </ext>
      </extLst>
    </cfRule>
  </conditionalFormatting>
  <conditionalFormatting sqref="O15">
    <cfRule type="dataBar" priority="8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{48417D3D-4802-4C74-BB6E-F6FEE9086717}</x14:id>
        </ext>
      </extLst>
    </cfRule>
  </conditionalFormatting>
  <conditionalFormatting sqref="L15">
    <cfRule type="dataBar" priority="7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{934EBD47-433C-4659-9225-937C145F5AF2}</x14:id>
        </ext>
      </extLst>
    </cfRule>
    <cfRule type="dataBar" priority="7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{D6B4DE34-D6DE-4B49-A2C0-1310BEE79A4E}</x14:id>
        </ext>
      </extLst>
    </cfRule>
  </conditionalFormatting>
  <conditionalFormatting sqref="L15">
    <cfRule type="dataBar" priority="7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{416AF17D-2F36-4EF5-80C6-48C03D180907}</x14:id>
        </ext>
      </extLst>
    </cfRule>
  </conditionalFormatting>
  <conditionalFormatting sqref="L15">
    <cfRule type="dataBar" priority="7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{E9B78E44-9E61-4A53-A17C-8624631E067B}</x14:id>
        </ext>
      </extLst>
    </cfRule>
  </conditionalFormatting>
  <conditionalFormatting sqref="O15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{CAB9A761-2263-4D57-BAC2-8A521A1CFF04}</x14:id>
        </ext>
      </extLst>
    </cfRule>
  </conditionalFormatting>
  <conditionalFormatting sqref="Q15">
    <cfRule type="dataBar" priority="7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{264B9F55-A077-4702-B846-9FD64CB0AD70}</x14:id>
        </ext>
      </extLst>
    </cfRule>
  </conditionalFormatting>
  <conditionalFormatting sqref="R15">
    <cfRule type="dataBar" priority="7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{43FD81EA-8610-4E06-8336-313CEEE0207C}</x14:id>
        </ext>
      </extLst>
    </cfRule>
  </conditionalFormatting>
  <conditionalFormatting sqref="L15">
    <cfRule type="dataBar" priority="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{9B8F418E-742F-4875-BE41-9844EEDA2C02}</x14:id>
        </ext>
      </extLst>
    </cfRule>
  </conditionalFormatting>
  <conditionalFormatting sqref="L15">
    <cfRule type="dataBar" priority="7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{45F65255-3EF1-45BF-A1B6-68B5AFAA6236}</x14:id>
        </ext>
      </extLst>
    </cfRule>
  </conditionalFormatting>
  <conditionalFormatting sqref="O15">
    <cfRule type="dataBar" priority="7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{001B5536-96E2-4B75-9279-D8B155575A71}</x14:id>
        </ext>
      </extLst>
    </cfRule>
  </conditionalFormatting>
  <conditionalFormatting sqref="Q15">
    <cfRule type="dataBar" priority="7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{2F1F196C-71D2-48FF-9B79-860E009C017E}</x14:id>
        </ext>
      </extLst>
    </cfRule>
  </conditionalFormatting>
  <conditionalFormatting sqref="R15">
    <cfRule type="dataBar" priority="7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{4A16781F-25C5-4088-9762-8874C7650026}</x14:id>
        </ext>
      </extLst>
    </cfRule>
  </conditionalFormatting>
  <conditionalFormatting sqref="L15">
    <cfRule type="dataBar" priority="7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{C4D968AB-1BD4-48B6-B975-6CB09E24B552}</x14:id>
        </ext>
      </extLst>
    </cfRule>
  </conditionalFormatting>
  <conditionalFormatting sqref="O15">
    <cfRule type="dataBar" priority="7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{97E31BFD-DE12-4553-8156-84C1156A471B}</x14:id>
        </ext>
      </extLst>
    </cfRule>
  </conditionalFormatting>
  <conditionalFormatting sqref="Q15">
    <cfRule type="dataBar" priority="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{5B950C7C-5063-4216-8B30-847B95F878D8}</x14:id>
        </ext>
      </extLst>
    </cfRule>
  </conditionalFormatting>
  <conditionalFormatting sqref="R15">
    <cfRule type="dataBar" priority="7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{E0C38EA5-9F18-40F3-9C34-3AE056AA4088}</x14:id>
        </ext>
      </extLst>
    </cfRule>
  </conditionalFormatting>
  <conditionalFormatting sqref="L15">
    <cfRule type="dataBar" priority="7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{1DB0B135-C7C0-4381-82B7-BD56EB8163CE}</x14:id>
        </ext>
      </extLst>
    </cfRule>
  </conditionalFormatting>
  <conditionalFormatting sqref="O15">
    <cfRule type="dataBar" priority="7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{364D797E-5141-4D5E-9C23-D31B5B884114}</x14:id>
        </ext>
      </extLst>
    </cfRule>
  </conditionalFormatting>
  <conditionalFormatting sqref="Q15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{33E1CA55-68AA-4271-A16C-E24C163E7EEB}</x14:id>
        </ext>
      </extLst>
    </cfRule>
  </conditionalFormatting>
  <conditionalFormatting sqref="R15">
    <cfRule type="dataBar" priority="7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{252E87FA-697A-4C28-804F-F0D8523159DD}</x14:id>
        </ext>
      </extLst>
    </cfRule>
  </conditionalFormatting>
  <conditionalFormatting sqref="Q17">
    <cfRule type="dataBar" priority="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{AF5EA882-02EC-4C7A-AFB0-F028DA2FA279}</x14:id>
        </ext>
      </extLst>
    </cfRule>
  </conditionalFormatting>
  <conditionalFormatting sqref="Q17">
    <cfRule type="dataBar" priority="6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{B9934994-7726-4E2D-A833-DB56041FC2D4}</x14:id>
        </ext>
      </extLst>
    </cfRule>
  </conditionalFormatting>
  <conditionalFormatting sqref="R17">
    <cfRule type="dataBar" priority="6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{5B184365-BACA-4529-8F2B-13300A318F73}</x14:id>
        </ext>
      </extLst>
    </cfRule>
    <cfRule type="dataBar" priority="6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{862C9CDA-FCE1-41AF-B187-A508867CD322}</x14:id>
        </ext>
      </extLst>
    </cfRule>
  </conditionalFormatting>
  <conditionalFormatting sqref="Q17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{D18FBBC2-1B95-4C13-9CD2-CEBE0F66C2D0}</x14:id>
        </ext>
      </extLst>
    </cfRule>
  </conditionalFormatting>
  <conditionalFormatting sqref="R17">
    <cfRule type="dataBar" priority="6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{2643CAF2-29C9-4EB3-BBB6-CFFCF3446E74}</x14:id>
        </ext>
      </extLst>
    </cfRule>
  </conditionalFormatting>
  <conditionalFormatting sqref="Q17">
    <cfRule type="dataBar" priority="6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{5F7A1D75-E275-49B7-8102-6875540021DA}</x14:id>
        </ext>
      </extLst>
    </cfRule>
  </conditionalFormatting>
  <conditionalFormatting sqref="R17">
    <cfRule type="dataBar" priority="6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{22E2CE8B-DB0E-43A0-A7C9-B7503E73EACF}</x14:id>
        </ext>
      </extLst>
    </cfRule>
  </conditionalFormatting>
  <conditionalFormatting sqref="Q17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{5FEDD313-AED5-4EDF-ABF7-55F595535506}</x14:id>
        </ext>
      </extLst>
    </cfRule>
  </conditionalFormatting>
  <conditionalFormatting sqref="R17">
    <cfRule type="dataBar" priority="6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{9ACA394F-725B-44A0-9CC9-F95B0274221E}</x14:id>
        </ext>
      </extLst>
    </cfRule>
  </conditionalFormatting>
  <conditionalFormatting sqref="R17">
    <cfRule type="dataBar" priority="6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{8695F39B-2405-4F34-BA5F-782332DAF92A}</x14:id>
        </ext>
      </extLst>
    </cfRule>
  </conditionalFormatting>
  <conditionalFormatting sqref="O17"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{60163CEF-67C5-48CD-A0CA-9BEA2AE5A46B}</x14:id>
        </ext>
      </extLst>
    </cfRule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{DD7E2E90-EAFD-4ED9-A5E0-65551D308AC9}</x14:id>
        </ext>
      </extLst>
    </cfRule>
  </conditionalFormatting>
  <conditionalFormatting sqref="O17">
    <cfRule type="dataBar" priority="6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{53E64BCB-2579-4C2B-B7B1-29D1E915014D}</x14:id>
        </ext>
      </extLst>
    </cfRule>
  </conditionalFormatting>
  <conditionalFormatting sqref="O17">
    <cfRule type="dataBar" priority="7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{EA518C9A-8D82-461B-ABF4-4B037BD2963B}</x14:id>
        </ext>
      </extLst>
    </cfRule>
  </conditionalFormatting>
  <conditionalFormatting sqref="L17">
    <cfRule type="dataBar" priority="6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{8894385D-98F8-4413-8860-2D7D9F326743}</x14:id>
        </ext>
      </extLst>
    </cfRule>
    <cfRule type="dataBar" priority="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{3B7A5A53-582E-4B79-824A-F52C7C63E451}</x14:id>
        </ext>
      </extLst>
    </cfRule>
  </conditionalFormatting>
  <conditionalFormatting sqref="L17">
    <cfRule type="dataBar" priority="6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{33BB4A24-3B66-4B3F-904F-37F569A39769}</x14:id>
        </ext>
      </extLst>
    </cfRule>
  </conditionalFormatting>
  <conditionalFormatting sqref="L17">
    <cfRule type="dataBar" priority="6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{26826FC9-54E4-4E34-81D6-7499DA588127}</x14:id>
        </ext>
      </extLst>
    </cfRule>
  </conditionalFormatting>
  <conditionalFormatting sqref="O17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{CDC1154D-A8F8-4E24-9BD0-D389BD64FBF1}</x14:id>
        </ext>
      </extLst>
    </cfRule>
  </conditionalFormatting>
  <conditionalFormatting sqref="Q17">
    <cfRule type="dataBar" priority="6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{D7A94074-1359-4657-91E3-8F17F432B2DA}</x14:id>
        </ext>
      </extLst>
    </cfRule>
  </conditionalFormatting>
  <conditionalFormatting sqref="R17">
    <cfRule type="dataBar" priority="6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{58EDC1FB-2C18-456F-B4B2-C24862DD0440}</x14:id>
        </ext>
      </extLst>
    </cfRule>
  </conditionalFormatting>
  <conditionalFormatting sqref="L17">
    <cfRule type="dataBar" priority="6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{4693CC28-EAF8-40BB-AADA-DC4FA481FE38}</x14:id>
        </ext>
      </extLst>
    </cfRule>
  </conditionalFormatting>
  <conditionalFormatting sqref="L17">
    <cfRule type="dataBar" priority="6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{0E6B6DEE-F3D4-4CE5-81A0-A861DF7BCB11}</x14:id>
        </ext>
      </extLst>
    </cfRule>
  </conditionalFormatting>
  <conditionalFormatting sqref="O17">
    <cfRule type="dataBar" priority="6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{577DE882-6159-40F5-8E7A-AEA0DF2125C1}</x14:id>
        </ext>
      </extLst>
    </cfRule>
  </conditionalFormatting>
  <conditionalFormatting sqref="Q17">
    <cfRule type="dataBar" priority="6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{F4031807-D787-4601-BE87-39726C3D67ED}</x14:id>
        </ext>
      </extLst>
    </cfRule>
  </conditionalFormatting>
  <conditionalFormatting sqref="R17">
    <cfRule type="dataBar" priority="6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{17AA577D-7AD5-46F2-892F-C80E98538927}</x14:id>
        </ext>
      </extLst>
    </cfRule>
  </conditionalFormatting>
  <conditionalFormatting sqref="L17">
    <cfRule type="dataBar" priority="6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{9A4AECE2-D96F-46DE-BA82-2C3CCED5598C}</x14:id>
        </ext>
      </extLst>
    </cfRule>
  </conditionalFormatting>
  <conditionalFormatting sqref="O17">
    <cfRule type="dataBar" priority="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{A9246BEC-F7A5-4E02-95DA-C69F62523381}</x14:id>
        </ext>
      </extLst>
    </cfRule>
  </conditionalFormatting>
  <conditionalFormatting sqref="Q17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{A3336290-1F26-488C-B7D4-E9FD7CDC04CC}</x14:id>
        </ext>
      </extLst>
    </cfRule>
  </conditionalFormatting>
  <conditionalFormatting sqref="R17">
    <cfRule type="dataBar" priority="6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{0F838263-4164-43BF-942D-EB3B18A7F7D7}</x14:id>
        </ext>
      </extLst>
    </cfRule>
  </conditionalFormatting>
  <conditionalFormatting sqref="L17">
    <cfRule type="dataBar" priority="6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{542C393A-B038-4D19-9F43-09C20DD40A3C}</x14:id>
        </ext>
      </extLst>
    </cfRule>
  </conditionalFormatting>
  <conditionalFormatting sqref="O17">
    <cfRule type="dataBar" priority="6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{B89A2AA7-7576-4209-B2C9-024A64675E5C}</x14:id>
        </ext>
      </extLst>
    </cfRule>
  </conditionalFormatting>
  <conditionalFormatting sqref="Q17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{9B05BB3F-4227-4C2F-ABD9-C5B0AC4AEFCF}</x14:id>
        </ext>
      </extLst>
    </cfRule>
  </conditionalFormatting>
  <conditionalFormatting sqref="R17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{8C6FF100-9497-47A6-984B-BE918E665B22}</x14:id>
        </ext>
      </extLst>
    </cfRule>
  </conditionalFormatting>
  <conditionalFormatting sqref="Q17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{A14D061F-E1C9-4909-9B94-40D6E86C2955}</x14:id>
        </ext>
      </extLst>
    </cfRule>
  </conditionalFormatting>
  <conditionalFormatting sqref="Q17">
    <cfRule type="dataBar" priority="6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{F32F0AAB-243D-43AE-AF15-76BC260337AA}</x14:id>
        </ext>
      </extLst>
    </cfRule>
  </conditionalFormatting>
  <conditionalFormatting sqref="R17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{1F97CE40-95DD-48EA-8B12-66BDFA05AF9A}</x14:id>
        </ext>
      </extLst>
    </cfRule>
    <cfRule type="dataBar" priority="6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{4DBA0797-4230-4959-8A2C-4081F7B401F5}</x14:id>
        </ext>
      </extLst>
    </cfRule>
  </conditionalFormatting>
  <conditionalFormatting sqref="Q17">
    <cfRule type="dataBar" priority="6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{37062AC5-B989-4EBB-A6B3-84016FB3C509}</x14:id>
        </ext>
      </extLst>
    </cfRule>
  </conditionalFormatting>
  <conditionalFormatting sqref="R17">
    <cfRule type="dataBar" priority="6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{7F0167A4-2853-4AE2-89DD-F8A85E7ECA96}</x14:id>
        </ext>
      </extLst>
    </cfRule>
  </conditionalFormatting>
  <conditionalFormatting sqref="Q17">
    <cfRule type="dataBar" priority="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{E8F5344C-56E6-4716-AFA4-BD146D29EA3F}</x14:id>
        </ext>
      </extLst>
    </cfRule>
  </conditionalFormatting>
  <conditionalFormatting sqref="R17">
    <cfRule type="dataBar" priority="6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{7994CFAB-45DB-43BE-A97E-836CECA55B63}</x14:id>
        </ext>
      </extLst>
    </cfRule>
  </conditionalFormatting>
  <conditionalFormatting sqref="Q17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{D9429F3E-D111-4E30-BB82-975B38C63130}</x14:id>
        </ext>
      </extLst>
    </cfRule>
  </conditionalFormatting>
  <conditionalFormatting sqref="R17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{93C1CC2B-4ED4-4E63-A0F3-474391FDECA5}</x14:id>
        </ext>
      </extLst>
    </cfRule>
  </conditionalFormatting>
  <conditionalFormatting sqref="R17">
    <cfRule type="dataBar" priority="6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{8DA7B5F3-E415-4B63-9281-6CAE00A543A1}</x14:id>
        </ext>
      </extLst>
    </cfRule>
  </conditionalFormatting>
  <conditionalFormatting sqref="O17">
    <cfRule type="dataBar" priority="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{A6EE4348-5947-4B80-B18F-4C592ACD5CF9}</x14:id>
        </ext>
      </extLst>
    </cfRule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{8C9753A9-541B-4D59-8148-E8D5202F0484}</x14:id>
        </ext>
      </extLst>
    </cfRule>
  </conditionalFormatting>
  <conditionalFormatting sqref="O17">
    <cfRule type="dataBar" priority="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{3E9725BC-4A62-4974-B273-F7CBB47A3433}</x14:id>
        </ext>
      </extLst>
    </cfRule>
  </conditionalFormatting>
  <conditionalFormatting sqref="O17"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{1CFF9671-5152-471F-898F-525472437DB2}</x14:id>
        </ext>
      </extLst>
    </cfRule>
  </conditionalFormatting>
  <conditionalFormatting sqref="L17"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{1152232D-DBAF-4962-A0A7-30B3A7867DF2}</x14:id>
        </ext>
      </extLst>
    </cfRule>
    <cfRule type="dataBar" priority="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{B80A231E-BE3F-4A2B-950B-6116BE54D275}</x14:id>
        </ext>
      </extLst>
    </cfRule>
  </conditionalFormatting>
  <conditionalFormatting sqref="L17">
    <cfRule type="dataBar" priority="6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{BFBC2468-AA0D-406A-AF88-CC97B90D1A28}</x14:id>
        </ext>
      </extLst>
    </cfRule>
  </conditionalFormatting>
  <conditionalFormatting sqref="L17"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{E4A7F14A-021A-4F73-A2CC-43DE9D9EB317}</x14:id>
        </ext>
      </extLst>
    </cfRule>
  </conditionalFormatting>
  <conditionalFormatting sqref="O17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{1B395B1F-606B-40F9-A3F5-319CC0552495}</x14:id>
        </ext>
      </extLst>
    </cfRule>
  </conditionalFormatting>
  <conditionalFormatting sqref="Q17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{02B67F2A-4479-450E-95BD-FE8B79225ED7}</x14:id>
        </ext>
      </extLst>
    </cfRule>
  </conditionalFormatting>
  <conditionalFormatting sqref="R17">
    <cfRule type="dataBar" priority="6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{25B6CE6C-07D1-44A2-8D44-D9401C88107F}</x14:id>
        </ext>
      </extLst>
    </cfRule>
  </conditionalFormatting>
  <conditionalFormatting sqref="L17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{717E9ED9-E406-4F1E-B4EF-0C1A7CD7951D}</x14:id>
        </ext>
      </extLst>
    </cfRule>
  </conditionalFormatting>
  <conditionalFormatting sqref="L17">
    <cfRule type="dataBar" priority="6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{FF2F87FE-AB02-4B1C-8FCF-82E0FEE01F2D}</x14:id>
        </ext>
      </extLst>
    </cfRule>
  </conditionalFormatting>
  <conditionalFormatting sqref="O17">
    <cfRule type="dataBar" priority="6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{4199CE00-49FC-4CC8-9619-CA3B2374C3F3}</x14:id>
        </ext>
      </extLst>
    </cfRule>
  </conditionalFormatting>
  <conditionalFormatting sqref="Q17">
    <cfRule type="dataBar" priority="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{2E1EF26F-D9E1-4D04-A791-89B5FB255824}</x14:id>
        </ext>
      </extLst>
    </cfRule>
  </conditionalFormatting>
  <conditionalFormatting sqref="R17">
    <cfRule type="dataBar" priority="6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{C1FC3F63-52BB-44E5-B74A-3462C8FC0E36}</x14:id>
        </ext>
      </extLst>
    </cfRule>
  </conditionalFormatting>
  <conditionalFormatting sqref="L17">
    <cfRule type="dataBar" priority="6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{94A97E37-F343-461B-9A41-C706CDFCABD0}</x14:id>
        </ext>
      </extLst>
    </cfRule>
  </conditionalFormatting>
  <conditionalFormatting sqref="O17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{BA76FBA6-80F1-404C-A022-0CE746838F0B}</x14:id>
        </ext>
      </extLst>
    </cfRule>
  </conditionalFormatting>
  <conditionalFormatting sqref="Q17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{8C1A3BA5-E110-4B91-9FD1-AC4286727DF2}</x14:id>
        </ext>
      </extLst>
    </cfRule>
  </conditionalFormatting>
  <conditionalFormatting sqref="R17">
    <cfRule type="dataBar" priority="6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{0A39AA55-F592-47DD-B2E9-9B15582DB2DF}</x14:id>
        </ext>
      </extLst>
    </cfRule>
  </conditionalFormatting>
  <conditionalFormatting sqref="L17">
    <cfRule type="dataBar" priority="6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{0B5DD220-B23A-4E0F-8674-6DCD3DCB802C}</x14:id>
        </ext>
      </extLst>
    </cfRule>
  </conditionalFormatting>
  <conditionalFormatting sqref="O17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{383C3D61-B331-41A3-BEE0-188A7FFC353B}</x14:id>
        </ext>
      </extLst>
    </cfRule>
  </conditionalFormatting>
  <conditionalFormatting sqref="Q17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{4009DD24-1D82-422A-A910-5C5484C6ED09}</x14:id>
        </ext>
      </extLst>
    </cfRule>
  </conditionalFormatting>
  <conditionalFormatting sqref="R17">
    <cfRule type="dataBar" priority="6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{7216ADFF-6595-4437-A565-2563481121E0}</x14:id>
        </ext>
      </extLst>
    </cfRule>
  </conditionalFormatting>
  <conditionalFormatting sqref="O27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{E2165DCE-E314-42FA-829B-64AD35607FF7}</x14:id>
        </ext>
      </extLst>
    </cfRule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{8E114CAE-F477-434F-BB5B-BC6990133DC3}</x14:id>
        </ext>
      </extLst>
    </cfRule>
  </conditionalFormatting>
  <conditionalFormatting sqref="O27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{C0B0AA12-7BF1-4ECD-86F4-F6E4A6BFC7F1}</x14:id>
        </ext>
      </extLst>
    </cfRule>
  </conditionalFormatting>
  <conditionalFormatting sqref="O27">
    <cfRule type="dataBar" priority="6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{0A0670FD-6130-43C9-B6D9-D02A3AA91865}</x14:id>
        </ext>
      </extLst>
    </cfRule>
  </conditionalFormatting>
  <conditionalFormatting sqref="L27">
    <cfRule type="dataBar" priority="6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{D3A8C660-D104-47CA-85A1-0B7A44599DD0}</x14:id>
        </ext>
      </extLst>
    </cfRule>
    <cfRule type="dataBar" priority="6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{E72E6596-132B-4228-B18F-CE24F3DEF446}</x14:id>
        </ext>
      </extLst>
    </cfRule>
  </conditionalFormatting>
  <conditionalFormatting sqref="L27">
    <cfRule type="dataBar" priority="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{2554784E-95C9-4E67-8FA3-7EF0EFC85036}</x14:id>
        </ext>
      </extLst>
    </cfRule>
  </conditionalFormatting>
  <conditionalFormatting sqref="L27">
    <cfRule type="dataBar" priority="6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{E3358004-A96A-4341-9927-4F1C0B82A8DD}</x14:id>
        </ext>
      </extLst>
    </cfRule>
  </conditionalFormatting>
  <conditionalFormatting sqref="O27">
    <cfRule type="dataBar" priority="6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{5B0BBE33-DA11-42CF-9898-08A2369AC9FB}</x14:id>
        </ext>
      </extLst>
    </cfRule>
  </conditionalFormatting>
  <conditionalFormatting sqref="L27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{85151E4F-8BAC-4DBD-B39F-DDB8717AFCE7}</x14:id>
        </ext>
      </extLst>
    </cfRule>
  </conditionalFormatting>
  <conditionalFormatting sqref="L27">
    <cfRule type="dataBar" priority="6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{35FC0D2F-4D59-4EAE-B137-2339A5C383C3}</x14:id>
        </ext>
      </extLst>
    </cfRule>
  </conditionalFormatting>
  <conditionalFormatting sqref="O27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{093B9A69-A1A2-40D3-9D6F-A16F9CF3408F}</x14:id>
        </ext>
      </extLst>
    </cfRule>
  </conditionalFormatting>
  <conditionalFormatting sqref="L27">
    <cfRule type="dataBar" priority="6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{DA3A96F6-242C-432A-A7D1-4C7193467790}</x14:id>
        </ext>
      </extLst>
    </cfRule>
  </conditionalFormatting>
  <conditionalFormatting sqref="O27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{C987BF14-71F2-4A91-AD8A-13BDB32710EB}</x14:id>
        </ext>
      </extLst>
    </cfRule>
  </conditionalFormatting>
  <conditionalFormatting sqref="L27">
    <cfRule type="dataBar" priority="6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{37755A19-99D1-4FAF-B292-766860CBC0FC}</x14:id>
        </ext>
      </extLst>
    </cfRule>
  </conditionalFormatting>
  <conditionalFormatting sqref="O27">
    <cfRule type="dataBar" priority="6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{377699FD-9320-464C-8B6E-90F107F23398}</x14:id>
        </ext>
      </extLst>
    </cfRule>
  </conditionalFormatting>
  <conditionalFormatting sqref="Q27">
    <cfRule type="dataBar" priority="6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{DBBB8834-A510-4FE2-B8E2-C19D1E163E21}</x14:id>
        </ext>
      </extLst>
    </cfRule>
  </conditionalFormatting>
  <conditionalFormatting sqref="Q27">
    <cfRule type="dataBar" priority="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{08AABF57-A77C-41F2-BF98-BE15C7415AA0}</x14:id>
        </ext>
      </extLst>
    </cfRule>
  </conditionalFormatting>
  <conditionalFormatting sqref="R27">
    <cfRule type="dataBar" priority="6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{F00F7B5C-6269-4077-8223-638AD73C9F78}</x14:id>
        </ext>
      </extLst>
    </cfRule>
    <cfRule type="dataBar" priority="6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{10929EBA-ED2F-403F-B630-B20DE920E508}</x14:id>
        </ext>
      </extLst>
    </cfRule>
  </conditionalFormatting>
  <conditionalFormatting sqref="Q27">
    <cfRule type="dataBar" priority="6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{C7DD11D4-AD66-4161-BDAC-2E9AB3D86D73}</x14:id>
        </ext>
      </extLst>
    </cfRule>
  </conditionalFormatting>
  <conditionalFormatting sqref="R27">
    <cfRule type="dataBar" priority="6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{05CF78BA-DF78-403F-A29F-D6C50FC24E08}</x14:id>
        </ext>
      </extLst>
    </cfRule>
  </conditionalFormatting>
  <conditionalFormatting sqref="Q27">
    <cfRule type="dataBar" priority="6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{8E1EBBE0-16F3-4C22-9F98-216B98918207}</x14:id>
        </ext>
      </extLst>
    </cfRule>
  </conditionalFormatting>
  <conditionalFormatting sqref="R27">
    <cfRule type="dataBar" priority="6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{90478455-456B-4B8E-BF4F-6BC66A82CF75}</x14:id>
        </ext>
      </extLst>
    </cfRule>
  </conditionalFormatting>
  <conditionalFormatting sqref="Q27">
    <cfRule type="dataBar" priority="6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{E8815640-0D82-431F-B530-90D17E15504B}</x14:id>
        </ext>
      </extLst>
    </cfRule>
  </conditionalFormatting>
  <conditionalFormatting sqref="R27">
    <cfRule type="dataBar" priority="6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{734FEFF5-DB1E-4FE4-91A0-6305BEB8D2DD}</x14:id>
        </ext>
      </extLst>
    </cfRule>
  </conditionalFormatting>
  <conditionalFormatting sqref="R27">
    <cfRule type="dataBar" priority="6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{AE6707A8-8EEE-4D9F-8525-8D563476339D}</x14:id>
        </ext>
      </extLst>
    </cfRule>
  </conditionalFormatting>
  <conditionalFormatting sqref="Q27">
    <cfRule type="dataBar" priority="6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{C5304DCD-33C1-4B40-8DDC-535B7FF40BC6}</x14:id>
        </ext>
      </extLst>
    </cfRule>
  </conditionalFormatting>
  <conditionalFormatting sqref="R27">
    <cfRule type="dataBar" priority="6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{69419BC9-3A0D-40FC-BFDC-F062F92DDE34}</x14:id>
        </ext>
      </extLst>
    </cfRule>
  </conditionalFormatting>
  <conditionalFormatting sqref="Q27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{364EA238-6DFF-4009-854A-322FEADAACCD}</x14:id>
        </ext>
      </extLst>
    </cfRule>
  </conditionalFormatting>
  <conditionalFormatting sqref="R27">
    <cfRule type="dataBar" priority="6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{18F8445B-0598-4962-A5BC-6E17D022A14E}</x14:id>
        </ext>
      </extLst>
    </cfRule>
  </conditionalFormatting>
  <conditionalFormatting sqref="Q27">
    <cfRule type="dataBar" priority="5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{E9669EA0-9832-4CA6-8225-7B9B29D1163F}</x14:id>
        </ext>
      </extLst>
    </cfRule>
  </conditionalFormatting>
  <conditionalFormatting sqref="R27">
    <cfRule type="dataBar" priority="5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{9F3A413A-AB45-42E4-9F13-A0DD77AED3FF}</x14:id>
        </ext>
      </extLst>
    </cfRule>
  </conditionalFormatting>
  <conditionalFormatting sqref="Q27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{AFF733C3-E302-4A88-865D-45D8FCE42B4A}</x14:id>
        </ext>
      </extLst>
    </cfRule>
  </conditionalFormatting>
  <conditionalFormatting sqref="R27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{E9B4DF84-D752-4584-848C-DCCDAEE702EE}</x14:id>
        </ext>
      </extLst>
    </cfRule>
  </conditionalFormatting>
  <conditionalFormatting sqref="Q26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{06C14580-9FAD-4903-9C23-8F5D5DBEED05}</x14:id>
        </ext>
      </extLst>
    </cfRule>
  </conditionalFormatting>
  <conditionalFormatting sqref="Q26">
    <cfRule type="dataBar" priority="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{C1EFB330-C4D3-4404-8F9C-7C80B38237ED}</x14:id>
        </ext>
      </extLst>
    </cfRule>
  </conditionalFormatting>
  <conditionalFormatting sqref="R26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{24385F22-122F-4C72-B447-238A52218A3E}</x14:id>
        </ext>
      </extLst>
    </cfRule>
    <cfRule type="dataBar" priority="5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{42036946-70F9-425C-A583-2281CF98AFFB}</x14:id>
        </ext>
      </extLst>
    </cfRule>
  </conditionalFormatting>
  <conditionalFormatting sqref="Q26"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{C11B4D5F-A834-41AE-B9E5-47D570DA47BF}</x14:id>
        </ext>
      </extLst>
    </cfRule>
  </conditionalFormatting>
  <conditionalFormatting sqref="R26">
    <cfRule type="dataBar" priority="5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{2E91B986-34FC-4F0A-ABED-5308BD4763DF}</x14:id>
        </ext>
      </extLst>
    </cfRule>
  </conditionalFormatting>
  <conditionalFormatting sqref="Q26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{249F09AF-86A9-4E22-9ADE-2F0A47D98FF8}</x14:id>
        </ext>
      </extLst>
    </cfRule>
  </conditionalFormatting>
  <conditionalFormatting sqref="R26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{86DD7EA2-BD2F-4485-A714-8590C91A0D55}</x14:id>
        </ext>
      </extLst>
    </cfRule>
  </conditionalFormatting>
  <conditionalFormatting sqref="Q26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{236F3D1B-80DB-4F8F-BDE9-B4D159CA9094}</x14:id>
        </ext>
      </extLst>
    </cfRule>
  </conditionalFormatting>
  <conditionalFormatting sqref="R26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{2E7C2E0B-9A54-4DE8-A73A-B4C63168D160}</x14:id>
        </ext>
      </extLst>
    </cfRule>
  </conditionalFormatting>
  <conditionalFormatting sqref="R26">
    <cfRule type="dataBar" priority="5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{5ABBD8A8-4BC5-45F0-8B2B-91DA7F2D2BF0}</x14:id>
        </ext>
      </extLst>
    </cfRule>
  </conditionalFormatting>
  <conditionalFormatting sqref="O26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{7EE80292-EBDA-40A9-86B1-3112FB4F0F1E}</x14:id>
        </ext>
      </extLst>
    </cfRule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{34EA8FBC-FD40-4089-A591-AD7FCD501CD2}</x14:id>
        </ext>
      </extLst>
    </cfRule>
  </conditionalFormatting>
  <conditionalFormatting sqref="O26">
    <cfRule type="dataBar" priority="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{CE02ED71-968A-4A1C-AE33-1290493DD859}</x14:id>
        </ext>
      </extLst>
    </cfRule>
  </conditionalFormatting>
  <conditionalFormatting sqref="O26"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{0AEECDF1-F853-4164-8D96-D878F469A5A6}</x14:id>
        </ext>
      </extLst>
    </cfRule>
  </conditionalFormatting>
  <conditionalFormatting sqref="L26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{26EB8306-F214-463F-A478-539D2A08259A}</x14:id>
        </ext>
      </extLst>
    </cfRule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{D01223DD-FE15-4F11-8ACC-74D2022F1B9A}</x14:id>
        </ext>
      </extLst>
    </cfRule>
  </conditionalFormatting>
  <conditionalFormatting sqref="L26">
    <cfRule type="dataBar" priority="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{56E942B9-C5D2-49DB-9B76-D4FAC697E94F}</x14:id>
        </ext>
      </extLst>
    </cfRule>
  </conditionalFormatting>
  <conditionalFormatting sqref="L26"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{6AEE18E7-D6B7-4F35-86B9-8F22E5FEE3BE}</x14:id>
        </ext>
      </extLst>
    </cfRule>
  </conditionalFormatting>
  <conditionalFormatting sqref="O26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{20A2EB8E-F8D5-491E-B63C-0A7708EBC15C}</x14:id>
        </ext>
      </extLst>
    </cfRule>
  </conditionalFormatting>
  <conditionalFormatting sqref="Q26"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{5E7770EF-DAAF-4D5A-9656-F24166C298F2}</x14:id>
        </ext>
      </extLst>
    </cfRule>
  </conditionalFormatting>
  <conditionalFormatting sqref="R26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{A76B25F9-CB7E-4128-9FEF-B6C067D513B1}</x14:id>
        </ext>
      </extLst>
    </cfRule>
  </conditionalFormatting>
  <conditionalFormatting sqref="L26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{B1A0D6E3-CB8F-4068-AC48-519517E31E0A}</x14:id>
        </ext>
      </extLst>
    </cfRule>
  </conditionalFormatting>
  <conditionalFormatting sqref="L26">
    <cfRule type="dataBar" priority="5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{A984CE08-B198-4C4A-AB63-218DA2F469C0}</x14:id>
        </ext>
      </extLst>
    </cfRule>
  </conditionalFormatting>
  <conditionalFormatting sqref="O26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{D8C1250D-F237-4297-9015-89FD37CC5383}</x14:id>
        </ext>
      </extLst>
    </cfRule>
  </conditionalFormatting>
  <conditionalFormatting sqref="Q26">
    <cfRule type="dataBar" priority="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{C4D78500-8F4A-43AA-8098-CA5F50A042E3}</x14:id>
        </ext>
      </extLst>
    </cfRule>
  </conditionalFormatting>
  <conditionalFormatting sqref="R26">
    <cfRule type="dataBar" priority="5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{BE097700-6EC5-4BBE-AA5A-E2641899890D}</x14:id>
        </ext>
      </extLst>
    </cfRule>
  </conditionalFormatting>
  <conditionalFormatting sqref="L26">
    <cfRule type="dataBar" priority="5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{5F0D4C1F-9E2A-40D2-8E4E-47B59EDF5582}</x14:id>
        </ext>
      </extLst>
    </cfRule>
  </conditionalFormatting>
  <conditionalFormatting sqref="O26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{13D018ED-A9DE-4D9E-A6AE-C1BBCFED542A}</x14:id>
        </ext>
      </extLst>
    </cfRule>
  </conditionalFormatting>
  <conditionalFormatting sqref="Q26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{2803817A-7768-4917-B635-6C443432E1BD}</x14:id>
        </ext>
      </extLst>
    </cfRule>
  </conditionalFormatting>
  <conditionalFormatting sqref="R26">
    <cfRule type="dataBar" priority="5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{286C5670-5A14-4F76-82CF-CF568BFED7F2}</x14:id>
        </ext>
      </extLst>
    </cfRule>
  </conditionalFormatting>
  <conditionalFormatting sqref="L26">
    <cfRule type="dataBar" priority="5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{01C3E0B9-F1EF-4FE6-A4D1-602500BB3D8A}</x14:id>
        </ext>
      </extLst>
    </cfRule>
  </conditionalFormatting>
  <conditionalFormatting sqref="O26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{6409DB30-5704-4FD0-BFCE-DA334C8C9145}</x14:id>
        </ext>
      </extLst>
    </cfRule>
  </conditionalFormatting>
  <conditionalFormatting sqref="Q26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{59477164-CFA0-488F-97DF-EE3A51039482}</x14:id>
        </ext>
      </extLst>
    </cfRule>
  </conditionalFormatting>
  <conditionalFormatting sqref="R26">
    <cfRule type="dataBar" priority="5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{77BD4F37-5596-4576-BCCB-E17227950D1C}</x14:id>
        </ext>
      </extLst>
    </cfRule>
  </conditionalFormatting>
  <conditionalFormatting sqref="Q18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{097A9C26-5B60-4638-969D-0EAA0813DE3B}</x14:id>
        </ext>
      </extLst>
    </cfRule>
  </conditionalFormatting>
  <conditionalFormatting sqref="Q18"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{649CEA46-9B44-4EB0-8B4B-2945EE54B4C0}</x14:id>
        </ext>
      </extLst>
    </cfRule>
  </conditionalFormatting>
  <conditionalFormatting sqref="R18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{646CC5DA-C88C-4D8C-98FE-0F407B5802C8}</x14:id>
        </ext>
      </extLst>
    </cfRule>
    <cfRule type="dataBar" priority="4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{8C099117-2436-47D7-B39F-759B76FF85BE}</x14:id>
        </ext>
      </extLst>
    </cfRule>
  </conditionalFormatting>
  <conditionalFormatting sqref="Q18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{9C86B30F-B3A9-47FD-B77F-E6BC95D0E040}</x14:id>
        </ext>
      </extLst>
    </cfRule>
  </conditionalFormatting>
  <conditionalFormatting sqref="R18">
    <cfRule type="dataBar" priority="4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{33F9D617-E978-4AB0-BF76-2E72620C695C}</x14:id>
        </ext>
      </extLst>
    </cfRule>
  </conditionalFormatting>
  <conditionalFormatting sqref="Q18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{2C1347E7-B48C-4A6D-AB38-11EFAA1600EB}</x14:id>
        </ext>
      </extLst>
    </cfRule>
  </conditionalFormatting>
  <conditionalFormatting sqref="R18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{641834CD-935C-478F-9311-754E28FEF809}</x14:id>
        </ext>
      </extLst>
    </cfRule>
  </conditionalFormatting>
  <conditionalFormatting sqref="Q18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{5776B4E3-1EB3-4088-9924-194E084D753A}</x14:id>
        </ext>
      </extLst>
    </cfRule>
  </conditionalFormatting>
  <conditionalFormatting sqref="R18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{697D7B3D-090E-442A-AEE7-A195A7135E47}</x14:id>
        </ext>
      </extLst>
    </cfRule>
  </conditionalFormatting>
  <conditionalFormatting sqref="R18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{9B9C9A2A-3732-4ECE-8999-0D41C1562FE3}</x14:id>
        </ext>
      </extLst>
    </cfRule>
  </conditionalFormatting>
  <conditionalFormatting sqref="O18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{C7578B45-73D8-4F30-AC08-8B9AC7FA5824}</x14:id>
        </ext>
      </extLst>
    </cfRule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{DDF80033-3CE6-4F3B-85E9-5436948F2250}</x14:id>
        </ext>
      </extLst>
    </cfRule>
  </conditionalFormatting>
  <conditionalFormatting sqref="O18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{4C79FF9E-916A-471D-BE16-BAB1422144A5}</x14:id>
        </ext>
      </extLst>
    </cfRule>
  </conditionalFormatting>
  <conditionalFormatting sqref="O18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{D8A78F5B-6EDD-470D-A13E-374804CC0962}</x14:id>
        </ext>
      </extLst>
    </cfRule>
  </conditionalFormatting>
  <conditionalFormatting sqref="L18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{027BBECE-300B-4DBF-A826-3B8FA4E45F26}</x14:id>
        </ext>
      </extLst>
    </cfRule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{49E36B1F-229F-42E9-A962-33622433F9C7}</x14:id>
        </ext>
      </extLst>
    </cfRule>
  </conditionalFormatting>
  <conditionalFormatting sqref="L18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{FE295A8B-DC93-4E34-8970-FB717AECFB22}</x14:id>
        </ext>
      </extLst>
    </cfRule>
  </conditionalFormatting>
  <conditionalFormatting sqref="L18"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{960DA18F-9722-40AA-BFEA-1FA153D0B83C}</x14:id>
        </ext>
      </extLst>
    </cfRule>
  </conditionalFormatting>
  <conditionalFormatting sqref="O18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{367E43D0-CE48-4EDB-9984-FD4F115B4C4F}</x14:id>
        </ext>
      </extLst>
    </cfRule>
  </conditionalFormatting>
  <conditionalFormatting sqref="Q18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{F2C09065-8FB3-484D-AB76-8B96DCA6AD52}</x14:id>
        </ext>
      </extLst>
    </cfRule>
  </conditionalFormatting>
  <conditionalFormatting sqref="R18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{3D1423D8-CFA7-4754-9542-689E943D68C8}</x14:id>
        </ext>
      </extLst>
    </cfRule>
  </conditionalFormatting>
  <conditionalFormatting sqref="L18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{CA6E7471-D566-4A3A-A87F-A0D33B63D6D9}</x14:id>
        </ext>
      </extLst>
    </cfRule>
  </conditionalFormatting>
  <conditionalFormatting sqref="L18">
    <cfRule type="dataBar" priority="4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{15812B7C-2087-4D23-A0F1-A0ECD649DBD6}</x14:id>
        </ext>
      </extLst>
    </cfRule>
  </conditionalFormatting>
  <conditionalFormatting sqref="O18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{616D5828-F976-4089-8B3D-73E20C166651}</x14:id>
        </ext>
      </extLst>
    </cfRule>
  </conditionalFormatting>
  <conditionalFormatting sqref="Q18">
    <cfRule type="dataBar" priority="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{91E7480D-AD5B-4B02-9B49-7E563166B2ED}</x14:id>
        </ext>
      </extLst>
    </cfRule>
  </conditionalFormatting>
  <conditionalFormatting sqref="R18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{65424BC9-F3E4-4508-8903-98A4B0AFBAE6}</x14:id>
        </ext>
      </extLst>
    </cfRule>
  </conditionalFormatting>
  <conditionalFormatting sqref="L18">
    <cfRule type="dataBar" priority="4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{B9E35401-3F8D-4D0B-8652-594390C74D20}</x14:id>
        </ext>
      </extLst>
    </cfRule>
  </conditionalFormatting>
  <conditionalFormatting sqref="O18"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{52D1A233-F26D-48DA-B411-C64F21DA1C30}</x14:id>
        </ext>
      </extLst>
    </cfRule>
  </conditionalFormatting>
  <conditionalFormatting sqref="Q18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{4F747305-9F36-497A-B568-7A0FB2B5489C}</x14:id>
        </ext>
      </extLst>
    </cfRule>
  </conditionalFormatting>
  <conditionalFormatting sqref="R18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{A6D0E113-0DB8-4BD4-BA17-02D89167EF9E}</x14:id>
        </ext>
      </extLst>
    </cfRule>
  </conditionalFormatting>
  <conditionalFormatting sqref="L18">
    <cfRule type="dataBar" priority="4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{A8A0A6FF-4F12-4099-AB77-0B9EDFD41D9B}</x14:id>
        </ext>
      </extLst>
    </cfRule>
  </conditionalFormatting>
  <conditionalFormatting sqref="O18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{B15C0153-9478-4B1E-B5A7-BDA80644FB99}</x14:id>
        </ext>
      </extLst>
    </cfRule>
  </conditionalFormatting>
  <conditionalFormatting sqref="Q18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{8FF0923B-3F2F-4E08-BA62-37DB31B21473}</x14:id>
        </ext>
      </extLst>
    </cfRule>
  </conditionalFormatting>
  <conditionalFormatting sqref="R18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{2C501CE5-F85A-4AB6-B278-61482BA80C8E}</x14:id>
        </ext>
      </extLst>
    </cfRule>
  </conditionalFormatting>
  <conditionalFormatting sqref="Q18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{CB8504CB-9E9C-43AB-9FE7-2BFA68E03202}</x14:id>
        </ext>
      </extLst>
    </cfRule>
  </conditionalFormatting>
  <conditionalFormatting sqref="Q18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{B04C80B7-C583-421E-97F1-0AE1306F181E}</x14:id>
        </ext>
      </extLst>
    </cfRule>
  </conditionalFormatting>
  <conditionalFormatting sqref="R18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{FA62B481-007C-44E8-9751-4DBF21663952}</x14:id>
        </ext>
      </extLst>
    </cfRule>
    <cfRule type="dataBar" priority="4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{C7EAFEC1-FF49-413A-91AB-297AD63FCDF0}</x14:id>
        </ext>
      </extLst>
    </cfRule>
  </conditionalFormatting>
  <conditionalFormatting sqref="Q18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{E4308089-177D-4437-A091-423B213DD771}</x14:id>
        </ext>
      </extLst>
    </cfRule>
  </conditionalFormatting>
  <conditionalFormatting sqref="R18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{3851B543-05FD-4760-9740-C6757227CEFC}</x14:id>
        </ext>
      </extLst>
    </cfRule>
  </conditionalFormatting>
  <conditionalFormatting sqref="Q18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{FDCACF3A-B943-4B48-92B9-281740CC8950}</x14:id>
        </ext>
      </extLst>
    </cfRule>
  </conditionalFormatting>
  <conditionalFormatting sqref="R18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{E8B80476-3038-45CC-BE54-F03C63EF6713}</x14:id>
        </ext>
      </extLst>
    </cfRule>
  </conditionalFormatting>
  <conditionalFormatting sqref="Q18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{8907CD85-A53B-403B-B5D1-6E3B7DA640E5}</x14:id>
        </ext>
      </extLst>
    </cfRule>
  </conditionalFormatting>
  <conditionalFormatting sqref="R18">
    <cfRule type="dataBar" priority="4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{662AF84A-D442-4A6E-98FB-46CC6E1C817F}</x14:id>
        </ext>
      </extLst>
    </cfRule>
  </conditionalFormatting>
  <conditionalFormatting sqref="R18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{A22F56DA-DE8A-4841-AE22-F592D298E94E}</x14:id>
        </ext>
      </extLst>
    </cfRule>
  </conditionalFormatting>
  <conditionalFormatting sqref="O18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{A9CDE5F5-49A3-474A-8503-FFC90308F2E2}</x14:id>
        </ext>
      </extLst>
    </cfRule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{B7747B90-756A-4E7D-BCD5-DC75BB00A507}</x14:id>
        </ext>
      </extLst>
    </cfRule>
  </conditionalFormatting>
  <conditionalFormatting sqref="O18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{641AC755-CB83-40CC-BE14-F70061C44AF3}</x14:id>
        </ext>
      </extLst>
    </cfRule>
  </conditionalFormatting>
  <conditionalFormatting sqref="O18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{AFE69542-19B4-4874-B7F6-C57C61E723B3}</x14:id>
        </ext>
      </extLst>
    </cfRule>
  </conditionalFormatting>
  <conditionalFormatting sqref="L18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{16E11BAD-CB98-4FB8-8C36-5165CB620E4E}</x14:id>
        </ext>
      </extLst>
    </cfRule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{609D4314-E1BC-4FDB-9B6B-A2E70C691619}</x14:id>
        </ext>
      </extLst>
    </cfRule>
  </conditionalFormatting>
  <conditionalFormatting sqref="L18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{10ADC19D-A42E-4835-BE7F-FCBADDE338E1}</x14:id>
        </ext>
      </extLst>
    </cfRule>
  </conditionalFormatting>
  <conditionalFormatting sqref="L18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{CF4F03B1-2067-4F04-AB61-2956DA754898}</x14:id>
        </ext>
      </extLst>
    </cfRule>
  </conditionalFormatting>
  <conditionalFormatting sqref="O18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{A3852235-3E84-48DC-A989-224C337973B1}</x14:id>
        </ext>
      </extLst>
    </cfRule>
  </conditionalFormatting>
  <conditionalFormatting sqref="Q18"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{7A521DA3-BB41-4207-ADFD-3BCFC8350B63}</x14:id>
        </ext>
      </extLst>
    </cfRule>
  </conditionalFormatting>
  <conditionalFormatting sqref="R18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{2736EA42-D2D7-4914-9453-B96F59EC955E}</x14:id>
        </ext>
      </extLst>
    </cfRule>
  </conditionalFormatting>
  <conditionalFormatting sqref="L18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{67857B84-3558-4817-A3FD-9F754BF42E80}</x14:id>
        </ext>
      </extLst>
    </cfRule>
  </conditionalFormatting>
  <conditionalFormatting sqref="L18">
    <cfRule type="dataBar" priority="4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{49CA014E-1A43-4EF7-BCE2-191D729A77FB}</x14:id>
        </ext>
      </extLst>
    </cfRule>
  </conditionalFormatting>
  <conditionalFormatting sqref="O18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{FCEA9DF4-5B6B-4B24-A532-4516AC807ABA}</x14:id>
        </ext>
      </extLst>
    </cfRule>
  </conditionalFormatting>
  <conditionalFormatting sqref="Q18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{7A9B6292-73F9-47E0-AA61-466366F8892C}</x14:id>
        </ext>
      </extLst>
    </cfRule>
  </conditionalFormatting>
  <conditionalFormatting sqref="R18">
    <cfRule type="dataBar" priority="4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{0DCD6E56-A9B1-4A2D-B37D-12EA2F2CAF8E}</x14:id>
        </ext>
      </extLst>
    </cfRule>
  </conditionalFormatting>
  <conditionalFormatting sqref="L18">
    <cfRule type="dataBar" priority="4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{4A2D325A-5145-4AF4-93AC-7EF552BBC979}</x14:id>
        </ext>
      </extLst>
    </cfRule>
  </conditionalFormatting>
  <conditionalFormatting sqref="O18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{B4013529-C84C-49F0-BC0B-A94582564981}</x14:id>
        </ext>
      </extLst>
    </cfRule>
  </conditionalFormatting>
  <conditionalFormatting sqref="Q18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{9DF3397D-D6F1-4176-8B16-AFDCAF2597BD}</x14:id>
        </ext>
      </extLst>
    </cfRule>
  </conditionalFormatting>
  <conditionalFormatting sqref="R18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{1C620DBE-6BF7-4421-BA33-D63551FF0BEF}</x14:id>
        </ext>
      </extLst>
    </cfRule>
  </conditionalFormatting>
  <conditionalFormatting sqref="L18">
    <cfRule type="dataBar" priority="4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{AF8C5013-9B41-4B65-8820-21861355EA98}</x14:id>
        </ext>
      </extLst>
    </cfRule>
  </conditionalFormatting>
  <conditionalFormatting sqref="O18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{907B4FB0-40B6-4189-95F6-366C43797A72}</x14:id>
        </ext>
      </extLst>
    </cfRule>
  </conditionalFormatting>
  <conditionalFormatting sqref="Q18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{5EF25CFF-DD45-4338-B57E-855082BF907F}</x14:id>
        </ext>
      </extLst>
    </cfRule>
  </conditionalFormatting>
  <conditionalFormatting sqref="R18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{1EBF6B34-CE8A-47E5-8D9B-8ACACED841D8}</x14:id>
        </ext>
      </extLst>
    </cfRule>
  </conditionalFormatting>
  <conditionalFormatting sqref="Q19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{2B1D34D0-3508-42F4-97BD-AD30F804CF57}</x14:id>
        </ext>
      </extLst>
    </cfRule>
  </conditionalFormatting>
  <conditionalFormatting sqref="Q19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{D2F5DF5B-146A-4F73-B04A-69385496A774}</x14:id>
        </ext>
      </extLst>
    </cfRule>
  </conditionalFormatting>
  <conditionalFormatting sqref="R19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{8189F1F9-3CD2-4FA1-BCE5-E4D6A45896AE}</x14:id>
        </ext>
      </extLst>
    </cfRule>
    <cfRule type="dataBar" priority="4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{063A3BE5-DFA5-4950-833D-8C826122AA68}</x14:id>
        </ext>
      </extLst>
    </cfRule>
  </conditionalFormatting>
  <conditionalFormatting sqref="Q19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{95FB393F-2DB5-4856-BFAE-487671D32868}</x14:id>
        </ext>
      </extLst>
    </cfRule>
  </conditionalFormatting>
  <conditionalFormatting sqref="R19">
    <cfRule type="dataBar" priority="4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{5F629CDB-CEF7-4C6B-AAF4-07050872A298}</x14:id>
        </ext>
      </extLst>
    </cfRule>
  </conditionalFormatting>
  <conditionalFormatting sqref="Q19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{384F2463-AE7E-4851-91EA-C0BCBD7CC099}</x14:id>
        </ext>
      </extLst>
    </cfRule>
  </conditionalFormatting>
  <conditionalFormatting sqref="R19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{C2607007-0E39-453E-8C24-C8749DBCD5E5}</x14:id>
        </ext>
      </extLst>
    </cfRule>
  </conditionalFormatting>
  <conditionalFormatting sqref="Q19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{8361D25C-5615-4621-A643-EEB98A560B45}</x14:id>
        </ext>
      </extLst>
    </cfRule>
  </conditionalFormatting>
  <conditionalFormatting sqref="R19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{BD194A8E-3AFB-4B03-B99A-6D53F6281E6D}</x14:id>
        </ext>
      </extLst>
    </cfRule>
  </conditionalFormatting>
  <conditionalFormatting sqref="R19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{BAAAA14D-B330-4213-AEB6-C748B5A84D00}</x14:id>
        </ext>
      </extLst>
    </cfRule>
  </conditionalFormatting>
  <conditionalFormatting sqref="O19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{F3CD1860-FEF2-4103-B97F-CB370807F28C}</x14:id>
        </ext>
      </extLst>
    </cfRule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{2A26D1B1-9E01-40DD-8B79-E1843C172472}</x14:id>
        </ext>
      </extLst>
    </cfRule>
  </conditionalFormatting>
  <conditionalFormatting sqref="O19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{0F87EF3C-FE2F-4821-8818-DAD36AC5E9C3}</x14:id>
        </ext>
      </extLst>
    </cfRule>
  </conditionalFormatting>
  <conditionalFormatting sqref="O19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{DC495D25-2ED5-47C9-858A-1D3A6413C724}</x14:id>
        </ext>
      </extLst>
    </cfRule>
  </conditionalFormatting>
  <conditionalFormatting sqref="L19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{C1AAAA08-48ED-422E-A5AF-0769FB020274}</x14:id>
        </ext>
      </extLst>
    </cfRule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{E3B4FD6B-5568-44A1-B295-4310194B16B4}</x14:id>
        </ext>
      </extLst>
    </cfRule>
  </conditionalFormatting>
  <conditionalFormatting sqref="L19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{A7C8A0FC-B645-4714-98CA-299E3C4EA67F}</x14:id>
        </ext>
      </extLst>
    </cfRule>
  </conditionalFormatting>
  <conditionalFormatting sqref="L19">
    <cfRule type="dataBar" priority="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{00B9FCBC-71C4-412F-8F00-764038CE4E03}</x14:id>
        </ext>
      </extLst>
    </cfRule>
  </conditionalFormatting>
  <conditionalFormatting sqref="O19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{70B03ACF-9F82-4CFB-8A27-2DFD04C37A4E}</x14:id>
        </ext>
      </extLst>
    </cfRule>
  </conditionalFormatting>
  <conditionalFormatting sqref="Q19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{D7CC61C4-22BF-47DC-976D-2AA9B27605E8}</x14:id>
        </ext>
      </extLst>
    </cfRule>
  </conditionalFormatting>
  <conditionalFormatting sqref="R19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{5B4BB024-3FAF-45DA-9322-6117E2B27B61}</x14:id>
        </ext>
      </extLst>
    </cfRule>
  </conditionalFormatting>
  <conditionalFormatting sqref="L19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{F0C5C938-03BB-4ADC-918D-3C356AA8B402}</x14:id>
        </ext>
      </extLst>
    </cfRule>
  </conditionalFormatting>
  <conditionalFormatting sqref="L19">
    <cfRule type="dataBar" priority="3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{C1A2A369-9025-4730-9DF1-987C2A98EEC1}</x14:id>
        </ext>
      </extLst>
    </cfRule>
  </conditionalFormatting>
  <conditionalFormatting sqref="O19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{5A33FD2B-D32F-4B7B-8D6A-DF090530520A}</x14:id>
        </ext>
      </extLst>
    </cfRule>
  </conditionalFormatting>
  <conditionalFormatting sqref="Q19">
    <cfRule type="dataBar" priority="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{0D8D3504-7B3D-4494-A72E-A7CA87A0D162}</x14:id>
        </ext>
      </extLst>
    </cfRule>
  </conditionalFormatting>
  <conditionalFormatting sqref="R19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{45C28ECD-BBD1-4A7A-9294-5372216D9824}</x14:id>
        </ext>
      </extLst>
    </cfRule>
  </conditionalFormatting>
  <conditionalFormatting sqref="L19">
    <cfRule type="dataBar" priority="3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{9FB12DEB-CA63-4095-8E37-BF1CD66417E8}</x14:id>
        </ext>
      </extLst>
    </cfRule>
  </conditionalFormatting>
  <conditionalFormatting sqref="O19"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{24AEA825-C15F-41C2-ACD7-EB64838F31FC}</x14:id>
        </ext>
      </extLst>
    </cfRule>
  </conditionalFormatting>
  <conditionalFormatting sqref="Q19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{A0AED05F-901A-440C-8FB5-D7994A2A8640}</x14:id>
        </ext>
      </extLst>
    </cfRule>
  </conditionalFormatting>
  <conditionalFormatting sqref="R19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{C8951745-30AB-4784-A904-AE05787F0173}</x14:id>
        </ext>
      </extLst>
    </cfRule>
  </conditionalFormatting>
  <conditionalFormatting sqref="L19">
    <cfRule type="dataBar" priority="3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{28BF26E8-C628-4F02-988C-BD3ED3C6A6C2}</x14:id>
        </ext>
      </extLst>
    </cfRule>
  </conditionalFormatting>
  <conditionalFormatting sqref="O19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{8430F9D5-4142-438C-BFC2-60CB69A1DE24}</x14:id>
        </ext>
      </extLst>
    </cfRule>
  </conditionalFormatting>
  <conditionalFormatting sqref="Q19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{CEF79B3A-C5E4-47C8-99F9-F94705208B29}</x14:id>
        </ext>
      </extLst>
    </cfRule>
  </conditionalFormatting>
  <conditionalFormatting sqref="R19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{0CC12C70-BECE-4234-894C-18817760DBA2}</x14:id>
        </ext>
      </extLst>
    </cfRule>
  </conditionalFormatting>
  <conditionalFormatting sqref="Q19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{35FC2171-2633-48C0-9702-78CDF1B60F4F}</x14:id>
        </ext>
      </extLst>
    </cfRule>
  </conditionalFormatting>
  <conditionalFormatting sqref="Q19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{1F84585A-C7AA-49F5-A663-F52DE1A34178}</x14:id>
        </ext>
      </extLst>
    </cfRule>
  </conditionalFormatting>
  <conditionalFormatting sqref="R19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{92EC6332-7DCD-4975-8624-1CA3D65FD02C}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{BBA42404-7351-48FB-9FF5-2A06F61763A6}</x14:id>
        </ext>
      </extLst>
    </cfRule>
  </conditionalFormatting>
  <conditionalFormatting sqref="Q19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{7E717CBB-F420-4A10-B019-6A66EF186AA4}</x14:id>
        </ext>
      </extLst>
    </cfRule>
  </conditionalFormatting>
  <conditionalFormatting sqref="R19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{F50A2357-5F8B-4B20-ABD0-243D8B013DF3}</x14:id>
        </ext>
      </extLst>
    </cfRule>
  </conditionalFormatting>
  <conditionalFormatting sqref="Q19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{B9130FA6-013A-4D60-96A9-C7E1EDA82C9B}</x14:id>
        </ext>
      </extLst>
    </cfRule>
  </conditionalFormatting>
  <conditionalFormatting sqref="R19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{C71423A6-8068-4509-8DEB-06DF28498FBD}</x14:id>
        </ext>
      </extLst>
    </cfRule>
  </conditionalFormatting>
  <conditionalFormatting sqref="Q19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{43E0B6CE-4866-493D-9F81-BEC84034C050}</x14:id>
        </ext>
      </extLst>
    </cfRule>
  </conditionalFormatting>
  <conditionalFormatting sqref="R19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{8B4B9AD2-F266-4690-9491-8234CBF5D4D6}</x14:id>
        </ext>
      </extLst>
    </cfRule>
  </conditionalFormatting>
  <conditionalFormatting sqref="R19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{AA057EA3-D9B3-4074-8476-B35077F8F515}</x14:id>
        </ext>
      </extLst>
    </cfRule>
  </conditionalFormatting>
  <conditionalFormatting sqref="O19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{232257AB-B8CB-4C69-883F-196D98BAFCED}</x14:id>
        </ext>
      </extLst>
    </cfRule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{951BC5CA-CA7D-4FAE-9D85-4DEEE85E56B8}</x14:id>
        </ext>
      </extLst>
    </cfRule>
  </conditionalFormatting>
  <conditionalFormatting sqref="O19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{AD284478-AC13-4B02-94F4-B020B449C7B0}</x14:id>
        </ext>
      </extLst>
    </cfRule>
  </conditionalFormatting>
  <conditionalFormatting sqref="O19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{D18BA0A5-D094-4021-AE19-58522BA3B1C1}</x14:id>
        </ext>
      </extLst>
    </cfRule>
  </conditionalFormatting>
  <conditionalFormatting sqref="L19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{17DE1512-9D55-45CB-9C38-2AF4C7044DF7}</x14:id>
        </ext>
      </extLst>
    </cfRule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{B607103C-A412-4CC2-866F-FC2ADAABA90F}</x14:id>
        </ext>
      </extLst>
    </cfRule>
  </conditionalFormatting>
  <conditionalFormatting sqref="L19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{1006E1BA-607F-4F43-8D6A-D8267CB87841}</x14:id>
        </ext>
      </extLst>
    </cfRule>
  </conditionalFormatting>
  <conditionalFormatting sqref="L19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{2B25C587-2088-42F9-B47C-45FE1FC3626E}</x14:id>
        </ext>
      </extLst>
    </cfRule>
  </conditionalFormatting>
  <conditionalFormatting sqref="O19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{5821C9C9-AEEE-4E3A-AE30-45224205D67A}</x14:id>
        </ext>
      </extLst>
    </cfRule>
  </conditionalFormatting>
  <conditionalFormatting sqref="Q19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{C5E21092-53FD-4CB4-8B90-66696B9C8B46}</x14:id>
        </ext>
      </extLst>
    </cfRule>
  </conditionalFormatting>
  <conditionalFormatting sqref="R19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{18153827-7907-4964-8F70-B630603F18A0}</x14:id>
        </ext>
      </extLst>
    </cfRule>
  </conditionalFormatting>
  <conditionalFormatting sqref="L19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{9C66E6B1-25C7-466E-A041-028739F94B5C}</x14:id>
        </ext>
      </extLst>
    </cfRule>
  </conditionalFormatting>
  <conditionalFormatting sqref="L19">
    <cfRule type="dataBar" priority="3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{7B0A8098-1B0D-44F3-AC88-A8917B6F23F8}</x14:id>
        </ext>
      </extLst>
    </cfRule>
  </conditionalFormatting>
  <conditionalFormatting sqref="O19"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{D626C657-CC0B-4D3D-B0D9-06371CDAEFCD}</x14:id>
        </ext>
      </extLst>
    </cfRule>
  </conditionalFormatting>
  <conditionalFormatting sqref="Q19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{60DF7918-06DC-4560-8D4A-81EA382F80BC}</x14:id>
        </ext>
      </extLst>
    </cfRule>
  </conditionalFormatting>
  <conditionalFormatting sqref="R19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{2CBDE2A8-4126-4F9C-B283-ED3D8C221CE1}</x14:id>
        </ext>
      </extLst>
    </cfRule>
  </conditionalFormatting>
  <conditionalFormatting sqref="L19">
    <cfRule type="dataBar" priority="3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{FCBD487A-EDF2-4762-B5EB-F66BE64DA275}</x14:id>
        </ext>
      </extLst>
    </cfRule>
  </conditionalFormatting>
  <conditionalFormatting sqref="O19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{BE9F2296-4E95-44A6-BA7F-611325D4A45A}</x14:id>
        </ext>
      </extLst>
    </cfRule>
  </conditionalFormatting>
  <conditionalFormatting sqref="Q19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{4914195D-32C6-4E08-A1CD-AB0AAFF877EC}</x14:id>
        </ext>
      </extLst>
    </cfRule>
  </conditionalFormatting>
  <conditionalFormatting sqref="R19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{31394C28-6D2E-4597-9D62-AAB36069E09B}</x14:id>
        </ext>
      </extLst>
    </cfRule>
  </conditionalFormatting>
  <conditionalFormatting sqref="L19">
    <cfRule type="dataBar" priority="3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{61E9422B-C1F0-4F41-ADBD-C1F95A56BA4E}</x14:id>
        </ext>
      </extLst>
    </cfRule>
  </conditionalFormatting>
  <conditionalFormatting sqref="O19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{ADF76095-4028-437C-A025-9AA943B69920}</x14:id>
        </ext>
      </extLst>
    </cfRule>
  </conditionalFormatting>
  <conditionalFormatting sqref="Q19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{2722A974-68BA-4181-ADC6-9684946201E7}</x14:id>
        </ext>
      </extLst>
    </cfRule>
  </conditionalFormatting>
  <conditionalFormatting sqref="R19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{BA88E176-E5AC-484C-9EEB-77E12EBDBB89}</x14:id>
        </ext>
      </extLst>
    </cfRule>
  </conditionalFormatting>
  <conditionalFormatting sqref="Q20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{6C0F2236-8EFE-4EAC-942D-E0F24C7EC09E}</x14:id>
        </ext>
      </extLst>
    </cfRule>
  </conditionalFormatting>
  <conditionalFormatting sqref="Q20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{9B1F8B76-DFBF-46D2-BF9E-307645FE00AE}</x14:id>
        </ext>
      </extLst>
    </cfRule>
  </conditionalFormatting>
  <conditionalFormatting sqref="R20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{8E863291-5C48-4995-9B12-B86E8178B5A0}</x14:id>
        </ext>
      </extLst>
    </cfRule>
    <cfRule type="dataBar" priority="3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{739CB288-E470-4F15-BE7C-C86B2D50B21F}</x14:id>
        </ext>
      </extLst>
    </cfRule>
  </conditionalFormatting>
  <conditionalFormatting sqref="Q20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{62D177AD-8278-4445-AAC0-E18B7C7BDC82}</x14:id>
        </ext>
      </extLst>
    </cfRule>
  </conditionalFormatting>
  <conditionalFormatting sqref="R20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{58FFF631-F5AA-4A6D-9DB2-976CB3B94BAC}</x14:id>
        </ext>
      </extLst>
    </cfRule>
  </conditionalFormatting>
  <conditionalFormatting sqref="Q20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{7E886A95-9079-4ACA-A8D2-96809D154FDB}</x14:id>
        </ext>
      </extLst>
    </cfRule>
  </conditionalFormatting>
  <conditionalFormatting sqref="R20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{0F40DE32-A1CE-49B8-92A7-F5255FFD9A0E}</x14:id>
        </ext>
      </extLst>
    </cfRule>
  </conditionalFormatting>
  <conditionalFormatting sqref="Q20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{7C189C14-D12E-450B-93A3-4E84EDDED6F4}</x14:id>
        </ext>
      </extLst>
    </cfRule>
  </conditionalFormatting>
  <conditionalFormatting sqref="R20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{4DE74499-4D12-4F9B-98B9-57B0C6EEAD0B}</x14:id>
        </ext>
      </extLst>
    </cfRule>
  </conditionalFormatting>
  <conditionalFormatting sqref="R20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{9E2A23B0-34E6-40BC-A356-49EF75F60767}</x14:id>
        </ext>
      </extLst>
    </cfRule>
  </conditionalFormatting>
  <conditionalFormatting sqref="O20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{A67842AA-3D51-4765-A2B9-35E07C8A940B}</x14:id>
        </ext>
      </extLst>
    </cfRule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{E8163AB2-CDF5-43A3-ACBD-5EAA3E90EAC6}</x14:id>
        </ext>
      </extLst>
    </cfRule>
  </conditionalFormatting>
  <conditionalFormatting sqref="O20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{06DA1356-121C-4133-8734-DA4F4683C87F}</x14:id>
        </ext>
      </extLst>
    </cfRule>
  </conditionalFormatting>
  <conditionalFormatting sqref="O20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{5B1DF085-56CA-482D-9D8D-1BF3BAAAFF86}</x14:id>
        </ext>
      </extLst>
    </cfRule>
  </conditionalFormatting>
  <conditionalFormatting sqref="L20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{145630E7-9196-4E74-BC72-21A93D5A00BC}</x14:id>
        </ext>
      </extLst>
    </cfRule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{3508836B-111D-4F95-BD67-0A9675C041AA}</x14:id>
        </ext>
      </extLst>
    </cfRule>
  </conditionalFormatting>
  <conditionalFormatting sqref="L20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{DC32DA35-7523-492C-9A89-0B40C8B4BFB3}</x14:id>
        </ext>
      </extLst>
    </cfRule>
  </conditionalFormatting>
  <conditionalFormatting sqref="L20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{7A53F888-CC67-45F4-99A3-ADF17B9ABE9A}</x14:id>
        </ext>
      </extLst>
    </cfRule>
  </conditionalFormatting>
  <conditionalFormatting sqref="O20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{73524523-9241-4E1A-8CE3-7E345A01714D}</x14:id>
        </ext>
      </extLst>
    </cfRule>
  </conditionalFormatting>
  <conditionalFormatting sqref="Q20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{44579218-7BA8-42BC-BB3F-83B86D1716DE}</x14:id>
        </ext>
      </extLst>
    </cfRule>
  </conditionalFormatting>
  <conditionalFormatting sqref="R20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{A104E3C2-BA4C-4322-9800-C452E9F3D10A}</x14:id>
        </ext>
      </extLst>
    </cfRule>
  </conditionalFormatting>
  <conditionalFormatting sqref="L20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{2EB237DE-BA3C-4FE9-B4C9-92A51B4C45DB}</x14:id>
        </ext>
      </extLst>
    </cfRule>
  </conditionalFormatting>
  <conditionalFormatting sqref="L20">
    <cfRule type="dataBar" priority="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{2B99D1CB-4B87-4736-A118-5340863389EB}</x14:id>
        </ext>
      </extLst>
    </cfRule>
  </conditionalFormatting>
  <conditionalFormatting sqref="O20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{04E7E6EC-69C5-4AA6-887B-C37CC93E334D}</x14:id>
        </ext>
      </extLst>
    </cfRule>
  </conditionalFormatting>
  <conditionalFormatting sqref="Q20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{2C106C21-A615-4C44-99D2-29311EE706AF}</x14:id>
        </ext>
      </extLst>
    </cfRule>
  </conditionalFormatting>
  <conditionalFormatting sqref="R20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{981D619C-0050-49A7-93A4-DB092EA70417}</x14:id>
        </ext>
      </extLst>
    </cfRule>
  </conditionalFormatting>
  <conditionalFormatting sqref="L20">
    <cfRule type="dataBar" priority="3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{F1F6BA4B-5258-4439-93D0-62D0F2253EE4}</x14:id>
        </ext>
      </extLst>
    </cfRule>
  </conditionalFormatting>
  <conditionalFormatting sqref="O20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{BBAF1D12-DE3E-47B8-99DB-FB0EA7824D81}</x14:id>
        </ext>
      </extLst>
    </cfRule>
  </conditionalFormatting>
  <conditionalFormatting sqref="Q20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{85AB9322-D396-4D80-8900-19ADDC2A3B31}</x14:id>
        </ext>
      </extLst>
    </cfRule>
  </conditionalFormatting>
  <conditionalFormatting sqref="R20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{7F10E15A-7140-4AEB-A659-BFA0A6F31AC6}</x14:id>
        </ext>
      </extLst>
    </cfRule>
  </conditionalFormatting>
  <conditionalFormatting sqref="L20">
    <cfRule type="dataBar" priority="3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{F11CB127-4FC6-4E8B-AFF9-D9A6CC349BBD}</x14:id>
        </ext>
      </extLst>
    </cfRule>
  </conditionalFormatting>
  <conditionalFormatting sqref="O20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{1E609246-89E6-41AA-8C3D-C4F7A3D7258F}</x14:id>
        </ext>
      </extLst>
    </cfRule>
  </conditionalFormatting>
  <conditionalFormatting sqref="Q20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{33D8905F-A822-48E2-BE54-99900AAE916A}</x14:id>
        </ext>
      </extLst>
    </cfRule>
  </conditionalFormatting>
  <conditionalFormatting sqref="R20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{1380A38C-4EDD-48ED-B265-7D1785E5FFD7}</x14:id>
        </ext>
      </extLst>
    </cfRule>
  </conditionalFormatting>
  <conditionalFormatting sqref="Q20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{3C629C67-0337-4F12-9434-C3E375E92E25}</x14:id>
        </ext>
      </extLst>
    </cfRule>
  </conditionalFormatting>
  <conditionalFormatting sqref="Q20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{F4EA7DD8-EBF1-4554-A9C7-E81A7561998C}</x14:id>
        </ext>
      </extLst>
    </cfRule>
  </conditionalFormatting>
  <conditionalFormatting sqref="R20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{3AA84E30-A77E-48E5-8F47-8A785581E326}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{2A2CBCB4-C429-443A-A7D9-1AEA6D513259}</x14:id>
        </ext>
      </extLst>
    </cfRule>
  </conditionalFormatting>
  <conditionalFormatting sqref="Q20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{539497A4-D517-4CE5-A3FB-B1C9AC74C38E}</x14:id>
        </ext>
      </extLst>
    </cfRule>
  </conditionalFormatting>
  <conditionalFormatting sqref="R20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{026649F1-EE3E-4B8B-8A00-0547B61E7F91}</x14:id>
        </ext>
      </extLst>
    </cfRule>
  </conditionalFormatting>
  <conditionalFormatting sqref="Q20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{CDF05957-EDD8-436C-B7A7-D251BD1C97DF}</x14:id>
        </ext>
      </extLst>
    </cfRule>
  </conditionalFormatting>
  <conditionalFormatting sqref="R20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{BCDABBD0-AC26-44F0-9E7A-B43D88F5D3B5}</x14:id>
        </ext>
      </extLst>
    </cfRule>
  </conditionalFormatting>
  <conditionalFormatting sqref="Q20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{3B497D2C-7512-4609-825B-E4ACA066E07D}</x14:id>
        </ext>
      </extLst>
    </cfRule>
  </conditionalFormatting>
  <conditionalFormatting sqref="R20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{88ECAF65-BE44-4DB3-A57E-3AC69B983658}</x14:id>
        </ext>
      </extLst>
    </cfRule>
  </conditionalFormatting>
  <conditionalFormatting sqref="R20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{E9B4E2A4-57D5-4E59-A827-5F76DC87E9F6}</x14:id>
        </ext>
      </extLst>
    </cfRule>
  </conditionalFormatting>
  <conditionalFormatting sqref="O20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{42566D02-B6A2-4573-97AA-6579EEC3E42B}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{D965CB35-8571-4BC9-B8F1-4625F9935E85}</x14:id>
        </ext>
      </extLst>
    </cfRule>
  </conditionalFormatting>
  <conditionalFormatting sqref="O20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{CF3F944E-D0FD-436C-B32F-7AABFCCD3D7A}</x14:id>
        </ext>
      </extLst>
    </cfRule>
  </conditionalFormatting>
  <conditionalFormatting sqref="O20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{C8620E5D-72F7-4EC9-B56A-E08CAC27DDBB}</x14:id>
        </ext>
      </extLst>
    </cfRule>
  </conditionalFormatting>
  <conditionalFormatting sqref="L20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{0929F646-5045-435C-B202-4A9BED27D8B4}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{660C265C-D0A0-403C-807C-440A01ED2AF7}</x14:id>
        </ext>
      </extLst>
    </cfRule>
  </conditionalFormatting>
  <conditionalFormatting sqref="L20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{1DE9A1DD-9BC8-4017-863F-0DB437C7A382}</x14:id>
        </ext>
      </extLst>
    </cfRule>
  </conditionalFormatting>
  <conditionalFormatting sqref="L20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{5DAD82FF-D115-49AA-AB69-A0BA8056F4F8}</x14:id>
        </ext>
      </extLst>
    </cfRule>
  </conditionalFormatting>
  <conditionalFormatting sqref="O20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{2226F3FA-F909-4FD2-BED9-61A383360E70}</x14:id>
        </ext>
      </extLst>
    </cfRule>
  </conditionalFormatting>
  <conditionalFormatting sqref="Q20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{C4A288D3-7F3F-4543-B64C-012645F38BEE}</x14:id>
        </ext>
      </extLst>
    </cfRule>
  </conditionalFormatting>
  <conditionalFormatting sqref="R20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{F675FCB3-FECB-4826-B7CC-B8F0C0620954}</x14:id>
        </ext>
      </extLst>
    </cfRule>
  </conditionalFormatting>
  <conditionalFormatting sqref="L20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{F960A858-A7F6-4500-9A32-3580C9FAFC9D}</x14:id>
        </ext>
      </extLst>
    </cfRule>
  </conditionalFormatting>
  <conditionalFormatting sqref="L20">
    <cfRule type="dataBar" priority="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{882191DC-6F27-49DC-B291-DCFCE54A10ED}</x14:id>
        </ext>
      </extLst>
    </cfRule>
  </conditionalFormatting>
  <conditionalFormatting sqref="O20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{028A2F5B-0C6A-4A90-AA72-62D3726E81C4}</x14:id>
        </ext>
      </extLst>
    </cfRule>
  </conditionalFormatting>
  <conditionalFormatting sqref="Q20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{CEB46679-E416-4BAC-AC97-39C7F384FCE3}</x14:id>
        </ext>
      </extLst>
    </cfRule>
  </conditionalFormatting>
  <conditionalFormatting sqref="R20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{E168C71F-D04A-45F9-B270-47ACB8DC2000}</x14:id>
        </ext>
      </extLst>
    </cfRule>
  </conditionalFormatting>
  <conditionalFormatting sqref="L20">
    <cfRule type="dataBar" priority="2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{A76AE6D0-4695-479A-80E0-F17887A89293}</x14:id>
        </ext>
      </extLst>
    </cfRule>
  </conditionalFormatting>
  <conditionalFormatting sqref="O20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{ADC7E1CD-C0F5-4865-9ED5-BD52FC786D4E}</x14:id>
        </ext>
      </extLst>
    </cfRule>
  </conditionalFormatting>
  <conditionalFormatting sqref="Q20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{1C41E9F6-04D9-44D6-8790-3230628B0A3E}</x14:id>
        </ext>
      </extLst>
    </cfRule>
  </conditionalFormatting>
  <conditionalFormatting sqref="R20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{CEB6579D-956F-475B-B611-EB6064729475}</x14:id>
        </ext>
      </extLst>
    </cfRule>
  </conditionalFormatting>
  <conditionalFormatting sqref="L20"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{8DD10220-FF74-40B6-9746-7ED79E550ECE}</x14:id>
        </ext>
      </extLst>
    </cfRule>
  </conditionalFormatting>
  <conditionalFormatting sqref="O20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{F683D1AB-485D-4094-B8DA-5B6579B00BF0}</x14:id>
        </ext>
      </extLst>
    </cfRule>
  </conditionalFormatting>
  <conditionalFormatting sqref="Q20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{6AB43FD9-B50E-42D1-AA05-192D7B7C7BD9}</x14:id>
        </ext>
      </extLst>
    </cfRule>
  </conditionalFormatting>
  <conditionalFormatting sqref="R20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{8FEE61B9-02F4-46BE-BF61-0D75BE640B5B}</x14:id>
        </ext>
      </extLst>
    </cfRule>
  </conditionalFormatting>
  <conditionalFormatting sqref="Q21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{18873C97-64A0-46B6-A330-7950E15BF5E1}</x14:id>
        </ext>
      </extLst>
    </cfRule>
  </conditionalFormatting>
  <conditionalFormatting sqref="Q21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{17FBCF55-3003-4EC6-94A6-594F6CE5C2AF}</x14:id>
        </ext>
      </extLst>
    </cfRule>
  </conditionalFormatting>
  <conditionalFormatting sqref="R21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{A3265B7E-EECB-4321-9CC0-A68B50FBD0F0}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{8580CC0C-81A1-4FF5-A405-5E193E9765FB}</x14:id>
        </ext>
      </extLst>
    </cfRule>
  </conditionalFormatting>
  <conditionalFormatting sqref="Q21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{5D435EE3-719F-4A25-B1C3-25A735461689}</x14:id>
        </ext>
      </extLst>
    </cfRule>
  </conditionalFormatting>
  <conditionalFormatting sqref="R21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{995C065E-B8C9-4892-8361-5F85D41059D6}</x14:id>
        </ext>
      </extLst>
    </cfRule>
  </conditionalFormatting>
  <conditionalFormatting sqref="Q21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{3429BEC5-13D4-42EF-B773-3F6C9CBC9C9B}</x14:id>
        </ext>
      </extLst>
    </cfRule>
  </conditionalFormatting>
  <conditionalFormatting sqref="R21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{D8172D4E-A70B-4559-8775-AFB3E4BB85DE}</x14:id>
        </ext>
      </extLst>
    </cfRule>
  </conditionalFormatting>
  <conditionalFormatting sqref="Q21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{8945C474-5645-4D04-A563-B1D3A2075ED1}</x14:id>
        </ext>
      </extLst>
    </cfRule>
  </conditionalFormatting>
  <conditionalFormatting sqref="R21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{D3106385-EC23-4F7C-BAC3-E24E9DB33A5A}</x14:id>
        </ext>
      </extLst>
    </cfRule>
  </conditionalFormatting>
  <conditionalFormatting sqref="R21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{2D49819F-664A-41AA-9A5D-AB2058048AF2}</x14:id>
        </ext>
      </extLst>
    </cfRule>
  </conditionalFormatting>
  <conditionalFormatting sqref="O21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{48AAE7B8-0EC2-406F-B7C9-85F16C409390}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{501DE0D8-64D6-484B-A77A-D0FF5047FCDA}</x14:id>
        </ext>
      </extLst>
    </cfRule>
  </conditionalFormatting>
  <conditionalFormatting sqref="O21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{D6CAC660-4619-4AEC-AD8E-86C0ABCB7CA8}</x14:id>
        </ext>
      </extLst>
    </cfRule>
  </conditionalFormatting>
  <conditionalFormatting sqref="O21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{87A365CA-EE42-4183-9E55-BDB71D82E3B9}</x14:id>
        </ext>
      </extLst>
    </cfRule>
  </conditionalFormatting>
  <conditionalFormatting sqref="L21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{40A0E173-6B86-44A7-929D-305A24FCF2F7}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{3107BE25-A605-4F2A-A59D-77EF3ECD2994}</x14:id>
        </ext>
      </extLst>
    </cfRule>
  </conditionalFormatting>
  <conditionalFormatting sqref="L21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{FF7A0770-1406-4E5D-AA0D-9F03465D48A4}</x14:id>
        </ext>
      </extLst>
    </cfRule>
  </conditionalFormatting>
  <conditionalFormatting sqref="L21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{A4D8C105-24E6-48FD-AD42-8BF00DE1F63D}</x14:id>
        </ext>
      </extLst>
    </cfRule>
  </conditionalFormatting>
  <conditionalFormatting sqref="O21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{0DC5B9B0-3F89-4263-9FBF-AECCB22FA017}</x14:id>
        </ext>
      </extLst>
    </cfRule>
  </conditionalFormatting>
  <conditionalFormatting sqref="Q21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{E121BF33-318E-429B-8EAD-051824AD8BE3}</x14:id>
        </ext>
      </extLst>
    </cfRule>
  </conditionalFormatting>
  <conditionalFormatting sqref="R21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{662DFCFC-86B8-4D9B-AB31-535340D2DC7D}</x14:id>
        </ext>
      </extLst>
    </cfRule>
  </conditionalFormatting>
  <conditionalFormatting sqref="L21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{845EC87C-FFFB-4604-99F9-8D919A56392C}</x14:id>
        </ext>
      </extLst>
    </cfRule>
  </conditionalFormatting>
  <conditionalFormatting sqref="L21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{71927D5C-B24B-46F1-812F-C5A1A6FD010A}</x14:id>
        </ext>
      </extLst>
    </cfRule>
  </conditionalFormatting>
  <conditionalFormatting sqref="O21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{A00C0CB8-D83C-4B15-B185-98C16F4B5CD3}</x14:id>
        </ext>
      </extLst>
    </cfRule>
  </conditionalFormatting>
  <conditionalFormatting sqref="Q21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{FBDC8BBA-A12E-4AC1-8C6C-3A3AACF2AE89}</x14:id>
        </ext>
      </extLst>
    </cfRule>
  </conditionalFormatting>
  <conditionalFormatting sqref="R21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{C667EE44-40E8-4017-9600-55C07ECC9C8F}</x14:id>
        </ext>
      </extLst>
    </cfRule>
  </conditionalFormatting>
  <conditionalFormatting sqref="L21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{B21DEDB0-D3AC-4316-B9D9-315F1EC59D95}</x14:id>
        </ext>
      </extLst>
    </cfRule>
  </conditionalFormatting>
  <conditionalFormatting sqref="O21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{0A33E566-C55F-4D8F-8D7F-6A72E79B89AA}</x14:id>
        </ext>
      </extLst>
    </cfRule>
  </conditionalFormatting>
  <conditionalFormatting sqref="Q21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{BF965ECF-6B9D-4AEA-814F-A6F940E52982}</x14:id>
        </ext>
      </extLst>
    </cfRule>
  </conditionalFormatting>
  <conditionalFormatting sqref="R21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{D5E397FB-CED6-462C-8D76-EF8D252DDC61}</x14:id>
        </ext>
      </extLst>
    </cfRule>
  </conditionalFormatting>
  <conditionalFormatting sqref="L21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{9B2FA439-7C8F-4CCF-B182-DDBEF735D5B4}</x14:id>
        </ext>
      </extLst>
    </cfRule>
  </conditionalFormatting>
  <conditionalFormatting sqref="O21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{31BCBDAA-40DA-4A57-A8C8-13DC91EB4E04}</x14:id>
        </ext>
      </extLst>
    </cfRule>
  </conditionalFormatting>
  <conditionalFormatting sqref="Q21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{1852BB84-A10F-431E-8C46-F7DC45B8DC07}</x14:id>
        </ext>
      </extLst>
    </cfRule>
  </conditionalFormatting>
  <conditionalFormatting sqref="R21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{4970031A-7704-40DA-83EE-3AF18A2721DA}</x14:id>
        </ext>
      </extLst>
    </cfRule>
  </conditionalFormatting>
  <conditionalFormatting sqref="Q21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{AC813318-525B-4A95-BF16-C63E89FA1C96}</x14:id>
        </ext>
      </extLst>
    </cfRule>
  </conditionalFormatting>
  <conditionalFormatting sqref="Q21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{F23B7EDA-6CAB-48E2-A9BF-AF1FD7B60568}</x14:id>
        </ext>
      </extLst>
    </cfRule>
  </conditionalFormatting>
  <conditionalFormatting sqref="R21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{DF8D309C-8606-45AE-94A2-B5413756FCFD}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{7CB48929-4787-4C3D-A561-50F3BE16AC66}</x14:id>
        </ext>
      </extLst>
    </cfRule>
  </conditionalFormatting>
  <conditionalFormatting sqref="Q21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{2889F1B3-06EA-430D-8FF6-D827CC0CA6C1}</x14:id>
        </ext>
      </extLst>
    </cfRule>
  </conditionalFormatting>
  <conditionalFormatting sqref="R21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{768357F8-3A10-4ADB-847A-E2D75D79AD94}</x14:id>
        </ext>
      </extLst>
    </cfRule>
  </conditionalFormatting>
  <conditionalFormatting sqref="Q21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{B377A377-B8C5-4A05-B44A-7B4B199CA396}</x14:id>
        </ext>
      </extLst>
    </cfRule>
  </conditionalFormatting>
  <conditionalFormatting sqref="R21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{F77BAF46-9F8B-40F8-90A6-778AF9CF87D8}</x14:id>
        </ext>
      </extLst>
    </cfRule>
  </conditionalFormatting>
  <conditionalFormatting sqref="Q21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{7D11F0B3-14E5-40B3-811C-B1326B0298C5}</x14:id>
        </ext>
      </extLst>
    </cfRule>
  </conditionalFormatting>
  <conditionalFormatting sqref="R21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{E57EBCCC-4A3F-43AC-AD85-1FEDAB1FB96F}</x14:id>
        </ext>
      </extLst>
    </cfRule>
  </conditionalFormatting>
  <conditionalFormatting sqref="R21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{14269F6B-864A-482C-BD6C-2DE443A1DCCC}</x14:id>
        </ext>
      </extLst>
    </cfRule>
  </conditionalFormatting>
  <conditionalFormatting sqref="O21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{5EB3E5E3-D486-45C7-BF78-B9EDD86D67E3}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{C4B47AD8-E77C-47F2-BC9C-F7C52E183850}</x14:id>
        </ext>
      </extLst>
    </cfRule>
  </conditionalFormatting>
  <conditionalFormatting sqref="O21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{D76D34CB-7C11-4238-9641-8DAAE0050F2B}</x14:id>
        </ext>
      </extLst>
    </cfRule>
  </conditionalFormatting>
  <conditionalFormatting sqref="O21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{447E75DF-7378-4EA4-8B21-2508F5C15B49}</x14:id>
        </ext>
      </extLst>
    </cfRule>
  </conditionalFormatting>
  <conditionalFormatting sqref="L21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{653E6933-2EBF-4FDA-A236-57F878EC8099}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{1B8DE719-A772-4403-88F2-5E7DEE55E546}</x14:id>
        </ext>
      </extLst>
    </cfRule>
  </conditionalFormatting>
  <conditionalFormatting sqref="L21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{430932A3-D93E-48AD-A018-8039D5F3F4D0}</x14:id>
        </ext>
      </extLst>
    </cfRule>
  </conditionalFormatting>
  <conditionalFormatting sqref="L21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{0015FAB7-E824-4D72-8C0D-BE4D0B0FC80F}</x14:id>
        </ext>
      </extLst>
    </cfRule>
  </conditionalFormatting>
  <conditionalFormatting sqref="O21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{C8297239-5275-43B3-8015-2596D9B3D592}</x14:id>
        </ext>
      </extLst>
    </cfRule>
  </conditionalFormatting>
  <conditionalFormatting sqref="Q21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{893DE989-1EB0-4509-BA79-28F1E061C35C}</x14:id>
        </ext>
      </extLst>
    </cfRule>
  </conditionalFormatting>
  <conditionalFormatting sqref="R21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{088C4D28-F5A0-49B8-B191-54511B7EFA13}</x14:id>
        </ext>
      </extLst>
    </cfRule>
  </conditionalFormatting>
  <conditionalFormatting sqref="L21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{4B0195E2-082E-444D-BB45-21C08BC1F0E3}</x14:id>
        </ext>
      </extLst>
    </cfRule>
  </conditionalFormatting>
  <conditionalFormatting sqref="L21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{C3189A48-6E2D-49BD-80A7-D13F8784F7FE}</x14:id>
        </ext>
      </extLst>
    </cfRule>
  </conditionalFormatting>
  <conditionalFormatting sqref="O21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{96FA3198-673E-447A-BA01-4CFD8CE41473}</x14:id>
        </ext>
      </extLst>
    </cfRule>
  </conditionalFormatting>
  <conditionalFormatting sqref="Q21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{9245A631-DED0-4F38-BBD2-323345044182}</x14:id>
        </ext>
      </extLst>
    </cfRule>
  </conditionalFormatting>
  <conditionalFormatting sqref="R21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{C20BC4B4-D5B4-41D3-9D6F-3E51A29AE463}</x14:id>
        </ext>
      </extLst>
    </cfRule>
  </conditionalFormatting>
  <conditionalFormatting sqref="L21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{157DE9AF-0DBE-4F81-B82E-E492DDCEB941}</x14:id>
        </ext>
      </extLst>
    </cfRule>
  </conditionalFormatting>
  <conditionalFormatting sqref="O21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{82F79CCD-646B-4270-8DC7-E023C81B5DD9}</x14:id>
        </ext>
      </extLst>
    </cfRule>
  </conditionalFormatting>
  <conditionalFormatting sqref="Q21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{5BDCEFA8-D668-4E14-B5CD-933321332132}</x14:id>
        </ext>
      </extLst>
    </cfRule>
  </conditionalFormatting>
  <conditionalFormatting sqref="R21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{670F5D3B-70DE-4777-9A3E-BA255EE491E3}</x14:id>
        </ext>
      </extLst>
    </cfRule>
  </conditionalFormatting>
  <conditionalFormatting sqref="L21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{B68D02E5-A412-473D-A8EB-71A3BD0CE677}</x14:id>
        </ext>
      </extLst>
    </cfRule>
  </conditionalFormatting>
  <conditionalFormatting sqref="O21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{029BFE45-AE8C-4DBF-ABCD-77E69293C051}</x14:id>
        </ext>
      </extLst>
    </cfRule>
  </conditionalFormatting>
  <conditionalFormatting sqref="Q21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{30852A17-8D04-4C21-A1C8-4F7987ED7D99}</x14:id>
        </ext>
      </extLst>
    </cfRule>
  </conditionalFormatting>
  <conditionalFormatting sqref="R21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{92339BC3-C067-4601-A77D-B6B6196F2326}</x14:id>
        </ext>
      </extLst>
    </cfRule>
  </conditionalFormatting>
  <conditionalFormatting sqref="Q22 Q25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{D4B371B3-144C-4033-A69F-B8E1C412392A}</x14:id>
        </ext>
      </extLst>
    </cfRule>
  </conditionalFormatting>
  <conditionalFormatting sqref="Q22 Q25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{BFCD8161-E365-4EDD-86B1-E05B19CF2B86}</x14:id>
        </ext>
      </extLst>
    </cfRule>
  </conditionalFormatting>
  <conditionalFormatting sqref="R25 R22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{88A75FA6-3E9A-4A07-BCAC-5710237C834E}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{DA2D1110-793C-4765-A90D-3EC317B09FE0}</x14:id>
        </ext>
      </extLst>
    </cfRule>
  </conditionalFormatting>
  <conditionalFormatting sqref="Q22 Q25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{D76FBF64-8C29-411A-9BB9-902C66CD7C1C}</x14:id>
        </ext>
      </extLst>
    </cfRule>
  </conditionalFormatting>
  <conditionalFormatting sqref="R22 R25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{1285895D-A82B-4A2F-BE86-BE85AF3B3288}</x14:id>
        </ext>
      </extLst>
    </cfRule>
  </conditionalFormatting>
  <conditionalFormatting sqref="Q22 Q25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{ED29801F-C6CE-43F7-B77C-290A62E21AD4}</x14:id>
        </ext>
      </extLst>
    </cfRule>
  </conditionalFormatting>
  <conditionalFormatting sqref="R22 R25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{76BD7B1F-CB11-40DD-81BD-B1E14A2CED5F}</x14:id>
        </ext>
      </extLst>
    </cfRule>
  </conditionalFormatting>
  <conditionalFormatting sqref="Q22 Q25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{80493530-09B4-424D-B5A5-0CD48ACFAB11}</x14:id>
        </ext>
      </extLst>
    </cfRule>
  </conditionalFormatting>
  <conditionalFormatting sqref="R22 R25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{F9B9AC48-42AD-4829-8199-B17689976B9D}</x14:id>
        </ext>
      </extLst>
    </cfRule>
  </conditionalFormatting>
  <conditionalFormatting sqref="R22 R25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{F4D4032C-27A1-4A89-8E76-07C5C97CFF0E}</x14:id>
        </ext>
      </extLst>
    </cfRule>
  </conditionalFormatting>
  <conditionalFormatting sqref="O25 O22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{FF4E1DE7-9482-4F83-B32F-90761972B4D8}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{FFF6602E-A47B-4110-9C81-A55EA293FCFA}</x14:id>
        </ext>
      </extLst>
    </cfRule>
  </conditionalFormatting>
  <conditionalFormatting sqref="O22 O25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{9B1CC618-7B0A-4565-B22D-0CBD6F473F21}</x14:id>
        </ext>
      </extLst>
    </cfRule>
  </conditionalFormatting>
  <conditionalFormatting sqref="O22 O25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{85D1C1F1-0163-4A09-9C04-75A1ACFC7277}</x14:id>
        </ext>
      </extLst>
    </cfRule>
  </conditionalFormatting>
  <conditionalFormatting sqref="L25 L22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{ECC739AC-17CD-404A-AE21-FCFEA34EEE44}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{ECA802FC-E816-4D52-B33C-0836CA4048EA}</x14:id>
        </ext>
      </extLst>
    </cfRule>
  </conditionalFormatting>
  <conditionalFormatting sqref="L22 L25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{7B799024-809B-4917-A027-2FB7273492BF}</x14:id>
        </ext>
      </extLst>
    </cfRule>
  </conditionalFormatting>
  <conditionalFormatting sqref="L22 L25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{9AF63D84-05F6-4BBF-B2F2-EB87ACD2EB5E}</x14:id>
        </ext>
      </extLst>
    </cfRule>
  </conditionalFormatting>
  <conditionalFormatting sqref="O22 O25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{BA65F33B-3D0B-4B36-B059-C05A3455E696}</x14:id>
        </ext>
      </extLst>
    </cfRule>
  </conditionalFormatting>
  <conditionalFormatting sqref="Q22 Q25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{55757155-CA83-4A7C-B8B7-744103D32F75}</x14:id>
        </ext>
      </extLst>
    </cfRule>
  </conditionalFormatting>
  <conditionalFormatting sqref="R22 R25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{852D46AA-C27F-483C-9854-5CA651C459FF}</x14:id>
        </ext>
      </extLst>
    </cfRule>
  </conditionalFormatting>
  <conditionalFormatting sqref="L22 L25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{9691F13A-557D-47BC-B9C9-D6872439F24B}</x14:id>
        </ext>
      </extLst>
    </cfRule>
  </conditionalFormatting>
  <conditionalFormatting sqref="L22 L25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{4E7F2682-46D1-4AB9-B11F-1B47674FC9B0}</x14:id>
        </ext>
      </extLst>
    </cfRule>
  </conditionalFormatting>
  <conditionalFormatting sqref="O22 O25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{5457AC6C-8CD1-48F4-9406-A1B6975E342D}</x14:id>
        </ext>
      </extLst>
    </cfRule>
  </conditionalFormatting>
  <conditionalFormatting sqref="Q22 Q25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{D5383D86-CE87-4E56-8650-B3A31990DB12}</x14:id>
        </ext>
      </extLst>
    </cfRule>
  </conditionalFormatting>
  <conditionalFormatting sqref="R22 R25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{097B24BF-9F33-42C6-B68F-A39D3F96D1D4}</x14:id>
        </ext>
      </extLst>
    </cfRule>
  </conditionalFormatting>
  <conditionalFormatting sqref="L22 L25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{CE3D4261-5DA5-4257-A6B2-7F1BB10297C4}</x14:id>
        </ext>
      </extLst>
    </cfRule>
  </conditionalFormatting>
  <conditionalFormatting sqref="O22 O25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{86EA7A77-2CDF-461D-A7C0-52C4617D006B}</x14:id>
        </ext>
      </extLst>
    </cfRule>
  </conditionalFormatting>
  <conditionalFormatting sqref="Q22 Q25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{A72F3B0C-F49C-43C6-873E-44CC9A20CF9E}</x14:id>
        </ext>
      </extLst>
    </cfRule>
  </conditionalFormatting>
  <conditionalFormatting sqref="R22 R25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{44D09064-5265-43EF-BF77-57BEDBB416A0}</x14:id>
        </ext>
      </extLst>
    </cfRule>
  </conditionalFormatting>
  <conditionalFormatting sqref="L22 L25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{E9401123-D25C-4478-A3C6-03DE4026E0E8}</x14:id>
        </ext>
      </extLst>
    </cfRule>
  </conditionalFormatting>
  <conditionalFormatting sqref="O22 O25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{BC0A1CC4-6E67-46BF-8F63-FE521BAFB362}</x14:id>
        </ext>
      </extLst>
    </cfRule>
  </conditionalFormatting>
  <conditionalFormatting sqref="Q22 Q25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{458A7430-ED49-4EE7-BE02-1162536F7C7A}</x14:id>
        </ext>
      </extLst>
    </cfRule>
  </conditionalFormatting>
  <conditionalFormatting sqref="R22 R25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{5C2B04C8-94F7-4842-98C9-21C914CE1253}</x14:id>
        </ext>
      </extLst>
    </cfRule>
  </conditionalFormatting>
  <conditionalFormatting sqref="Q22 Q25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{720B5135-E00B-47C2-9900-245C68877E28}</x14:id>
        </ext>
      </extLst>
    </cfRule>
  </conditionalFormatting>
  <conditionalFormatting sqref="Q22 Q25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{4E0E345E-58A2-4B5A-8484-995A08740832}</x14:id>
        </ext>
      </extLst>
    </cfRule>
  </conditionalFormatting>
  <conditionalFormatting sqref="R25 R22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{4063C036-8167-4CC7-B4C1-AA6D0F9B4F34}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{83BBC032-5C42-4DA3-A559-927501D9DA02}</x14:id>
        </ext>
      </extLst>
    </cfRule>
  </conditionalFormatting>
  <conditionalFormatting sqref="Q22 Q25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{5DF23758-866E-409C-B25F-3D7960AA0408}</x14:id>
        </ext>
      </extLst>
    </cfRule>
  </conditionalFormatting>
  <conditionalFormatting sqref="R22 R25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{162F09FD-D40F-47E6-97CE-E1E5C54AD937}</x14:id>
        </ext>
      </extLst>
    </cfRule>
  </conditionalFormatting>
  <conditionalFormatting sqref="Q22 Q25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{62661EA9-E229-47F4-A1CD-20FBBBE1B531}</x14:id>
        </ext>
      </extLst>
    </cfRule>
  </conditionalFormatting>
  <conditionalFormatting sqref="R22 R25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{5E3317D8-DF30-4A43-B65E-8113D32276FF}</x14:id>
        </ext>
      </extLst>
    </cfRule>
  </conditionalFormatting>
  <conditionalFormatting sqref="Q22 Q25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{AC30DF4C-83EF-4FC1-84CE-07BA972FC5B8}</x14:id>
        </ext>
      </extLst>
    </cfRule>
  </conditionalFormatting>
  <conditionalFormatting sqref="R22 R25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{E89BC541-05A2-420F-BFF2-4C7CBFCDF47C}</x14:id>
        </ext>
      </extLst>
    </cfRule>
  </conditionalFormatting>
  <conditionalFormatting sqref="R22 R25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{3530B4C6-AE65-44B4-BB0A-4D8D479C089F}</x14:id>
        </ext>
      </extLst>
    </cfRule>
  </conditionalFormatting>
  <conditionalFormatting sqref="O25 O22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{837B0898-3D0B-4599-A432-6E967697949E}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{008E7E76-9E3D-4C23-8796-49126545B160}</x14:id>
        </ext>
      </extLst>
    </cfRule>
  </conditionalFormatting>
  <conditionalFormatting sqref="O22 O25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{209556E8-0625-4415-9BD4-09E1038F3E01}</x14:id>
        </ext>
      </extLst>
    </cfRule>
  </conditionalFormatting>
  <conditionalFormatting sqref="O22 O25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{65F6C0D1-F4A5-4E49-B634-E731F195AA48}</x14:id>
        </ext>
      </extLst>
    </cfRule>
  </conditionalFormatting>
  <conditionalFormatting sqref="L25 L22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{82B60C90-B83B-4450-8196-0E826B1867BD}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{D8D18953-01DE-47E5-92FD-9F0D8CE74EFE}</x14:id>
        </ext>
      </extLst>
    </cfRule>
  </conditionalFormatting>
  <conditionalFormatting sqref="L22 L25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{94C00549-10D8-44F5-841A-89B212246767}</x14:id>
        </ext>
      </extLst>
    </cfRule>
  </conditionalFormatting>
  <conditionalFormatting sqref="L22 L25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{5A830B31-C93E-4B12-AEDE-EAC22158C590}</x14:id>
        </ext>
      </extLst>
    </cfRule>
  </conditionalFormatting>
  <conditionalFormatting sqref="O22 O25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{4513AA0F-5188-4B63-871F-A341C910F053}</x14:id>
        </ext>
      </extLst>
    </cfRule>
  </conditionalFormatting>
  <conditionalFormatting sqref="Q22 Q25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{22EF0900-64A3-4893-83ED-2985F747B196}</x14:id>
        </ext>
      </extLst>
    </cfRule>
  </conditionalFormatting>
  <conditionalFormatting sqref="R22 R25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{2FC97F71-F1A9-4EC1-A4E4-1B2F5961A2D0}</x14:id>
        </ext>
      </extLst>
    </cfRule>
  </conditionalFormatting>
  <conditionalFormatting sqref="L22 L25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{268C4197-8D35-4FEA-9341-F054C4581B4C}</x14:id>
        </ext>
      </extLst>
    </cfRule>
  </conditionalFormatting>
  <conditionalFormatting sqref="L22 L25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{727BD661-1064-4CA8-BEBE-CD315E32A92F}</x14:id>
        </ext>
      </extLst>
    </cfRule>
  </conditionalFormatting>
  <conditionalFormatting sqref="O22 O25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{22C130BF-D632-4C96-B10B-927FD1F5472A}</x14:id>
        </ext>
      </extLst>
    </cfRule>
  </conditionalFormatting>
  <conditionalFormatting sqref="Q22 Q25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{8F6C8E8A-B705-413D-83D4-1BD4E6182CD4}</x14:id>
        </ext>
      </extLst>
    </cfRule>
  </conditionalFormatting>
  <conditionalFormatting sqref="R22 R25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{0EA1B762-17CD-42F1-9950-DFA5E019618F}</x14:id>
        </ext>
      </extLst>
    </cfRule>
  </conditionalFormatting>
  <conditionalFormatting sqref="L22 L25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{48AB9C0F-AE10-4CCE-AFDC-E0E50A81529C}</x14:id>
        </ext>
      </extLst>
    </cfRule>
  </conditionalFormatting>
  <conditionalFormatting sqref="O22 O25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{37E92A4A-248D-41F7-95B4-87D64080BD7E}</x14:id>
        </ext>
      </extLst>
    </cfRule>
  </conditionalFormatting>
  <conditionalFormatting sqref="Q22 Q25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{AB8854ED-6A48-4EE2-9F9F-A6229D8526A8}</x14:id>
        </ext>
      </extLst>
    </cfRule>
  </conditionalFormatting>
  <conditionalFormatting sqref="R22 R25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{5596F078-3AC2-4402-BA85-2C2A1E418D9F}</x14:id>
        </ext>
      </extLst>
    </cfRule>
  </conditionalFormatting>
  <conditionalFormatting sqref="L22 L25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{3874E2F8-5F29-46A8-AA83-15727FB3A111}</x14:id>
        </ext>
      </extLst>
    </cfRule>
  </conditionalFormatting>
  <conditionalFormatting sqref="O22 O25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{F50DFAB6-2777-4069-AEBD-E6A211519A3A}</x14:id>
        </ext>
      </extLst>
    </cfRule>
  </conditionalFormatting>
  <conditionalFormatting sqref="Q22 Q25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{88D2CA91-BEE3-41F0-A62B-14CA52DF18FA}</x14:id>
        </ext>
      </extLst>
    </cfRule>
  </conditionalFormatting>
  <conditionalFormatting sqref="R22 R25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{2F986CEA-4215-42F8-826A-B5A50F171D72}</x14:id>
        </ext>
      </extLst>
    </cfRule>
  </conditionalFormatting>
  <conditionalFormatting sqref="Q23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{2944EA97-4FD7-46C2-B753-4473E7424B7D}</x14:id>
        </ext>
      </extLst>
    </cfRule>
  </conditionalFormatting>
  <conditionalFormatting sqref="Q23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{802B845C-DA36-42D0-8024-85B479D25A50}</x14:id>
        </ext>
      </extLst>
    </cfRule>
  </conditionalFormatting>
  <conditionalFormatting sqref="R23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{F097921C-19C2-49D6-8706-5EBE702938AC}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{446DADEA-A197-48CF-BB4E-A948BB6FAC41}</x14:id>
        </ext>
      </extLst>
    </cfRule>
  </conditionalFormatting>
  <conditionalFormatting sqref="Q23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{BDECEF65-67E2-47C6-AA4D-3A985484F5B2}</x14:id>
        </ext>
      </extLst>
    </cfRule>
  </conditionalFormatting>
  <conditionalFormatting sqref="R23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{C2E590E0-D4AA-4595-9F22-226457E68912}</x14:id>
        </ext>
      </extLst>
    </cfRule>
  </conditionalFormatting>
  <conditionalFormatting sqref="Q23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{97259710-55B5-49FB-B4A5-8D1A2DB92DCE}</x14:id>
        </ext>
      </extLst>
    </cfRule>
  </conditionalFormatting>
  <conditionalFormatting sqref="R23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{6F572AF0-DE31-4510-A8E7-22DBE65C7F6C}</x14:id>
        </ext>
      </extLst>
    </cfRule>
  </conditionalFormatting>
  <conditionalFormatting sqref="Q23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{D46FC9DF-CCA1-4A59-9BCA-01391C589ACB}</x14:id>
        </ext>
      </extLst>
    </cfRule>
  </conditionalFormatting>
  <conditionalFormatting sqref="R23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{21BFD29B-1386-4DAE-8F1B-6B02EF22C3AE}</x14:id>
        </ext>
      </extLst>
    </cfRule>
  </conditionalFormatting>
  <conditionalFormatting sqref="R23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{0953F849-3264-4B05-8B80-AA7EBC8E3781}</x14:id>
        </ext>
      </extLst>
    </cfRule>
  </conditionalFormatting>
  <conditionalFormatting sqref="O23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{76C97D7A-A29E-43B6-BE82-85663DFBE443}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{6A9C099E-F101-4444-AB6D-FC4CAB14631E}</x14:id>
        </ext>
      </extLst>
    </cfRule>
  </conditionalFormatting>
  <conditionalFormatting sqref="O23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{197D5A10-391A-4C34-A471-34EDFB70006A}</x14:id>
        </ext>
      </extLst>
    </cfRule>
  </conditionalFormatting>
  <conditionalFormatting sqref="O23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{42E121C7-6AF0-4CAD-9651-98BCD96C4500}</x14:id>
        </ext>
      </extLst>
    </cfRule>
  </conditionalFormatting>
  <conditionalFormatting sqref="L23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{DD4FD236-4882-430E-80F1-329D42E0CBB9}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{31DC26E8-E4C8-4F3B-AAEF-93BB69948A76}</x14:id>
        </ext>
      </extLst>
    </cfRule>
  </conditionalFormatting>
  <conditionalFormatting sqref="L23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{8AD5732E-C2AE-44B6-B5B4-650F6EA88510}</x14:id>
        </ext>
      </extLst>
    </cfRule>
  </conditionalFormatting>
  <conditionalFormatting sqref="L23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{23C2FBF2-3402-4C2C-82D1-6B6C61A0B27C}</x14:id>
        </ext>
      </extLst>
    </cfRule>
  </conditionalFormatting>
  <conditionalFormatting sqref="O23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{693F0180-9952-47C6-A693-51E254573610}</x14:id>
        </ext>
      </extLst>
    </cfRule>
  </conditionalFormatting>
  <conditionalFormatting sqref="Q23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{6F016174-0124-4C8E-8631-09A24AD5D6AE}</x14:id>
        </ext>
      </extLst>
    </cfRule>
  </conditionalFormatting>
  <conditionalFormatting sqref="R23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{0C1D5CCD-C816-4465-AD44-3ADBFA523974}</x14:id>
        </ext>
      </extLst>
    </cfRule>
  </conditionalFormatting>
  <conditionalFormatting sqref="L23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{A276B350-728B-4266-9A5F-F9D0B6D16E56}</x14:id>
        </ext>
      </extLst>
    </cfRule>
  </conditionalFormatting>
  <conditionalFormatting sqref="L23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{73294512-C858-44CF-91B8-5A24B9E1EF58}</x14:id>
        </ext>
      </extLst>
    </cfRule>
  </conditionalFormatting>
  <conditionalFormatting sqref="O23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{0A8395E9-34C8-4CF6-8397-4BAF07F35D4E}</x14:id>
        </ext>
      </extLst>
    </cfRule>
  </conditionalFormatting>
  <conditionalFormatting sqref="Q23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{F0ABCB18-6115-49A8-ACE2-5B357E254733}</x14:id>
        </ext>
      </extLst>
    </cfRule>
  </conditionalFormatting>
  <conditionalFormatting sqref="R23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{E57689C8-42FA-43B0-B1A9-2BB1EE8B91DE}</x14:id>
        </ext>
      </extLst>
    </cfRule>
  </conditionalFormatting>
  <conditionalFormatting sqref="L23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{1C367053-6CB5-45CE-A622-442518E3F0F2}</x14:id>
        </ext>
      </extLst>
    </cfRule>
  </conditionalFormatting>
  <conditionalFormatting sqref="O23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{EBAC046B-A21E-4BE8-AEB2-DE14828EC632}</x14:id>
        </ext>
      </extLst>
    </cfRule>
  </conditionalFormatting>
  <conditionalFormatting sqref="Q23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{58357019-7FD3-47E6-B042-46F0665D2F25}</x14:id>
        </ext>
      </extLst>
    </cfRule>
  </conditionalFormatting>
  <conditionalFormatting sqref="R23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{188DF781-4947-4904-BBB8-70866602D30F}</x14:id>
        </ext>
      </extLst>
    </cfRule>
  </conditionalFormatting>
  <conditionalFormatting sqref="L23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{2239E4E0-3C49-4C3B-9691-882014D7EE3E}</x14:id>
        </ext>
      </extLst>
    </cfRule>
  </conditionalFormatting>
  <conditionalFormatting sqref="O23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{2B5DB698-6FA1-4A11-B21F-FF5136F67E6C}</x14:id>
        </ext>
      </extLst>
    </cfRule>
  </conditionalFormatting>
  <conditionalFormatting sqref="Q23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{D6BE0817-4EFF-4289-88EE-163B90B9A765}</x14:id>
        </ext>
      </extLst>
    </cfRule>
  </conditionalFormatting>
  <conditionalFormatting sqref="R23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{382C219F-22C8-4000-8E5B-35C0125CA373}</x14:id>
        </ext>
      </extLst>
    </cfRule>
  </conditionalFormatting>
  <conditionalFormatting sqref="Q23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{07F0A1BB-1064-491A-8D56-5D1513FBD9FE}</x14:id>
        </ext>
      </extLst>
    </cfRule>
  </conditionalFormatting>
  <conditionalFormatting sqref="Q23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{1BEF55CB-A24D-40EC-B8F0-8E60AE52EB16}</x14:id>
        </ext>
      </extLst>
    </cfRule>
  </conditionalFormatting>
  <conditionalFormatting sqref="R23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{1425252C-E5B5-4679-A1D5-8B3BD12061DD}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{921E15AA-23AB-485C-90E6-510201C9219E}</x14:id>
        </ext>
      </extLst>
    </cfRule>
  </conditionalFormatting>
  <conditionalFormatting sqref="Q23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{6F41FEC5-0E56-4D04-AEE1-1040F71BE8AB}</x14:id>
        </ext>
      </extLst>
    </cfRule>
  </conditionalFormatting>
  <conditionalFormatting sqref="R23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{0427038F-39C8-4B25-97B0-391AFCCF80ED}</x14:id>
        </ext>
      </extLst>
    </cfRule>
  </conditionalFormatting>
  <conditionalFormatting sqref="Q23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{50B19B46-BF84-4936-9FAF-8564AAE5E891}</x14:id>
        </ext>
      </extLst>
    </cfRule>
  </conditionalFormatting>
  <conditionalFormatting sqref="R23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{67C63179-2D67-4083-9D5E-84C1B8673896}</x14:id>
        </ext>
      </extLst>
    </cfRule>
  </conditionalFormatting>
  <conditionalFormatting sqref="Q23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{85E11F51-2AF7-4920-B756-BFAB1F5EA08E}</x14:id>
        </ext>
      </extLst>
    </cfRule>
  </conditionalFormatting>
  <conditionalFormatting sqref="R23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{97B54468-7ACF-48F0-9241-42268F4EE863}</x14:id>
        </ext>
      </extLst>
    </cfRule>
  </conditionalFormatting>
  <conditionalFormatting sqref="R23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{E6D9C687-DD42-467A-B205-FEA0DD44030C}</x14:id>
        </ext>
      </extLst>
    </cfRule>
  </conditionalFormatting>
  <conditionalFormatting sqref="O23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{C07B089D-807A-4689-9F21-A3AE0E67C787}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{68242D30-4244-48BE-B9B1-537DBC1A139A}</x14:id>
        </ext>
      </extLst>
    </cfRule>
  </conditionalFormatting>
  <conditionalFormatting sqref="O23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{6F15124D-B16D-4163-8DA1-E7585FD41EFD}</x14:id>
        </ext>
      </extLst>
    </cfRule>
  </conditionalFormatting>
  <conditionalFormatting sqref="O23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{95CC2BF4-1987-4B2E-B111-1834431A00E3}</x14:id>
        </ext>
      </extLst>
    </cfRule>
  </conditionalFormatting>
  <conditionalFormatting sqref="L23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{EBB99152-F41C-4ADD-AD85-FF3192453469}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{0A8B1AB4-F744-4F18-9026-CDD83A164869}</x14:id>
        </ext>
      </extLst>
    </cfRule>
  </conditionalFormatting>
  <conditionalFormatting sqref="L23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{1B7E27C0-123F-4749-B1C4-A7AA9D704CED}</x14:id>
        </ext>
      </extLst>
    </cfRule>
  </conditionalFormatting>
  <conditionalFormatting sqref="L23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{5A9F0FE0-8517-446E-A4F8-EA16541FEA62}</x14:id>
        </ext>
      </extLst>
    </cfRule>
  </conditionalFormatting>
  <conditionalFormatting sqref="O23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{2FCDC3D6-4C4D-4A7F-8A0C-4B17D8A64374}</x14:id>
        </ext>
      </extLst>
    </cfRule>
  </conditionalFormatting>
  <conditionalFormatting sqref="Q23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{234C57E1-6859-4F9B-B978-4358B7BFD510}</x14:id>
        </ext>
      </extLst>
    </cfRule>
  </conditionalFormatting>
  <conditionalFormatting sqref="R23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{7B676134-8B56-49AF-87C4-EDC8E25A6472}</x14:id>
        </ext>
      </extLst>
    </cfRule>
  </conditionalFormatting>
  <conditionalFormatting sqref="L23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{238BAFB7-C02F-4CA7-BF20-0D3634EA5B61}</x14:id>
        </ext>
      </extLst>
    </cfRule>
  </conditionalFormatting>
  <conditionalFormatting sqref="L23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{81B44EF9-AE27-4DAD-B76B-B0EFE13C1037}</x14:id>
        </ext>
      </extLst>
    </cfRule>
  </conditionalFormatting>
  <conditionalFormatting sqref="O23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{06E8F474-E37C-465C-A916-470AA39704C5}</x14:id>
        </ext>
      </extLst>
    </cfRule>
  </conditionalFormatting>
  <conditionalFormatting sqref="Q23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{7BF118CA-A9D6-4F59-9995-DDE93A33C2E8}</x14:id>
        </ext>
      </extLst>
    </cfRule>
  </conditionalFormatting>
  <conditionalFormatting sqref="R23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{1A8089FD-1B17-4FA2-8E4F-AD86F12173ED}</x14:id>
        </ext>
      </extLst>
    </cfRule>
  </conditionalFormatting>
  <conditionalFormatting sqref="L23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{22BC7674-833A-4F00-9EC2-A093471DD7E9}</x14:id>
        </ext>
      </extLst>
    </cfRule>
  </conditionalFormatting>
  <conditionalFormatting sqref="O23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{0F4725A7-ECCD-4AE4-A151-26DC92570C52}</x14:id>
        </ext>
      </extLst>
    </cfRule>
  </conditionalFormatting>
  <conditionalFormatting sqref="Q23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{BAAA0EB1-3A07-408D-8CA1-AF3736643B4B}</x14:id>
        </ext>
      </extLst>
    </cfRule>
  </conditionalFormatting>
  <conditionalFormatting sqref="R23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{B0B3F697-58E3-4F41-A207-FCB7D32DD78C}</x14:id>
        </ext>
      </extLst>
    </cfRule>
  </conditionalFormatting>
  <conditionalFormatting sqref="L23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{E1EF5F9E-2AFD-4100-991C-1C0D2E39A51F}</x14:id>
        </ext>
      </extLst>
    </cfRule>
  </conditionalFormatting>
  <conditionalFormatting sqref="O23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{5BCC252C-9F74-4532-97E5-B6F0625E46A9}</x14:id>
        </ext>
      </extLst>
    </cfRule>
  </conditionalFormatting>
  <conditionalFormatting sqref="Q23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{0DDF3885-87FC-418D-9FC5-7060B9B58998}</x14:id>
        </ext>
      </extLst>
    </cfRule>
  </conditionalFormatting>
  <conditionalFormatting sqref="R23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{B187F68E-E354-4FB2-90FE-9BC96D3D11F9}</x14:id>
        </ext>
      </extLst>
    </cfRule>
  </conditionalFormatting>
  <conditionalFormatting sqref="Q24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{A39C34AC-A604-4153-9F87-F8CE5C2F5E5E}</x14:id>
        </ext>
      </extLst>
    </cfRule>
  </conditionalFormatting>
  <conditionalFormatting sqref="Q24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{2BD9C28A-8507-483B-B833-C0D85EBF0057}</x14:id>
        </ext>
      </extLst>
    </cfRule>
  </conditionalFormatting>
  <conditionalFormatting sqref="R24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{6EEC7228-D579-488A-B55D-1DC548F2D761}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{5F0D03A1-1FC1-4144-9534-C97E687EEFF4}</x14:id>
        </ext>
      </extLst>
    </cfRule>
  </conditionalFormatting>
  <conditionalFormatting sqref="Q24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{52AECE7D-3503-45C4-AE39-7E8863A7F68A}</x14:id>
        </ext>
      </extLst>
    </cfRule>
  </conditionalFormatting>
  <conditionalFormatting sqref="R24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{6BCE0404-C51C-434E-A547-CE910CD8218E}</x14:id>
        </ext>
      </extLst>
    </cfRule>
  </conditionalFormatting>
  <conditionalFormatting sqref="Q24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{813722EE-2CEE-4271-A181-BEC46C1C208D}</x14:id>
        </ext>
      </extLst>
    </cfRule>
  </conditionalFormatting>
  <conditionalFormatting sqref="R24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{8275D104-17E3-4174-ACEC-07D1F89EC032}</x14:id>
        </ext>
      </extLst>
    </cfRule>
  </conditionalFormatting>
  <conditionalFormatting sqref="Q2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{F85FEE60-1635-422A-8CF0-3C1DCFC697C4}</x14:id>
        </ext>
      </extLst>
    </cfRule>
  </conditionalFormatting>
  <conditionalFormatting sqref="R24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{2B66EF8B-3A57-4C5E-B75F-29B56381B663}</x14:id>
        </ext>
      </extLst>
    </cfRule>
  </conditionalFormatting>
  <conditionalFormatting sqref="R24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{364C24C0-71B0-4E85-BE78-8E5723CC7DAC}</x14:id>
        </ext>
      </extLst>
    </cfRule>
  </conditionalFormatting>
  <conditionalFormatting sqref="O24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{BAFC9396-1045-4A84-9041-4664222A7830}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{4D04A467-598C-459C-90F6-67E0C5988B46}</x14:id>
        </ext>
      </extLst>
    </cfRule>
  </conditionalFormatting>
  <conditionalFormatting sqref="O24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{1EC2793C-C223-4935-B3EF-073E402B7F14}</x14:id>
        </ext>
      </extLst>
    </cfRule>
  </conditionalFormatting>
  <conditionalFormatting sqref="O2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{D4669B33-C1C1-4657-8AD9-DE3546AE4AF2}</x14:id>
        </ext>
      </extLst>
    </cfRule>
  </conditionalFormatting>
  <conditionalFormatting sqref="L24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{4836D259-9FC7-41FF-91C4-72BDF660D387}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{C67B545E-87F5-4981-ADA9-2C7B6F31822F}</x14:id>
        </ext>
      </extLst>
    </cfRule>
  </conditionalFormatting>
  <conditionalFormatting sqref="L2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{5D113443-7395-4A1F-819C-2722DA55E9E6}</x14:id>
        </ext>
      </extLst>
    </cfRule>
  </conditionalFormatting>
  <conditionalFormatting sqref="L24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{49D208B0-E83F-4936-80D6-FC48876AB61D}</x14:id>
        </ext>
      </extLst>
    </cfRule>
  </conditionalFormatting>
  <conditionalFormatting sqref="O24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{E3BF325B-DCE7-4F33-8CFF-93B04FD095BB}</x14:id>
        </ext>
      </extLst>
    </cfRule>
  </conditionalFormatting>
  <conditionalFormatting sqref="Q24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{8D3E0A09-9862-4A7A-9C95-AE1A38DDC431}</x14:id>
        </ext>
      </extLst>
    </cfRule>
  </conditionalFormatting>
  <conditionalFormatting sqref="R24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{8FA8ED7C-C3D1-4E1D-B7BA-BEAA751B0A79}</x14:id>
        </ext>
      </extLst>
    </cfRule>
  </conditionalFormatting>
  <conditionalFormatting sqref="L24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{5AA38515-45B1-4547-B4DE-C814FF431787}</x14:id>
        </ext>
      </extLst>
    </cfRule>
  </conditionalFormatting>
  <conditionalFormatting sqref="L24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{1DCEF98E-90D9-4A6D-88C3-99356F47E887}</x14:id>
        </ext>
      </extLst>
    </cfRule>
  </conditionalFormatting>
  <conditionalFormatting sqref="O24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{3EA89774-D47C-4875-A48B-284008B71FC8}</x14:id>
        </ext>
      </extLst>
    </cfRule>
  </conditionalFormatting>
  <conditionalFormatting sqref="Q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{5F7B8EBD-BFAB-4351-A24C-6221934D6B23}</x14:id>
        </ext>
      </extLst>
    </cfRule>
  </conditionalFormatting>
  <conditionalFormatting sqref="R24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{596F2777-7C76-479B-AD94-78473109181D}</x14:id>
        </ext>
      </extLst>
    </cfRule>
  </conditionalFormatting>
  <conditionalFormatting sqref="L24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{B9D2CE8B-613A-47C6-8F5E-84ED888B4AFF}</x14:id>
        </ext>
      </extLst>
    </cfRule>
  </conditionalFormatting>
  <conditionalFormatting sqref="O24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{58DC20DC-9198-4B4C-8C3C-BD08B23040D2}</x14:id>
        </ext>
      </extLst>
    </cfRule>
  </conditionalFormatting>
  <conditionalFormatting sqref="Q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{939C756F-184D-419A-8253-A76A7B33E6C9}</x14:id>
        </ext>
      </extLst>
    </cfRule>
  </conditionalFormatting>
  <conditionalFormatting sqref="R24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{87C579C4-8FED-4912-89A1-FC80D1CCA3C3}</x14:id>
        </ext>
      </extLst>
    </cfRule>
  </conditionalFormatting>
  <conditionalFormatting sqref="L24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{658AF336-09D3-41EC-8EB8-FFC8C138ADFC}</x14:id>
        </ext>
      </extLst>
    </cfRule>
  </conditionalFormatting>
  <conditionalFormatting sqref="O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{3C970A9B-2012-463F-BE4D-184E4C3DB4A1}</x14:id>
        </ext>
      </extLst>
    </cfRule>
  </conditionalFormatting>
  <conditionalFormatting sqref="Q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{A2C3D346-EFC1-4AE1-8C18-25DEB7168EC5}</x14:id>
        </ext>
      </extLst>
    </cfRule>
  </conditionalFormatting>
  <conditionalFormatting sqref="R24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{C2BA1BC5-66CE-46CB-90ED-3548276FFE6B}</x14:id>
        </ext>
      </extLst>
    </cfRule>
  </conditionalFormatting>
  <conditionalFormatting sqref="Q2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{DF8406C6-40EC-4070-85E0-180F055D08EF}</x14:id>
        </ext>
      </extLst>
    </cfRule>
  </conditionalFormatting>
  <conditionalFormatting sqref="Q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{97684348-C98A-4F34-B127-5AA3F3DDE0C0}</x14:id>
        </ext>
      </extLst>
    </cfRule>
  </conditionalFormatting>
  <conditionalFormatting sqref="R24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{D4247B67-8A45-4C63-9F68-D8DBB4FF24AF}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{2CD6E444-CDB1-4066-8331-DBCA1FDA65C3}</x14:id>
        </ext>
      </extLst>
    </cfRule>
  </conditionalFormatting>
  <conditionalFormatting sqref="Q2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{E58A1131-BB35-4684-A0EA-0F24741D7643}</x14:id>
        </ext>
      </extLst>
    </cfRule>
  </conditionalFormatting>
  <conditionalFormatting sqref="R24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{65846B56-CBEF-484B-9D3C-6A8A8A66DFEE}</x14:id>
        </ext>
      </extLst>
    </cfRule>
  </conditionalFormatting>
  <conditionalFormatting sqref="Q2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{00E3F684-2DFA-406B-8A78-EF31D096FCB5}</x14:id>
        </ext>
      </extLst>
    </cfRule>
  </conditionalFormatting>
  <conditionalFormatting sqref="R24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{BFE7FEA3-E8A3-4CF8-A3F2-85CF3E0D9EC4}</x14:id>
        </ext>
      </extLst>
    </cfRule>
  </conditionalFormatting>
  <conditionalFormatting sqref="Q24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{8E05751E-9010-462B-B12F-F130EA707B06}</x14:id>
        </ext>
      </extLst>
    </cfRule>
  </conditionalFormatting>
  <conditionalFormatting sqref="R24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{BFB94555-899F-400A-B688-A3CF1AACF6D2}</x14:id>
        </ext>
      </extLst>
    </cfRule>
  </conditionalFormatting>
  <conditionalFormatting sqref="R24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{764C286D-78F2-42C2-B544-C08B93A7AD1B}</x14:id>
        </ext>
      </extLst>
    </cfRule>
  </conditionalFormatting>
  <conditionalFormatting sqref="O2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{89404043-1102-4845-9092-9AB7C9BF8E5D}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{5F7E048A-3E62-49A2-B6A6-32475422024B}</x14:id>
        </ext>
      </extLst>
    </cfRule>
  </conditionalFormatting>
  <conditionalFormatting sqref="O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{DBC55FB6-BDDF-40DE-A999-B0D1492DA6DF}</x14:id>
        </ext>
      </extLst>
    </cfRule>
  </conditionalFormatting>
  <conditionalFormatting sqref="O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{23D55272-93A4-4F9F-AD20-FEA36DEB3722}</x14:id>
        </ext>
      </extLst>
    </cfRule>
  </conditionalFormatting>
  <conditionalFormatting sqref="L24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{31F8237B-07CA-4E7F-AF34-50A00E5CE6CF}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{F8E8C827-FAA4-49F9-B34E-4CE673BB7711}</x14:id>
        </ext>
      </extLst>
    </cfRule>
  </conditionalFormatting>
  <conditionalFormatting sqref="L2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{8B0F38BE-106E-4ADF-B199-B5AC9855069F}</x14:id>
        </ext>
      </extLst>
    </cfRule>
  </conditionalFormatting>
  <conditionalFormatting sqref="L24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{5F89B09B-9DF8-49DA-9233-69C64784FAB3}</x14:id>
        </ext>
      </extLst>
    </cfRule>
  </conditionalFormatting>
  <conditionalFormatting sqref="O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{5D055D70-0362-440D-B784-B033391A0997}</x14:id>
        </ext>
      </extLst>
    </cfRule>
  </conditionalFormatting>
  <conditionalFormatting sqref="Q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{547A6E88-22AA-48B5-8F53-95375D4E83B6}</x14:id>
        </ext>
      </extLst>
    </cfRule>
  </conditionalFormatting>
  <conditionalFormatting sqref="R24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{2C75FBC7-BE46-4944-8689-25BD6C6E5CAE}</x14:id>
        </ext>
      </extLst>
    </cfRule>
  </conditionalFormatting>
  <conditionalFormatting sqref="L2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{654537D4-9C59-4B46-83A0-A5BADABDED6D}</x14:id>
        </ext>
      </extLst>
    </cfRule>
  </conditionalFormatting>
  <conditionalFormatting sqref="L24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{287BA847-93B1-4C55-9E64-C14E6C4BDEDB}</x14:id>
        </ext>
      </extLst>
    </cfRule>
  </conditionalFormatting>
  <conditionalFormatting sqref="O24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{FDB1E4DC-1269-4144-9C64-9AAF0311C316}</x14:id>
        </ext>
      </extLst>
    </cfRule>
  </conditionalFormatting>
  <conditionalFormatting sqref="Q2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{EE6BD687-8981-48A4-ADC5-87B53073A182}</x14:id>
        </ext>
      </extLst>
    </cfRule>
  </conditionalFormatting>
  <conditionalFormatting sqref="R24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{7B48B4BE-7FE5-493F-8808-109590A0ACDC}</x14:id>
        </ext>
      </extLst>
    </cfRule>
  </conditionalFormatting>
  <conditionalFormatting sqref="L24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{55BA8FA6-84E1-4BFC-AE60-A7D60F6C87EC}</x14:id>
        </ext>
      </extLst>
    </cfRule>
  </conditionalFormatting>
  <conditionalFormatting sqref="O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{2214FBA1-7BAA-4712-A93A-5C8150E9ACA4}</x14:id>
        </ext>
      </extLst>
    </cfRule>
  </conditionalFormatting>
  <conditionalFormatting sqref="Q2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{6126FB6C-618B-47BA-B441-210F8F078162}</x14:id>
        </ext>
      </extLst>
    </cfRule>
  </conditionalFormatting>
  <conditionalFormatting sqref="R24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{2595C9DB-9E86-4EA9-B39C-7FC648D27EF4}</x14:id>
        </ext>
      </extLst>
    </cfRule>
  </conditionalFormatting>
  <conditionalFormatting sqref="L24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{BE1A2D5C-8651-4D24-8D3C-BCAE0BE8392B}</x14:id>
        </ext>
      </extLst>
    </cfRule>
  </conditionalFormatting>
  <conditionalFormatting sqref="O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{DB2BFDB3-1360-46EF-B6B8-2DBADA52DF96}</x14:id>
        </ext>
      </extLst>
    </cfRule>
  </conditionalFormatting>
  <conditionalFormatting sqref="Q2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{A03CDDB0-EBEE-48FF-A2FD-5A982AE7CAEB}</x14:id>
        </ext>
      </extLst>
    </cfRule>
  </conditionalFormatting>
  <conditionalFormatting sqref="R2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{EC8DB46D-5EA2-497B-A212-2D53487CDD4B}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FFA63D3-7107-4FF8-855A-503A44F980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AI4:AI6 AI8:AI27</xm:sqref>
        </x14:conditionalFormatting>
        <x14:conditionalFormatting xmlns:xm="http://schemas.microsoft.com/office/excel/2006/main">
          <x14:cfRule type="dataBar" id="{448D7FC1-2097-4211-B6F5-2E60AD1D53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AJ4:AJ6 AJ8:AJ27</xm:sqref>
        </x14:conditionalFormatting>
        <x14:conditionalFormatting xmlns:xm="http://schemas.microsoft.com/office/excel/2006/main">
          <x14:cfRule type="dataBar" id="{1BF37E50-92CA-495C-A2E8-DE04BEDBF5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AK4:AK6 AK8:AK27</xm:sqref>
        </x14:conditionalFormatting>
        <x14:conditionalFormatting xmlns:xm="http://schemas.microsoft.com/office/excel/2006/main">
          <x14:cfRule type="dataBar" id="{417A88BA-D4C9-449F-8CD8-76752D3CA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67F322-E5CA-48F8-B962-D9AABAA856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D1114DE9-5D24-46AB-B9AD-1D85B528DE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0D622C5-0EB1-4C91-AE57-1015AE13F6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95A4160-16D9-4393-B050-89F75DDE4F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DD64A4C-E99C-4C05-9F5C-1FA6725DD6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C7F280D-A583-4584-A45F-89EEED1B9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6667AB5E-F5D0-4221-AA11-489FB3F193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7348128-FC1D-4F20-99CB-50E829EDB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82559A-731A-4CF5-A52A-E2DD001FE8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4EDC2C2-9F38-4F6E-A9DA-BF952DEA3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99F0C950-DFCF-40FB-B906-EFA218DC72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D438D12-CB66-4679-ACAA-9780E3058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41B68341-4C3A-40E1-8DD9-8D497C4574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968CC8C7-98F4-43FA-A08F-F9C6F11878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9856F7B-A97E-4422-8119-E870C34644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6E83A2-2167-4883-9605-24E3F45B19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5C9BE6E-C455-47B3-8BD0-497A633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CAAF770-6E3E-49F3-B459-2A478F02EC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747D949-1C65-45B4-A721-4998775F63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10A1D7F-828D-4560-81D9-22F3EA1806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181F80F-42BB-4112-95E0-066EDC24A0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7A3C09F-E053-4557-9601-5C06D21683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9A2F70A-1021-4A2D-B6C8-6D0F79F524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4685940-6DBC-465B-8489-48096AE7E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22F2710-656C-4E43-AF2A-9B6E2E5D5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41915AE7-784D-4C19-A2D2-99A54DA3F2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6BB6907-03DB-4748-86DA-7E631F86D1B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F95B540-63A3-4541-AA88-4A63F17B43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4937426-026D-435A-865A-922870DC8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4DFA4F4-35D2-433A-B73C-7E85C2361E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2D4F555-FBD4-4632-8645-743CEB72659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56F7C03-B3F8-4DD3-A332-5637C91E9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1FB15C3E-646B-4942-9E6A-01D08A5455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D0394AD-EF73-4200-AF48-8B62EB1DBF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AI28:AI29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AJ28:AJ29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AK28:AK29</xm:sqref>
        </x14:conditionalFormatting>
        <x14:conditionalFormatting xmlns:xm="http://schemas.microsoft.com/office/excel/2006/main">
          <x14:cfRule type="dataBar" id="{F849DCE8-5CD6-4EEF-8D69-1ACFAEB66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C174B14-3594-4D77-B7F5-3EA47D9789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B0D1A45-DBCC-4BEE-942F-0F32155983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0C47084-9DA7-48AD-B29B-3A81E3272E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F9629CC-9E3B-4FF3-88C9-6FB3D23A25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80FC118-A076-4256-A6F5-23CCAD204D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2A1DED2-F7FF-408D-AFF0-A922B7C83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D2D663C-CF04-4C6A-95AA-D002B47F6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4ADF1B5-6F5D-4932-8E6D-0F62FFD98C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D40CE13-39A5-49CF-8DA1-100998BCF6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D139E669-8B01-410D-A409-DC443F3574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CE45360-7741-4B40-8E3C-A3921423EA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3356CC-C562-40B7-9FCA-E82B9F5705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EA870BB5-47CF-4F03-97A5-8BD8955C3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2B0812B4-3815-4A4E-A6CB-C98471D3EB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0720825-A047-44F0-89BA-8E67054E6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BB741D-BCAC-4912-A865-16C3602D70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BE05A31-C544-472F-BBF7-383E99160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91CA42-CC1F-4B5E-A8DD-E486DE3B0B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7B6BA0B-E0F9-4F9C-A1E0-6C43786CF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98AA662E-BC4F-47F7-952B-2C6D04C8A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6C75BE-9FAB-4CA6-8B21-F2A449D0C5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B71F0D7-2CC3-4A59-B881-568A73B60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9ADEDAA-862D-44EA-A981-5264CBF43B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A684F48-035A-4B8E-A9BE-71D0C0A83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AB6EC2D-676A-4B41-A7CC-2411CF07A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2B9F4A2-DEDA-410A-89CC-5B5B77E66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AE11E95-F6AD-4466-A0C3-E50F42CC1D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F418C36-81DA-4FA1-BB6D-BA12EF1372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FDB5BCE-FFA0-45A0-8FCA-4F784A3BF5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86D8D2F-64CA-43FC-B1F5-D93EA7CEB2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3B250EF-1238-4B9A-A909-CC0F6CBDCFA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6D74B30-2276-4442-A1DF-9E28679F34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4843906-864B-405A-8A5F-F112B532C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70AF24A7-2CFE-4079-BFC8-6AEDA7CF83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7EBDB12-48A9-4C64-BC80-FB08B8B0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6303DDF-79AF-439B-9D8A-F2F8E75C49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CE01F56-C43A-4441-ADD3-F88E15F045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2D0467-5CC4-4B72-988C-9070919DE24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CFE6543-7572-4699-B40D-2499E7E122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1325865-543C-4F34-82CB-792887CD4F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692D85F9-EA56-4C74-AB8C-45B037E458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C3A5435-C039-4317-A128-D8A5DCC33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B1DAC28-B14C-44CD-B876-4B02C400DE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538F89D-B717-42A5-A920-A72A29615F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6CD0CEE-1A4D-4363-B37F-5D31C630A2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808688A-D258-410F-BA0F-44ED51962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C93840-C23D-4ADD-A9C3-C38C4240B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2C9B5DA-B941-404A-AA53-B3EE632F6D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A021E17-E003-4660-AEAF-CEC18B7F2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9984C26-7EE0-46FD-8F4F-C1521DD3CE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500800B-9D3D-4DED-95F6-0223C324C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D3EBCF7-89EE-4113-919F-BA0E152C5C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51E3E2E-9976-4610-AFD7-8DA2BA9DA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4CD22EF-2E9C-401B-82A7-FC629010C3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745303A-C59E-43FC-BD32-9191EE170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EC7798F8-F2FB-46A2-9FB8-521F552D64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7282B08-F4D1-481A-B47D-5AA33D4375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97E14F3-71C1-439D-A57C-955D6D11A2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991B70-0B24-4F56-AFEB-2599BFE81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270DE6AF-0C2F-43E4-B602-0C43755097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D35E0D4D-1DCE-4475-A41B-47C7745BA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4A3F-1B9A-4A6C-A804-C58AF57DD8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FC3D13B-3588-4D19-B54B-825633841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3D32253-5873-4F4F-90E8-41B301C7E8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92E5419-03FF-4A57-9380-CC57757D4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DBE353E-68A0-46A8-B163-0CB09E1270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19D89E92-AC23-468A-870B-61F47F85B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02936C4-06B0-479A-9FF8-C1AAC084D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3C953E1-2C17-43E5-A35E-0803EDEC30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47FC8A1-5FDF-4268-9F04-AC813F6F83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61FA047-35BC-4156-8937-1E2E4CBB1E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5D20F9A-682B-4D64-8DDE-B4DB4741FE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D8E31F-21AF-4E33-B064-9B40F7D3E7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53E41A6-5DD9-45A5-8E75-E27A7BF4EF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7D346EF-2F3E-4424-A10A-11026B32B6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4EB33288-708E-496B-BEC2-C7AD9EDFE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ACE6392-4EEF-43F8-BC15-0AE0A33134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41D1377-890F-4938-A420-408048945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AFF5E8C5-A8BB-49E1-9130-5094AB8BFB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275BB2A-291B-4FD4-96C2-E359CF2EC9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A0E71EEC-5943-43A8-B092-41AF35C8FF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98CFEC-96D9-4DED-BF7E-87B2153DD5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9F69992-D203-493B-B7E0-3D7932D49B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147A41C-D32C-47D7-9F1D-32396FB872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023E0D6-B4A3-4DB3-BE27-D8E314820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D3CEFB-68B3-49D2-9BEA-0CBDCE4074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469535-53B1-4256-91B3-F13151C37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7C03FC8-061C-4437-93D3-7CD5E2B284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7581F15-29D5-4BF5-9F6B-72CA97A22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90783A4-061C-491A-8758-CD7B0A93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40239BE-5AEF-4A15-B957-084C89697F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19D8059-2886-46C8-8D9A-CAE35CA848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3F3F3F-65E4-4481-AF73-0D12A799E6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BB5D268-908A-4B72-B9CE-2BA6A92534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EAA52B0-594E-4B90-BC46-85DF6E2C71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9CD13E6-73B1-406F-BE67-BA4D493A48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87B5DAF-88B5-479B-BA96-862C80C61B8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69CCD22-4B26-48F1-8435-E8F9EF98B2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1EB7EFAB-338C-4219-B58E-38839B30E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6DBA9C61-3031-427F-8F2A-125A3F0356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E8A0735-97EF-427D-81AA-5514F1039E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EAF6601-E10D-4901-BC70-E06ADC00C6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E7B74B0-F116-4FD5-B85F-753A89BC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9A11E11-8DB6-4252-A5EC-ADE613DF7E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6EF2B95-6BDC-49C4-B46D-BE69BE565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D7A7C4D2-808E-48E9-9522-A8DBAD2463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AJ7</xm:sqref>
        </x14:conditionalFormatting>
        <x14:conditionalFormatting xmlns:xm="http://schemas.microsoft.com/office/excel/2006/main">
          <x14:cfRule type="dataBar" id="{1CA16817-8F75-4DEF-9660-E58B25B65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AK7</xm:sqref>
        </x14:conditionalFormatting>
        <x14:conditionalFormatting xmlns:xm="http://schemas.microsoft.com/office/excel/2006/main">
          <x14:cfRule type="dataBar" id="{177D0F31-219B-4D95-9463-ACB469559B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C96213E-360B-4824-8640-6870D5C97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1CFC726-7ECD-4333-A97A-CEFCA37DC3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9552F6-D274-42BE-BC97-A277056BD4C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4A55806-7327-4B29-A576-B760399E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A3D88C4-4087-4660-B44F-45DC8BD29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3F7DBAB-1A8F-41FD-912D-D000045FC1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18F3707-A50D-4B83-812B-F32666A3DF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07F3387-0EBD-4597-9B5D-FABAD40330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03734FC-C65D-46BE-A849-584B7CD7A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31A6810E-2EE8-4059-AC32-27C902923B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1E60FE1-EA92-4337-8904-8A4FA61756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CD69D6-666B-4E05-B0E5-CBA4358599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AF3BECF-EF39-4DCE-ACBC-721F9A88D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85D1AF65-26DD-485D-ABCB-F626ED2BF3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7F95AC6-BE0C-417A-9044-349D6E0F1A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A28938-7035-4A44-A097-C10716DB80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43ED7522-BE95-4897-B804-03F508783D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85B71DD-FC12-4124-A6BA-6787D780F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3FE1EDF-9674-4EA9-B644-940D9E444C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A343E69-90E6-48DC-B5C8-5FADF4046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103B2A4-ED18-4FD3-8DE7-685671E887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57BCC0F-AE8C-49D0-8D7D-61CCB0E3A9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31C294E-BB58-44FC-8744-9083713CB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D342A84-426C-4758-8CF1-AD01E9A34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F62E1F3-CFBF-4CD6-9D97-4E3FADBFB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AC4A9EE-1976-4911-BAE2-DAD4A2F129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B58F4E8B-06E7-4850-AF9F-33ECDA3A56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5153359-46AF-45A7-852B-76890682A7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E59CC7E-DE4E-41CE-8CE5-B96F3FABC4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665B6D3-5B9F-4631-B6EF-A4DB982C5F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2C9D47B7-22A8-4F9F-800F-585DC32AD4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67F8FF7-76B4-4FF4-9DF9-F5DF51AA48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9320AF1-8668-411C-873C-AB74116C0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D68EB8D-E777-4162-B26F-518A8960F9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FB9DABF-CD77-49B3-AB63-711A22330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CF6DA770-7DBE-4F9F-9DCF-84CDE7BBE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D699052-7E58-457B-A54C-8DE7FA577C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EF6DC47-BA45-426E-90BE-42CE0DD771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B98A12B-BA1D-4AE3-AA9A-65868B38B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15AFB07-333C-4F6C-AEC1-54D5F4832B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ED26F7AF-2339-4418-BB1A-B1A11D719E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4D5C461-AE9F-474B-8A4D-6ED43342D4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B60857DD-5146-4930-BCDD-881649E6AE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85DC7D8-F688-48B4-B691-49E18BEDA8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5CCC84B-BA5D-4D89-84E7-006632B51B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05012B6-635D-4173-B6BD-17B4A49A00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970EEB-A28B-4484-A45F-057346CD5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63287DA-FEF1-41E4-898D-0035328DBC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69EDB09-B9F2-4992-8C48-08B07458A5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0B2FAF2-04EA-495E-9D66-0A9EE5BA7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98EFE0-B46B-43ED-8E7A-3CB86830E9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BC54713-43BA-4358-9A9B-A3920C2F4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1C1F9E5C-B26D-4411-A37C-17438E36FE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863A76D-ECFF-474E-9434-3885A08577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453BAF1B-FFA7-4BE2-A86C-628C0922D8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6AA27B2-F5B9-4B39-9651-5D88249FC6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902A89C-B352-4D64-BCF8-A57AD0BB4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D5FA789-A950-4FB7-BB0C-7B261FCCF6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8203545-DE11-42AA-8A55-3E25A617E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93AB782-CFB9-4C73-B923-B4CA85CFF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2CA370F-FCAB-4BFA-8556-5BA2B704B2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4F8F9CE9-DF13-434C-B82C-0486C900E6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ED144D7-0A40-49B0-A278-95CF9B55B2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0ACE27E-7945-496B-B265-9E18B888AA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82F4D62-FD0C-4299-9082-2D80C6ED9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2FD0549-D9D2-4313-A52F-8643828780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575C061-B8E6-4306-AD3A-0DB3C386E5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7FF4B146-E164-4B63-929C-8DFCA7C12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1E8F1C3-8F3A-43B7-BFE5-D630F979C1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A2C3A29-05B7-4FA1-AE76-155BA4863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6FA31F0-1A91-4E30-BF75-2C2A22E778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187B359-40C2-42C7-B34D-00BEDD4BCB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E0008F0-19F2-48B0-84EF-290ADB26619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14C3C19-0286-4055-A9CE-F528B001D5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E7E73CD-3B46-498A-8F04-D3B679D949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965BE8DB-63F5-4C2F-856A-1B33520736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CD29E2E-CB60-477D-A5F6-432512B5B3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794E680-3D72-4F0F-AFD5-18CD5E4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E36235CC-E320-479F-B3E8-60217919C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F0703809-4FD9-436B-B27F-F2DDB0DBB3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32D0DEF-2A9D-41ED-A869-ABCF92368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A343154-DC50-4DAD-B942-FC878E1C7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50D654D4-A009-4849-9707-D29E59D521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9BEE3D50-6D49-463E-AEF9-C27F84C85E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DDC20726-8686-4135-8868-9F464B2D4C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DA4C19-F4EF-4B4E-B107-E298209A7B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4DE82DD3-F0F3-46FC-9494-C00AAA924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A13DBC-98EC-4EC4-B6A9-81FBDB4C8A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51887DA-7D18-45F3-A711-2A83E04E6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3FE6390-E394-47A7-BF64-BBB8AF208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881BAA7-8110-4233-945C-05E55EC2EC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4057C193-BE04-4F45-BC89-3E60F6120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EED9012-6736-481D-9033-8E5589ACB3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BCE8887-D4D9-4534-B39F-DDE157E4FB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DC263ED-FFAB-4B68-84A3-B318CFF81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94F830C-31CB-46DA-8E07-ED71795A56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56E7E6BE-946F-48F9-B4E0-54B73431EDD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E99F6DA-EF08-4357-B205-8CD734834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6DB97E5-BF94-42B2-8D57-19AF8A4DFE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FAF0AA6-E2F7-4191-9714-7313C54632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CB9CE5E-86C1-4F60-AD32-665D37BB05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647A444-488F-4E1A-83A7-FCA1FFBC50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7551AC1D-A407-4A4E-85BE-9209B763A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B35DDD6-DCEA-41F9-9F40-07900A9BC1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E7A55A4-8ED7-4F29-AD6C-0AA0FCD1C1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F899754-34F9-4996-A2B5-B0A59E7F24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42AE7FB-A582-4F75-8EC5-AC1C6F48FE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5DB7BCC-BA74-474C-BC9A-7E94544446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8FD2705-305D-495C-B052-AEC096DF5B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916F76AF-6644-4208-9B4C-AA0007425E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78A8606E-1085-4959-A195-C18C533F82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2063AB7-715A-4168-9DD9-E733245A8E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2A74C08-0465-498C-9F95-672C4359D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DFC7550-E5B0-42BD-86A6-A781F2204A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366DA59B-3ED5-4121-B622-AD87FA254D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989AE36-427B-4263-A103-6902661DA7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FEC805B-6FA2-4E9A-8CB6-17ABB2F3C3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A3344E1E-2685-4F88-AFA9-BA30CBDF1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7B22F29-6348-46E8-87FB-AED22BAE2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FF56B1F-339D-492D-98FD-164447A88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F048DF-A702-4971-AAED-7949C8DC3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E0110A28-C8CA-46BA-96EE-E98614C3E9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F6CD84F-44D7-4381-8612-5BDC16F01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88692FE-33DE-420C-BFFC-AC862B36F5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8A0B407C-9D93-41B9-B5ED-3EE289AE13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8D9B4E4A-3B83-456B-AFF1-8F2CF98FBF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A318D67-6129-488E-A3AC-D12E44166F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461C38B-D7F3-4429-A3FC-ABE197273D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4D50A26-BCD1-42C0-8186-DCCE61F7E3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3F7B10CC-9DC7-40B5-9759-416BA73A3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CC2A720-AC2D-403D-B15D-BF6F1CD51F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B442774-C3AB-4404-91D3-F756FB1D63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B6D735B-E741-4113-B215-DFED76E341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F9B2845-6117-42E3-8F96-D9BDD6A83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19CD6B8-7BE6-4DD9-AAFB-008D383843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3F0F2BF-9424-4BE6-B723-258A954EDC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56BAD19-053C-4C32-A671-D81CBE41E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439C837-17E2-4E22-9911-B9CAF9BAC2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85412F6-4DC1-4F4F-8FF5-C3AD7165AA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35FBE6E-1D61-471E-8264-1D94B4979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C55B96D-C252-43AA-BAB8-27DE848075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B097094-1D41-4500-94E7-2F63DF6C72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B96C03-1497-43E2-9270-50F453AF4F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CE19715-3492-4521-ADB0-332C431406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8B13E25-93DA-4C08-87A3-D04FF72A9D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43AAE97-C04F-481F-A7FE-1DF194B3E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B3E1640F-58D7-4C97-AA39-1D9B022234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34C4489-64E9-4CBC-BE7C-99AF50966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989CC7C-DFEB-4C66-A09F-35AAF8CD22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05927FB-1316-492A-AD30-58642F20CE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CA7FDC6-21FE-41DB-8C6B-7FD4004A1D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03DF2BF-8627-48B4-850A-31EF899919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E79894A8-E018-42FA-BAF9-40BB52E0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370B6108-33BD-46E6-B938-5FC0F4065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7456EE03-2B58-44BF-B637-8F2ABD4835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D134E6-75B0-4021-8E93-B29CB81087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7E03A448-8333-4508-B794-814C4AF335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56ED6BF-9924-42D5-AFB3-B59AEBA973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7FEE2E0-3798-453C-A8DB-C945E473B9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A1C6C2F-9314-40FF-8C56-B65A844E8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BECD609-73B6-4EEE-814C-915155B819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616C51A-C146-4FEF-87FE-226C6B6575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2942932-D50A-4879-9AE8-A63F5E203D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B0957F5-BA9C-4B3F-BDD4-136B22E4FD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51D86FC-8401-49F0-8C5E-0DDBC8B3C9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2BF6AAD-81CC-41EF-BAE7-4BB747885E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DA663FA-C012-4A01-B690-8D33494E58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2C2C778-7EB6-4D3C-970F-75CC66C776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F16F7C0-162D-4026-9250-52703DD8A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791C919-0EAD-43FC-B7ED-EAE0F8F80E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C5D51BD-97E9-4DB7-8939-32D31F6794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0878834-7F8A-4913-99AD-F7FE4C1191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152FDA65-7E94-4CA5-A26E-89AA38EDE3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1975799-698F-4705-93B2-D41D055968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F9AA496-8B0B-42D9-B50C-ADA6DFCD32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0ED7611-DEB7-455E-BEAC-FD67F861E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B1E2EF4-39CE-4BD4-B852-4C7BC6070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D3A3A41-1DA4-4237-8302-18BEF2607B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6B58A8DB-252B-4C56-95C7-6BA0CE85B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D5D2B4B8-9664-42B5-A216-C65E180FC3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1CF813F-1AF1-4A51-AB35-E20D50108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F965F9D-1EC4-491C-BEF6-990A50AB1E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08D220B-9F5B-4717-9E40-3373AE2D8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B684A33-27F4-428B-AED2-BD4A8E201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1FA01AF-DA5B-4D19-AB22-FA49425011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FCCED0E-397E-41B1-BE75-81132C1FB8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A9F3D08-22B1-4404-BE72-CEC8C3AC49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FA4D5C0-C79F-41EA-8A64-AB782521CC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9DF4A13-1C85-49FC-89C2-446AF85E6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DF4D370-3B83-4591-BA06-566B657D9D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8BFCB3-B5D7-42A9-BBF2-264C107C5D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F0F8C00-CD97-49B0-852C-83FE8AD595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76FFB37-9337-4F3B-9AB0-61C812EB1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CB70B68-03D3-4119-8378-F41B07C95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6E81691-79F3-4BA7-8F5C-0A4408728E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907090F-BDF9-4128-9270-C0D28D661D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C8CC049-0E63-498D-ABF1-C8A592AB9F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0B10A75-0C5E-4CD8-855C-83E6E74376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8636B03-B04B-46C3-80D2-F107B15F9D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5D5BBEAE-5AF4-4C04-B426-66F765553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C46907D6-4CC0-4390-B8E4-107D59FCFC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A0C993FE-55B6-4E83-BCED-ED0C3CC60D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A8738EA-1577-420A-ACDF-F0FA86623B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C7238D8-39CE-4E03-9C3C-9F59A77B8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2AE8883-B74B-43E9-A432-0E388916CE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FB959452-7AE0-4407-9C31-3E2A24E441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6B73E81-90E0-452E-B30C-052B2CB562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997887A9-A1B4-4805-B8BC-7F3D5FEB2E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06507F9-1048-4AAD-BA01-154BC92D77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AF9B5B0-9447-4A60-9ED1-2ADF6DA4BA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112523B-4EAD-429C-9800-CD074211F3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48094D8-2101-47BB-8B29-3362F69F70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51D5FA-2456-467B-81A8-B2D2EDDB93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A5AB669-6E8A-4362-A359-E56E2E3761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CDAFE05A-0A53-4161-A01C-BF8764BDDF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E4DAFE1-6E95-49FA-BEC6-35E0C88877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22714EE-E7EA-4340-920E-1892D6BE5C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725DF871-A116-489C-88AA-967CD84DE3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3C5FFC8E-1677-469C-A4DE-5F9115AFF3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7B1B33B-4FD6-4463-8CEF-73F8C49DB3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40A2BC6-E078-41AF-84E6-73A14882D8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FBB5CA9-772C-4AC4-A451-51A2A07969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87F7DB0-4DB6-4C5E-A915-19E71B295C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F0AF157-B07C-4420-90C1-BBA0881352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AD76051-B166-4059-B0D5-AF08816F55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647D608-231A-4CCA-9AE7-A4DB0BE1DF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49706F-1561-413E-AD5E-2CE5F4B953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8003349-2CFF-4999-9DE6-AD9A3501AE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3BF3B147-1FC6-4158-BA9F-ADFE5D3D8A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BE7C2D2-8FE5-470F-8423-66A5196455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53E436B-C939-4583-8604-2F6FD950DA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CFD8F08-DA1F-4517-A68D-8D3EE3F3E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1D4E7FEC-789D-4422-8B41-C06A06492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883B935-1AC9-4DB6-81B3-3A1E0B04F6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91335C50-C9D7-450D-979A-3F0BB998B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052B7EA-57FE-48DA-99D9-012871B6F1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D55675C-91A0-40B6-8908-CC95183F02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74FBA1-1862-44F5-A91C-AE82177F7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4AA9BDDD-9B15-4EF6-BD22-EA954544EB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CD26D7B-6F9B-4134-9E5E-6840896DBB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C43C5B7-1EA2-44EB-BD3D-047EB4A29F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DBA66D3-7E1A-4719-9404-82E96ECDA9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9C5284D-B00D-47C3-8594-60C781BE0D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3DD4BD5-A7B3-4B22-9CEC-3474EDF47B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1BB74858-01F8-4931-8E47-28FCF4670E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7B5B327D-7DA8-4557-AF89-03A1C5DDD9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E7CC5097-F0E3-4150-884C-A226762A33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DDCC569-355C-43F5-A5FE-DAA7305406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40FFA4C7-5483-46E4-9F7E-1B0A1DA796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F6B2926F-FEAD-4B20-A4F4-8AE11795FB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67B0AC16-7952-495D-ADE3-9E3004ED17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36F78A82-2B43-4B6E-B0D6-398F3A23F3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09B4A51-953F-4BC7-B0AD-D65AFC3754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5FE11056-E6F8-4AE5-A6F8-475478A3A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928C4F7E-D915-43DF-AE23-74C0AAFBE2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4CFB5FCA-08B5-4E52-B37D-E1934AD103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2C29ABE-948F-435D-B354-4CD468842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BF5213E2-9A94-40D8-AD87-4B317072F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37451277-0B0E-41CE-947B-D26D4FBE3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6E1850F9-0586-4664-BCA9-7B96770014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58E512-6903-4875-8B4B-659F4EB405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46D8A412-85F7-4622-AE17-499F438EBE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FCB45FFB-9E57-49E5-BC02-DD0FEA4C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5E7078E4-CDE9-40EE-9FED-720E4CD802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FEAABE13-D3A7-4B41-BD7D-0FB8955C9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29682FF1-3A92-4392-A33D-6812BC7CC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D59E2E9F-7300-4EEB-953B-F35F6E430F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B3D13072-C9E4-4ACA-88FF-CA1D5E49A0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E4769D7F-C182-47DA-994E-F0FBF1A977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E1AC436C-B03B-447E-8731-5860CE1662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3CB5B91-D4CF-419B-874A-1212B3B674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9388696-F02D-47B9-AE02-F47AA426B9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B00C74B7-4305-43C1-AC91-F0DB6B3372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DE43D80F-F524-4EA3-8CF7-AA8B0B3AA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1F90C90-5FA8-4D80-9C40-CB819A543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299E94A1-F9E6-445D-A25A-FF33F6AF5FC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842D6D01-C781-4F6D-9956-B126297944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0B91B3C8-581A-440A-808D-7253AD0CD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F3B8203-F83E-427B-9EB7-57CBE38BE4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5C0F37E8-15B9-4EBB-8560-8A384F86FA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D0C546E-B291-41B0-8AC6-E9595DD8C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9BA7ACD2-8BB4-4EB7-85A7-61AA85F766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7D4878-18F4-44E6-9840-6D1F8C3142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D7D28A6A-72ED-48A7-9D88-2EECE41EA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101FC9-AEBD-4E08-B62B-E9F434687F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7D4D8AC-D4F4-41F0-8F0A-0168C116BA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8D6BF424-C46A-4314-868A-3F760143F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692808AA-0600-421A-A1B7-9EE8228A34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AFCDC53-BAA6-4035-97E8-5FF17E7AE9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EAF455A2-F67A-46BD-832F-A4DAD1EC3D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56FB602-FFD2-4377-A347-DEC0DBA71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006300E-B300-4712-A9CA-A976B03E82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23B971A-2F54-4DF0-BBD3-F3840ABD66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48417D3D-4802-4C74-BB6E-F6FEE9086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34EBD47-433C-4659-9225-937C145F5A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B4DE34-D6DE-4B49-A2C0-1310BEE79A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6AF17D-2F36-4EF5-80C6-48C03D180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9B78E44-9E61-4A53-A17C-8624631E0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AB9A761-2263-4D57-BAC2-8A521A1CFF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64B9F55-A077-4702-B846-9FD64CB0AD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3FD81EA-8610-4E06-8336-313CEEE020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9B8F418E-742F-4875-BE41-9844EEDA2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5F65255-3EF1-45BF-A1B6-68B5AFAA62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01B5536-96E2-4B75-9279-D8B155575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F1F196C-71D2-48FF-9B79-860E009C01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A16781F-25C5-4088-9762-8874C76500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4D968AB-1BD4-48B6-B975-6CB09E24B5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7E31BFD-DE12-4553-8156-84C1156A47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5B950C7C-5063-4216-8B30-847B95F87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E0C38EA5-9F18-40F3-9C34-3AE056AA40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DB0B135-C7C0-4381-82B7-BD56EB8163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64D797E-5141-4D5E-9C23-D31B5B8841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3E1CA55-68AA-4271-A16C-E24C163E7E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2E87FA-697A-4C28-804F-F0D8523159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F5EA882-02EC-4C7A-AFB0-F028DA2FA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9934994-7726-4E2D-A833-DB56041FC2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B184365-BACA-4529-8F2B-13300A318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62C9CDA-FCE1-41AF-B187-A508867CD32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18FBBC2-1B95-4C13-9CD2-CEBE0F66C2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643CAF2-29C9-4EB3-BBB6-CFFCF3446E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F7A1D75-E275-49B7-8102-6875540021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2E2CE8B-DB0E-43A0-A7C9-B7503E73EA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FEDD313-AED5-4EDF-ABF7-55F5955355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ACA394F-725B-44A0-9CC9-F95B027422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695F39B-2405-4F34-BA5F-782332DAF9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0163CEF-67C5-48CD-A0CA-9BEA2AE5A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7E2E90-EAFD-4ED9-A5E0-65551D308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3E64BCB-2579-4C2B-B7B1-29D1E9150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518C9A-8D82-461B-ABF4-4B037BD29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894385D-98F8-4413-8860-2D7D9F326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B7A5A53-582E-4B79-824A-F52C7C63E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3BB4A24-3B66-4B3F-904F-37F569A397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6826FC9-54E4-4E34-81D6-7499DA5881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DC1154D-A8F8-4E24-9BD0-D389BD64FB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7A94074-1359-4657-91E3-8F17F432B2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8EDC1FB-2C18-456F-B4B2-C24862DD04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4693CC28-EAF8-40BB-AADA-DC4FA481FE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E6B6DEE-F3D4-4CE5-81A0-A861DF7BCB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577DE882-6159-40F5-8E7A-AEA0DF2125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4031807-D787-4601-BE87-39726C3D67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7AA577D-7AD5-46F2-892F-C80E985389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A4AECE2-D96F-46DE-BA82-2C3CCED559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9246BEC-F7A5-4E02-95DA-C69F625233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A3336290-1F26-488C-B7D4-E9FD7CDC0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F838263-4164-43BF-942D-EB3B18A7F7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42C393A-B038-4D19-9F43-09C20DD40A3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89A2AA7-7576-4209-B2C9-024A64675E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9B05BB3F-4227-4C2F-ABD9-C5B0AC4AEF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C6FF100-9497-47A6-984B-BE918E665B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14D061F-E1C9-4909-9B94-40D6E86C29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32F0AAB-243D-43AE-AF15-76BC260337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F97CE40-95DD-48EA-8B12-66BDFA05AF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DBA0797-4230-4959-8A2C-4081F7B401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7062AC5-B989-4EBB-A6B3-84016FB3C5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F0167A4-2853-4AE2-89DD-F8A85E7ECA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8F5344C-56E6-4716-AFA4-BD146D29EA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994CFAB-45DB-43BE-A97E-836CECA55B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9429F3E-D111-4E30-BB82-975B38C631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3C1CC2B-4ED4-4E63-A0F3-474391FDEC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DA7B5F3-E415-4B63-9281-6CAE00A54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6EE4348-5947-4B80-B18F-4C592ACD5C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C9753A9-541B-4D59-8148-E8D5202F04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E9725BC-4A62-4974-B273-F7CBB47A34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CFF9671-5152-471F-898F-525472437D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152232D-DBAF-4962-A0A7-30B3A7867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80A231E-BE3F-4A2B-950B-6116BE54D2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FBC2468-AA0D-406A-AF88-CC97B90D1A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4A7F14A-021A-4F73-A2CC-43DE9D9EB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395B1F-606B-40F9-A3F5-319CC05524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2B67F2A-4479-450E-95BD-FE8B79225E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5B6CE6C-07D1-44A2-8D44-D9401C8810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717E9ED9-E406-4F1E-B4EF-0C1A7CD795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F2F87FE-AB02-4B1C-8FCF-82E0FEE01F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199CE00-49FC-4CC8-9619-CA3B2374C3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2E1EF26F-D9E1-4D04-A791-89B5FB2558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1FC3F63-52BB-44E5-B74A-3462C8FC0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4A97E37-F343-461B-9A41-C706CDFCAB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A76FBA6-80F1-404C-A022-0CE746838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C1A3BA5-E110-4B91-9FD1-AC4286727D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A39AA55-F592-47DD-B2E9-9B15582DB2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0B5DD220-B23A-4E0F-8674-6DCD3DCB80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83C3D61-B331-41A3-BEE0-188A7FFC3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009DD24-1D82-422A-A910-5C5484C6E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216ADFF-6595-4437-A565-2563481121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2165DCE-E314-42FA-829B-64AD35607F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114CAE-F477-434F-BB5B-BC6990133D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C0B0AA12-7BF1-4ECD-86F4-F6E4A6BFC7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0A0670FD-6130-43C9-B6D9-D02A3AA918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3A8C660-D104-47CA-85A1-0B7A44599D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2E6596-132B-4228-B18F-CE24F3DEF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2554784E-95C9-4E67-8FA3-7EF0EFC85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E3358004-A96A-4341-9927-4F1C0B82A8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5B0BBE33-DA11-42CF-9898-08A2369AC9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85151E4F-8BAC-4DBD-B39F-DDB8717A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35FC0D2F-4D59-4EAE-B137-2339A5C38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093B9A69-A1A2-40D3-9D6F-A16F9CF340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A3A96F6-242C-432A-A7D1-4C71934677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C987BF14-71F2-4A91-AD8A-13BDB3271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37755A19-99D1-4FAF-B292-766860CBC0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377699FD-9320-464C-8B6E-90F107F233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BBB8834-A510-4FE2-B8E2-C19D1E163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08AABF57-A77C-41F2-BF98-BE15C7415A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F00F7B5C-6269-4077-8223-638AD73C9F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0929EBA-ED2F-403F-B630-B20DE920E5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C7DD11D4-AD66-4161-BDAC-2E9AB3D86D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05CF78BA-DF78-403F-A29F-D6C50FC24E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8E1EBBE0-16F3-4C22-9F98-216B989182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90478455-456B-4B8E-BF4F-6BC66A82CF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E8815640-0D82-431F-B530-90D17E1550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734FEFF5-DB1E-4FE4-91A0-6305BEB8D2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AE6707A8-8EEE-4D9F-8525-8D56347633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C5304DCD-33C1-4B40-8DDC-535B7FF40B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69419BC9-3A0D-40FC-BFDC-F062F92DDE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364EA238-6DFF-4009-854A-322FEADAA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18F8445B-0598-4962-A5BC-6E17D022A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E9669EA0-9832-4CA6-8225-7B9B29D116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9F3A413A-AB45-42E4-9F13-A0DD77AED3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AFF733C3-E302-4A88-865D-45D8FCE42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E9B4DF84-D752-4584-848C-DCCDAEE70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06C14580-9FAD-4903-9C23-8F5D5DBEED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C1EFB330-C4D3-4404-8F9C-7C80B38237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24385F22-122F-4C72-B447-238A52218A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2036946-70F9-425C-A583-2281CF98AF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C11B4D5F-A834-41AE-B9E5-47D570DA4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2E91B986-34FC-4F0A-ABED-5308BD4763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49F09AF-86A9-4E22-9ADE-2F0A47D98F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86DD7EA2-BD2F-4485-A714-8590C91A0D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36F3D1B-80DB-4F8F-BDE9-B4D159CA90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2E7C2E0B-9A54-4DE8-A73A-B4C63168D1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5ABBD8A8-4BC5-45F0-8B2B-91DA7F2D2B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7EE80292-EBDA-40A9-86B1-3112FB4F0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4EA8FBC-FD40-4089-A591-AD7FCD501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CE02ED71-968A-4A1C-AE33-1290493DD8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0AEECDF1-F853-4164-8D96-D878F469A5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26EB8306-F214-463F-A478-539D2A0825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01223DD-FE15-4F11-8ACC-74D2022F1B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56E942B9-C5D2-49DB-9B76-D4FAC697E9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6AEE18E7-D6B7-4F35-86B9-8F22E5FEE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20A2EB8E-F8D5-491E-B63C-0A7708EBC1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5E7770EF-DAAF-4D5A-9656-F24166C298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A76B25F9-CB7E-4128-9FEF-B6C067D513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B1A0D6E3-CB8F-4068-AC48-519517E31E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A984CE08-B198-4C4A-AB63-218DA2F469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D8C1250D-F237-4297-9015-89FD37CC53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C4D78500-8F4A-43AA-8098-CA5F50A042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BE097700-6EC5-4BBE-AA5A-E264189989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5F0D4C1F-9E2A-40D2-8E4E-47B59EDF55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3D018ED-A9DE-4D9E-A6AE-C1BBCFED54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2803817A-7768-4917-B635-6C443432E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286C5670-5A14-4F76-82CF-CF568BFED7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01C3E0B9-F1EF-4FE6-A4D1-602500BB3D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6409DB30-5704-4FD0-BFCE-DA334C8C91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59477164-CFA0-488F-97DF-EE3A510394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77BD4F37-5596-4576-BCCB-E17227950D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097A9C26-5B60-4638-969D-0EAA0813D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9CEA46-9B44-4EB0-8B4B-2945EE54B4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6CC5DA-C88C-4D8C-98FE-0F407B5802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099117-2436-47D7-B39F-759B76FF85B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C86B30F-B3A9-47FD-B77F-E6BC95D0E0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3F9D617-E978-4AB0-BF76-2E72620C69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C1347E7-B48C-4A6D-AB38-11EFAA160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1834CD-935C-478F-9311-754E28FEF8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5776B4E3-1EB3-4088-9924-194E084D7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97D7B3D-090E-442A-AEE7-A195A7135E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B9C9A2A-3732-4ECE-8999-0D41C1562F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7578B45-73D8-4F30-AC08-8B9AC7FA58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F80033-3CE6-4F3B-85E9-5436948F22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4C79FF9E-916A-471D-BE16-BAB142214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8A78F5B-6EDD-470D-A13E-374804CC09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27BBECE-300B-4DBF-A826-3B8FA4E45F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9E36B1F-229F-42E9-A962-33622433F9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E295A8B-DC93-4E34-8970-FB717AECFB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60DA18F-9722-40AA-BFEA-1FA153D0B8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367E43D0-CE48-4EDB-9984-FD4F115B4C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2C09065-8FB3-484D-AB76-8B96DCA6A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D1423D8-CFA7-4754-9542-689E943D68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A6E7471-D566-4A3A-A87F-A0D33B63D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5812B7C-2087-4D23-A0F1-A0ECD649DB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16D5828-F976-4089-8B3D-73E20C1666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1E7480D-AD5B-4B02-9B49-7E563166B2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5424BC9-F3E4-4508-8903-98A4B0AFBA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B9E35401-3F8D-4D0B-8652-594390C74D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52D1A233-F26D-48DA-B411-C64F21DA1C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4F747305-9F36-497A-B568-7A0FB2B54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6D0E113-0DB8-4BD4-BA17-02D89167EF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8A0A6FF-4F12-4099-AB77-0B9EDFD41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15C0153-9478-4B1E-B5A7-BDA80644F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FF0923B-3F2F-4E08-BA62-37DB31B21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C501CE5-F85A-4AB6-B278-61482BA80C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B8504CB-9E9C-43AB-9FE7-2BFA68E032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04C80B7-C583-421E-97F1-0AE1306F18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FA62B481-007C-44E8-9751-4DBF216639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7EAFEC1-FF49-413A-91AB-297AD63FCD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4308089-177D-4437-A091-423B213DD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851B543-05FD-4760-9740-C6757227CE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DCACF3A-B943-4B48-92B9-281740CC89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8B80476-3038-45CC-BE54-F03C63EF67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8907CD85-A53B-403B-B5D1-6E3B7DA640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62AF84A-D442-4A6E-98FB-46CC6E1C81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22F56DA-DE8A-4841-AE22-F592D298E9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9CDE5F5-49A3-474A-8503-FFC90308F2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7747B90-756A-4E7D-BCD5-DC75BB00A5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41AC755-CB83-40CC-BE14-F70061C44A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AFE69542-19B4-4874-B7F6-C57C61E723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16E11BAD-CB98-4FB8-8C36-5165CB620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09D4314-E1BC-4FDB-9B6B-A2E70C6916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0ADC19D-A42E-4835-BE7F-FCBADDE338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F4F03B1-2067-4F04-AB61-2956DA7548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A3852235-3E84-48DC-A989-224C337973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A521DA3-BB41-4207-ADFD-3BCFC8350B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736EA42-D2D7-4914-9453-B96F59EC95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7857B84-3558-4817-A3FD-9F754BF42E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9CA014E-1A43-4EF7-BCE2-191D729A77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CEA9DF4-5B6B-4B24-A532-4516AC807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A9B6292-73F9-47E0-AA61-466366F88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DCD6E56-A9B1-4A2D-B37D-12EA2F2CAF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A2D325A-5145-4AF4-93AC-7EF552BBC97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4013529-C84C-49F0-BC0B-A945825649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DF3397D-D6F1-4176-8B16-AFDCAF2597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C620DBE-6BF7-4421-BA33-D63551FF0B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F8C5013-9B41-4B65-8820-21861355EA9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07B4FB0-40B6-4189-95F6-366C43797A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5EF25CFF-DD45-4338-B57E-855082BF90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EBF6B34-CE8A-47E5-8D9B-8ACACED841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B1D34D0-3508-42F4-97BD-AD30F804CF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2F5DF5B-146A-4F73-B04A-69385496A7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189F1F9-3CD2-4FA1-BCE5-E4D6A45896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63A3BE5-DFA5-4950-833D-8C826122AA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5FB393F-2DB5-4856-BFAE-487671D328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F629CDB-CEF7-4C6B-AAF4-07050872A2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84F2463-AE7E-4851-91EA-C0BCBD7C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2607007-0E39-453E-8C24-C8749DBCD5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61D25C-5615-4621-A643-EEB98A560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D194A8E-3AFB-4B03-B99A-6D53F6281E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AAAA14D-B330-4213-AEB6-C748B5A84D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3CD1860-FEF2-4103-B97F-CB370807F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A26D1B1-9E01-40DD-8B79-E1843C1724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F87EF3C-FE2F-4821-8818-DAD36AC5E9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C495D25-2ED5-47C9-858A-1D3A6413C7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1AAAA08-48ED-422E-A5AF-0769FB0202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3B4FD6B-5568-44A1-B295-4310194B1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7C8A0FC-B645-4714-98CA-299E3C4EA6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0B9FCBC-71C4-412F-8F00-764038CE4E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70B03ACF-9F82-4CFB-8A27-2DFD04C37A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7CC61C4-22BF-47DC-976D-2AA9B276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B4BB024-3FAF-45DA-9322-6117E2B27B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0C5C938-03BB-4ADC-918D-3C356AA8B4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C1A2A369-9025-4730-9DF1-987C2A98EE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A33FD2B-D32F-4B7B-8D6A-DF09053052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D8D3504-7B3D-4494-A72E-A7CA87A0D1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5C28ECD-BBD1-4A7A-9294-5372216D98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FB12DEB-CA63-4095-8E37-BF1CD66417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4AEA825-C15F-41C2-ACD7-EB64838F31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0AED05F-901A-440C-8FB5-D7994A2A86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8951745-30AB-4784-A904-AE05787F01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8BF26E8-C628-4F02-988C-BD3ED3C6A6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430F9D5-4142-438C-BFC2-60CB69A1D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EF79B3A-C5E4-47C8-99F9-F94705208B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CC12C70-BECE-4234-894C-18817760DB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5FC2171-2633-48C0-9702-78CDF1B60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F84585A-C7AA-49F5-A663-F52DE1A341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2EC6332-7DCD-4975-8624-1CA3D65FD0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A42404-7351-48FB-9FF5-2A06F61763A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E717CBB-F420-4A10-B019-6A66EF186A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F50A2357-5F8B-4B20-ABD0-243D8B013D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9130FA6-013A-4D60-96A9-C7E1EDA82C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71423A6-8068-4509-8DEB-06DF28498F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43E0B6CE-4866-493D-9F81-BEC84034C0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B4B9AD2-F266-4690-9491-8234CBF5D4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AA057EA3-D9B3-4074-8476-B35077F8F5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32257AB-B8CB-4C69-883F-196D98BAFC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51BC5CA-CA7D-4FAE-9D85-4DEEE85E56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D284478-AC13-4B02-94F4-B020B449C7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18BA0A5-D094-4021-AE19-58522BA3B1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7DE1512-9D55-45CB-9C38-2AF4C7044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607103C-A412-4CC2-866F-FC2ADAABA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006E1BA-607F-4F43-8D6A-D8267CB87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B25C587-2088-42F9-B47C-45FE1FC362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821C9C9-AEEE-4E3A-AE30-45224205D6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5E21092-53FD-4CB4-8B90-66696B9C8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8153827-7907-4964-8F70-B630603F18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C66E6B1-25C7-466E-A041-028739F94B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7B0A8098-1B0D-44F3-AC88-A8917B6F23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626C657-CC0B-4D3D-B0D9-06371CDAEF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0DF7918-06DC-4560-8D4A-81EA382F80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CBDE2A8-4126-4F9C-B283-ED3D8C221C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CBD487A-EDF2-4762-B5EB-F66BE64DA2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E9F2296-4E95-44A6-BA7F-611325D4A4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914195D-32C6-4E08-A1CD-AB0AAFF87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31394C28-6D2E-4597-9D62-AAB36069E0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1E9422B-C1F0-4F41-ADBD-C1F95A56BA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DF76095-4028-437C-A025-9AA943B699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2722A974-68BA-4181-ADC6-9684946201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A88E176-E5AC-484C-9EEB-77E12EBDBB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C0F2236-8EFE-4EAC-942D-E0F24C7EC0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B1F8B76-DFBF-46D2-BF9E-307645FE00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E863291-5C48-4995-9B12-B86E8178B5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9CB288-E470-4F15-BE7C-C86B2D50B2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2D177AD-8278-4445-AAC0-E18B7C7BD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8FFF631-F5AA-4A6D-9DB2-976CB3B94B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E886A95-9079-4ACA-A8D2-96809D154F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F40DE32-A1CE-49B8-92A7-F5255FFD9A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C189C14-D12E-450B-93A3-4E84EDDED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DE74499-4D12-4F9B-98B9-57B0C6EEAD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E2A23B0-34E6-40BC-A356-49EF75F607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67842AA-3D51-4765-A2B9-35E07C8A94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8163AB2-CDF5-43A3-ACBD-5EAA3E90E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6DA1356-121C-4133-8734-DA4F4683C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5B1DF085-56CA-482D-9D8D-1BF3BAAAFF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45630E7-9196-4E74-BC72-21A93D5A0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8836B-111D-4F95-BD67-0A9675C04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DC32DA35-7523-492C-9A89-0B40C8B4BF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A53F888-CC67-45F4-99A3-ADF17B9AB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3524523-9241-4E1A-8CE3-7E345A017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4579218-7BA8-42BC-BB3F-83B86D1716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104E3C2-BA4C-4322-9800-C452E9F3D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EB237DE-BA3C-4FE9-B4C9-92A51B4C4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B99D1CB-4B87-4736-A118-5340863389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4E7E6EC-69C5-4AA6-887B-C37CC93E33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2C106C21-A615-4C44-99D2-29311EE706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81D619C-0050-49A7-93A4-DB092EA704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1F6BA4B-5258-4439-93D0-62D0F2253E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BBAF1D12-DE3E-47B8-99DB-FB0EA7824D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85AB9322-D396-4D80-8900-19ADDC2A3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7F10E15A-7140-4AEB-A659-BFA0A6F31A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11CB127-4FC6-4E8B-AFF9-D9A6CC349BB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E609246-89E6-41AA-8C3D-C4F7A3D725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33D8905F-A822-48E2-BE54-99900AAE9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1380A38C-4EDD-48ED-B265-7D1785E5F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C629C67-0337-4F12-9434-C3E375E92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4EA7DD8-EBF1-4554-A9C7-E81A756199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AA84E30-A77E-48E5-8F47-8A785581E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A2CBCB4-C429-443A-A7D9-1AEA6D51325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39497A4-D517-4CE5-A3FB-B1C9AC74C3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26649F1-EE3E-4B8B-8A00-0547B61E7F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DF05957-EDD8-436C-B7A7-D251BD1C97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CDABBD0-AC26-44F0-9E7A-B43D88F5D3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B497D2C-7512-4609-825B-E4ACA066E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8ECAF65-BE44-4DB3-A57E-3AC69B9836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E9B4E2A4-57D5-4E59-A827-5F76DC87E9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42566D02-B6A2-4573-97AA-6579EEC3E4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965CB35-8571-4BC9-B8F1-4625F9935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F3F944E-D0FD-436C-B32F-7AABFCCD3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8620E5D-72F7-4EC9-B56A-E08CAC27DD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929F646-5045-435C-B202-4A9BED27D8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60C265C-D0A0-403C-807C-440A01ED2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DE9A1DD-9BC8-4017-863F-0DB437C7A3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DAD82FF-D115-49AA-AB69-A0BA8056F4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226F3FA-F909-4FD2-BED9-61A383360E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4A288D3-7F3F-4543-B64C-012645F38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675FCB3-FECB-4826-B7CC-B8F0C06209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960A858-A7F6-4500-9A32-3580C9FAFC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882191DC-6F27-49DC-B291-DCFCE54A10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28A2F5B-0C6A-4A90-AA72-62D3726E81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EB46679-E416-4BAC-AC97-39C7F384FC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E168C71F-D04A-45F9-B270-47ACB8DC20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76AE6D0-4695-479A-80E0-F17887A8929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DC7E1CD-C0F5-4865-9ED5-BD52FC786D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C41E9F6-04D9-44D6-8790-3230628B0A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EB6579D-956F-475B-B611-EB60647294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8DD10220-FF74-40B6-9746-7ED79E550E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683D1AB-485D-4094-B8DA-5B6579B00B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AB43FD9-B50E-42D1-AA05-192D7B7C7B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FEE61B9-02F4-46BE-BF61-0D75BE640B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8873C97-64A0-46B6-A330-7950E15BF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17FBCF55-3003-4EC6-94A6-594F6CE5C2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A3265B7E-EECB-4321-9CC0-A68B50FBD0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580CC0C-81A1-4FF5-A405-5E193E9765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5D435EE3-719F-4A25-B1C3-25A7354616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95C065E-B8C9-4892-8361-5F85D41059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429BEC5-13D4-42EF-B773-3F6C9CBC9C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8172D4E-A70B-4559-8775-AFB3E4BB85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945C474-5645-4D04-A563-B1D3A2075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3106385-EC23-4F7C-BAC3-E24E9DB33A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2D49819F-664A-41AA-9A5D-AB2058048A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48AAE7B8-0EC2-406F-B7C9-85F16C4093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01DE0D8-64D6-484B-A77A-D0FF5047FC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D6CAC660-4619-4AEC-AD8E-86C0ABCB7C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87A365CA-EE42-4183-9E55-BDB71D82E3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0A0E173-6B86-44A7-929D-305A24FCF2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107BE25-A605-4F2A-A59D-77EF3ECD29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F7A0770-1406-4E5D-AA0D-9F03465D48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4D8C105-24E6-48FD-AD42-8BF00DE1F6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DC5B9B0-3F89-4263-9FBF-AECCB22FA0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E121BF33-318E-429B-8EAD-051824AD8B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62DFCFC-86B8-4D9B-AB31-535340D2DC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45EC87C-FFFB-4604-99F9-8D919A5639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71927D5C-B24B-46F1-812F-C5A1A6FD01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00C0CB8-D83C-4B15-B185-98C16F4B5C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FBDC8BBA-A12E-4AC1-8C6C-3A3AACF2A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C667EE44-40E8-4017-9600-55C07ECC9C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21DEDB0-D3AC-4316-B9D9-315F1EC59D9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A33E566-C55F-4D8F-8D7F-6A72E79B89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F965ECF-6B9D-4AEA-814F-A6F940E52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5E397FB-CED6-462C-8D76-EF8D252DDC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B2FA439-7C8F-4CCF-B182-DDBEF735D5B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31BCBDAA-40DA-4A57-A8C8-13DC91EB4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852BB84-A10F-431E-8C46-F7DC45B8D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970031A-7704-40DA-83EE-3AF18A2721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C813318-525B-4A95-BF16-C63E89FA1C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F23B7EDA-6CAB-48E2-A9BF-AF1FD7B605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F8D309C-8606-45AE-94A2-B5413756FC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CB48929-4787-4C3D-A561-50F3BE16AC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2889F1B3-06EA-430D-8FF6-D827CC0CA6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68357F8-3A10-4ADB-847A-E2D75D79AD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377A377-B8C5-4A05-B44A-7B4B199CA3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F77BAF46-9F8B-40F8-90A6-778AF9CF8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D11F0B3-14E5-40B3-811C-B1326B029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57EBCCC-4A3F-43AC-AD85-1FEDAB1FB9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4269F6B-864A-482C-BD6C-2DE443A1DC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5EB3E5E3-D486-45C7-BF78-B9EDD86D67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4B47AD8-E77C-47F2-BC9C-F7C52E1838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D76D34CB-7C11-4238-9641-8DAAE0050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47E75DF-7378-4EA4-8B21-2508F5C15B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653E6933-2EBF-4FDA-A236-57F878EC8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B8DE719-A772-4403-88F2-5E7DEE55E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430932A3-D93E-48AD-A018-8039D5F3F4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015FAB7-E824-4D72-8C0D-BE4D0B0FC8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C8297239-5275-43B3-8015-2596D9B3D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893DE989-1EB0-4509-BA79-28F1E061C3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088C4D28-F5A0-49B8-B191-54511B7EFA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4B0195E2-082E-444D-BB45-21C08BC1F0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C3189A48-6E2D-49BD-80A7-D13F8784F7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96FA3198-673E-447A-BA01-4CFD8CE414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9245A631-DED0-4F38-BBD2-3233450441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C20BC4B4-D5B4-41D3-9D6F-3E51A29AE4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57DE9AF-0DBE-4F81-B82E-E492DDCEB94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2F79CCD-646B-4270-8DC7-E023C81B5D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5BDCEFA8-D668-4E14-B5CD-9333213321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70F5D3B-70DE-4777-9A3E-BA255EE491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68D02E5-A412-473D-A8EB-71A3BD0CE6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29BFE45-AE8C-4DBF-ABCD-77E69293C0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0852A17-8D04-4C21-A1C8-4F7987ED7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2339BC3-C067-4601-A77D-B6B6196F2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4B371B3-144C-4033-A69F-B8E1C41239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Q25</xm:sqref>
        </x14:conditionalFormatting>
        <x14:conditionalFormatting xmlns:xm="http://schemas.microsoft.com/office/excel/2006/main">
          <x14:cfRule type="dataBar" id="{BFCD8161-E365-4EDD-86B1-E05B19CF2B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Q25</xm:sqref>
        </x14:conditionalFormatting>
        <x14:conditionalFormatting xmlns:xm="http://schemas.microsoft.com/office/excel/2006/main">
          <x14:cfRule type="dataBar" id="{88A75FA6-3E9A-4A07-BCAC-5710237C83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A2D1110-793C-4765-A90D-3EC317B09F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R25 R22</xm:sqref>
        </x14:conditionalFormatting>
        <x14:conditionalFormatting xmlns:xm="http://schemas.microsoft.com/office/excel/2006/main">
          <x14:cfRule type="dataBar" id="{D76FBF64-8C29-411A-9BB9-902C66CD7C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Q25</xm:sqref>
        </x14:conditionalFormatting>
        <x14:conditionalFormatting xmlns:xm="http://schemas.microsoft.com/office/excel/2006/main">
          <x14:cfRule type="dataBar" id="{1285895D-A82B-4A2F-BE86-BE85AF3B32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R25</xm:sqref>
        </x14:conditionalFormatting>
        <x14:conditionalFormatting xmlns:xm="http://schemas.microsoft.com/office/excel/2006/main">
          <x14:cfRule type="dataBar" id="{ED29801F-C6CE-43F7-B77C-290A62E21A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Q25</xm:sqref>
        </x14:conditionalFormatting>
        <x14:conditionalFormatting xmlns:xm="http://schemas.microsoft.com/office/excel/2006/main">
          <x14:cfRule type="dataBar" id="{76BD7B1F-CB11-40DD-81BD-B1E14A2CED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R25</xm:sqref>
        </x14:conditionalFormatting>
        <x14:conditionalFormatting xmlns:xm="http://schemas.microsoft.com/office/excel/2006/main">
          <x14:cfRule type="dataBar" id="{80493530-09B4-424D-B5A5-0CD48ACFAB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Q25</xm:sqref>
        </x14:conditionalFormatting>
        <x14:conditionalFormatting xmlns:xm="http://schemas.microsoft.com/office/excel/2006/main">
          <x14:cfRule type="dataBar" id="{F9B9AC48-42AD-4829-8199-B17689976B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R25</xm:sqref>
        </x14:conditionalFormatting>
        <x14:conditionalFormatting xmlns:xm="http://schemas.microsoft.com/office/excel/2006/main">
          <x14:cfRule type="dataBar" id="{F4D4032C-27A1-4A89-8E76-07C5C97CFF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R25</xm:sqref>
        </x14:conditionalFormatting>
        <x14:conditionalFormatting xmlns:xm="http://schemas.microsoft.com/office/excel/2006/main">
          <x14:cfRule type="dataBar" id="{FF4E1DE7-9482-4F83-B32F-90761972B4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FF6602E-A47B-4110-9C81-A55EA293FC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 O22</xm:sqref>
        </x14:conditionalFormatting>
        <x14:conditionalFormatting xmlns:xm="http://schemas.microsoft.com/office/excel/2006/main">
          <x14:cfRule type="dataBar" id="{9B1CC618-7B0A-4565-B22D-0CBD6F473F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 O25</xm:sqref>
        </x14:conditionalFormatting>
        <x14:conditionalFormatting xmlns:xm="http://schemas.microsoft.com/office/excel/2006/main">
          <x14:cfRule type="dataBar" id="{85D1C1F1-0163-4A09-9C04-75A1ACFC72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 O25</xm:sqref>
        </x14:conditionalFormatting>
        <x14:conditionalFormatting xmlns:xm="http://schemas.microsoft.com/office/excel/2006/main">
          <x14:cfRule type="dataBar" id="{ECC739AC-17CD-404A-AE21-FCFEA34EEE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A802FC-E816-4D52-B33C-0836CA4048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 L22</xm:sqref>
        </x14:conditionalFormatting>
        <x14:conditionalFormatting xmlns:xm="http://schemas.microsoft.com/office/excel/2006/main">
          <x14:cfRule type="dataBar" id="{7B799024-809B-4917-A027-2FB7273492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 L25</xm:sqref>
        </x14:conditionalFormatting>
        <x14:conditionalFormatting xmlns:xm="http://schemas.microsoft.com/office/excel/2006/main">
          <x14:cfRule type="dataBar" id="{9AF63D84-05F6-4BBF-B2F2-EB87ACD2EB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 L25</xm:sqref>
        </x14:conditionalFormatting>
        <x14:conditionalFormatting xmlns:xm="http://schemas.microsoft.com/office/excel/2006/main">
          <x14:cfRule type="dataBar" id="{BA65F33B-3D0B-4B36-B059-C05A3455E6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O25</xm:sqref>
        </x14:conditionalFormatting>
        <x14:conditionalFormatting xmlns:xm="http://schemas.microsoft.com/office/excel/2006/main">
          <x14:cfRule type="dataBar" id="{55757155-CA83-4A7C-B8B7-744103D32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Q25</xm:sqref>
        </x14:conditionalFormatting>
        <x14:conditionalFormatting xmlns:xm="http://schemas.microsoft.com/office/excel/2006/main">
          <x14:cfRule type="dataBar" id="{852D46AA-C27F-483C-9854-5CA651C459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R25</xm:sqref>
        </x14:conditionalFormatting>
        <x14:conditionalFormatting xmlns:xm="http://schemas.microsoft.com/office/excel/2006/main">
          <x14:cfRule type="dataBar" id="{9691F13A-557D-47BC-B9C9-D6872439F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 L25</xm:sqref>
        </x14:conditionalFormatting>
        <x14:conditionalFormatting xmlns:xm="http://schemas.microsoft.com/office/excel/2006/main">
          <x14:cfRule type="dataBar" id="{4E7F2682-46D1-4AB9-B11F-1B47674FC9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 L25</xm:sqref>
        </x14:conditionalFormatting>
        <x14:conditionalFormatting xmlns:xm="http://schemas.microsoft.com/office/excel/2006/main">
          <x14:cfRule type="dataBar" id="{5457AC6C-8CD1-48F4-9406-A1B6975E34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O25</xm:sqref>
        </x14:conditionalFormatting>
        <x14:conditionalFormatting xmlns:xm="http://schemas.microsoft.com/office/excel/2006/main">
          <x14:cfRule type="dataBar" id="{D5383D86-CE87-4E56-8650-B3A31990DB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Q25</xm:sqref>
        </x14:conditionalFormatting>
        <x14:conditionalFormatting xmlns:xm="http://schemas.microsoft.com/office/excel/2006/main">
          <x14:cfRule type="dataBar" id="{097B24BF-9F33-42C6-B68F-A39D3F96D1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R25</xm:sqref>
        </x14:conditionalFormatting>
        <x14:conditionalFormatting xmlns:xm="http://schemas.microsoft.com/office/excel/2006/main">
          <x14:cfRule type="dataBar" id="{CE3D4261-5DA5-4257-A6B2-7F1BB10297C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 L25</xm:sqref>
        </x14:conditionalFormatting>
        <x14:conditionalFormatting xmlns:xm="http://schemas.microsoft.com/office/excel/2006/main">
          <x14:cfRule type="dataBar" id="{86EA7A77-2CDF-461D-A7C0-52C4617D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O25</xm:sqref>
        </x14:conditionalFormatting>
        <x14:conditionalFormatting xmlns:xm="http://schemas.microsoft.com/office/excel/2006/main">
          <x14:cfRule type="dataBar" id="{A72F3B0C-F49C-43C6-873E-44CC9A20CF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Q25</xm:sqref>
        </x14:conditionalFormatting>
        <x14:conditionalFormatting xmlns:xm="http://schemas.microsoft.com/office/excel/2006/main">
          <x14:cfRule type="dataBar" id="{44D09064-5265-43EF-BF77-57BEDBB416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R25</xm:sqref>
        </x14:conditionalFormatting>
        <x14:conditionalFormatting xmlns:xm="http://schemas.microsoft.com/office/excel/2006/main">
          <x14:cfRule type="dataBar" id="{E9401123-D25C-4478-A3C6-03DE4026E0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 L25</xm:sqref>
        </x14:conditionalFormatting>
        <x14:conditionalFormatting xmlns:xm="http://schemas.microsoft.com/office/excel/2006/main">
          <x14:cfRule type="dataBar" id="{BC0A1CC4-6E67-46BF-8F63-FE521BAFB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O25</xm:sqref>
        </x14:conditionalFormatting>
        <x14:conditionalFormatting xmlns:xm="http://schemas.microsoft.com/office/excel/2006/main">
          <x14:cfRule type="dataBar" id="{458A7430-ED49-4EE7-BE02-1162536F7C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Q25</xm:sqref>
        </x14:conditionalFormatting>
        <x14:conditionalFormatting xmlns:xm="http://schemas.microsoft.com/office/excel/2006/main">
          <x14:cfRule type="dataBar" id="{5C2B04C8-94F7-4842-98C9-21C914CE12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R25</xm:sqref>
        </x14:conditionalFormatting>
        <x14:conditionalFormatting xmlns:xm="http://schemas.microsoft.com/office/excel/2006/main">
          <x14:cfRule type="dataBar" id="{720B5135-E00B-47C2-9900-245C68877E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Q25</xm:sqref>
        </x14:conditionalFormatting>
        <x14:conditionalFormatting xmlns:xm="http://schemas.microsoft.com/office/excel/2006/main">
          <x14:cfRule type="dataBar" id="{4E0E345E-58A2-4B5A-8484-995A087408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Q25</xm:sqref>
        </x14:conditionalFormatting>
        <x14:conditionalFormatting xmlns:xm="http://schemas.microsoft.com/office/excel/2006/main">
          <x14:cfRule type="dataBar" id="{4063C036-8167-4CC7-B4C1-AA6D0F9B4F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3BBC032-5C42-4DA3-A559-927501D9DA0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R25 R22</xm:sqref>
        </x14:conditionalFormatting>
        <x14:conditionalFormatting xmlns:xm="http://schemas.microsoft.com/office/excel/2006/main">
          <x14:cfRule type="dataBar" id="{5DF23758-866E-409C-B25F-3D7960AA0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Q25</xm:sqref>
        </x14:conditionalFormatting>
        <x14:conditionalFormatting xmlns:xm="http://schemas.microsoft.com/office/excel/2006/main">
          <x14:cfRule type="dataBar" id="{162F09FD-D40F-47E6-97CE-E1E5C54AD9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R25</xm:sqref>
        </x14:conditionalFormatting>
        <x14:conditionalFormatting xmlns:xm="http://schemas.microsoft.com/office/excel/2006/main">
          <x14:cfRule type="dataBar" id="{62661EA9-E229-47F4-A1CD-20FBBBE1B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Q25</xm:sqref>
        </x14:conditionalFormatting>
        <x14:conditionalFormatting xmlns:xm="http://schemas.microsoft.com/office/excel/2006/main">
          <x14:cfRule type="dataBar" id="{5E3317D8-DF30-4A43-B65E-8113D32276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R25</xm:sqref>
        </x14:conditionalFormatting>
        <x14:conditionalFormatting xmlns:xm="http://schemas.microsoft.com/office/excel/2006/main">
          <x14:cfRule type="dataBar" id="{AC30DF4C-83EF-4FC1-84CE-07BA972FC5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Q25</xm:sqref>
        </x14:conditionalFormatting>
        <x14:conditionalFormatting xmlns:xm="http://schemas.microsoft.com/office/excel/2006/main">
          <x14:cfRule type="dataBar" id="{E89BC541-05A2-420F-BFF2-4C7CBFCDF4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R25</xm:sqref>
        </x14:conditionalFormatting>
        <x14:conditionalFormatting xmlns:xm="http://schemas.microsoft.com/office/excel/2006/main">
          <x14:cfRule type="dataBar" id="{3530B4C6-AE65-44B4-BB0A-4D8D479C08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R25</xm:sqref>
        </x14:conditionalFormatting>
        <x14:conditionalFormatting xmlns:xm="http://schemas.microsoft.com/office/excel/2006/main">
          <x14:cfRule type="dataBar" id="{837B0898-3D0B-4599-A432-6E96769794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08E7E76-9E3D-4C23-8796-49126545B1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 O22</xm:sqref>
        </x14:conditionalFormatting>
        <x14:conditionalFormatting xmlns:xm="http://schemas.microsoft.com/office/excel/2006/main">
          <x14:cfRule type="dataBar" id="{209556E8-0625-4415-9BD4-09E1038F3E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 O25</xm:sqref>
        </x14:conditionalFormatting>
        <x14:conditionalFormatting xmlns:xm="http://schemas.microsoft.com/office/excel/2006/main">
          <x14:cfRule type="dataBar" id="{65F6C0D1-F4A5-4E49-B634-E731F195A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 O25</xm:sqref>
        </x14:conditionalFormatting>
        <x14:conditionalFormatting xmlns:xm="http://schemas.microsoft.com/office/excel/2006/main">
          <x14:cfRule type="dataBar" id="{82B60C90-B83B-4450-8196-0E826B186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D18953-01DE-47E5-92FD-9F0D8CE74E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 L22</xm:sqref>
        </x14:conditionalFormatting>
        <x14:conditionalFormatting xmlns:xm="http://schemas.microsoft.com/office/excel/2006/main">
          <x14:cfRule type="dataBar" id="{94C00549-10D8-44F5-841A-89B2122467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 L25</xm:sqref>
        </x14:conditionalFormatting>
        <x14:conditionalFormatting xmlns:xm="http://schemas.microsoft.com/office/excel/2006/main">
          <x14:cfRule type="dataBar" id="{5A830B31-C93E-4B12-AEDE-EAC22158C5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 L25</xm:sqref>
        </x14:conditionalFormatting>
        <x14:conditionalFormatting xmlns:xm="http://schemas.microsoft.com/office/excel/2006/main">
          <x14:cfRule type="dataBar" id="{4513AA0F-5188-4B63-871F-A341C910F0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O25</xm:sqref>
        </x14:conditionalFormatting>
        <x14:conditionalFormatting xmlns:xm="http://schemas.microsoft.com/office/excel/2006/main">
          <x14:cfRule type="dataBar" id="{22EF0900-64A3-4893-83ED-2985F747B1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Q25</xm:sqref>
        </x14:conditionalFormatting>
        <x14:conditionalFormatting xmlns:xm="http://schemas.microsoft.com/office/excel/2006/main">
          <x14:cfRule type="dataBar" id="{2FC97F71-F1A9-4EC1-A4E4-1B2F5961A2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R25</xm:sqref>
        </x14:conditionalFormatting>
        <x14:conditionalFormatting xmlns:xm="http://schemas.microsoft.com/office/excel/2006/main">
          <x14:cfRule type="dataBar" id="{268C4197-8D35-4FEA-9341-F054C4581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 L25</xm:sqref>
        </x14:conditionalFormatting>
        <x14:conditionalFormatting xmlns:xm="http://schemas.microsoft.com/office/excel/2006/main">
          <x14:cfRule type="dataBar" id="{727BD661-1064-4CA8-BEBE-CD315E32A9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 L25</xm:sqref>
        </x14:conditionalFormatting>
        <x14:conditionalFormatting xmlns:xm="http://schemas.microsoft.com/office/excel/2006/main">
          <x14:cfRule type="dataBar" id="{22C130BF-D632-4C96-B10B-927FD1F547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O25</xm:sqref>
        </x14:conditionalFormatting>
        <x14:conditionalFormatting xmlns:xm="http://schemas.microsoft.com/office/excel/2006/main">
          <x14:cfRule type="dataBar" id="{8F6C8E8A-B705-413D-83D4-1BD4E6182C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Q25</xm:sqref>
        </x14:conditionalFormatting>
        <x14:conditionalFormatting xmlns:xm="http://schemas.microsoft.com/office/excel/2006/main">
          <x14:cfRule type="dataBar" id="{0EA1B762-17CD-42F1-9950-DFA5E01961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R25</xm:sqref>
        </x14:conditionalFormatting>
        <x14:conditionalFormatting xmlns:xm="http://schemas.microsoft.com/office/excel/2006/main">
          <x14:cfRule type="dataBar" id="{48AB9C0F-AE10-4CCE-AFDC-E0E50A81529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 L25</xm:sqref>
        </x14:conditionalFormatting>
        <x14:conditionalFormatting xmlns:xm="http://schemas.microsoft.com/office/excel/2006/main">
          <x14:cfRule type="dataBar" id="{37E92A4A-248D-41F7-95B4-87D64080BD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O25</xm:sqref>
        </x14:conditionalFormatting>
        <x14:conditionalFormatting xmlns:xm="http://schemas.microsoft.com/office/excel/2006/main">
          <x14:cfRule type="dataBar" id="{AB8854ED-6A48-4EE2-9F9F-A6229D8526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Q25</xm:sqref>
        </x14:conditionalFormatting>
        <x14:conditionalFormatting xmlns:xm="http://schemas.microsoft.com/office/excel/2006/main">
          <x14:cfRule type="dataBar" id="{5596F078-3AC2-4402-BA85-2C2A1E418D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R25</xm:sqref>
        </x14:conditionalFormatting>
        <x14:conditionalFormatting xmlns:xm="http://schemas.microsoft.com/office/excel/2006/main">
          <x14:cfRule type="dataBar" id="{3874E2F8-5F29-46A8-AA83-15727FB3A11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 L25</xm:sqref>
        </x14:conditionalFormatting>
        <x14:conditionalFormatting xmlns:xm="http://schemas.microsoft.com/office/excel/2006/main">
          <x14:cfRule type="dataBar" id="{F50DFAB6-2777-4069-AEBD-E6A211519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O25</xm:sqref>
        </x14:conditionalFormatting>
        <x14:conditionalFormatting xmlns:xm="http://schemas.microsoft.com/office/excel/2006/main">
          <x14:cfRule type="dataBar" id="{88D2CA91-BEE3-41F0-A62B-14CA52DF18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Q25</xm:sqref>
        </x14:conditionalFormatting>
        <x14:conditionalFormatting xmlns:xm="http://schemas.microsoft.com/office/excel/2006/main">
          <x14:cfRule type="dataBar" id="{2F986CEA-4215-42F8-826A-B5A50F171D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R25</xm:sqref>
        </x14:conditionalFormatting>
        <x14:conditionalFormatting xmlns:xm="http://schemas.microsoft.com/office/excel/2006/main">
          <x14:cfRule type="dataBar" id="{2944EA97-4FD7-46C2-B753-4473E7424B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802B845C-DA36-42D0-8024-85B479D25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097921C-19C2-49D6-8706-5EBE702938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46DADEA-A197-48CF-BB4E-A948BB6FAC4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DECEF65-67E2-47C6-AA4D-3A985484F5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2E590E0-D4AA-4595-9F22-226457E689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97259710-55B5-49FB-B4A5-8D1A2DB92D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F572AF0-DE31-4510-A8E7-22DBE65C7F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D46FC9DF-CCA1-4A59-9BCA-01391C589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1BFD29B-1386-4DAE-8F1B-6B02EF22C3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953F849-3264-4B05-8B80-AA7EBC8E37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76C97D7A-A29E-43B6-BE82-85663DFBE4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A9C099E-F101-4444-AB6D-FC4CAB1463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197D5A10-391A-4C34-A471-34EDFB7000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42E121C7-6AF0-4CAD-9651-98BCD96C45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DD4FD236-4882-430E-80F1-329D42E0C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1DC26E8-E4C8-4F3B-AAEF-93BB69948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AD5732E-C2AE-44B6-B5B4-650F6EA885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3C2FBF2-3402-4C2C-82D1-6B6C61A0B2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693F0180-9952-47C6-A693-51E2545736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6F016174-0124-4C8E-8631-09A24AD5D6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C1D5CCD-C816-4465-AD44-3ADBFA5239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276B350-728B-4266-9A5F-F9D0B6D16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73294512-C858-44CF-91B8-5A24B9E1EF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A8395E9-34C8-4CF6-8397-4BAF07F35D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F0ABCB18-6115-49A8-ACE2-5B357E2547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E57689C8-42FA-43B0-B1A9-2BB1EE8B91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C367053-6CB5-45CE-A622-442518E3F0F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EBAC046B-A21E-4BE8-AEB2-DE14828E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58357019-7FD3-47E6-B042-46F0665D2F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188DF781-4947-4904-BBB8-70866602D3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239E4E0-3C49-4C3B-9691-882014D7EE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B5DB698-6FA1-4A11-B21F-FF5136F67E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D6BE0817-4EFF-4289-88EE-163B90B9A7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382C219F-22C8-4000-8E5B-35C0125CA3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7F0A1BB-1064-491A-8D56-5D1513FBD9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1BEF55CB-A24D-40EC-B8F0-8E60AE52EB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1425252C-E5B5-4679-A1D5-8B3BD12061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21E15AA-23AB-485C-90E6-510201C9219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F41FEC5-0E56-4D04-AEE1-1040F71BE8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427038F-39C8-4B25-97B0-391AFCCF80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50B19B46-BF84-4936-9FAF-8564AAE5E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7C63179-2D67-4083-9D5E-84C1B86738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5E11F51-2AF7-4920-B756-BFAB1F5EA0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97B54468-7ACF-48F0-9241-42268F4EE8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E6D9C687-DD42-467A-B205-FEA0DD4403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C07B089D-807A-4689-9F21-A3AE0E67C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242D30-4244-48BE-B9B1-537DBC1A13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6F15124D-B16D-4163-8DA1-E7585FD41E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95CC2BF4-1987-4B2E-B111-1834431A0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BB99152-F41C-4ADD-AD85-FF31924534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8B1AB4-F744-4F18-9026-CDD83A1648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1B7E27C0-123F-4749-B1C4-A7AA9D704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5A9F0FE0-8517-446E-A4F8-EA16541FEA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FCDC3D6-4C4D-4A7F-8A0C-4B17D8A643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234C57E1-6859-4F9B-B978-4358B7BFD5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7B676134-8B56-49AF-87C4-EDC8E25A64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38BAFB7-C02F-4CA7-BF20-0D3634EA5B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1B44EF9-AE27-4DAD-B76B-B0EFE13C10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6E8F474-E37C-465C-A916-470AA39704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7BF118CA-A9D6-4F59-9995-DDE93A33C2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1A8089FD-1B17-4FA2-8E4F-AD86F12173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2BC7674-833A-4F00-9EC2-A093471DD7E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F4725A7-ECCD-4AE4-A151-26DC92570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BAAA0EB1-3A07-408D-8CA1-AF3736643B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0B3F697-58E3-4F41-A207-FCB7D32DD7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E1EF5F9E-2AFD-4100-991C-1C0D2E39A5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5BCC252C-9F74-4532-97E5-B6F0625E46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DDF3885-87FC-418D-9FC5-7060B9B589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187F68E-E354-4FB2-90FE-9BC96D3D11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39C34AC-A604-4153-9F87-F8CE5C2F5E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BD9C28A-8507-483B-B833-C0D85EBF0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EEC7228-D579-488A-B55D-1DC548F2D7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F0D03A1-1FC1-4144-9534-C97E687EEFF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2AECE7D-3503-45C4-AE39-7E8863A7F6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BCE0404-C51C-434E-A547-CE910CD821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13722EE-2CEE-4271-A181-BEC46C1C20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275D104-17E3-4174-ACEC-07D1F89EC0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F85FEE60-1635-422A-8CF0-3C1DCFC697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B66EF8B-3A57-4C5E-B75F-29B56381B6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364C24C0-71B0-4E85-BE78-8E5723CC7D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AFC9396-1045-4A84-9041-4664222A78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D04A467-598C-459C-90F6-67E0C5988B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1EC2793C-C223-4935-B3EF-073E402B7F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4669B33-C1C1-4657-8AD9-DE3546AE4A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4836D259-9FC7-41FF-91C4-72BDF660D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67B545E-87F5-4981-ADA9-2C7B6F3182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D113443-7395-4A1F-819C-2722DA55E9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9D208B0-E83F-4936-80D6-FC48876AB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3BF325B-DCE7-4F33-8CFF-93B04FD09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8D3E0A09-9862-4A7A-9C95-AE1A38DDC4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FA8ED7C-C3D1-4E1D-B7BA-BEAA751B0A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AA38515-45B1-4547-B4DE-C814FF431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DCEF98E-90D9-4A6D-88C3-99356F47E8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EA89774-D47C-4875-A48B-284008B71F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5F7B8EBD-BFAB-4351-A24C-6221934D6B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596F2777-7C76-479B-AD94-7847310918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9D2CE8B-613A-47C6-8F5E-84ED888B4A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8DC20DC-9198-4B4C-8C3C-BD08B23040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939C756F-184D-419A-8253-A76A7B33E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7C579C4-8FED-4912-89A1-FC80D1CCA3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58AF336-09D3-41EC-8EB8-FFC8C138AD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C970A9B-2012-463F-BE4D-184E4C3DB4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A2C3D346-EFC1-4AE1-8C18-25DEB7168E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C2BA1BC5-66CE-46CB-90ED-3548276FFE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DF8406C6-40EC-4070-85E0-180F055D08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97684348-C98A-4F34-B127-5AA3F3DDE0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D4247B67-8A45-4C63-9F68-D8DBB4FF24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CD6E444-CDB1-4066-8331-DBCA1FDA65C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E58A1131-BB35-4684-A0EA-0F24741D76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5846B56-CBEF-484B-9D3C-6A8A8A66DF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0E3F684-2DFA-406B-8A78-EF31D096F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FE7FEA3-E8A3-4CF8-A3F2-85CF3E0D9E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E05751E-9010-462B-B12F-F130EA707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FB94555-899F-400A-B688-A3CF1AACF6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64C286D-78F2-42C2-B544-C08B93A7AD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9404043-1102-4845-9092-9AB7C9BF8E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7E048A-3E62-49A2-B6A6-3247542202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BC55FB6-BDDF-40DE-A999-B0D1492DA6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23D55272-93A4-4F9F-AD20-FEA36DEB37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31F8237B-07CA-4E7F-AF34-50A00E5CE6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8E8C827-FAA4-49F9-B34E-4CE673BB77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B0F38BE-106E-4ADF-B199-B5AC985506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F89B09B-9DF8-49DA-9233-69C64784FA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D055D70-0362-440D-B784-B033391A0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547A6E88-22AA-48B5-8F53-95375D4E83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C75FBC7-BE46-4944-8689-25BD6C6E5C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54537D4-9C59-4B46-83A0-A5BADABDED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287BA847-93B1-4C55-9E64-C14E6C4BDE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DB1E4DC-1269-4144-9C64-9AAF0311C3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EE6BD687-8981-48A4-ADC5-87B53073A1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B48B4BE-7FE5-493F-8808-109590A0AC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5BA8FA6-84E1-4BFC-AE60-A7D60F6C87E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2214FBA1-7BAA-4712-A93A-5C8150E9AC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126FB6C-618B-47BA-B441-210F8F0781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595C9DB-9E86-4EA9-B39C-7FC648D27E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E1A2D5C-8651-4D24-8D3C-BCAE0BE8392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DB2BFDB3-1360-46EF-B6B8-2DBADA52DF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A03CDDB0-EBEE-48FF-A2FD-5A982AE7CA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C8DB46D-5EA2-497B-A212-2D53487CDD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8F7B2-1686-4CD1-938A-5BBBEA813B8F}">
  <dimension ref="B1:Q106"/>
  <sheetViews>
    <sheetView topLeftCell="A100" zoomScale="80" zoomScaleNormal="80" workbookViewId="0">
      <selection activeCell="G114" sqref="G1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9" t="s">
        <v>86</v>
      </c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1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26.5" outlineLevel="1" thickBot="1">
      <c r="B4" s="182" t="s">
        <v>122</v>
      </c>
      <c r="C4" s="171"/>
      <c r="D4" s="172" t="e">
        <f t="shared" ref="D4:D67" si="0">C4/C$106</f>
        <v>#DIV/0!</v>
      </c>
      <c r="E4" s="172" t="e">
        <f>D4</f>
        <v>#DIV/0!</v>
      </c>
      <c r="F4" s="173" t="e">
        <f>IF(AND(E4&lt;=0),"C",IF(E4&lt;=0.8,"A",IF(E4&lt;=0.95,"B","C")))</f>
        <v>#DIV/0!</v>
      </c>
      <c r="G4" s="173" t="e">
        <f t="shared" ref="G4:G67" si="1">VLOOKUP(B$4:B$104,I$4:M$104,5,0)</f>
        <v>#DIV/0!</v>
      </c>
      <c r="I4" s="182" t="s">
        <v>122</v>
      </c>
      <c r="J4" s="171"/>
      <c r="K4" s="172" t="e">
        <f t="shared" ref="K4:K67" si="2">J4/J$106</f>
        <v>#DIV/0!</v>
      </c>
      <c r="L4" s="172" t="e">
        <f>K4</f>
        <v>#DIV/0!</v>
      </c>
      <c r="M4" s="173" t="e">
        <f>_xlfn.IFS(L4&lt;80%,"A",L4&lt;=95%,"B",L4&gt;95%,"C")</f>
        <v>#DIV/0!</v>
      </c>
      <c r="P4" s="174" t="s">
        <v>93</v>
      </c>
      <c r="Q4" s="175">
        <v>0.8</v>
      </c>
    </row>
    <row r="5" spans="2:17" ht="15" outlineLevel="1" thickBot="1">
      <c r="B5" s="182" t="s">
        <v>123</v>
      </c>
      <c r="C5" s="171"/>
      <c r="D5" s="172" t="e">
        <f t="shared" si="0"/>
        <v>#DIV/0!</v>
      </c>
      <c r="E5" s="172" t="e">
        <f>E4+D5</f>
        <v>#DIV/0!</v>
      </c>
      <c r="F5" s="173" t="e">
        <f t="shared" ref="F5:F96" si="3">IF(AND(E5&lt;=0),"C",IF(E5&lt;=0.8,"A",IF(E5&lt;=0.95,"B","C")))</f>
        <v>#DIV/0!</v>
      </c>
      <c r="G5" s="173" t="e">
        <f t="shared" si="1"/>
        <v>#DIV/0!</v>
      </c>
      <c r="I5" s="182" t="s">
        <v>123</v>
      </c>
      <c r="J5" s="171"/>
      <c r="K5" s="172" t="e">
        <f t="shared" si="2"/>
        <v>#DIV/0!</v>
      </c>
      <c r="L5" s="172" t="e">
        <f>L4+K5</f>
        <v>#DIV/0!</v>
      </c>
      <c r="M5" s="173" t="e">
        <f t="shared" ref="M5:M98" si="4">_xlfn.IFS(L5&lt;80%,"A",L5&lt;=95%,"B",L5&gt;95%,"C")</f>
        <v>#DIV/0!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/>
      <c r="D6" s="172" t="e">
        <f t="shared" si="0"/>
        <v>#DIV/0!</v>
      </c>
      <c r="E6" s="172" t="e">
        <f t="shared" ref="E6:E69" si="5">E5+D6</f>
        <v>#DIV/0!</v>
      </c>
      <c r="F6" s="173" t="e">
        <f t="shared" si="3"/>
        <v>#DIV/0!</v>
      </c>
      <c r="G6" s="173" t="e">
        <f t="shared" si="1"/>
        <v>#DIV/0!</v>
      </c>
      <c r="I6" s="182" t="s">
        <v>124</v>
      </c>
      <c r="J6" s="171"/>
      <c r="K6" s="172" t="e">
        <f t="shared" si="2"/>
        <v>#DIV/0!</v>
      </c>
      <c r="L6" s="172" t="e">
        <f t="shared" ref="L6:L69" si="6">L5+K6</f>
        <v>#DIV/0!</v>
      </c>
      <c r="M6" s="173" t="e">
        <f t="shared" si="4"/>
        <v>#DIV/0!</v>
      </c>
      <c r="P6" s="177" t="s">
        <v>95</v>
      </c>
      <c r="Q6" s="175">
        <v>0.05</v>
      </c>
    </row>
    <row r="7" spans="2:17" ht="15" outlineLevel="1" thickBot="1">
      <c r="B7" s="182" t="s">
        <v>125</v>
      </c>
      <c r="C7" s="171"/>
      <c r="D7" s="172" t="e">
        <f t="shared" si="0"/>
        <v>#DIV/0!</v>
      </c>
      <c r="E7" s="172" t="e">
        <f t="shared" si="5"/>
        <v>#DIV/0!</v>
      </c>
      <c r="F7" s="173" t="e">
        <f t="shared" si="3"/>
        <v>#DIV/0!</v>
      </c>
      <c r="G7" s="173" t="e">
        <f t="shared" si="1"/>
        <v>#DIV/0!</v>
      </c>
      <c r="I7" s="182" t="s">
        <v>125</v>
      </c>
      <c r="J7" s="171"/>
      <c r="K7" s="172" t="e">
        <f t="shared" si="2"/>
        <v>#DIV/0!</v>
      </c>
      <c r="L7" s="172" t="e">
        <f t="shared" si="6"/>
        <v>#DIV/0!</v>
      </c>
      <c r="M7" s="173" t="e">
        <f t="shared" si="4"/>
        <v>#DIV/0!</v>
      </c>
    </row>
    <row r="8" spans="2:17" ht="15" outlineLevel="1" thickBot="1">
      <c r="B8" s="182" t="s">
        <v>126</v>
      </c>
      <c r="C8" s="171"/>
      <c r="D8" s="172" t="e">
        <f t="shared" si="0"/>
        <v>#DIV/0!</v>
      </c>
      <c r="E8" s="172" t="e">
        <f t="shared" si="5"/>
        <v>#DIV/0!</v>
      </c>
      <c r="F8" s="173" t="e">
        <f t="shared" si="3"/>
        <v>#DIV/0!</v>
      </c>
      <c r="G8" s="173" t="e">
        <f t="shared" si="1"/>
        <v>#DIV/0!</v>
      </c>
      <c r="I8" s="182" t="s">
        <v>126</v>
      </c>
      <c r="J8" s="171"/>
      <c r="K8" s="172" t="e">
        <f t="shared" si="2"/>
        <v>#DIV/0!</v>
      </c>
      <c r="L8" s="172" t="e">
        <f t="shared" si="6"/>
        <v>#DIV/0!</v>
      </c>
      <c r="M8" s="173" t="e">
        <f>_xlfn.IFS(L8&lt;80%,"A",L8&lt;=95%,"B",L8&gt;95%,"C")</f>
        <v>#DIV/0!</v>
      </c>
    </row>
    <row r="9" spans="2:17" ht="15" outlineLevel="1" thickBot="1">
      <c r="B9" s="182" t="s">
        <v>127</v>
      </c>
      <c r="C9" s="171"/>
      <c r="D9" s="172" t="e">
        <f t="shared" si="0"/>
        <v>#DIV/0!</v>
      </c>
      <c r="E9" s="172" t="e">
        <f t="shared" si="5"/>
        <v>#DIV/0!</v>
      </c>
      <c r="F9" s="173" t="e">
        <f t="shared" si="3"/>
        <v>#DIV/0!</v>
      </c>
      <c r="G9" s="173" t="e">
        <f t="shared" si="1"/>
        <v>#DIV/0!</v>
      </c>
      <c r="I9" s="182" t="s">
        <v>127</v>
      </c>
      <c r="J9" s="171"/>
      <c r="K9" s="172" t="e">
        <f t="shared" si="2"/>
        <v>#DIV/0!</v>
      </c>
      <c r="L9" s="172" t="e">
        <f t="shared" si="6"/>
        <v>#DIV/0!</v>
      </c>
      <c r="M9" s="173" t="e">
        <f t="shared" si="4"/>
        <v>#DIV/0!</v>
      </c>
    </row>
    <row r="10" spans="2:17" ht="15" outlineLevel="1" thickBot="1">
      <c r="B10" s="182" t="s">
        <v>128</v>
      </c>
      <c r="C10" s="171"/>
      <c r="D10" s="172" t="e">
        <f t="shared" si="0"/>
        <v>#DIV/0!</v>
      </c>
      <c r="E10" s="172" t="e">
        <f t="shared" si="5"/>
        <v>#DIV/0!</v>
      </c>
      <c r="F10" s="173" t="e">
        <f t="shared" si="3"/>
        <v>#DIV/0!</v>
      </c>
      <c r="G10" s="173" t="e">
        <f t="shared" si="1"/>
        <v>#DIV/0!</v>
      </c>
      <c r="I10" s="182" t="s">
        <v>128</v>
      </c>
      <c r="J10" s="171"/>
      <c r="K10" s="172" t="e">
        <f t="shared" si="2"/>
        <v>#DIV/0!</v>
      </c>
      <c r="L10" s="172" t="e">
        <f t="shared" si="6"/>
        <v>#DIV/0!</v>
      </c>
      <c r="M10" s="173" t="e">
        <f t="shared" si="4"/>
        <v>#DIV/0!</v>
      </c>
    </row>
    <row r="11" spans="2:17" ht="15" outlineLevel="1" thickBot="1">
      <c r="B11" s="182" t="s">
        <v>129</v>
      </c>
      <c r="C11" s="171"/>
      <c r="D11" s="172" t="e">
        <f t="shared" si="0"/>
        <v>#DIV/0!</v>
      </c>
      <c r="E11" s="172" t="e">
        <f t="shared" si="5"/>
        <v>#DIV/0!</v>
      </c>
      <c r="F11" s="173" t="e">
        <f t="shared" si="3"/>
        <v>#DIV/0!</v>
      </c>
      <c r="G11" s="173" t="e">
        <f t="shared" si="1"/>
        <v>#DIV/0!</v>
      </c>
      <c r="I11" s="182" t="s">
        <v>129</v>
      </c>
      <c r="J11" s="171"/>
      <c r="K11" s="172" t="e">
        <f t="shared" si="2"/>
        <v>#DIV/0!</v>
      </c>
      <c r="L11" s="172" t="e">
        <f t="shared" si="6"/>
        <v>#DIV/0!</v>
      </c>
      <c r="M11" s="173" t="e">
        <f>_xlfn.IFS(L11&lt;80%,"A",L11&lt;=95%,"B",L11&gt;95%,"C")</f>
        <v>#DIV/0!</v>
      </c>
      <c r="P11" s="271"/>
    </row>
    <row r="12" spans="2:17" ht="15" outlineLevel="1" thickBot="1">
      <c r="B12" s="182" t="s">
        <v>130</v>
      </c>
      <c r="C12" s="171"/>
      <c r="D12" s="172" t="e">
        <f t="shared" si="0"/>
        <v>#DIV/0!</v>
      </c>
      <c r="E12" s="172" t="e">
        <f t="shared" si="5"/>
        <v>#DIV/0!</v>
      </c>
      <c r="F12" s="173" t="e">
        <f t="shared" si="3"/>
        <v>#DIV/0!</v>
      </c>
      <c r="G12" s="173" t="e">
        <f t="shared" si="1"/>
        <v>#DIV/0!</v>
      </c>
      <c r="I12" s="182" t="s">
        <v>130</v>
      </c>
      <c r="J12" s="171"/>
      <c r="K12" s="172" t="e">
        <f t="shared" si="2"/>
        <v>#DIV/0!</v>
      </c>
      <c r="L12" s="172" t="e">
        <f t="shared" si="6"/>
        <v>#DIV/0!</v>
      </c>
      <c r="M12" s="173" t="e">
        <f t="shared" si="4"/>
        <v>#DIV/0!</v>
      </c>
    </row>
    <row r="13" spans="2:17" ht="15" outlineLevel="1" thickBot="1">
      <c r="B13" s="182" t="s">
        <v>131</v>
      </c>
      <c r="C13" s="171"/>
      <c r="D13" s="172" t="e">
        <f t="shared" si="0"/>
        <v>#DIV/0!</v>
      </c>
      <c r="E13" s="172" t="e">
        <f t="shared" si="5"/>
        <v>#DIV/0!</v>
      </c>
      <c r="F13" s="173" t="e">
        <f t="shared" si="3"/>
        <v>#DIV/0!</v>
      </c>
      <c r="G13" s="173" t="e">
        <f t="shared" si="1"/>
        <v>#DIV/0!</v>
      </c>
      <c r="I13" s="182" t="s">
        <v>131</v>
      </c>
      <c r="J13" s="171"/>
      <c r="K13" s="172" t="e">
        <f t="shared" si="2"/>
        <v>#DIV/0!</v>
      </c>
      <c r="L13" s="172" t="e">
        <f t="shared" si="6"/>
        <v>#DIV/0!</v>
      </c>
      <c r="M13" s="173" t="e">
        <f t="shared" si="4"/>
        <v>#DIV/0!</v>
      </c>
    </row>
    <row r="14" spans="2:17" ht="15" outlineLevel="1" thickBot="1">
      <c r="B14" s="182" t="s">
        <v>132</v>
      </c>
      <c r="C14" s="171"/>
      <c r="D14" s="172" t="e">
        <f t="shared" si="0"/>
        <v>#DIV/0!</v>
      </c>
      <c r="E14" s="172" t="e">
        <f t="shared" si="5"/>
        <v>#DIV/0!</v>
      </c>
      <c r="F14" s="173" t="e">
        <f t="shared" si="3"/>
        <v>#DIV/0!</v>
      </c>
      <c r="G14" s="173" t="e">
        <f t="shared" si="1"/>
        <v>#DIV/0!</v>
      </c>
      <c r="I14" s="182" t="s">
        <v>132</v>
      </c>
      <c r="J14" s="171"/>
      <c r="K14" s="172" t="e">
        <f t="shared" si="2"/>
        <v>#DIV/0!</v>
      </c>
      <c r="L14" s="172" t="e">
        <f t="shared" si="6"/>
        <v>#DIV/0!</v>
      </c>
      <c r="M14" s="173" t="e">
        <f t="shared" si="4"/>
        <v>#DIV/0!</v>
      </c>
    </row>
    <row r="15" spans="2:17" ht="15" outlineLevel="1" thickBot="1">
      <c r="B15" s="182" t="s">
        <v>133</v>
      </c>
      <c r="C15" s="171"/>
      <c r="D15" s="172" t="e">
        <f t="shared" si="0"/>
        <v>#DIV/0!</v>
      </c>
      <c r="E15" s="172" t="e">
        <f t="shared" si="5"/>
        <v>#DIV/0!</v>
      </c>
      <c r="F15" s="173" t="e">
        <f t="shared" si="3"/>
        <v>#DIV/0!</v>
      </c>
      <c r="G15" s="173" t="e">
        <f t="shared" si="1"/>
        <v>#DIV/0!</v>
      </c>
      <c r="I15" s="182" t="s">
        <v>133</v>
      </c>
      <c r="J15" s="171"/>
      <c r="K15" s="172" t="e">
        <f t="shared" si="2"/>
        <v>#DIV/0!</v>
      </c>
      <c r="L15" s="172" t="e">
        <f t="shared" si="6"/>
        <v>#DIV/0!</v>
      </c>
      <c r="M15" s="173" t="e">
        <f t="shared" si="4"/>
        <v>#DIV/0!</v>
      </c>
    </row>
    <row r="16" spans="2:17" ht="15" outlineLevel="1" thickBot="1">
      <c r="B16" s="182" t="s">
        <v>134</v>
      </c>
      <c r="C16" s="171"/>
      <c r="D16" s="172" t="e">
        <f t="shared" si="0"/>
        <v>#DIV/0!</v>
      </c>
      <c r="E16" s="172" t="e">
        <f t="shared" si="5"/>
        <v>#DIV/0!</v>
      </c>
      <c r="F16" s="173" t="e">
        <f t="shared" si="3"/>
        <v>#DIV/0!</v>
      </c>
      <c r="G16" s="173" t="e">
        <f t="shared" si="1"/>
        <v>#DIV/0!</v>
      </c>
      <c r="I16" s="182" t="s">
        <v>134</v>
      </c>
      <c r="J16" s="171"/>
      <c r="K16" s="172" t="e">
        <f t="shared" si="2"/>
        <v>#DIV/0!</v>
      </c>
      <c r="L16" s="172" t="e">
        <f t="shared" si="6"/>
        <v>#DIV/0!</v>
      </c>
      <c r="M16" s="173" t="e">
        <f t="shared" si="4"/>
        <v>#DIV/0!</v>
      </c>
    </row>
    <row r="17" spans="2:13" ht="15" outlineLevel="1" thickBot="1">
      <c r="B17" s="182" t="s">
        <v>135</v>
      </c>
      <c r="C17" s="171"/>
      <c r="D17" s="172" t="e">
        <f t="shared" si="0"/>
        <v>#DIV/0!</v>
      </c>
      <c r="E17" s="172" t="e">
        <f t="shared" si="5"/>
        <v>#DIV/0!</v>
      </c>
      <c r="F17" s="173" t="e">
        <f t="shared" si="3"/>
        <v>#DIV/0!</v>
      </c>
      <c r="G17" s="173" t="e">
        <f t="shared" si="1"/>
        <v>#DIV/0!</v>
      </c>
      <c r="I17" s="182" t="s">
        <v>135</v>
      </c>
      <c r="J17" s="171"/>
      <c r="K17" s="172" t="e">
        <f t="shared" si="2"/>
        <v>#DIV/0!</v>
      </c>
      <c r="L17" s="172" t="e">
        <f t="shared" si="6"/>
        <v>#DIV/0!</v>
      </c>
      <c r="M17" s="173" t="e">
        <f t="shared" si="4"/>
        <v>#DIV/0!</v>
      </c>
    </row>
    <row r="18" spans="2:13" ht="26.5" outlineLevel="1" thickBot="1">
      <c r="B18" s="182" t="s">
        <v>136</v>
      </c>
      <c r="C18" s="171"/>
      <c r="D18" s="172" t="e">
        <f t="shared" si="0"/>
        <v>#DIV/0!</v>
      </c>
      <c r="E18" s="172" t="e">
        <f t="shared" si="5"/>
        <v>#DIV/0!</v>
      </c>
      <c r="F18" s="173" t="e">
        <f t="shared" si="3"/>
        <v>#DIV/0!</v>
      </c>
      <c r="G18" s="173" t="e">
        <f t="shared" si="1"/>
        <v>#DIV/0!</v>
      </c>
      <c r="I18" s="182" t="s">
        <v>136</v>
      </c>
      <c r="J18" s="171"/>
      <c r="K18" s="172" t="e">
        <f t="shared" si="2"/>
        <v>#DIV/0!</v>
      </c>
      <c r="L18" s="172" t="e">
        <f t="shared" si="6"/>
        <v>#DIV/0!</v>
      </c>
      <c r="M18" s="173" t="e">
        <f t="shared" si="4"/>
        <v>#DIV/0!</v>
      </c>
    </row>
    <row r="19" spans="2:13" ht="26.5" outlineLevel="1" thickBot="1">
      <c r="B19" s="182" t="s">
        <v>137</v>
      </c>
      <c r="C19" s="171"/>
      <c r="D19" s="172" t="e">
        <f t="shared" si="0"/>
        <v>#DIV/0!</v>
      </c>
      <c r="E19" s="172" t="e">
        <f t="shared" si="5"/>
        <v>#DIV/0!</v>
      </c>
      <c r="F19" s="173" t="e">
        <f t="shared" si="3"/>
        <v>#DIV/0!</v>
      </c>
      <c r="G19" s="173" t="e">
        <f t="shared" si="1"/>
        <v>#DIV/0!</v>
      </c>
      <c r="I19" s="182" t="s">
        <v>137</v>
      </c>
      <c r="J19" s="171"/>
      <c r="K19" s="172" t="e">
        <f t="shared" si="2"/>
        <v>#DIV/0!</v>
      </c>
      <c r="L19" s="172" t="e">
        <f t="shared" si="6"/>
        <v>#DIV/0!</v>
      </c>
      <c r="M19" s="173" t="e">
        <f t="shared" si="4"/>
        <v>#DIV/0!</v>
      </c>
    </row>
    <row r="20" spans="2:13" ht="26.5" outlineLevel="1" thickBot="1">
      <c r="B20" s="182" t="s">
        <v>138</v>
      </c>
      <c r="C20" s="171"/>
      <c r="D20" s="172" t="e">
        <f t="shared" si="0"/>
        <v>#DIV/0!</v>
      </c>
      <c r="E20" s="172" t="e">
        <f t="shared" si="5"/>
        <v>#DIV/0!</v>
      </c>
      <c r="F20" s="173" t="e">
        <f t="shared" si="3"/>
        <v>#DIV/0!</v>
      </c>
      <c r="G20" s="173" t="e">
        <f t="shared" si="1"/>
        <v>#DIV/0!</v>
      </c>
      <c r="I20" s="182" t="s">
        <v>138</v>
      </c>
      <c r="J20" s="171"/>
      <c r="K20" s="172" t="e">
        <f t="shared" si="2"/>
        <v>#DIV/0!</v>
      </c>
      <c r="L20" s="172" t="e">
        <f t="shared" si="6"/>
        <v>#DIV/0!</v>
      </c>
      <c r="M20" s="173" t="e">
        <f t="shared" si="4"/>
        <v>#DIV/0!</v>
      </c>
    </row>
    <row r="21" spans="2:13" ht="15" outlineLevel="1" thickBot="1">
      <c r="B21" s="182" t="s">
        <v>139</v>
      </c>
      <c r="C21" s="171"/>
      <c r="D21" s="172" t="e">
        <f t="shared" si="0"/>
        <v>#DIV/0!</v>
      </c>
      <c r="E21" s="172" t="e">
        <f t="shared" si="5"/>
        <v>#DIV/0!</v>
      </c>
      <c r="F21" s="173" t="e">
        <f t="shared" si="3"/>
        <v>#DIV/0!</v>
      </c>
      <c r="G21" s="173" t="e">
        <f t="shared" si="1"/>
        <v>#DIV/0!</v>
      </c>
      <c r="I21" s="182" t="s">
        <v>139</v>
      </c>
      <c r="J21" s="171"/>
      <c r="K21" s="172" t="e">
        <f t="shared" si="2"/>
        <v>#DIV/0!</v>
      </c>
      <c r="L21" s="172" t="e">
        <f t="shared" si="6"/>
        <v>#DIV/0!</v>
      </c>
      <c r="M21" s="173" t="e">
        <f t="shared" si="4"/>
        <v>#DIV/0!</v>
      </c>
    </row>
    <row r="22" spans="2:13" ht="15" outlineLevel="1" thickBot="1">
      <c r="B22" s="182" t="s">
        <v>140</v>
      </c>
      <c r="C22" s="171"/>
      <c r="D22" s="172" t="e">
        <f t="shared" si="0"/>
        <v>#DIV/0!</v>
      </c>
      <c r="E22" s="172" t="e">
        <f t="shared" si="5"/>
        <v>#DIV/0!</v>
      </c>
      <c r="F22" s="173" t="e">
        <f t="shared" si="3"/>
        <v>#DIV/0!</v>
      </c>
      <c r="G22" s="173" t="e">
        <f t="shared" si="1"/>
        <v>#DIV/0!</v>
      </c>
      <c r="I22" s="182" t="s">
        <v>140</v>
      </c>
      <c r="J22" s="171"/>
      <c r="K22" s="172" t="e">
        <f t="shared" si="2"/>
        <v>#DIV/0!</v>
      </c>
      <c r="L22" s="172" t="e">
        <f t="shared" si="6"/>
        <v>#DIV/0!</v>
      </c>
      <c r="M22" s="173" t="e">
        <f t="shared" si="4"/>
        <v>#DIV/0!</v>
      </c>
    </row>
    <row r="23" spans="2:13" ht="15" outlineLevel="1" thickBot="1">
      <c r="B23" s="182" t="s">
        <v>141</v>
      </c>
      <c r="C23" s="171"/>
      <c r="D23" s="172" t="e">
        <f t="shared" si="0"/>
        <v>#DIV/0!</v>
      </c>
      <c r="E23" s="172" t="e">
        <f t="shared" si="5"/>
        <v>#DIV/0!</v>
      </c>
      <c r="F23" s="173" t="e">
        <f t="shared" si="3"/>
        <v>#DIV/0!</v>
      </c>
      <c r="G23" s="173" t="e">
        <f t="shared" si="1"/>
        <v>#DIV/0!</v>
      </c>
      <c r="I23" s="182" t="s">
        <v>141</v>
      </c>
      <c r="J23" s="171"/>
      <c r="K23" s="172" t="e">
        <f t="shared" si="2"/>
        <v>#DIV/0!</v>
      </c>
      <c r="L23" s="172" t="e">
        <f t="shared" si="6"/>
        <v>#DIV/0!</v>
      </c>
      <c r="M23" s="173" t="e">
        <f t="shared" si="4"/>
        <v>#DIV/0!</v>
      </c>
    </row>
    <row r="24" spans="2:13" ht="15" outlineLevel="1" thickBot="1">
      <c r="B24" s="182" t="s">
        <v>142</v>
      </c>
      <c r="C24" s="171"/>
      <c r="D24" s="172" t="e">
        <f t="shared" si="0"/>
        <v>#DIV/0!</v>
      </c>
      <c r="E24" s="172" t="e">
        <f t="shared" si="5"/>
        <v>#DIV/0!</v>
      </c>
      <c r="F24" s="173" t="e">
        <f t="shared" si="3"/>
        <v>#DIV/0!</v>
      </c>
      <c r="G24" s="173" t="e">
        <f t="shared" si="1"/>
        <v>#DIV/0!</v>
      </c>
      <c r="I24" s="182" t="s">
        <v>142</v>
      </c>
      <c r="J24" s="171"/>
      <c r="K24" s="172" t="e">
        <f t="shared" si="2"/>
        <v>#DIV/0!</v>
      </c>
      <c r="L24" s="172" t="e">
        <f t="shared" si="6"/>
        <v>#DIV/0!</v>
      </c>
      <c r="M24" s="173" t="e">
        <f t="shared" si="4"/>
        <v>#DIV/0!</v>
      </c>
    </row>
    <row r="25" spans="2:13" ht="15" outlineLevel="1" thickBot="1">
      <c r="B25" s="182" t="s">
        <v>143</v>
      </c>
      <c r="C25" s="171"/>
      <c r="D25" s="172" t="e">
        <f t="shared" si="0"/>
        <v>#DIV/0!</v>
      </c>
      <c r="E25" s="172" t="e">
        <f t="shared" si="5"/>
        <v>#DIV/0!</v>
      </c>
      <c r="F25" s="173" t="e">
        <f t="shared" si="3"/>
        <v>#DIV/0!</v>
      </c>
      <c r="G25" s="173" t="e">
        <f t="shared" si="1"/>
        <v>#DIV/0!</v>
      </c>
      <c r="I25" s="182" t="s">
        <v>143</v>
      </c>
      <c r="J25" s="171"/>
      <c r="K25" s="172" t="e">
        <f t="shared" si="2"/>
        <v>#DIV/0!</v>
      </c>
      <c r="L25" s="172" t="e">
        <f t="shared" si="6"/>
        <v>#DIV/0!</v>
      </c>
      <c r="M25" s="173" t="e">
        <f t="shared" si="4"/>
        <v>#DIV/0!</v>
      </c>
    </row>
    <row r="26" spans="2:13" ht="15" outlineLevel="1" thickBot="1">
      <c r="B26" s="182" t="s">
        <v>144</v>
      </c>
      <c r="C26" s="171"/>
      <c r="D26" s="172" t="e">
        <f t="shared" si="0"/>
        <v>#DIV/0!</v>
      </c>
      <c r="E26" s="172" t="e">
        <f t="shared" si="5"/>
        <v>#DIV/0!</v>
      </c>
      <c r="F26" s="173" t="e">
        <f t="shared" si="3"/>
        <v>#DIV/0!</v>
      </c>
      <c r="G26" s="173" t="e">
        <f t="shared" si="1"/>
        <v>#DIV/0!</v>
      </c>
      <c r="I26" s="182" t="s">
        <v>144</v>
      </c>
      <c r="J26" s="171"/>
      <c r="K26" s="172" t="e">
        <f t="shared" si="2"/>
        <v>#DIV/0!</v>
      </c>
      <c r="L26" s="172" t="e">
        <f t="shared" si="6"/>
        <v>#DIV/0!</v>
      </c>
      <c r="M26" s="173" t="e">
        <f t="shared" si="4"/>
        <v>#DIV/0!</v>
      </c>
    </row>
    <row r="27" spans="2:13" ht="15" outlineLevel="1" thickBot="1">
      <c r="B27" s="182" t="s">
        <v>145</v>
      </c>
      <c r="C27" s="171"/>
      <c r="D27" s="172" t="e">
        <f t="shared" si="0"/>
        <v>#DIV/0!</v>
      </c>
      <c r="E27" s="172" t="e">
        <f>E26+D27</f>
        <v>#DIV/0!</v>
      </c>
      <c r="F27" s="173" t="e">
        <f t="shared" si="3"/>
        <v>#DIV/0!</v>
      </c>
      <c r="G27" s="173" t="e">
        <f t="shared" si="1"/>
        <v>#DIV/0!</v>
      </c>
      <c r="I27" s="182" t="s">
        <v>145</v>
      </c>
      <c r="J27" s="171"/>
      <c r="K27" s="172" t="e">
        <f t="shared" si="2"/>
        <v>#DIV/0!</v>
      </c>
      <c r="L27" s="172" t="e">
        <f>L26+K27</f>
        <v>#DIV/0!</v>
      </c>
      <c r="M27" s="173" t="e">
        <f t="shared" si="4"/>
        <v>#DIV/0!</v>
      </c>
    </row>
    <row r="28" spans="2:13" ht="15" outlineLevel="1" thickBot="1">
      <c r="B28" s="182" t="s">
        <v>146</v>
      </c>
      <c r="C28" s="171"/>
      <c r="D28" s="172" t="e">
        <f t="shared" si="0"/>
        <v>#DIV/0!</v>
      </c>
      <c r="E28" s="172" t="e">
        <f>E27+D28</f>
        <v>#DIV/0!</v>
      </c>
      <c r="F28" s="173" t="e">
        <f t="shared" si="3"/>
        <v>#DIV/0!</v>
      </c>
      <c r="G28" s="173" t="e">
        <f t="shared" si="1"/>
        <v>#DIV/0!</v>
      </c>
      <c r="I28" s="182" t="s">
        <v>146</v>
      </c>
      <c r="J28" s="171"/>
      <c r="K28" s="172" t="e">
        <f t="shared" si="2"/>
        <v>#DIV/0!</v>
      </c>
      <c r="L28" s="172" t="e">
        <f t="shared" si="6"/>
        <v>#DIV/0!</v>
      </c>
      <c r="M28" s="173" t="e">
        <f t="shared" si="4"/>
        <v>#DIV/0!</v>
      </c>
    </row>
    <row r="29" spans="2:13" ht="15" outlineLevel="1" thickBot="1">
      <c r="B29" s="182" t="s">
        <v>147</v>
      </c>
      <c r="C29" s="171"/>
      <c r="D29" s="172" t="e">
        <f t="shared" si="0"/>
        <v>#DIV/0!</v>
      </c>
      <c r="E29" s="172" t="e">
        <f t="shared" si="5"/>
        <v>#DIV/0!</v>
      </c>
      <c r="F29" s="173" t="e">
        <f t="shared" si="3"/>
        <v>#DIV/0!</v>
      </c>
      <c r="G29" s="173" t="e">
        <f t="shared" si="1"/>
        <v>#DIV/0!</v>
      </c>
      <c r="I29" s="182" t="s">
        <v>147</v>
      </c>
      <c r="J29" s="171"/>
      <c r="K29" s="172" t="e">
        <f t="shared" si="2"/>
        <v>#DIV/0!</v>
      </c>
      <c r="L29" s="172" t="e">
        <f t="shared" si="6"/>
        <v>#DIV/0!</v>
      </c>
      <c r="M29" s="173" t="e">
        <f t="shared" si="4"/>
        <v>#DIV/0!</v>
      </c>
    </row>
    <row r="30" spans="2:13" ht="15" outlineLevel="1" thickBot="1">
      <c r="B30" s="182" t="s">
        <v>148</v>
      </c>
      <c r="C30" s="171"/>
      <c r="D30" s="172" t="e">
        <f t="shared" si="0"/>
        <v>#DIV/0!</v>
      </c>
      <c r="E30" s="172" t="e">
        <f t="shared" si="5"/>
        <v>#DIV/0!</v>
      </c>
      <c r="F30" s="173" t="e">
        <f t="shared" si="3"/>
        <v>#DIV/0!</v>
      </c>
      <c r="G30" s="173" t="e">
        <f t="shared" si="1"/>
        <v>#DIV/0!</v>
      </c>
      <c r="I30" s="182" t="s">
        <v>148</v>
      </c>
      <c r="J30" s="171"/>
      <c r="K30" s="172" t="e">
        <f t="shared" si="2"/>
        <v>#DIV/0!</v>
      </c>
      <c r="L30" s="172" t="e">
        <f t="shared" si="6"/>
        <v>#DIV/0!</v>
      </c>
      <c r="M30" s="173" t="e">
        <f t="shared" si="4"/>
        <v>#DIV/0!</v>
      </c>
    </row>
    <row r="31" spans="2:13" ht="15" outlineLevel="1" thickBot="1">
      <c r="B31" s="182" t="s">
        <v>149</v>
      </c>
      <c r="C31" s="171"/>
      <c r="D31" s="172" t="e">
        <f t="shared" si="0"/>
        <v>#DIV/0!</v>
      </c>
      <c r="E31" s="172" t="e">
        <f t="shared" si="5"/>
        <v>#DIV/0!</v>
      </c>
      <c r="F31" s="173" t="e">
        <f t="shared" si="3"/>
        <v>#DIV/0!</v>
      </c>
      <c r="G31" s="173" t="e">
        <f t="shared" si="1"/>
        <v>#DIV/0!</v>
      </c>
      <c r="I31" s="182" t="s">
        <v>149</v>
      </c>
      <c r="J31" s="171"/>
      <c r="K31" s="172" t="e">
        <f t="shared" si="2"/>
        <v>#DIV/0!</v>
      </c>
      <c r="L31" s="172" t="e">
        <f t="shared" si="6"/>
        <v>#DIV/0!</v>
      </c>
      <c r="M31" s="173" t="e">
        <f t="shared" si="4"/>
        <v>#DIV/0!</v>
      </c>
    </row>
    <row r="32" spans="2:13" ht="15" outlineLevel="1" thickBot="1">
      <c r="B32" s="182" t="s">
        <v>150</v>
      </c>
      <c r="C32" s="171"/>
      <c r="D32" s="172" t="e">
        <f t="shared" si="0"/>
        <v>#DIV/0!</v>
      </c>
      <c r="E32" s="172" t="e">
        <f t="shared" si="5"/>
        <v>#DIV/0!</v>
      </c>
      <c r="F32" s="173" t="e">
        <f t="shared" si="3"/>
        <v>#DIV/0!</v>
      </c>
      <c r="G32" s="173" t="e">
        <f t="shared" si="1"/>
        <v>#DIV/0!</v>
      </c>
      <c r="I32" s="182" t="s">
        <v>150</v>
      </c>
      <c r="J32" s="171"/>
      <c r="K32" s="172" t="e">
        <f t="shared" si="2"/>
        <v>#DIV/0!</v>
      </c>
      <c r="L32" s="172" t="e">
        <f t="shared" si="6"/>
        <v>#DIV/0!</v>
      </c>
      <c r="M32" s="173" t="e">
        <f t="shared" si="4"/>
        <v>#DIV/0!</v>
      </c>
    </row>
    <row r="33" spans="2:13" ht="15" outlineLevel="1" thickBot="1">
      <c r="B33" s="182" t="s">
        <v>151</v>
      </c>
      <c r="C33" s="171"/>
      <c r="D33" s="172" t="e">
        <f t="shared" si="0"/>
        <v>#DIV/0!</v>
      </c>
      <c r="E33" s="172" t="e">
        <f t="shared" si="5"/>
        <v>#DIV/0!</v>
      </c>
      <c r="F33" s="173" t="e">
        <f t="shared" si="3"/>
        <v>#DIV/0!</v>
      </c>
      <c r="G33" s="173" t="e">
        <f t="shared" si="1"/>
        <v>#DIV/0!</v>
      </c>
      <c r="I33" s="182" t="s">
        <v>151</v>
      </c>
      <c r="J33" s="171"/>
      <c r="K33" s="172" t="e">
        <f t="shared" si="2"/>
        <v>#DIV/0!</v>
      </c>
      <c r="L33" s="172" t="e">
        <f t="shared" si="6"/>
        <v>#DIV/0!</v>
      </c>
      <c r="M33" s="173" t="e">
        <f t="shared" si="4"/>
        <v>#DIV/0!</v>
      </c>
    </row>
    <row r="34" spans="2:13" ht="15" outlineLevel="1" thickBot="1">
      <c r="B34" s="182" t="s">
        <v>152</v>
      </c>
      <c r="C34" s="171"/>
      <c r="D34" s="172" t="e">
        <f t="shared" si="0"/>
        <v>#DIV/0!</v>
      </c>
      <c r="E34" s="172" t="e">
        <f t="shared" si="5"/>
        <v>#DIV/0!</v>
      </c>
      <c r="F34" s="173" t="e">
        <f t="shared" si="3"/>
        <v>#DIV/0!</v>
      </c>
      <c r="G34" s="173" t="e">
        <f t="shared" si="1"/>
        <v>#DIV/0!</v>
      </c>
      <c r="I34" s="182" t="s">
        <v>152</v>
      </c>
      <c r="J34" s="171"/>
      <c r="K34" s="172" t="e">
        <f t="shared" si="2"/>
        <v>#DIV/0!</v>
      </c>
      <c r="L34" s="172" t="e">
        <f t="shared" si="6"/>
        <v>#DIV/0!</v>
      </c>
      <c r="M34" s="173" t="e">
        <f t="shared" si="4"/>
        <v>#DIV/0!</v>
      </c>
    </row>
    <row r="35" spans="2:13" ht="15" outlineLevel="1" thickBot="1">
      <c r="B35" s="182" t="s">
        <v>153</v>
      </c>
      <c r="C35" s="171"/>
      <c r="D35" s="172" t="e">
        <f t="shared" si="0"/>
        <v>#DIV/0!</v>
      </c>
      <c r="E35" s="172" t="e">
        <f t="shared" si="5"/>
        <v>#DIV/0!</v>
      </c>
      <c r="F35" s="173" t="e">
        <f t="shared" si="3"/>
        <v>#DIV/0!</v>
      </c>
      <c r="G35" s="173" t="e">
        <f t="shared" si="1"/>
        <v>#DIV/0!</v>
      </c>
      <c r="I35" s="182" t="s">
        <v>153</v>
      </c>
      <c r="J35" s="171"/>
      <c r="K35" s="172" t="e">
        <f t="shared" si="2"/>
        <v>#DIV/0!</v>
      </c>
      <c r="L35" s="172" t="e">
        <f t="shared" si="6"/>
        <v>#DIV/0!</v>
      </c>
      <c r="M35" s="173" t="e">
        <f t="shared" si="4"/>
        <v>#DIV/0!</v>
      </c>
    </row>
    <row r="36" spans="2:13" ht="15" outlineLevel="1" thickBot="1">
      <c r="B36" s="182" t="s">
        <v>154</v>
      </c>
      <c r="C36" s="171"/>
      <c r="D36" s="172" t="e">
        <f t="shared" si="0"/>
        <v>#DIV/0!</v>
      </c>
      <c r="E36" s="172" t="e">
        <f t="shared" si="5"/>
        <v>#DIV/0!</v>
      </c>
      <c r="F36" s="173" t="e">
        <f t="shared" si="3"/>
        <v>#DIV/0!</v>
      </c>
      <c r="G36" s="173" t="e">
        <f t="shared" si="1"/>
        <v>#DIV/0!</v>
      </c>
      <c r="I36" s="182" t="s">
        <v>154</v>
      </c>
      <c r="J36" s="171"/>
      <c r="K36" s="172" t="e">
        <f t="shared" si="2"/>
        <v>#DIV/0!</v>
      </c>
      <c r="L36" s="172" t="e">
        <f t="shared" si="6"/>
        <v>#DIV/0!</v>
      </c>
      <c r="M36" s="173" t="e">
        <f t="shared" si="4"/>
        <v>#DIV/0!</v>
      </c>
    </row>
    <row r="37" spans="2:13" ht="15" outlineLevel="1" thickBot="1">
      <c r="B37" s="182" t="s">
        <v>155</v>
      </c>
      <c r="C37" s="171"/>
      <c r="D37" s="172" t="e">
        <f t="shared" si="0"/>
        <v>#DIV/0!</v>
      </c>
      <c r="E37" s="172" t="e">
        <f t="shared" si="5"/>
        <v>#DIV/0!</v>
      </c>
      <c r="F37" s="173" t="e">
        <f t="shared" si="3"/>
        <v>#DIV/0!</v>
      </c>
      <c r="G37" s="173" t="e">
        <f t="shared" si="1"/>
        <v>#DIV/0!</v>
      </c>
      <c r="I37" s="182" t="s">
        <v>155</v>
      </c>
      <c r="J37" s="171"/>
      <c r="K37" s="172" t="e">
        <f t="shared" si="2"/>
        <v>#DIV/0!</v>
      </c>
      <c r="L37" s="172" t="e">
        <f t="shared" si="6"/>
        <v>#DIV/0!</v>
      </c>
      <c r="M37" s="173" t="e">
        <f t="shared" si="4"/>
        <v>#DIV/0!</v>
      </c>
    </row>
    <row r="38" spans="2:13" ht="15" outlineLevel="1" thickBot="1">
      <c r="B38" s="182" t="s">
        <v>156</v>
      </c>
      <c r="C38" s="171"/>
      <c r="D38" s="172" t="e">
        <f t="shared" si="0"/>
        <v>#DIV/0!</v>
      </c>
      <c r="E38" s="172" t="e">
        <f t="shared" si="5"/>
        <v>#DIV/0!</v>
      </c>
      <c r="F38" s="173" t="e">
        <f t="shared" si="3"/>
        <v>#DIV/0!</v>
      </c>
      <c r="G38" s="173" t="e">
        <f t="shared" si="1"/>
        <v>#DIV/0!</v>
      </c>
      <c r="I38" s="182" t="s">
        <v>156</v>
      </c>
      <c r="J38" s="171"/>
      <c r="K38" s="172" t="e">
        <f t="shared" si="2"/>
        <v>#DIV/0!</v>
      </c>
      <c r="L38" s="172" t="e">
        <f t="shared" si="6"/>
        <v>#DIV/0!</v>
      </c>
      <c r="M38" s="173" t="e">
        <f t="shared" si="4"/>
        <v>#DIV/0!</v>
      </c>
    </row>
    <row r="39" spans="2:13" ht="15" outlineLevel="1" thickBot="1">
      <c r="B39" s="182" t="s">
        <v>157</v>
      </c>
      <c r="C39" s="171"/>
      <c r="D39" s="172" t="e">
        <f t="shared" si="0"/>
        <v>#DIV/0!</v>
      </c>
      <c r="E39" s="172" t="e">
        <f>E35+D39</f>
        <v>#DIV/0!</v>
      </c>
      <c r="F39" s="173" t="e">
        <f t="shared" si="3"/>
        <v>#DIV/0!</v>
      </c>
      <c r="G39" s="173" t="e">
        <f t="shared" si="1"/>
        <v>#DIV/0!</v>
      </c>
      <c r="I39" s="182" t="s">
        <v>157</v>
      </c>
      <c r="J39" s="171"/>
      <c r="K39" s="172" t="e">
        <f t="shared" si="2"/>
        <v>#DIV/0!</v>
      </c>
      <c r="L39" s="172" t="e">
        <f>L35+K39</f>
        <v>#DIV/0!</v>
      </c>
      <c r="M39" s="173" t="e">
        <f t="shared" si="4"/>
        <v>#DIV/0!</v>
      </c>
    </row>
    <row r="40" spans="2:13" ht="15" outlineLevel="1" thickBot="1">
      <c r="B40" s="182" t="s">
        <v>158</v>
      </c>
      <c r="C40" s="171"/>
      <c r="D40" s="172" t="e">
        <f t="shared" si="0"/>
        <v>#DIV/0!</v>
      </c>
      <c r="E40" s="172" t="e">
        <f t="shared" si="5"/>
        <v>#DIV/0!</v>
      </c>
      <c r="F40" s="173" t="e">
        <f t="shared" si="3"/>
        <v>#DIV/0!</v>
      </c>
      <c r="G40" s="173" t="e">
        <f t="shared" si="1"/>
        <v>#DIV/0!</v>
      </c>
      <c r="I40" s="182" t="s">
        <v>158</v>
      </c>
      <c r="J40" s="171"/>
      <c r="K40" s="172" t="e">
        <f t="shared" si="2"/>
        <v>#DIV/0!</v>
      </c>
      <c r="L40" s="172" t="e">
        <f t="shared" si="6"/>
        <v>#DIV/0!</v>
      </c>
      <c r="M40" s="173" t="e">
        <f t="shared" si="4"/>
        <v>#DIV/0!</v>
      </c>
    </row>
    <row r="41" spans="2:13" ht="15" outlineLevel="1" thickBot="1">
      <c r="B41" s="182" t="s">
        <v>159</v>
      </c>
      <c r="C41" s="171"/>
      <c r="D41" s="172" t="e">
        <f t="shared" si="0"/>
        <v>#DIV/0!</v>
      </c>
      <c r="E41" s="172" t="e">
        <f t="shared" si="5"/>
        <v>#DIV/0!</v>
      </c>
      <c r="F41" s="173" t="e">
        <f t="shared" si="3"/>
        <v>#DIV/0!</v>
      </c>
      <c r="G41" s="173" t="e">
        <f t="shared" si="1"/>
        <v>#DIV/0!</v>
      </c>
      <c r="I41" s="182" t="s">
        <v>159</v>
      </c>
      <c r="J41" s="171"/>
      <c r="K41" s="172" t="e">
        <f t="shared" si="2"/>
        <v>#DIV/0!</v>
      </c>
      <c r="L41" s="172" t="e">
        <f t="shared" si="6"/>
        <v>#DIV/0!</v>
      </c>
      <c r="M41" s="173" t="e">
        <f t="shared" si="4"/>
        <v>#DIV/0!</v>
      </c>
    </row>
    <row r="42" spans="2:13" ht="15" outlineLevel="1" thickBot="1">
      <c r="B42" s="182" t="s">
        <v>160</v>
      </c>
      <c r="C42" s="171"/>
      <c r="D42" s="172" t="e">
        <f t="shared" si="0"/>
        <v>#DIV/0!</v>
      </c>
      <c r="E42" s="172" t="e">
        <f t="shared" si="5"/>
        <v>#DIV/0!</v>
      </c>
      <c r="F42" s="173" t="e">
        <f t="shared" si="3"/>
        <v>#DIV/0!</v>
      </c>
      <c r="G42" s="173" t="e">
        <f t="shared" si="1"/>
        <v>#DIV/0!</v>
      </c>
      <c r="I42" s="182" t="s">
        <v>160</v>
      </c>
      <c r="J42" s="171"/>
      <c r="K42" s="172" t="e">
        <f t="shared" si="2"/>
        <v>#DIV/0!</v>
      </c>
      <c r="L42" s="172" t="e">
        <f t="shared" si="6"/>
        <v>#DIV/0!</v>
      </c>
      <c r="M42" s="173" t="e">
        <f t="shared" si="4"/>
        <v>#DIV/0!</v>
      </c>
    </row>
    <row r="43" spans="2:13" ht="15" outlineLevel="1" thickBot="1">
      <c r="B43" s="182" t="s">
        <v>161</v>
      </c>
      <c r="C43" s="171"/>
      <c r="D43" s="172" t="e">
        <f t="shared" si="0"/>
        <v>#DIV/0!</v>
      </c>
      <c r="E43" s="172" t="e">
        <f t="shared" si="5"/>
        <v>#DIV/0!</v>
      </c>
      <c r="F43" s="173" t="e">
        <f t="shared" si="3"/>
        <v>#DIV/0!</v>
      </c>
      <c r="G43" s="173" t="e">
        <f t="shared" si="1"/>
        <v>#DIV/0!</v>
      </c>
      <c r="I43" s="182" t="s">
        <v>161</v>
      </c>
      <c r="J43" s="171"/>
      <c r="K43" s="172" t="e">
        <f t="shared" si="2"/>
        <v>#DIV/0!</v>
      </c>
      <c r="L43" s="172" t="e">
        <f t="shared" si="6"/>
        <v>#DIV/0!</v>
      </c>
      <c r="M43" s="173" t="e">
        <f t="shared" si="4"/>
        <v>#DIV/0!</v>
      </c>
    </row>
    <row r="44" spans="2:13" ht="15" outlineLevel="1" thickBot="1">
      <c r="B44" s="182" t="s">
        <v>162</v>
      </c>
      <c r="C44" s="171"/>
      <c r="D44" s="172" t="e">
        <f t="shared" si="0"/>
        <v>#DIV/0!</v>
      </c>
      <c r="E44" s="172" t="e">
        <f t="shared" si="5"/>
        <v>#DIV/0!</v>
      </c>
      <c r="F44" s="173" t="e">
        <f t="shared" si="3"/>
        <v>#DIV/0!</v>
      </c>
      <c r="G44" s="173" t="e">
        <f t="shared" si="1"/>
        <v>#DIV/0!</v>
      </c>
      <c r="I44" s="182" t="s">
        <v>162</v>
      </c>
      <c r="J44" s="171"/>
      <c r="K44" s="172" t="e">
        <f t="shared" si="2"/>
        <v>#DIV/0!</v>
      </c>
      <c r="L44" s="172" t="e">
        <f t="shared" si="6"/>
        <v>#DIV/0!</v>
      </c>
      <c r="M44" s="173" t="e">
        <f t="shared" si="4"/>
        <v>#DIV/0!</v>
      </c>
    </row>
    <row r="45" spans="2:13" ht="15" outlineLevel="1" thickBot="1">
      <c r="B45" s="182" t="s">
        <v>163</v>
      </c>
      <c r="C45" s="171"/>
      <c r="D45" s="172" t="e">
        <f t="shared" si="0"/>
        <v>#DIV/0!</v>
      </c>
      <c r="E45" s="172" t="e">
        <f t="shared" si="5"/>
        <v>#DIV/0!</v>
      </c>
      <c r="F45" s="173" t="e">
        <f t="shared" si="3"/>
        <v>#DIV/0!</v>
      </c>
      <c r="G45" s="173" t="e">
        <f t="shared" si="1"/>
        <v>#DIV/0!</v>
      </c>
      <c r="I45" s="182" t="s">
        <v>163</v>
      </c>
      <c r="J45" s="171"/>
      <c r="K45" s="172" t="e">
        <f t="shared" si="2"/>
        <v>#DIV/0!</v>
      </c>
      <c r="L45" s="172" t="e">
        <f t="shared" si="6"/>
        <v>#DIV/0!</v>
      </c>
      <c r="M45" s="173" t="e">
        <f t="shared" si="4"/>
        <v>#DIV/0!</v>
      </c>
    </row>
    <row r="46" spans="2:13" ht="15" outlineLevel="1" thickBot="1">
      <c r="B46" s="182" t="s">
        <v>164</v>
      </c>
      <c r="C46" s="171"/>
      <c r="D46" s="172" t="e">
        <f t="shared" si="0"/>
        <v>#DIV/0!</v>
      </c>
      <c r="E46" s="172" t="e">
        <f t="shared" si="5"/>
        <v>#DIV/0!</v>
      </c>
      <c r="F46" s="173" t="e">
        <f t="shared" si="3"/>
        <v>#DIV/0!</v>
      </c>
      <c r="G46" s="173" t="e">
        <f t="shared" si="1"/>
        <v>#DIV/0!</v>
      </c>
      <c r="I46" s="182" t="s">
        <v>164</v>
      </c>
      <c r="J46" s="171"/>
      <c r="K46" s="172" t="e">
        <f t="shared" si="2"/>
        <v>#DIV/0!</v>
      </c>
      <c r="L46" s="172" t="e">
        <f t="shared" si="6"/>
        <v>#DIV/0!</v>
      </c>
      <c r="M46" s="173" t="e">
        <f t="shared" si="4"/>
        <v>#DIV/0!</v>
      </c>
    </row>
    <row r="47" spans="2:13" ht="26.5" outlineLevel="1" thickBot="1">
      <c r="B47" s="182" t="s">
        <v>165</v>
      </c>
      <c r="C47" s="171"/>
      <c r="D47" s="172" t="e">
        <f t="shared" si="0"/>
        <v>#DIV/0!</v>
      </c>
      <c r="E47" s="172" t="e">
        <f t="shared" si="5"/>
        <v>#DIV/0!</v>
      </c>
      <c r="F47" s="173" t="e">
        <f t="shared" si="3"/>
        <v>#DIV/0!</v>
      </c>
      <c r="G47" s="173" t="e">
        <f t="shared" si="1"/>
        <v>#DIV/0!</v>
      </c>
      <c r="I47" s="182" t="s">
        <v>165</v>
      </c>
      <c r="J47" s="171"/>
      <c r="K47" s="172" t="e">
        <f t="shared" si="2"/>
        <v>#DIV/0!</v>
      </c>
      <c r="L47" s="172" t="e">
        <f t="shared" si="6"/>
        <v>#DIV/0!</v>
      </c>
      <c r="M47" s="173" t="e">
        <f t="shared" si="4"/>
        <v>#DIV/0!</v>
      </c>
    </row>
    <row r="48" spans="2:13" ht="15" outlineLevel="1" thickBot="1">
      <c r="B48" s="182" t="s">
        <v>166</v>
      </c>
      <c r="C48" s="171"/>
      <c r="D48" s="172" t="e">
        <f t="shared" si="0"/>
        <v>#DIV/0!</v>
      </c>
      <c r="E48" s="172" t="e">
        <f t="shared" si="5"/>
        <v>#DIV/0!</v>
      </c>
      <c r="F48" s="173" t="e">
        <f t="shared" si="3"/>
        <v>#DIV/0!</v>
      </c>
      <c r="G48" s="173" t="e">
        <f t="shared" si="1"/>
        <v>#DIV/0!</v>
      </c>
      <c r="I48" s="182" t="s">
        <v>166</v>
      </c>
      <c r="J48" s="171"/>
      <c r="K48" s="172" t="e">
        <f t="shared" si="2"/>
        <v>#DIV/0!</v>
      </c>
      <c r="L48" s="172" t="e">
        <f t="shared" si="6"/>
        <v>#DIV/0!</v>
      </c>
      <c r="M48" s="173" t="e">
        <f t="shared" si="4"/>
        <v>#DIV/0!</v>
      </c>
    </row>
    <row r="49" spans="2:13" ht="26.5" outlineLevel="1" thickBot="1">
      <c r="B49" s="182" t="s">
        <v>167</v>
      </c>
      <c r="C49" s="171"/>
      <c r="D49" s="172" t="e">
        <f t="shared" si="0"/>
        <v>#DIV/0!</v>
      </c>
      <c r="E49" s="172" t="e">
        <f t="shared" si="5"/>
        <v>#DIV/0!</v>
      </c>
      <c r="F49" s="173" t="e">
        <f t="shared" si="3"/>
        <v>#DIV/0!</v>
      </c>
      <c r="G49" s="173" t="e">
        <f t="shared" si="1"/>
        <v>#DIV/0!</v>
      </c>
      <c r="I49" s="182" t="s">
        <v>167</v>
      </c>
      <c r="J49" s="171"/>
      <c r="K49" s="172" t="e">
        <f t="shared" si="2"/>
        <v>#DIV/0!</v>
      </c>
      <c r="L49" s="172" t="e">
        <f t="shared" si="6"/>
        <v>#DIV/0!</v>
      </c>
      <c r="M49" s="173" t="e">
        <f t="shared" si="4"/>
        <v>#DIV/0!</v>
      </c>
    </row>
    <row r="50" spans="2:13" ht="15" outlineLevel="1" thickBot="1">
      <c r="B50" s="182" t="s">
        <v>168</v>
      </c>
      <c r="C50" s="171"/>
      <c r="D50" s="172" t="e">
        <f t="shared" si="0"/>
        <v>#DIV/0!</v>
      </c>
      <c r="E50" s="172" t="e">
        <f t="shared" si="5"/>
        <v>#DIV/0!</v>
      </c>
      <c r="F50" s="173" t="e">
        <f t="shared" si="3"/>
        <v>#DIV/0!</v>
      </c>
      <c r="G50" s="173" t="e">
        <f t="shared" si="1"/>
        <v>#DIV/0!</v>
      </c>
      <c r="I50" s="182" t="s">
        <v>168</v>
      </c>
      <c r="J50" s="171"/>
      <c r="K50" s="172" t="e">
        <f t="shared" si="2"/>
        <v>#DIV/0!</v>
      </c>
      <c r="L50" s="172" t="e">
        <f t="shared" si="6"/>
        <v>#DIV/0!</v>
      </c>
      <c r="M50" s="173" t="e">
        <f t="shared" si="4"/>
        <v>#DIV/0!</v>
      </c>
    </row>
    <row r="51" spans="2:13" ht="15" outlineLevel="1" thickBot="1">
      <c r="B51" s="182" t="s">
        <v>169</v>
      </c>
      <c r="C51" s="171"/>
      <c r="D51" s="172" t="e">
        <f t="shared" si="0"/>
        <v>#DIV/0!</v>
      </c>
      <c r="E51" s="172" t="e">
        <f t="shared" si="5"/>
        <v>#DIV/0!</v>
      </c>
      <c r="F51" s="173" t="e">
        <f t="shared" si="3"/>
        <v>#DIV/0!</v>
      </c>
      <c r="G51" s="173" t="e">
        <f t="shared" si="1"/>
        <v>#DIV/0!</v>
      </c>
      <c r="I51" s="182" t="s">
        <v>169</v>
      </c>
      <c r="J51" s="171"/>
      <c r="K51" s="172" t="e">
        <f t="shared" si="2"/>
        <v>#DIV/0!</v>
      </c>
      <c r="L51" s="172" t="e">
        <f t="shared" si="6"/>
        <v>#DIV/0!</v>
      </c>
      <c r="M51" s="173" t="e">
        <f t="shared" si="4"/>
        <v>#DIV/0!</v>
      </c>
    </row>
    <row r="52" spans="2:13" ht="15" outlineLevel="1" thickBot="1">
      <c r="B52" s="182" t="s">
        <v>170</v>
      </c>
      <c r="C52" s="171"/>
      <c r="D52" s="172" t="e">
        <f t="shared" si="0"/>
        <v>#DIV/0!</v>
      </c>
      <c r="E52" s="172" t="e">
        <f t="shared" si="5"/>
        <v>#DIV/0!</v>
      </c>
      <c r="F52" s="173" t="e">
        <f t="shared" si="3"/>
        <v>#DIV/0!</v>
      </c>
      <c r="G52" s="173" t="e">
        <f t="shared" si="1"/>
        <v>#DIV/0!</v>
      </c>
      <c r="I52" s="182" t="s">
        <v>170</v>
      </c>
      <c r="J52" s="171"/>
      <c r="K52" s="172" t="e">
        <f t="shared" si="2"/>
        <v>#DIV/0!</v>
      </c>
      <c r="L52" s="172" t="e">
        <f t="shared" si="6"/>
        <v>#DIV/0!</v>
      </c>
      <c r="M52" s="173" t="e">
        <f t="shared" si="4"/>
        <v>#DIV/0!</v>
      </c>
    </row>
    <row r="53" spans="2:13" ht="15" outlineLevel="1" thickBot="1">
      <c r="B53" s="182" t="s">
        <v>171</v>
      </c>
      <c r="C53" s="171"/>
      <c r="D53" s="172" t="e">
        <f t="shared" si="0"/>
        <v>#DIV/0!</v>
      </c>
      <c r="E53" s="172" t="e">
        <f t="shared" si="5"/>
        <v>#DIV/0!</v>
      </c>
      <c r="F53" s="173" t="e">
        <f t="shared" si="3"/>
        <v>#DIV/0!</v>
      </c>
      <c r="G53" s="173" t="e">
        <f t="shared" si="1"/>
        <v>#DIV/0!</v>
      </c>
      <c r="I53" s="182" t="s">
        <v>171</v>
      </c>
      <c r="J53" s="171"/>
      <c r="K53" s="172" t="e">
        <f t="shared" si="2"/>
        <v>#DIV/0!</v>
      </c>
      <c r="L53" s="172" t="e">
        <f t="shared" si="6"/>
        <v>#DIV/0!</v>
      </c>
      <c r="M53" s="173" t="e">
        <f t="shared" si="4"/>
        <v>#DIV/0!</v>
      </c>
    </row>
    <row r="54" spans="2:13" ht="26.5" outlineLevel="1" thickBot="1">
      <c r="B54" s="182" t="s">
        <v>172</v>
      </c>
      <c r="C54" s="171"/>
      <c r="D54" s="172" t="e">
        <f t="shared" si="0"/>
        <v>#DIV/0!</v>
      </c>
      <c r="E54" s="172" t="e">
        <f t="shared" si="5"/>
        <v>#DIV/0!</v>
      </c>
      <c r="F54" s="173" t="e">
        <f t="shared" si="3"/>
        <v>#DIV/0!</v>
      </c>
      <c r="G54" s="173" t="e">
        <f t="shared" si="1"/>
        <v>#DIV/0!</v>
      </c>
      <c r="I54" s="182" t="s">
        <v>172</v>
      </c>
      <c r="J54" s="171"/>
      <c r="K54" s="172" t="e">
        <f t="shared" si="2"/>
        <v>#DIV/0!</v>
      </c>
      <c r="L54" s="172" t="e">
        <f t="shared" si="6"/>
        <v>#DIV/0!</v>
      </c>
      <c r="M54" s="173" t="e">
        <f t="shared" si="4"/>
        <v>#DIV/0!</v>
      </c>
    </row>
    <row r="55" spans="2:13" ht="15" outlineLevel="1" thickBot="1">
      <c r="B55" s="182" t="s">
        <v>173</v>
      </c>
      <c r="C55" s="171"/>
      <c r="D55" s="172" t="e">
        <f t="shared" si="0"/>
        <v>#DIV/0!</v>
      </c>
      <c r="E55" s="172" t="e">
        <f t="shared" si="5"/>
        <v>#DIV/0!</v>
      </c>
      <c r="F55" s="173" t="e">
        <f t="shared" si="3"/>
        <v>#DIV/0!</v>
      </c>
      <c r="G55" s="173" t="e">
        <f t="shared" si="1"/>
        <v>#DIV/0!</v>
      </c>
      <c r="I55" s="182" t="s">
        <v>173</v>
      </c>
      <c r="J55" s="171"/>
      <c r="K55" s="172" t="e">
        <f t="shared" si="2"/>
        <v>#DIV/0!</v>
      </c>
      <c r="L55" s="172" t="e">
        <f t="shared" si="6"/>
        <v>#DIV/0!</v>
      </c>
      <c r="M55" s="173" t="e">
        <f t="shared" si="4"/>
        <v>#DIV/0!</v>
      </c>
    </row>
    <row r="56" spans="2:13" ht="15" outlineLevel="1" thickBot="1">
      <c r="B56" s="182" t="s">
        <v>174</v>
      </c>
      <c r="C56" s="171"/>
      <c r="D56" s="172" t="e">
        <f t="shared" si="0"/>
        <v>#DIV/0!</v>
      </c>
      <c r="E56" s="172" t="e">
        <f t="shared" si="5"/>
        <v>#DIV/0!</v>
      </c>
      <c r="F56" s="173" t="e">
        <f t="shared" si="3"/>
        <v>#DIV/0!</v>
      </c>
      <c r="G56" s="173" t="e">
        <f t="shared" si="1"/>
        <v>#DIV/0!</v>
      </c>
      <c r="I56" s="182" t="s">
        <v>174</v>
      </c>
      <c r="J56" s="171"/>
      <c r="K56" s="172" t="e">
        <f t="shared" si="2"/>
        <v>#DIV/0!</v>
      </c>
      <c r="L56" s="172" t="e">
        <f t="shared" si="6"/>
        <v>#DIV/0!</v>
      </c>
      <c r="M56" s="173" t="e">
        <f t="shared" si="4"/>
        <v>#DIV/0!</v>
      </c>
    </row>
    <row r="57" spans="2:13" ht="15" outlineLevel="1" thickBot="1">
      <c r="B57" s="182" t="s">
        <v>175</v>
      </c>
      <c r="C57" s="171"/>
      <c r="D57" s="172" t="e">
        <f t="shared" si="0"/>
        <v>#DIV/0!</v>
      </c>
      <c r="E57" s="172" t="e">
        <f t="shared" si="5"/>
        <v>#DIV/0!</v>
      </c>
      <c r="F57" s="173" t="e">
        <f t="shared" si="3"/>
        <v>#DIV/0!</v>
      </c>
      <c r="G57" s="173" t="e">
        <f t="shared" si="1"/>
        <v>#DIV/0!</v>
      </c>
      <c r="I57" s="182" t="s">
        <v>175</v>
      </c>
      <c r="J57" s="171"/>
      <c r="K57" s="172" t="e">
        <f t="shared" si="2"/>
        <v>#DIV/0!</v>
      </c>
      <c r="L57" s="172" t="e">
        <f t="shared" si="6"/>
        <v>#DIV/0!</v>
      </c>
      <c r="M57" s="173" t="e">
        <f t="shared" si="4"/>
        <v>#DIV/0!</v>
      </c>
    </row>
    <row r="58" spans="2:13" ht="15" outlineLevel="1" thickBot="1">
      <c r="B58" s="182" t="s">
        <v>176</v>
      </c>
      <c r="C58" s="171"/>
      <c r="D58" s="172" t="e">
        <f t="shared" si="0"/>
        <v>#DIV/0!</v>
      </c>
      <c r="E58" s="172" t="e">
        <f t="shared" si="5"/>
        <v>#DIV/0!</v>
      </c>
      <c r="F58" s="173" t="e">
        <f t="shared" si="3"/>
        <v>#DIV/0!</v>
      </c>
      <c r="G58" s="173" t="e">
        <f t="shared" si="1"/>
        <v>#DIV/0!</v>
      </c>
      <c r="I58" s="182" t="s">
        <v>176</v>
      </c>
      <c r="J58" s="171"/>
      <c r="K58" s="172" t="e">
        <f t="shared" si="2"/>
        <v>#DIV/0!</v>
      </c>
      <c r="L58" s="172" t="e">
        <f t="shared" si="6"/>
        <v>#DIV/0!</v>
      </c>
      <c r="M58" s="173" t="e">
        <f t="shared" si="4"/>
        <v>#DIV/0!</v>
      </c>
    </row>
    <row r="59" spans="2:13" ht="15" outlineLevel="1" thickBot="1">
      <c r="B59" s="182" t="s">
        <v>177</v>
      </c>
      <c r="C59" s="171"/>
      <c r="D59" s="172" t="e">
        <f t="shared" si="0"/>
        <v>#DIV/0!</v>
      </c>
      <c r="E59" s="172" t="e">
        <f t="shared" si="5"/>
        <v>#DIV/0!</v>
      </c>
      <c r="F59" s="173" t="e">
        <f t="shared" si="3"/>
        <v>#DIV/0!</v>
      </c>
      <c r="G59" s="173" t="e">
        <f t="shared" si="1"/>
        <v>#DIV/0!</v>
      </c>
      <c r="I59" s="182" t="s">
        <v>177</v>
      </c>
      <c r="J59" s="171"/>
      <c r="K59" s="172" t="e">
        <f t="shared" si="2"/>
        <v>#DIV/0!</v>
      </c>
      <c r="L59" s="172" t="e">
        <f t="shared" si="6"/>
        <v>#DIV/0!</v>
      </c>
      <c r="M59" s="173" t="e">
        <f t="shared" si="4"/>
        <v>#DIV/0!</v>
      </c>
    </row>
    <row r="60" spans="2:13" ht="15" outlineLevel="1" thickBot="1">
      <c r="B60" s="182" t="s">
        <v>178</v>
      </c>
      <c r="C60" s="171"/>
      <c r="D60" s="172" t="e">
        <f t="shared" si="0"/>
        <v>#DIV/0!</v>
      </c>
      <c r="E60" s="172" t="e">
        <f t="shared" si="5"/>
        <v>#DIV/0!</v>
      </c>
      <c r="F60" s="173" t="e">
        <f t="shared" si="3"/>
        <v>#DIV/0!</v>
      </c>
      <c r="G60" s="173" t="e">
        <f t="shared" si="1"/>
        <v>#DIV/0!</v>
      </c>
      <c r="I60" s="182" t="s">
        <v>178</v>
      </c>
      <c r="J60" s="171"/>
      <c r="K60" s="172" t="e">
        <f t="shared" si="2"/>
        <v>#DIV/0!</v>
      </c>
      <c r="L60" s="172" t="e">
        <f t="shared" si="6"/>
        <v>#DIV/0!</v>
      </c>
      <c r="M60" s="173" t="e">
        <f t="shared" si="4"/>
        <v>#DIV/0!</v>
      </c>
    </row>
    <row r="61" spans="2:13" ht="15" outlineLevel="1" thickBot="1">
      <c r="B61" s="182" t="s">
        <v>179</v>
      </c>
      <c r="C61" s="171"/>
      <c r="D61" s="172" t="e">
        <f t="shared" si="0"/>
        <v>#DIV/0!</v>
      </c>
      <c r="E61" s="172" t="e">
        <f t="shared" si="5"/>
        <v>#DIV/0!</v>
      </c>
      <c r="F61" s="173" t="e">
        <f t="shared" si="3"/>
        <v>#DIV/0!</v>
      </c>
      <c r="G61" s="173" t="e">
        <f t="shared" si="1"/>
        <v>#DIV/0!</v>
      </c>
      <c r="I61" s="182" t="s">
        <v>179</v>
      </c>
      <c r="J61" s="171"/>
      <c r="K61" s="172" t="e">
        <f t="shared" si="2"/>
        <v>#DIV/0!</v>
      </c>
      <c r="L61" s="172" t="e">
        <f t="shared" si="6"/>
        <v>#DIV/0!</v>
      </c>
      <c r="M61" s="173" t="e">
        <f t="shared" si="4"/>
        <v>#DIV/0!</v>
      </c>
    </row>
    <row r="62" spans="2:13" ht="15" outlineLevel="1" thickBot="1">
      <c r="B62" s="182" t="s">
        <v>180</v>
      </c>
      <c r="C62" s="171"/>
      <c r="D62" s="172" t="e">
        <f t="shared" si="0"/>
        <v>#DIV/0!</v>
      </c>
      <c r="E62" s="172" t="e">
        <f t="shared" si="5"/>
        <v>#DIV/0!</v>
      </c>
      <c r="F62" s="173" t="e">
        <f t="shared" si="3"/>
        <v>#DIV/0!</v>
      </c>
      <c r="G62" s="173" t="e">
        <f t="shared" si="1"/>
        <v>#DIV/0!</v>
      </c>
      <c r="I62" s="182" t="s">
        <v>180</v>
      </c>
      <c r="J62" s="171"/>
      <c r="K62" s="172" t="e">
        <f t="shared" si="2"/>
        <v>#DIV/0!</v>
      </c>
      <c r="L62" s="172" t="e">
        <f t="shared" si="6"/>
        <v>#DIV/0!</v>
      </c>
      <c r="M62" s="173" t="e">
        <f t="shared" si="4"/>
        <v>#DIV/0!</v>
      </c>
    </row>
    <row r="63" spans="2:13" ht="15" outlineLevel="1" thickBot="1">
      <c r="B63" s="182" t="s">
        <v>181</v>
      </c>
      <c r="C63" s="171"/>
      <c r="D63" s="172" t="e">
        <f t="shared" si="0"/>
        <v>#DIV/0!</v>
      </c>
      <c r="E63" s="172" t="e">
        <f t="shared" si="5"/>
        <v>#DIV/0!</v>
      </c>
      <c r="F63" s="173" t="e">
        <f t="shared" si="3"/>
        <v>#DIV/0!</v>
      </c>
      <c r="G63" s="173" t="e">
        <f t="shared" si="1"/>
        <v>#DIV/0!</v>
      </c>
      <c r="I63" s="182" t="s">
        <v>181</v>
      </c>
      <c r="J63" s="171"/>
      <c r="K63" s="172" t="e">
        <f t="shared" si="2"/>
        <v>#DIV/0!</v>
      </c>
      <c r="L63" s="172" t="e">
        <f t="shared" si="6"/>
        <v>#DIV/0!</v>
      </c>
      <c r="M63" s="173" t="e">
        <f t="shared" si="4"/>
        <v>#DIV/0!</v>
      </c>
    </row>
    <row r="64" spans="2:13" ht="15" outlineLevel="1" thickBot="1">
      <c r="B64" s="182" t="s">
        <v>182</v>
      </c>
      <c r="C64" s="171"/>
      <c r="D64" s="172" t="e">
        <f t="shared" si="0"/>
        <v>#DIV/0!</v>
      </c>
      <c r="E64" s="172" t="e">
        <f t="shared" si="5"/>
        <v>#DIV/0!</v>
      </c>
      <c r="F64" s="173" t="e">
        <f t="shared" si="3"/>
        <v>#DIV/0!</v>
      </c>
      <c r="G64" s="173" t="e">
        <f t="shared" si="1"/>
        <v>#DIV/0!</v>
      </c>
      <c r="I64" s="182" t="s">
        <v>182</v>
      </c>
      <c r="J64" s="171"/>
      <c r="K64" s="172" t="e">
        <f t="shared" si="2"/>
        <v>#DIV/0!</v>
      </c>
      <c r="L64" s="172" t="e">
        <f t="shared" si="6"/>
        <v>#DIV/0!</v>
      </c>
      <c r="M64" s="173" t="e">
        <f t="shared" si="4"/>
        <v>#DIV/0!</v>
      </c>
    </row>
    <row r="65" spans="2:13" ht="15" outlineLevel="1" thickBot="1">
      <c r="B65" s="182" t="s">
        <v>183</v>
      </c>
      <c r="C65" s="171"/>
      <c r="D65" s="172" t="e">
        <f t="shared" si="0"/>
        <v>#DIV/0!</v>
      </c>
      <c r="E65" s="172" t="e">
        <f t="shared" si="5"/>
        <v>#DIV/0!</v>
      </c>
      <c r="F65" s="173" t="e">
        <f t="shared" si="3"/>
        <v>#DIV/0!</v>
      </c>
      <c r="G65" s="173" t="e">
        <f t="shared" si="1"/>
        <v>#DIV/0!</v>
      </c>
      <c r="I65" s="182" t="s">
        <v>183</v>
      </c>
      <c r="J65" s="171"/>
      <c r="K65" s="172" t="e">
        <f t="shared" si="2"/>
        <v>#DIV/0!</v>
      </c>
      <c r="L65" s="172" t="e">
        <f t="shared" si="6"/>
        <v>#DIV/0!</v>
      </c>
      <c r="M65" s="173" t="e">
        <f t="shared" si="4"/>
        <v>#DIV/0!</v>
      </c>
    </row>
    <row r="66" spans="2:13" ht="15" outlineLevel="1" thickBot="1">
      <c r="B66" s="182" t="s">
        <v>184</v>
      </c>
      <c r="C66" s="171"/>
      <c r="D66" s="172" t="e">
        <f t="shared" si="0"/>
        <v>#DIV/0!</v>
      </c>
      <c r="E66" s="172" t="e">
        <f t="shared" si="5"/>
        <v>#DIV/0!</v>
      </c>
      <c r="F66" s="173" t="e">
        <f t="shared" si="3"/>
        <v>#DIV/0!</v>
      </c>
      <c r="G66" s="173" t="e">
        <f t="shared" si="1"/>
        <v>#DIV/0!</v>
      </c>
      <c r="I66" s="182" t="s">
        <v>184</v>
      </c>
      <c r="J66" s="171"/>
      <c r="K66" s="172" t="e">
        <f t="shared" si="2"/>
        <v>#DIV/0!</v>
      </c>
      <c r="L66" s="172" t="e">
        <f t="shared" si="6"/>
        <v>#DIV/0!</v>
      </c>
      <c r="M66" s="173" t="e">
        <f t="shared" si="4"/>
        <v>#DIV/0!</v>
      </c>
    </row>
    <row r="67" spans="2:13" ht="15" outlineLevel="1" thickBot="1">
      <c r="B67" s="182" t="s">
        <v>185</v>
      </c>
      <c r="C67" s="171"/>
      <c r="D67" s="172" t="e">
        <f t="shared" si="0"/>
        <v>#DIV/0!</v>
      </c>
      <c r="E67" s="172" t="e">
        <f t="shared" si="5"/>
        <v>#DIV/0!</v>
      </c>
      <c r="F67" s="173" t="e">
        <f t="shared" si="3"/>
        <v>#DIV/0!</v>
      </c>
      <c r="G67" s="173" t="e">
        <f t="shared" si="1"/>
        <v>#DIV/0!</v>
      </c>
      <c r="I67" s="182" t="s">
        <v>185</v>
      </c>
      <c r="J67" s="171"/>
      <c r="K67" s="172" t="e">
        <f t="shared" si="2"/>
        <v>#DIV/0!</v>
      </c>
      <c r="L67" s="172" t="e">
        <f t="shared" si="6"/>
        <v>#DIV/0!</v>
      </c>
      <c r="M67" s="173" t="e">
        <f t="shared" si="4"/>
        <v>#DIV/0!</v>
      </c>
    </row>
    <row r="68" spans="2:13" ht="15" outlineLevel="1" thickBot="1">
      <c r="B68" s="182" t="s">
        <v>186</v>
      </c>
      <c r="C68" s="171"/>
      <c r="D68" s="172" t="e">
        <f t="shared" ref="D68:D105" si="7">C68/C$106</f>
        <v>#DIV/0!</v>
      </c>
      <c r="E68" s="172" t="e">
        <f t="shared" si="5"/>
        <v>#DIV/0!</v>
      </c>
      <c r="F68" s="173" t="e">
        <f t="shared" si="3"/>
        <v>#DIV/0!</v>
      </c>
      <c r="G68" s="173" t="e">
        <f t="shared" ref="G68:G105" si="8">VLOOKUP(B$4:B$104,I$4:M$104,5,0)</f>
        <v>#DIV/0!</v>
      </c>
      <c r="I68" s="182" t="s">
        <v>186</v>
      </c>
      <c r="J68" s="171"/>
      <c r="K68" s="172" t="e">
        <f t="shared" ref="K68:K105" si="9">J68/J$106</f>
        <v>#DIV/0!</v>
      </c>
      <c r="L68" s="172" t="e">
        <f t="shared" si="6"/>
        <v>#DIV/0!</v>
      </c>
      <c r="M68" s="173" t="e">
        <f t="shared" si="4"/>
        <v>#DIV/0!</v>
      </c>
    </row>
    <row r="69" spans="2:13" ht="15" outlineLevel="1" thickBot="1">
      <c r="B69" s="182" t="s">
        <v>187</v>
      </c>
      <c r="C69" s="171"/>
      <c r="D69" s="172" t="e">
        <f t="shared" si="7"/>
        <v>#DIV/0!</v>
      </c>
      <c r="E69" s="172" t="e">
        <f t="shared" si="5"/>
        <v>#DIV/0!</v>
      </c>
      <c r="F69" s="173" t="e">
        <f t="shared" si="3"/>
        <v>#DIV/0!</v>
      </c>
      <c r="G69" s="173" t="e">
        <f t="shared" si="8"/>
        <v>#DIV/0!</v>
      </c>
      <c r="I69" s="182" t="s">
        <v>187</v>
      </c>
      <c r="J69" s="171"/>
      <c r="K69" s="172" t="e">
        <f t="shared" si="9"/>
        <v>#DIV/0!</v>
      </c>
      <c r="L69" s="172" t="e">
        <f t="shared" si="6"/>
        <v>#DIV/0!</v>
      </c>
      <c r="M69" s="173" t="e">
        <f t="shared" si="4"/>
        <v>#DIV/0!</v>
      </c>
    </row>
    <row r="70" spans="2:13" ht="15" outlineLevel="1" thickBot="1">
      <c r="B70" s="182" t="s">
        <v>188</v>
      </c>
      <c r="C70" s="171"/>
      <c r="D70" s="172" t="e">
        <f t="shared" si="7"/>
        <v>#DIV/0!</v>
      </c>
      <c r="E70" s="172" t="e">
        <f t="shared" ref="E70:E75" si="10">E69+D70</f>
        <v>#DIV/0!</v>
      </c>
      <c r="F70" s="173" t="e">
        <f t="shared" si="3"/>
        <v>#DIV/0!</v>
      </c>
      <c r="G70" s="173" t="e">
        <f t="shared" si="8"/>
        <v>#DIV/0!</v>
      </c>
      <c r="I70" s="182" t="s">
        <v>188</v>
      </c>
      <c r="J70" s="171"/>
      <c r="K70" s="172" t="e">
        <f t="shared" si="9"/>
        <v>#DIV/0!</v>
      </c>
      <c r="L70" s="172" t="e">
        <f t="shared" ref="L70:L75" si="11">L69+K70</f>
        <v>#DIV/0!</v>
      </c>
      <c r="M70" s="173" t="e">
        <f t="shared" si="4"/>
        <v>#DIV/0!</v>
      </c>
    </row>
    <row r="71" spans="2:13" ht="15" outlineLevel="1" thickBot="1">
      <c r="B71" s="182" t="s">
        <v>189</v>
      </c>
      <c r="C71" s="171"/>
      <c r="D71" s="172" t="e">
        <f t="shared" si="7"/>
        <v>#DIV/0!</v>
      </c>
      <c r="E71" s="172" t="e">
        <f t="shared" si="10"/>
        <v>#DIV/0!</v>
      </c>
      <c r="F71" s="173" t="e">
        <f t="shared" si="3"/>
        <v>#DIV/0!</v>
      </c>
      <c r="G71" s="173" t="e">
        <f t="shared" si="8"/>
        <v>#DIV/0!</v>
      </c>
      <c r="I71" s="182" t="s">
        <v>189</v>
      </c>
      <c r="J71" s="171"/>
      <c r="K71" s="172" t="e">
        <f t="shared" si="9"/>
        <v>#DIV/0!</v>
      </c>
      <c r="L71" s="172" t="e">
        <f t="shared" si="11"/>
        <v>#DIV/0!</v>
      </c>
      <c r="M71" s="173" t="e">
        <f t="shared" si="4"/>
        <v>#DIV/0!</v>
      </c>
    </row>
    <row r="72" spans="2:13" ht="15" outlineLevel="1" thickBot="1">
      <c r="B72" s="182" t="s">
        <v>190</v>
      </c>
      <c r="C72" s="171"/>
      <c r="D72" s="172" t="e">
        <f t="shared" si="7"/>
        <v>#DIV/0!</v>
      </c>
      <c r="E72" s="172" t="e">
        <f t="shared" si="10"/>
        <v>#DIV/0!</v>
      </c>
      <c r="F72" s="173" t="e">
        <f t="shared" si="3"/>
        <v>#DIV/0!</v>
      </c>
      <c r="G72" s="173" t="e">
        <f t="shared" si="8"/>
        <v>#DIV/0!</v>
      </c>
      <c r="I72" s="182" t="s">
        <v>190</v>
      </c>
      <c r="J72" s="171"/>
      <c r="K72" s="172" t="e">
        <f t="shared" si="9"/>
        <v>#DIV/0!</v>
      </c>
      <c r="L72" s="172" t="e">
        <f t="shared" si="11"/>
        <v>#DIV/0!</v>
      </c>
      <c r="M72" s="173" t="e">
        <f t="shared" si="4"/>
        <v>#DIV/0!</v>
      </c>
    </row>
    <row r="73" spans="2:13" ht="15" outlineLevel="1" thickBot="1">
      <c r="B73" s="182" t="s">
        <v>191</v>
      </c>
      <c r="C73" s="171"/>
      <c r="D73" s="172" t="e">
        <f t="shared" si="7"/>
        <v>#DIV/0!</v>
      </c>
      <c r="E73" s="172" t="e">
        <f t="shared" si="10"/>
        <v>#DIV/0!</v>
      </c>
      <c r="F73" s="173" t="e">
        <f t="shared" si="3"/>
        <v>#DIV/0!</v>
      </c>
      <c r="G73" s="173" t="e">
        <f t="shared" si="8"/>
        <v>#DIV/0!</v>
      </c>
      <c r="I73" s="182" t="s">
        <v>191</v>
      </c>
      <c r="J73" s="171"/>
      <c r="K73" s="172" t="e">
        <f t="shared" si="9"/>
        <v>#DIV/0!</v>
      </c>
      <c r="L73" s="172" t="e">
        <f t="shared" si="11"/>
        <v>#DIV/0!</v>
      </c>
      <c r="M73" s="173" t="e">
        <f t="shared" si="4"/>
        <v>#DIV/0!</v>
      </c>
    </row>
    <row r="74" spans="2:13" ht="15" outlineLevel="1" thickBot="1">
      <c r="B74" s="182" t="s">
        <v>192</v>
      </c>
      <c r="C74" s="171"/>
      <c r="D74" s="172" t="e">
        <f t="shared" si="7"/>
        <v>#DIV/0!</v>
      </c>
      <c r="E74" s="172" t="e">
        <f t="shared" si="10"/>
        <v>#DIV/0!</v>
      </c>
      <c r="F74" s="173" t="e">
        <f t="shared" si="3"/>
        <v>#DIV/0!</v>
      </c>
      <c r="G74" s="173" t="e">
        <f t="shared" si="8"/>
        <v>#DIV/0!</v>
      </c>
      <c r="I74" s="182" t="s">
        <v>192</v>
      </c>
      <c r="J74" s="171"/>
      <c r="K74" s="172" t="e">
        <f t="shared" si="9"/>
        <v>#DIV/0!</v>
      </c>
      <c r="L74" s="172" t="e">
        <f t="shared" si="11"/>
        <v>#DIV/0!</v>
      </c>
      <c r="M74" s="173" t="e">
        <f t="shared" si="4"/>
        <v>#DIV/0!</v>
      </c>
    </row>
    <row r="75" spans="2:13" ht="15" outlineLevel="1" thickBot="1">
      <c r="B75" s="182" t="s">
        <v>193</v>
      </c>
      <c r="C75" s="171"/>
      <c r="D75" s="172" t="e">
        <f t="shared" si="7"/>
        <v>#DIV/0!</v>
      </c>
      <c r="E75" s="172" t="e">
        <f t="shared" si="10"/>
        <v>#DIV/0!</v>
      </c>
      <c r="F75" s="173" t="e">
        <f t="shared" si="3"/>
        <v>#DIV/0!</v>
      </c>
      <c r="G75" s="173" t="e">
        <f t="shared" si="8"/>
        <v>#DIV/0!</v>
      </c>
      <c r="I75" s="182" t="s">
        <v>193</v>
      </c>
      <c r="J75" s="171"/>
      <c r="K75" s="172" t="e">
        <f t="shared" si="9"/>
        <v>#DIV/0!</v>
      </c>
      <c r="L75" s="172" t="e">
        <f t="shared" si="11"/>
        <v>#DIV/0!</v>
      </c>
      <c r="M75" s="173" t="e">
        <f t="shared" si="4"/>
        <v>#DIV/0!</v>
      </c>
    </row>
    <row r="76" spans="2:13" ht="15" outlineLevel="1" thickBot="1">
      <c r="B76" s="182" t="s">
        <v>194</v>
      </c>
      <c r="C76" s="171"/>
      <c r="D76" s="172" t="e">
        <f t="shared" si="7"/>
        <v>#DIV/0!</v>
      </c>
      <c r="E76" s="172" t="e">
        <f>E49+D76</f>
        <v>#DIV/0!</v>
      </c>
      <c r="F76" s="173" t="e">
        <f t="shared" si="3"/>
        <v>#DIV/0!</v>
      </c>
      <c r="G76" s="173" t="e">
        <f t="shared" si="8"/>
        <v>#DIV/0!</v>
      </c>
      <c r="I76" s="182" t="s">
        <v>194</v>
      </c>
      <c r="J76" s="171"/>
      <c r="K76" s="172" t="e">
        <f t="shared" si="9"/>
        <v>#DIV/0!</v>
      </c>
      <c r="L76" s="172" t="e">
        <f>L49+K76</f>
        <v>#DIV/0!</v>
      </c>
      <c r="M76" s="173" t="e">
        <f t="shared" si="4"/>
        <v>#DIV/0!</v>
      </c>
    </row>
    <row r="77" spans="2:13" ht="15" outlineLevel="1" thickBot="1">
      <c r="B77" s="182" t="s">
        <v>195</v>
      </c>
      <c r="C77" s="171"/>
      <c r="D77" s="172" t="e">
        <f t="shared" si="7"/>
        <v>#DIV/0!</v>
      </c>
      <c r="E77" s="172" t="e">
        <f t="shared" ref="E77:E93" si="12">E76+D77</f>
        <v>#DIV/0!</v>
      </c>
      <c r="F77" s="173" t="e">
        <f t="shared" si="3"/>
        <v>#DIV/0!</v>
      </c>
      <c r="G77" s="173" t="e">
        <f t="shared" si="8"/>
        <v>#DIV/0!</v>
      </c>
      <c r="I77" s="182" t="s">
        <v>195</v>
      </c>
      <c r="J77" s="171"/>
      <c r="K77" s="172" t="e">
        <f t="shared" si="9"/>
        <v>#DIV/0!</v>
      </c>
      <c r="L77" s="172" t="e">
        <f t="shared" ref="L77:L94" si="13">L76+K77</f>
        <v>#DIV/0!</v>
      </c>
      <c r="M77" s="173" t="e">
        <f t="shared" si="4"/>
        <v>#DIV/0!</v>
      </c>
    </row>
    <row r="78" spans="2:13" ht="26.5" outlineLevel="1" thickBot="1">
      <c r="B78" s="182" t="s">
        <v>196</v>
      </c>
      <c r="C78" s="171"/>
      <c r="D78" s="172" t="e">
        <f t="shared" si="7"/>
        <v>#DIV/0!</v>
      </c>
      <c r="E78" s="172" t="e">
        <f t="shared" si="12"/>
        <v>#DIV/0!</v>
      </c>
      <c r="F78" s="173" t="e">
        <f t="shared" si="3"/>
        <v>#DIV/0!</v>
      </c>
      <c r="G78" s="173" t="e">
        <f t="shared" si="8"/>
        <v>#DIV/0!</v>
      </c>
      <c r="I78" s="182" t="s">
        <v>196</v>
      </c>
      <c r="J78" s="171"/>
      <c r="K78" s="172" t="e">
        <f t="shared" si="9"/>
        <v>#DIV/0!</v>
      </c>
      <c r="L78" s="172" t="e">
        <f t="shared" si="13"/>
        <v>#DIV/0!</v>
      </c>
      <c r="M78" s="173" t="e">
        <f t="shared" si="4"/>
        <v>#DIV/0!</v>
      </c>
    </row>
    <row r="79" spans="2:13" ht="15" outlineLevel="1" thickBot="1">
      <c r="B79" s="182" t="s">
        <v>197</v>
      </c>
      <c r="C79" s="171"/>
      <c r="D79" s="172" t="e">
        <f t="shared" si="7"/>
        <v>#DIV/0!</v>
      </c>
      <c r="E79" s="172" t="e">
        <f t="shared" si="12"/>
        <v>#DIV/0!</v>
      </c>
      <c r="F79" s="173" t="e">
        <f t="shared" si="3"/>
        <v>#DIV/0!</v>
      </c>
      <c r="G79" s="173" t="e">
        <f t="shared" si="8"/>
        <v>#DIV/0!</v>
      </c>
      <c r="I79" s="182" t="s">
        <v>197</v>
      </c>
      <c r="J79" s="171"/>
      <c r="K79" s="172" t="e">
        <f t="shared" si="9"/>
        <v>#DIV/0!</v>
      </c>
      <c r="L79" s="172" t="e">
        <f t="shared" si="13"/>
        <v>#DIV/0!</v>
      </c>
      <c r="M79" s="173" t="e">
        <f t="shared" si="4"/>
        <v>#DIV/0!</v>
      </c>
    </row>
    <row r="80" spans="2:13" ht="26.5" outlineLevel="1" thickBot="1">
      <c r="B80" s="182" t="s">
        <v>198</v>
      </c>
      <c r="C80" s="171"/>
      <c r="D80" s="172" t="e">
        <f t="shared" si="7"/>
        <v>#DIV/0!</v>
      </c>
      <c r="E80" s="172" t="e">
        <f t="shared" si="12"/>
        <v>#DIV/0!</v>
      </c>
      <c r="F80" s="173" t="e">
        <f t="shared" si="3"/>
        <v>#DIV/0!</v>
      </c>
      <c r="G80" s="173" t="e">
        <f t="shared" si="8"/>
        <v>#DIV/0!</v>
      </c>
      <c r="I80" s="182" t="s">
        <v>198</v>
      </c>
      <c r="J80" s="171"/>
      <c r="K80" s="172" t="e">
        <f t="shared" si="9"/>
        <v>#DIV/0!</v>
      </c>
      <c r="L80" s="172" t="e">
        <f t="shared" si="13"/>
        <v>#DIV/0!</v>
      </c>
      <c r="M80" s="173" t="e">
        <f t="shared" si="4"/>
        <v>#DIV/0!</v>
      </c>
    </row>
    <row r="81" spans="2:13" ht="26.5" outlineLevel="1" thickBot="1">
      <c r="B81" s="182" t="s">
        <v>199</v>
      </c>
      <c r="C81" s="171"/>
      <c r="D81" s="172" t="e">
        <f t="shared" si="7"/>
        <v>#DIV/0!</v>
      </c>
      <c r="E81" s="172" t="e">
        <f t="shared" si="12"/>
        <v>#DIV/0!</v>
      </c>
      <c r="F81" s="173" t="e">
        <f t="shared" si="3"/>
        <v>#DIV/0!</v>
      </c>
      <c r="G81" s="173" t="e">
        <f t="shared" si="8"/>
        <v>#DIV/0!</v>
      </c>
      <c r="I81" s="182" t="s">
        <v>199</v>
      </c>
      <c r="J81" s="171"/>
      <c r="K81" s="172" t="e">
        <f t="shared" si="9"/>
        <v>#DIV/0!</v>
      </c>
      <c r="L81" s="172" t="e">
        <f t="shared" si="13"/>
        <v>#DIV/0!</v>
      </c>
      <c r="M81" s="173" t="e">
        <f t="shared" si="4"/>
        <v>#DIV/0!</v>
      </c>
    </row>
    <row r="82" spans="2:13" ht="26.5" outlineLevel="1" thickBot="1">
      <c r="B82" s="182" t="s">
        <v>200</v>
      </c>
      <c r="C82" s="171"/>
      <c r="D82" s="172" t="e">
        <f t="shared" si="7"/>
        <v>#DIV/0!</v>
      </c>
      <c r="E82" s="172" t="e">
        <f t="shared" si="12"/>
        <v>#DIV/0!</v>
      </c>
      <c r="F82" s="173" t="e">
        <f t="shared" si="3"/>
        <v>#DIV/0!</v>
      </c>
      <c r="G82" s="173" t="e">
        <f t="shared" si="8"/>
        <v>#DIV/0!</v>
      </c>
      <c r="I82" s="182" t="s">
        <v>200</v>
      </c>
      <c r="J82" s="171"/>
      <c r="K82" s="172" t="e">
        <f t="shared" si="9"/>
        <v>#DIV/0!</v>
      </c>
      <c r="L82" s="172" t="e">
        <f t="shared" si="13"/>
        <v>#DIV/0!</v>
      </c>
      <c r="M82" s="173" t="e">
        <f t="shared" si="4"/>
        <v>#DIV/0!</v>
      </c>
    </row>
    <row r="83" spans="2:13" ht="26.5" outlineLevel="1" thickBot="1">
      <c r="B83" s="182" t="s">
        <v>201</v>
      </c>
      <c r="C83" s="171"/>
      <c r="D83" s="172" t="e">
        <f t="shared" si="7"/>
        <v>#DIV/0!</v>
      </c>
      <c r="E83" s="172" t="e">
        <f t="shared" si="12"/>
        <v>#DIV/0!</v>
      </c>
      <c r="F83" s="173" t="e">
        <f t="shared" si="3"/>
        <v>#DIV/0!</v>
      </c>
      <c r="G83" s="173" t="e">
        <f t="shared" si="8"/>
        <v>#DIV/0!</v>
      </c>
      <c r="I83" s="182" t="s">
        <v>201</v>
      </c>
      <c r="J83" s="171"/>
      <c r="K83" s="172" t="e">
        <f t="shared" si="9"/>
        <v>#DIV/0!</v>
      </c>
      <c r="L83" s="172" t="e">
        <f t="shared" si="13"/>
        <v>#DIV/0!</v>
      </c>
      <c r="M83" s="173" t="e">
        <f t="shared" si="4"/>
        <v>#DIV/0!</v>
      </c>
    </row>
    <row r="84" spans="2:13" ht="15" outlineLevel="1" thickBot="1">
      <c r="B84" s="182" t="s">
        <v>202</v>
      </c>
      <c r="C84" s="171"/>
      <c r="D84" s="172" t="e">
        <f t="shared" si="7"/>
        <v>#DIV/0!</v>
      </c>
      <c r="E84" s="172" t="e">
        <f t="shared" si="12"/>
        <v>#DIV/0!</v>
      </c>
      <c r="F84" s="173" t="e">
        <f t="shared" si="3"/>
        <v>#DIV/0!</v>
      </c>
      <c r="G84" s="173" t="e">
        <f t="shared" si="8"/>
        <v>#DIV/0!</v>
      </c>
      <c r="I84" s="182" t="s">
        <v>202</v>
      </c>
      <c r="J84" s="171"/>
      <c r="K84" s="172" t="e">
        <f t="shared" si="9"/>
        <v>#DIV/0!</v>
      </c>
      <c r="L84" s="172" t="e">
        <f t="shared" si="13"/>
        <v>#DIV/0!</v>
      </c>
      <c r="M84" s="173" t="e">
        <f t="shared" si="4"/>
        <v>#DIV/0!</v>
      </c>
    </row>
    <row r="85" spans="2:13" ht="15" outlineLevel="1" thickBot="1">
      <c r="B85" s="182" t="s">
        <v>203</v>
      </c>
      <c r="C85" s="171"/>
      <c r="D85" s="172" t="e">
        <f t="shared" si="7"/>
        <v>#DIV/0!</v>
      </c>
      <c r="E85" s="172" t="e">
        <f t="shared" si="12"/>
        <v>#DIV/0!</v>
      </c>
      <c r="F85" s="173" t="e">
        <f t="shared" si="3"/>
        <v>#DIV/0!</v>
      </c>
      <c r="G85" s="173" t="e">
        <f t="shared" si="8"/>
        <v>#DIV/0!</v>
      </c>
      <c r="I85" s="182" t="s">
        <v>203</v>
      </c>
      <c r="J85" s="171"/>
      <c r="K85" s="172" t="e">
        <f t="shared" si="9"/>
        <v>#DIV/0!</v>
      </c>
      <c r="L85" s="172" t="e">
        <f t="shared" si="13"/>
        <v>#DIV/0!</v>
      </c>
      <c r="M85" s="173" t="e">
        <f t="shared" si="4"/>
        <v>#DIV/0!</v>
      </c>
    </row>
    <row r="86" spans="2:13" ht="26.5" outlineLevel="1" thickBot="1">
      <c r="B86" s="182" t="s">
        <v>204</v>
      </c>
      <c r="C86" s="171"/>
      <c r="D86" s="172" t="e">
        <f t="shared" si="7"/>
        <v>#DIV/0!</v>
      </c>
      <c r="E86" s="172" t="e">
        <f t="shared" si="12"/>
        <v>#DIV/0!</v>
      </c>
      <c r="F86" s="173" t="e">
        <f t="shared" si="3"/>
        <v>#DIV/0!</v>
      </c>
      <c r="G86" s="173" t="e">
        <f t="shared" si="8"/>
        <v>#DIV/0!</v>
      </c>
      <c r="I86" s="182" t="s">
        <v>204</v>
      </c>
      <c r="J86" s="171"/>
      <c r="K86" s="172" t="e">
        <f t="shared" si="9"/>
        <v>#DIV/0!</v>
      </c>
      <c r="L86" s="172" t="e">
        <f t="shared" si="13"/>
        <v>#DIV/0!</v>
      </c>
      <c r="M86" s="173" t="e">
        <f t="shared" si="4"/>
        <v>#DIV/0!</v>
      </c>
    </row>
    <row r="87" spans="2:13" ht="26.5" outlineLevel="1" thickBot="1">
      <c r="B87" s="182" t="s">
        <v>205</v>
      </c>
      <c r="C87" s="171"/>
      <c r="D87" s="172" t="e">
        <f t="shared" si="7"/>
        <v>#DIV/0!</v>
      </c>
      <c r="E87" s="172" t="e">
        <f t="shared" si="12"/>
        <v>#DIV/0!</v>
      </c>
      <c r="F87" s="173" t="e">
        <f t="shared" si="3"/>
        <v>#DIV/0!</v>
      </c>
      <c r="G87" s="173" t="e">
        <f t="shared" si="8"/>
        <v>#DIV/0!</v>
      </c>
      <c r="I87" s="182" t="s">
        <v>205</v>
      </c>
      <c r="J87" s="171"/>
      <c r="K87" s="172" t="e">
        <f t="shared" si="9"/>
        <v>#DIV/0!</v>
      </c>
      <c r="L87" s="172" t="e">
        <f t="shared" si="13"/>
        <v>#DIV/0!</v>
      </c>
      <c r="M87" s="173" t="e">
        <f t="shared" si="4"/>
        <v>#DIV/0!</v>
      </c>
    </row>
    <row r="88" spans="2:13" ht="26.5" outlineLevel="1" thickBot="1">
      <c r="B88" s="182" t="s">
        <v>206</v>
      </c>
      <c r="C88" s="171"/>
      <c r="D88" s="172" t="e">
        <f t="shared" si="7"/>
        <v>#DIV/0!</v>
      </c>
      <c r="E88" s="172" t="e">
        <f t="shared" si="12"/>
        <v>#DIV/0!</v>
      </c>
      <c r="F88" s="173" t="e">
        <f t="shared" si="3"/>
        <v>#DIV/0!</v>
      </c>
      <c r="G88" s="173" t="e">
        <f t="shared" si="8"/>
        <v>#DIV/0!</v>
      </c>
      <c r="I88" s="182" t="s">
        <v>206</v>
      </c>
      <c r="J88" s="171"/>
      <c r="K88" s="172" t="e">
        <f t="shared" si="9"/>
        <v>#DIV/0!</v>
      </c>
      <c r="L88" s="172" t="e">
        <f t="shared" si="13"/>
        <v>#DIV/0!</v>
      </c>
      <c r="M88" s="173" t="e">
        <f t="shared" si="4"/>
        <v>#DIV/0!</v>
      </c>
    </row>
    <row r="89" spans="2:13" ht="26.5" outlineLevel="1" thickBot="1">
      <c r="B89" s="182" t="s">
        <v>207</v>
      </c>
      <c r="C89" s="171"/>
      <c r="D89" s="172" t="e">
        <f t="shared" si="7"/>
        <v>#DIV/0!</v>
      </c>
      <c r="E89" s="172" t="e">
        <f t="shared" si="12"/>
        <v>#DIV/0!</v>
      </c>
      <c r="F89" s="173" t="e">
        <f t="shared" si="3"/>
        <v>#DIV/0!</v>
      </c>
      <c r="G89" s="173" t="e">
        <f t="shared" si="8"/>
        <v>#DIV/0!</v>
      </c>
      <c r="I89" s="182" t="s">
        <v>207</v>
      </c>
      <c r="J89" s="171"/>
      <c r="K89" s="172" t="e">
        <f t="shared" si="9"/>
        <v>#DIV/0!</v>
      </c>
      <c r="L89" s="172" t="e">
        <f t="shared" si="13"/>
        <v>#DIV/0!</v>
      </c>
      <c r="M89" s="173" t="e">
        <f t="shared" si="4"/>
        <v>#DIV/0!</v>
      </c>
    </row>
    <row r="90" spans="2:13" ht="15" outlineLevel="1" thickBot="1">
      <c r="B90" s="182" t="s">
        <v>208</v>
      </c>
      <c r="C90" s="171"/>
      <c r="D90" s="172" t="e">
        <f t="shared" si="7"/>
        <v>#DIV/0!</v>
      </c>
      <c r="E90" s="172" t="e">
        <f t="shared" si="12"/>
        <v>#DIV/0!</v>
      </c>
      <c r="F90" s="173" t="e">
        <f t="shared" si="3"/>
        <v>#DIV/0!</v>
      </c>
      <c r="G90" s="173" t="e">
        <f t="shared" si="8"/>
        <v>#DIV/0!</v>
      </c>
      <c r="I90" s="182" t="s">
        <v>208</v>
      </c>
      <c r="J90" s="171"/>
      <c r="K90" s="172" t="e">
        <f t="shared" si="9"/>
        <v>#DIV/0!</v>
      </c>
      <c r="L90" s="172" t="e">
        <f t="shared" si="13"/>
        <v>#DIV/0!</v>
      </c>
      <c r="M90" s="173" t="e">
        <f t="shared" si="4"/>
        <v>#DIV/0!</v>
      </c>
    </row>
    <row r="91" spans="2:13" ht="26.5" outlineLevel="1" thickBot="1">
      <c r="B91" s="182" t="s">
        <v>209</v>
      </c>
      <c r="C91" s="171"/>
      <c r="D91" s="172" t="e">
        <f t="shared" si="7"/>
        <v>#DIV/0!</v>
      </c>
      <c r="E91" s="172" t="e">
        <f t="shared" si="12"/>
        <v>#DIV/0!</v>
      </c>
      <c r="F91" s="173" t="e">
        <f t="shared" si="3"/>
        <v>#DIV/0!</v>
      </c>
      <c r="G91" s="173" t="e">
        <f t="shared" si="8"/>
        <v>#DIV/0!</v>
      </c>
      <c r="I91" s="182" t="s">
        <v>209</v>
      </c>
      <c r="J91" s="171"/>
      <c r="K91" s="172" t="e">
        <f t="shared" si="9"/>
        <v>#DIV/0!</v>
      </c>
      <c r="L91" s="172" t="e">
        <f t="shared" si="13"/>
        <v>#DIV/0!</v>
      </c>
      <c r="M91" s="173" t="e">
        <f t="shared" si="4"/>
        <v>#DIV/0!</v>
      </c>
    </row>
    <row r="92" spans="2:13" ht="15" outlineLevel="1" thickBot="1">
      <c r="B92" s="182" t="s">
        <v>210</v>
      </c>
      <c r="C92" s="171"/>
      <c r="D92" s="172" t="e">
        <f t="shared" si="7"/>
        <v>#DIV/0!</v>
      </c>
      <c r="E92" s="172" t="e">
        <f t="shared" si="12"/>
        <v>#DIV/0!</v>
      </c>
      <c r="F92" s="173" t="e">
        <f t="shared" si="3"/>
        <v>#DIV/0!</v>
      </c>
      <c r="G92" s="173" t="e">
        <f t="shared" si="8"/>
        <v>#DIV/0!</v>
      </c>
      <c r="I92" s="182" t="s">
        <v>210</v>
      </c>
      <c r="J92" s="171"/>
      <c r="K92" s="172" t="e">
        <f t="shared" si="9"/>
        <v>#DIV/0!</v>
      </c>
      <c r="L92" s="172" t="e">
        <f t="shared" si="13"/>
        <v>#DIV/0!</v>
      </c>
      <c r="M92" s="173" t="e">
        <f t="shared" si="4"/>
        <v>#DIV/0!</v>
      </c>
    </row>
    <row r="93" spans="2:13" ht="15" outlineLevel="1" thickBot="1">
      <c r="B93" s="182" t="s">
        <v>211</v>
      </c>
      <c r="C93" s="171"/>
      <c r="D93" s="172" t="e">
        <f t="shared" si="7"/>
        <v>#DIV/0!</v>
      </c>
      <c r="E93" s="172" t="e">
        <f t="shared" si="12"/>
        <v>#DIV/0!</v>
      </c>
      <c r="F93" s="173" t="e">
        <f t="shared" si="3"/>
        <v>#DIV/0!</v>
      </c>
      <c r="G93" s="173" t="e">
        <f t="shared" si="8"/>
        <v>#DIV/0!</v>
      </c>
      <c r="I93" s="182" t="s">
        <v>211</v>
      </c>
      <c r="J93" s="171"/>
      <c r="K93" s="172" t="e">
        <f t="shared" si="9"/>
        <v>#DIV/0!</v>
      </c>
      <c r="L93" s="172" t="e">
        <f t="shared" si="13"/>
        <v>#DIV/0!</v>
      </c>
      <c r="M93" s="173" t="e">
        <f t="shared" si="4"/>
        <v>#DIV/0!</v>
      </c>
    </row>
    <row r="94" spans="2:13" ht="26.5" outlineLevel="1" thickBot="1">
      <c r="B94" s="182" t="s">
        <v>212</v>
      </c>
      <c r="C94" s="171"/>
      <c r="D94" s="172" t="e">
        <f t="shared" si="7"/>
        <v>#DIV/0!</v>
      </c>
      <c r="E94" s="172" t="e">
        <f>E93+D94</f>
        <v>#DIV/0!</v>
      </c>
      <c r="F94" s="173" t="e">
        <f t="shared" si="3"/>
        <v>#DIV/0!</v>
      </c>
      <c r="G94" s="173" t="e">
        <f t="shared" si="8"/>
        <v>#DIV/0!</v>
      </c>
      <c r="I94" s="182" t="s">
        <v>212</v>
      </c>
      <c r="J94" s="171"/>
      <c r="K94" s="172" t="e">
        <f t="shared" si="9"/>
        <v>#DIV/0!</v>
      </c>
      <c r="L94" s="172" t="e">
        <f t="shared" si="13"/>
        <v>#DIV/0!</v>
      </c>
      <c r="M94" s="173" t="e">
        <f t="shared" si="4"/>
        <v>#DIV/0!</v>
      </c>
    </row>
    <row r="95" spans="2:13" ht="26.5" outlineLevel="1" thickBot="1">
      <c r="B95" s="182" t="s">
        <v>213</v>
      </c>
      <c r="C95" s="171"/>
      <c r="D95" s="172" t="e">
        <f t="shared" si="7"/>
        <v>#DIV/0!</v>
      </c>
      <c r="E95" s="172" t="e">
        <f>E94+D95</f>
        <v>#DIV/0!</v>
      </c>
      <c r="F95" s="173" t="e">
        <f t="shared" si="3"/>
        <v>#DIV/0!</v>
      </c>
      <c r="G95" s="173" t="e">
        <f t="shared" si="8"/>
        <v>#DIV/0!</v>
      </c>
      <c r="I95" s="182" t="s">
        <v>213</v>
      </c>
      <c r="J95" s="171"/>
      <c r="K95" s="172" t="e">
        <f t="shared" si="9"/>
        <v>#DIV/0!</v>
      </c>
      <c r="L95" s="172" t="e">
        <f>L94+K95</f>
        <v>#DIV/0!</v>
      </c>
      <c r="M95" s="173" t="e">
        <f t="shared" si="4"/>
        <v>#DIV/0!</v>
      </c>
    </row>
    <row r="96" spans="2:13" ht="26.5" outlineLevel="1" thickBot="1">
      <c r="B96" s="182" t="s">
        <v>214</v>
      </c>
      <c r="C96" s="171"/>
      <c r="D96" s="172" t="e">
        <f t="shared" si="7"/>
        <v>#DIV/0!</v>
      </c>
      <c r="E96" s="172" t="e">
        <f t="shared" ref="E96:E98" si="14">E95+D96</f>
        <v>#DIV/0!</v>
      </c>
      <c r="F96" s="173" t="e">
        <f t="shared" si="3"/>
        <v>#DIV/0!</v>
      </c>
      <c r="G96" s="173" t="e">
        <f t="shared" si="8"/>
        <v>#DIV/0!</v>
      </c>
      <c r="I96" s="182" t="s">
        <v>214</v>
      </c>
      <c r="J96" s="171"/>
      <c r="K96" s="172" t="e">
        <f t="shared" si="9"/>
        <v>#DIV/0!</v>
      </c>
      <c r="L96" s="172" t="e">
        <f t="shared" ref="L96:L98" si="15">L95+K96</f>
        <v>#DIV/0!</v>
      </c>
      <c r="M96" s="173" t="e">
        <f t="shared" si="4"/>
        <v>#DIV/0!</v>
      </c>
    </row>
    <row r="97" spans="2:13" ht="15" outlineLevel="1" thickBot="1">
      <c r="B97" s="182" t="s">
        <v>215</v>
      </c>
      <c r="C97" s="171"/>
      <c r="D97" s="172" t="e">
        <f t="shared" si="7"/>
        <v>#DIV/0!</v>
      </c>
      <c r="E97" s="172" t="e">
        <f t="shared" si="14"/>
        <v>#DIV/0!</v>
      </c>
      <c r="F97" s="173" t="e">
        <f t="shared" ref="F97:F105" si="16">IF(AND(E97&lt;=0),"C",IF(E97&lt;=0.8,"A",IF(E97&lt;=0.95,"B","C")))</f>
        <v>#DIV/0!</v>
      </c>
      <c r="G97" s="173" t="e">
        <f t="shared" si="8"/>
        <v>#DIV/0!</v>
      </c>
      <c r="I97" s="182" t="s">
        <v>215</v>
      </c>
      <c r="J97" s="171"/>
      <c r="K97" s="172" t="e">
        <f t="shared" si="9"/>
        <v>#DIV/0!</v>
      </c>
      <c r="L97" s="172" t="e">
        <f t="shared" si="15"/>
        <v>#DIV/0!</v>
      </c>
      <c r="M97" s="173" t="e">
        <f t="shared" si="4"/>
        <v>#DIV/0!</v>
      </c>
    </row>
    <row r="98" spans="2:13" ht="26.5" outlineLevel="1" thickBot="1">
      <c r="B98" s="182" t="s">
        <v>216</v>
      </c>
      <c r="C98" s="171"/>
      <c r="D98" s="172" t="e">
        <f t="shared" si="7"/>
        <v>#DIV/0!</v>
      </c>
      <c r="E98" s="172" t="e">
        <f t="shared" si="14"/>
        <v>#DIV/0!</v>
      </c>
      <c r="F98" s="173" t="e">
        <f t="shared" si="16"/>
        <v>#DIV/0!</v>
      </c>
      <c r="G98" s="173" t="e">
        <f t="shared" si="8"/>
        <v>#DIV/0!</v>
      </c>
      <c r="I98" s="182" t="s">
        <v>216</v>
      </c>
      <c r="J98" s="171"/>
      <c r="K98" s="172" t="e">
        <f t="shared" si="9"/>
        <v>#DIV/0!</v>
      </c>
      <c r="L98" s="172" t="e">
        <f t="shared" si="15"/>
        <v>#DIV/0!</v>
      </c>
      <c r="M98" s="173" t="e">
        <f t="shared" si="4"/>
        <v>#DIV/0!</v>
      </c>
    </row>
    <row r="99" spans="2:13" ht="15" outlineLevel="1" thickBot="1">
      <c r="B99" s="182" t="s">
        <v>217</v>
      </c>
      <c r="C99" s="171"/>
      <c r="D99" s="172" t="e">
        <f t="shared" si="7"/>
        <v>#DIV/0!</v>
      </c>
      <c r="E99" s="172" t="e">
        <f>E93+D99</f>
        <v>#DIV/0!</v>
      </c>
      <c r="F99" s="173" t="e">
        <f t="shared" si="16"/>
        <v>#DIV/0!</v>
      </c>
      <c r="G99" s="173" t="e">
        <f t="shared" si="8"/>
        <v>#DIV/0!</v>
      </c>
      <c r="I99" s="182" t="s">
        <v>217</v>
      </c>
      <c r="J99" s="171"/>
      <c r="K99" s="172" t="e">
        <f t="shared" si="9"/>
        <v>#DIV/0!</v>
      </c>
      <c r="L99" s="172" t="e">
        <f>L93+K99</f>
        <v>#DIV/0!</v>
      </c>
      <c r="M99" s="173" t="e">
        <f t="shared" ref="M99:M105" si="17">_xlfn.IFS(L99&lt;80%,"A",L99&lt;=95%,"B",L99&gt;95%,"C")</f>
        <v>#DIV/0!</v>
      </c>
    </row>
    <row r="100" spans="2:13" ht="15" outlineLevel="1" thickBot="1">
      <c r="B100" s="182" t="s">
        <v>256</v>
      </c>
      <c r="C100" s="171"/>
      <c r="D100" s="172" t="e">
        <f t="shared" si="7"/>
        <v>#DIV/0!</v>
      </c>
      <c r="E100" s="172" t="e">
        <f t="shared" ref="E100:E105" si="18">E94+D100</f>
        <v>#DIV/0!</v>
      </c>
      <c r="F100" s="173" t="e">
        <f t="shared" si="16"/>
        <v>#DIV/0!</v>
      </c>
      <c r="G100" s="173" t="e">
        <f t="shared" si="8"/>
        <v>#DIV/0!</v>
      </c>
      <c r="I100" s="182" t="s">
        <v>256</v>
      </c>
      <c r="J100" s="171"/>
      <c r="K100" s="172" t="e">
        <f t="shared" si="9"/>
        <v>#DIV/0!</v>
      </c>
      <c r="L100" s="172" t="e">
        <f t="shared" ref="L100:L105" si="19">L94+K100</f>
        <v>#DIV/0!</v>
      </c>
      <c r="M100" s="173" t="e">
        <f t="shared" si="17"/>
        <v>#DIV/0!</v>
      </c>
    </row>
    <row r="101" spans="2:13" ht="15" outlineLevel="1" thickBot="1">
      <c r="B101" s="182" t="s">
        <v>257</v>
      </c>
      <c r="C101" s="171"/>
      <c r="D101" s="172" t="e">
        <f t="shared" si="7"/>
        <v>#DIV/0!</v>
      </c>
      <c r="E101" s="172" t="e">
        <f t="shared" si="18"/>
        <v>#DIV/0!</v>
      </c>
      <c r="F101" s="173" t="e">
        <f t="shared" si="16"/>
        <v>#DIV/0!</v>
      </c>
      <c r="G101" s="173" t="e">
        <f t="shared" si="8"/>
        <v>#DIV/0!</v>
      </c>
      <c r="I101" s="182" t="s">
        <v>257</v>
      </c>
      <c r="J101" s="171"/>
      <c r="K101" s="172" t="e">
        <f t="shared" si="9"/>
        <v>#DIV/0!</v>
      </c>
      <c r="L101" s="172" t="e">
        <f t="shared" si="19"/>
        <v>#DIV/0!</v>
      </c>
      <c r="M101" s="173" t="e">
        <f t="shared" si="17"/>
        <v>#DIV/0!</v>
      </c>
    </row>
    <row r="102" spans="2:13" ht="15" outlineLevel="1" thickBot="1">
      <c r="B102" s="182" t="s">
        <v>258</v>
      </c>
      <c r="C102" s="171"/>
      <c r="D102" s="172" t="e">
        <f t="shared" si="7"/>
        <v>#DIV/0!</v>
      </c>
      <c r="E102" s="172" t="e">
        <f t="shared" si="18"/>
        <v>#DIV/0!</v>
      </c>
      <c r="F102" s="173" t="e">
        <f t="shared" si="16"/>
        <v>#DIV/0!</v>
      </c>
      <c r="G102" s="173" t="e">
        <f t="shared" si="8"/>
        <v>#DIV/0!</v>
      </c>
      <c r="I102" s="182" t="s">
        <v>258</v>
      </c>
      <c r="J102" s="171"/>
      <c r="K102" s="172" t="e">
        <f t="shared" si="9"/>
        <v>#DIV/0!</v>
      </c>
      <c r="L102" s="172" t="e">
        <f t="shared" si="19"/>
        <v>#DIV/0!</v>
      </c>
      <c r="M102" s="173" t="e">
        <f t="shared" si="17"/>
        <v>#DIV/0!</v>
      </c>
    </row>
    <row r="103" spans="2:13" ht="15" outlineLevel="1" thickBot="1">
      <c r="B103" s="182" t="s">
        <v>259</v>
      </c>
      <c r="C103" s="171"/>
      <c r="D103" s="172" t="e">
        <f t="shared" si="7"/>
        <v>#DIV/0!</v>
      </c>
      <c r="E103" s="172" t="e">
        <f t="shared" si="18"/>
        <v>#DIV/0!</v>
      </c>
      <c r="F103" s="173" t="e">
        <f t="shared" si="16"/>
        <v>#DIV/0!</v>
      </c>
      <c r="G103" s="173" t="e">
        <f t="shared" si="8"/>
        <v>#DIV/0!</v>
      </c>
      <c r="I103" s="182" t="s">
        <v>259</v>
      </c>
      <c r="J103" s="171"/>
      <c r="K103" s="172" t="e">
        <f t="shared" si="9"/>
        <v>#DIV/0!</v>
      </c>
      <c r="L103" s="172" t="e">
        <f t="shared" si="19"/>
        <v>#DIV/0!</v>
      </c>
      <c r="M103" s="173" t="e">
        <f t="shared" si="17"/>
        <v>#DIV/0!</v>
      </c>
    </row>
    <row r="104" spans="2:13" ht="26.5" outlineLevel="1" thickBot="1">
      <c r="B104" s="182" t="s">
        <v>260</v>
      </c>
      <c r="C104" s="171"/>
      <c r="D104" s="172" t="e">
        <f t="shared" si="7"/>
        <v>#DIV/0!</v>
      </c>
      <c r="E104" s="172" t="e">
        <f t="shared" si="18"/>
        <v>#DIV/0!</v>
      </c>
      <c r="F104" s="173" t="e">
        <f t="shared" si="16"/>
        <v>#DIV/0!</v>
      </c>
      <c r="G104" s="173" t="e">
        <f t="shared" si="8"/>
        <v>#DIV/0!</v>
      </c>
      <c r="I104" s="182" t="s">
        <v>260</v>
      </c>
      <c r="J104" s="171"/>
      <c r="K104" s="172" t="e">
        <f t="shared" si="9"/>
        <v>#DIV/0!</v>
      </c>
      <c r="L104" s="172" t="e">
        <f t="shared" si="19"/>
        <v>#DIV/0!</v>
      </c>
      <c r="M104" s="173" t="e">
        <f t="shared" si="17"/>
        <v>#DIV/0!</v>
      </c>
    </row>
    <row r="105" spans="2:13" ht="15" outlineLevel="1" thickBot="1">
      <c r="B105" s="182" t="s">
        <v>338</v>
      </c>
      <c r="C105" s="171"/>
      <c r="D105" s="172" t="e">
        <f t="shared" si="7"/>
        <v>#DIV/0!</v>
      </c>
      <c r="E105" s="172" t="e">
        <f t="shared" si="18"/>
        <v>#DIV/0!</v>
      </c>
      <c r="F105" s="173" t="e">
        <f t="shared" si="16"/>
        <v>#DIV/0!</v>
      </c>
      <c r="G105" s="173" t="e">
        <f t="shared" si="8"/>
        <v>#VALUE!</v>
      </c>
      <c r="I105" s="182" t="s">
        <v>338</v>
      </c>
      <c r="J105" s="171"/>
      <c r="K105" s="172" t="e">
        <f t="shared" si="9"/>
        <v>#DIV/0!</v>
      </c>
      <c r="L105" s="172" t="e">
        <f t="shared" si="19"/>
        <v>#DIV/0!</v>
      </c>
      <c r="M105" s="173" t="e">
        <f t="shared" si="17"/>
        <v>#DIV/0!</v>
      </c>
    </row>
    <row r="106" spans="2:13" outlineLevel="1">
      <c r="C106" s="178">
        <f>SUM(C4:C104)</f>
        <v>0</v>
      </c>
      <c r="D106" s="179" t="e">
        <f>SUM(D4:D105)</f>
        <v>#DIV/0!</v>
      </c>
      <c r="J106" s="178">
        <f>SUM(J4:J104)</f>
        <v>0</v>
      </c>
      <c r="K106" s="179" t="e">
        <f>SUM(K4:K105)</f>
        <v>#DIV/0!</v>
      </c>
    </row>
  </sheetData>
  <mergeCells count="1">
    <mergeCell ref="B2:M2"/>
  </mergeCells>
  <conditionalFormatting sqref="D4:D98 F4:G98 K4:K98 M4:M98">
    <cfRule type="cellIs" dxfId="220" priority="4" operator="equal">
      <formula>"C"</formula>
    </cfRule>
    <cfRule type="cellIs" dxfId="219" priority="5" operator="equal">
      <formula>"B"</formula>
    </cfRule>
    <cfRule type="cellIs" dxfId="218" priority="6" operator="equal">
      <formula>"A"</formula>
    </cfRule>
  </conditionalFormatting>
  <conditionalFormatting sqref="F99:G105 D99:D105 M99:M105 K99:K105">
    <cfRule type="cellIs" dxfId="217" priority="1" operator="equal">
      <formula>"C"</formula>
    </cfRule>
    <cfRule type="cellIs" dxfId="216" priority="2" operator="equal">
      <formula>"B"</formula>
    </cfRule>
    <cfRule type="cellIs" dxfId="215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25A1-D73C-43AC-B792-E644DCD35F2F}">
  <dimension ref="B1:Q106"/>
  <sheetViews>
    <sheetView zoomScale="80" zoomScaleNormal="80" workbookViewId="0">
      <selection activeCell="B3" sqref="B3:C10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9" t="s">
        <v>86</v>
      </c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1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17'!AO4</f>
        <v>123838.63501637737</v>
      </c>
      <c r="D4" s="172">
        <f t="shared" ref="D4:D35" si="0">C4/C$106</f>
        <v>0.21881256342247785</v>
      </c>
      <c r="E4" s="172">
        <f>D4</f>
        <v>0.21881256342247785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17'!U4</f>
        <v>327</v>
      </c>
      <c r="K4" s="172">
        <f t="shared" ref="K4:K35" si="2">J4/J$106</f>
        <v>0.1929203539823009</v>
      </c>
      <c r="L4" s="172">
        <f>K4</f>
        <v>0.1929203539823009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135</v>
      </c>
      <c r="C5" s="171">
        <f>'Юнит 17'!AO16</f>
        <v>61360.968647136935</v>
      </c>
      <c r="D5" s="172">
        <f t="shared" si="0"/>
        <v>0.10841972573414344</v>
      </c>
      <c r="E5" s="172">
        <f>E4+D5</f>
        <v>0.32723228915662128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17'!U13</f>
        <v>184</v>
      </c>
      <c r="K5" s="172">
        <f t="shared" si="2"/>
        <v>0.10855457227138643</v>
      </c>
      <c r="L5" s="172">
        <f>L4+K5</f>
        <v>0.30147492625368733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17'!AO13</f>
        <v>43494.589882807282</v>
      </c>
      <c r="D6" s="172">
        <f t="shared" si="0"/>
        <v>7.6851321124524738E-2</v>
      </c>
      <c r="E6" s="172">
        <f t="shared" ref="E6:E69" si="5">E5+D6</f>
        <v>0.40408361028114603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17'!U9</f>
        <v>156</v>
      </c>
      <c r="K6" s="172">
        <f t="shared" si="2"/>
        <v>9.2035398230088494E-2</v>
      </c>
      <c r="L6" s="172">
        <f t="shared" ref="L6:L69" si="6">L5+K6</f>
        <v>0.39351032448377582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'Юнит 17'!AO9</f>
        <v>39870.963801801117</v>
      </c>
      <c r="D7" s="172">
        <f t="shared" si="0"/>
        <v>7.044867536244373E-2</v>
      </c>
      <c r="E7" s="172">
        <f t="shared" si="5"/>
        <v>0.47453228564358974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17'!U16</f>
        <v>135</v>
      </c>
      <c r="K7" s="172">
        <f t="shared" si="2"/>
        <v>7.9646017699115043E-2</v>
      </c>
      <c r="L7" s="172">
        <f t="shared" si="6"/>
        <v>0.47315634218289088</v>
      </c>
      <c r="M7" s="173" t="str">
        <f t="shared" si="4"/>
        <v>A</v>
      </c>
    </row>
    <row r="8" spans="2:17" ht="15" outlineLevel="1" thickBot="1">
      <c r="B8" s="182" t="s">
        <v>124</v>
      </c>
      <c r="C8" s="171">
        <f>'Юнит 17'!AO5</f>
        <v>33241.33703118952</v>
      </c>
      <c r="D8" s="172">
        <f t="shared" si="0"/>
        <v>5.8734676512085249E-2</v>
      </c>
      <c r="E8" s="172">
        <f t="shared" si="5"/>
        <v>0.53326696215567493</v>
      </c>
      <c r="F8" s="173" t="str">
        <f t="shared" si="3"/>
        <v>A</v>
      </c>
      <c r="G8" s="173" t="str">
        <f t="shared" si="1"/>
        <v>A</v>
      </c>
      <c r="I8" s="182" t="s">
        <v>129</v>
      </c>
      <c r="J8" s="171">
        <f>'Юнит 17'!U10</f>
        <v>110</v>
      </c>
      <c r="K8" s="172">
        <f t="shared" si="2"/>
        <v>6.4896755162241887E-2</v>
      </c>
      <c r="L8" s="172">
        <f t="shared" si="6"/>
        <v>0.53805309734513274</v>
      </c>
      <c r="M8" s="173" t="str">
        <f>_xlfn.IFS(L8&lt;80%,"A",L8&lt;=95%,"B",L8&gt;95%,"C")</f>
        <v>A</v>
      </c>
    </row>
    <row r="9" spans="2:17" ht="26.5" outlineLevel="1" thickBot="1">
      <c r="B9" s="182" t="s">
        <v>126</v>
      </c>
      <c r="C9" s="171">
        <f>'Юнит 17'!AO7</f>
        <v>32082.786005219983</v>
      </c>
      <c r="D9" s="172">
        <f t="shared" si="0"/>
        <v>5.6687613252589454E-2</v>
      </c>
      <c r="E9" s="172">
        <f t="shared" si="5"/>
        <v>0.58995457540826435</v>
      </c>
      <c r="F9" s="173" t="str">
        <f t="shared" si="3"/>
        <v>A</v>
      </c>
      <c r="G9" s="173" t="str">
        <f t="shared" si="1"/>
        <v>A</v>
      </c>
      <c r="I9" s="182" t="s">
        <v>122</v>
      </c>
      <c r="J9" s="171">
        <f>'Юнит 17'!U3</f>
        <v>101</v>
      </c>
      <c r="K9" s="172">
        <f t="shared" si="2"/>
        <v>5.9587020648967551E-2</v>
      </c>
      <c r="L9" s="172">
        <f t="shared" si="6"/>
        <v>0.59764011799410033</v>
      </c>
      <c r="M9" s="173" t="str">
        <f t="shared" si="4"/>
        <v>A</v>
      </c>
    </row>
    <row r="10" spans="2:17" ht="15" outlineLevel="1" thickBot="1">
      <c r="B10" s="182" t="s">
        <v>131</v>
      </c>
      <c r="C10" s="171">
        <f>'Юнит 17'!AO12</f>
        <v>31242.10501256194</v>
      </c>
      <c r="D10" s="172">
        <f t="shared" si="0"/>
        <v>5.5202199891890409E-2</v>
      </c>
      <c r="E10" s="172">
        <f t="shared" si="5"/>
        <v>0.64515677530015481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'Юнит 17'!U5</f>
        <v>89</v>
      </c>
      <c r="K10" s="172">
        <f t="shared" si="2"/>
        <v>5.2507374631268436E-2</v>
      </c>
      <c r="L10" s="172">
        <f t="shared" si="6"/>
        <v>0.65014749262536875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17'!AO3</f>
        <v>26574.335457314104</v>
      </c>
      <c r="D11" s="172">
        <f t="shared" si="0"/>
        <v>4.6954639494328654E-2</v>
      </c>
      <c r="E11" s="172">
        <f t="shared" si="5"/>
        <v>0.69211141479448346</v>
      </c>
      <c r="F11" s="173" t="str">
        <f t="shared" si="3"/>
        <v>A</v>
      </c>
      <c r="G11" s="173" t="str">
        <f t="shared" si="1"/>
        <v>A</v>
      </c>
      <c r="I11" s="182" t="s">
        <v>131</v>
      </c>
      <c r="J11" s="171">
        <f>'Юнит 17'!U12</f>
        <v>77</v>
      </c>
      <c r="K11" s="172">
        <f t="shared" si="2"/>
        <v>4.5427728613569321E-2</v>
      </c>
      <c r="L11" s="172">
        <f t="shared" si="6"/>
        <v>0.69557522123893811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129</v>
      </c>
      <c r="C12" s="171">
        <f>'Юнит 17'!AO10</f>
        <v>23782.119225129689</v>
      </c>
      <c r="D12" s="172">
        <f t="shared" si="0"/>
        <v>4.2021025753242722E-2</v>
      </c>
      <c r="E12" s="172">
        <f t="shared" si="5"/>
        <v>0.73413244054772619</v>
      </c>
      <c r="F12" s="173" t="str">
        <f t="shared" si="3"/>
        <v>A</v>
      </c>
      <c r="G12" s="173" t="str">
        <f t="shared" si="1"/>
        <v>A</v>
      </c>
      <c r="I12" s="182" t="s">
        <v>126</v>
      </c>
      <c r="J12" s="171">
        <f>'Юнит 17'!U7</f>
        <v>74</v>
      </c>
      <c r="K12" s="172">
        <f t="shared" si="2"/>
        <v>4.3657817109144542E-2</v>
      </c>
      <c r="L12" s="172">
        <f t="shared" si="6"/>
        <v>0.73923303834808263</v>
      </c>
      <c r="M12" s="173" t="str">
        <f t="shared" si="4"/>
        <v>A</v>
      </c>
    </row>
    <row r="13" spans="2:17" ht="15" outlineLevel="1" thickBot="1">
      <c r="B13" s="182" t="s">
        <v>125</v>
      </c>
      <c r="C13" s="171">
        <f>'Юнит 17'!AO6</f>
        <v>22574.93025196603</v>
      </c>
      <c r="D13" s="172">
        <f t="shared" si="0"/>
        <v>3.9888023288233675E-2</v>
      </c>
      <c r="E13" s="172">
        <f t="shared" si="5"/>
        <v>0.7740204638359599</v>
      </c>
      <c r="F13" s="173" t="str">
        <f t="shared" si="3"/>
        <v>A</v>
      </c>
      <c r="G13" s="173" t="str">
        <f t="shared" si="1"/>
        <v>B</v>
      </c>
      <c r="I13" s="182" t="s">
        <v>130</v>
      </c>
      <c r="J13" s="171">
        <f>'Юнит 17'!U11</f>
        <v>60</v>
      </c>
      <c r="K13" s="172">
        <f t="shared" si="2"/>
        <v>3.5398230088495575E-2</v>
      </c>
      <c r="L13" s="172">
        <f t="shared" si="6"/>
        <v>0.77463126843657815</v>
      </c>
      <c r="M13" s="173" t="str">
        <f t="shared" si="4"/>
        <v>A</v>
      </c>
    </row>
    <row r="14" spans="2:17" ht="15" outlineLevel="1" thickBot="1">
      <c r="B14" s="182" t="s">
        <v>130</v>
      </c>
      <c r="C14" s="171">
        <f>'Юнит 17'!AO11</f>
        <v>20625.478830990338</v>
      </c>
      <c r="D14" s="172">
        <f t="shared" si="0"/>
        <v>3.6443504841830648E-2</v>
      </c>
      <c r="E14" s="172">
        <f t="shared" si="5"/>
        <v>0.81046396867779058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17'!U6</f>
        <v>50</v>
      </c>
      <c r="K14" s="172">
        <f t="shared" si="2"/>
        <v>2.9498525073746312E-2</v>
      </c>
      <c r="L14" s="172">
        <f t="shared" si="6"/>
        <v>0.80412979351032443</v>
      </c>
      <c r="M14" s="173" t="str">
        <f t="shared" si="4"/>
        <v>B</v>
      </c>
    </row>
    <row r="15" spans="2:17" ht="15" outlineLevel="1" thickBot="1">
      <c r="B15" s="182" t="s">
        <v>134</v>
      </c>
      <c r="C15" s="171">
        <f>'Юнит 17'!AO15</f>
        <v>20118.64992401969</v>
      </c>
      <c r="D15" s="172">
        <f t="shared" si="0"/>
        <v>3.5547980336605008E-2</v>
      </c>
      <c r="E15" s="172">
        <f t="shared" si="5"/>
        <v>0.84601194901439558</v>
      </c>
      <c r="F15" s="173" t="str">
        <f t="shared" si="3"/>
        <v>B</v>
      </c>
      <c r="G15" s="173" t="str">
        <f t="shared" si="1"/>
        <v>B</v>
      </c>
      <c r="I15" s="182" t="s">
        <v>134</v>
      </c>
      <c r="J15" s="171">
        <f>'Юнит 17'!U15</f>
        <v>43</v>
      </c>
      <c r="K15" s="172">
        <f t="shared" si="2"/>
        <v>2.5368731563421829E-2</v>
      </c>
      <c r="L15" s="172">
        <f t="shared" si="6"/>
        <v>0.82949852507374622</v>
      </c>
      <c r="M15" s="173" t="str">
        <f t="shared" si="4"/>
        <v>B</v>
      </c>
    </row>
    <row r="16" spans="2:17" ht="26.5" outlineLevel="1" thickBot="1">
      <c r="B16" s="182" t="s">
        <v>338</v>
      </c>
      <c r="C16" s="171">
        <f>'Юнит 17'!AO104</f>
        <v>19543.81883077537</v>
      </c>
      <c r="D16" s="172">
        <f t="shared" si="0"/>
        <v>3.453230162671693E-2</v>
      </c>
      <c r="E16" s="172">
        <f t="shared" si="5"/>
        <v>0.88054425064111252</v>
      </c>
      <c r="F16" s="173" t="str">
        <f t="shared" si="3"/>
        <v>B</v>
      </c>
      <c r="G16" s="173" t="str">
        <f t="shared" si="1"/>
        <v>C</v>
      </c>
      <c r="I16" s="182" t="s">
        <v>167</v>
      </c>
      <c r="J16" s="171">
        <f>'Юнит 17'!U48</f>
        <v>30</v>
      </c>
      <c r="K16" s="172">
        <f t="shared" si="2"/>
        <v>1.7699115044247787E-2</v>
      </c>
      <c r="L16" s="172">
        <f t="shared" si="6"/>
        <v>0.84719764011799403</v>
      </c>
      <c r="M16" s="173" t="str">
        <f t="shared" si="4"/>
        <v>B</v>
      </c>
    </row>
    <row r="17" spans="2:13" ht="26.5" outlineLevel="1" thickBot="1">
      <c r="B17" s="182" t="s">
        <v>136</v>
      </c>
      <c r="C17" s="171">
        <f>'Юнит 17'!AO17</f>
        <v>13512.606238044002</v>
      </c>
      <c r="D17" s="172">
        <f t="shared" si="0"/>
        <v>2.3875650834442357E-2</v>
      </c>
      <c r="E17" s="172">
        <f t="shared" si="5"/>
        <v>0.90441990147555484</v>
      </c>
      <c r="F17" s="173" t="str">
        <f t="shared" si="3"/>
        <v>B</v>
      </c>
      <c r="G17" s="173" t="str">
        <f t="shared" si="1"/>
        <v>B</v>
      </c>
      <c r="I17" s="182" t="s">
        <v>136</v>
      </c>
      <c r="J17" s="171">
        <f>'Юнит 17'!U17</f>
        <v>27</v>
      </c>
      <c r="K17" s="172">
        <f t="shared" si="2"/>
        <v>1.5929203539823009E-2</v>
      </c>
      <c r="L17" s="172">
        <f t="shared" si="6"/>
        <v>0.863126843657817</v>
      </c>
      <c r="M17" s="173" t="str">
        <f t="shared" si="4"/>
        <v>B</v>
      </c>
    </row>
    <row r="18" spans="2:13" ht="15" outlineLevel="1" thickBot="1">
      <c r="B18" s="182" t="s">
        <v>169</v>
      </c>
      <c r="C18" s="171">
        <f>'Юнит 17'!AO50</f>
        <v>13346.651855573904</v>
      </c>
      <c r="D18" s="172">
        <f t="shared" si="0"/>
        <v>2.3582423249733642E-2</v>
      </c>
      <c r="E18" s="172">
        <f t="shared" si="5"/>
        <v>0.92800232472528843</v>
      </c>
      <c r="F18" s="173" t="str">
        <f t="shared" si="3"/>
        <v>B</v>
      </c>
      <c r="G18" s="173" t="str">
        <f t="shared" si="1"/>
        <v>B</v>
      </c>
      <c r="I18" s="182" t="s">
        <v>169</v>
      </c>
      <c r="J18" s="171">
        <f>'Юнит 17'!U50</f>
        <v>26</v>
      </c>
      <c r="K18" s="172">
        <f t="shared" si="2"/>
        <v>1.5339233038348082E-2</v>
      </c>
      <c r="L18" s="172">
        <f t="shared" si="6"/>
        <v>0.87846607669616505</v>
      </c>
      <c r="M18" s="173" t="str">
        <f t="shared" si="4"/>
        <v>B</v>
      </c>
    </row>
    <row r="19" spans="2:13" ht="15" outlineLevel="1" thickBot="1">
      <c r="B19" s="182" t="s">
        <v>167</v>
      </c>
      <c r="C19" s="171">
        <f>'Юнит 17'!AO48</f>
        <v>13296.045815901198</v>
      </c>
      <c r="D19" s="172">
        <f t="shared" si="0"/>
        <v>2.3493006588576323E-2</v>
      </c>
      <c r="E19" s="172">
        <f t="shared" si="5"/>
        <v>0.95149533131386477</v>
      </c>
      <c r="F19" s="173" t="str">
        <f t="shared" si="3"/>
        <v>C</v>
      </c>
      <c r="G19" s="173" t="str">
        <f t="shared" si="1"/>
        <v>B</v>
      </c>
      <c r="I19" s="182" t="s">
        <v>168</v>
      </c>
      <c r="J19" s="171">
        <f>'Юнит 17'!U49</f>
        <v>23</v>
      </c>
      <c r="K19" s="172">
        <f t="shared" si="2"/>
        <v>1.3569321533923304E-2</v>
      </c>
      <c r="L19" s="172">
        <f t="shared" si="6"/>
        <v>0.89203539823008837</v>
      </c>
      <c r="M19" s="173" t="str">
        <f t="shared" si="4"/>
        <v>B</v>
      </c>
    </row>
    <row r="20" spans="2:13" ht="15" outlineLevel="1" thickBot="1">
      <c r="B20" s="182" t="s">
        <v>168</v>
      </c>
      <c r="C20" s="171">
        <f>'Юнит 17'!AO49</f>
        <v>10258.195941984166</v>
      </c>
      <c r="D20" s="172">
        <f t="shared" si="0"/>
        <v>1.8125378641800832E-2</v>
      </c>
      <c r="E20" s="172">
        <f t="shared" si="5"/>
        <v>0.96962070995566563</v>
      </c>
      <c r="F20" s="173" t="str">
        <f t="shared" si="3"/>
        <v>C</v>
      </c>
      <c r="G20" s="173" t="str">
        <f t="shared" si="1"/>
        <v>B</v>
      </c>
      <c r="I20" s="182" t="s">
        <v>127</v>
      </c>
      <c r="J20" s="171">
        <f>'Юнит 17'!U8</f>
        <v>22</v>
      </c>
      <c r="K20" s="172">
        <f t="shared" si="2"/>
        <v>1.2979351032448377E-2</v>
      </c>
      <c r="L20" s="172">
        <f t="shared" si="6"/>
        <v>0.90501474926253678</v>
      </c>
      <c r="M20" s="173" t="str">
        <f t="shared" si="4"/>
        <v>B</v>
      </c>
    </row>
    <row r="21" spans="2:13" ht="15" outlineLevel="1" thickBot="1">
      <c r="B21" s="182" t="s">
        <v>127</v>
      </c>
      <c r="C21" s="171">
        <f>'Юнит 17'!AO8</f>
        <v>9350.0703575067546</v>
      </c>
      <c r="D21" s="172">
        <f t="shared" si="0"/>
        <v>1.6520796299442492E-2</v>
      </c>
      <c r="E21" s="172">
        <f t="shared" si="5"/>
        <v>0.9861415062551081</v>
      </c>
      <c r="F21" s="173" t="str">
        <f t="shared" si="3"/>
        <v>C</v>
      </c>
      <c r="G21" s="173" t="str">
        <f t="shared" si="1"/>
        <v>B</v>
      </c>
      <c r="I21" s="182" t="s">
        <v>133</v>
      </c>
      <c r="J21" s="171">
        <f>'Юнит 17'!U14</f>
        <v>22</v>
      </c>
      <c r="K21" s="172">
        <f t="shared" si="2"/>
        <v>1.2979351032448377E-2</v>
      </c>
      <c r="L21" s="172">
        <f t="shared" si="6"/>
        <v>0.91799410029498518</v>
      </c>
      <c r="M21" s="173" t="str">
        <f t="shared" si="4"/>
        <v>B</v>
      </c>
    </row>
    <row r="22" spans="2:13" ht="15" outlineLevel="1" thickBot="1">
      <c r="B22" s="182" t="s">
        <v>133</v>
      </c>
      <c r="C22" s="171">
        <f>'Юнит 17'!AO14</f>
        <v>7721.7315657499039</v>
      </c>
      <c r="D22" s="172">
        <f t="shared" si="0"/>
        <v>1.364365714898709E-2</v>
      </c>
      <c r="E22" s="172">
        <f t="shared" si="5"/>
        <v>0.99978516340409518</v>
      </c>
      <c r="F22" s="173" t="str">
        <f t="shared" si="3"/>
        <v>C</v>
      </c>
      <c r="G22" s="173" t="str">
        <f t="shared" si="1"/>
        <v>B</v>
      </c>
      <c r="I22" s="182" t="s">
        <v>147</v>
      </c>
      <c r="J22" s="171">
        <f>'Юнит 17'!U28</f>
        <v>21</v>
      </c>
      <c r="K22" s="172">
        <f t="shared" si="2"/>
        <v>1.2389380530973451E-2</v>
      </c>
      <c r="L22" s="172">
        <f t="shared" si="6"/>
        <v>0.93038348082595868</v>
      </c>
      <c r="M22" s="173" t="str">
        <f t="shared" si="4"/>
        <v>B</v>
      </c>
    </row>
    <row r="23" spans="2:13" ht="26.5" outlineLevel="1" thickBot="1">
      <c r="B23" s="182" t="s">
        <v>163</v>
      </c>
      <c r="C23" s="171">
        <f>'Юнит 17'!AO44</f>
        <v>5766.4422426410656</v>
      </c>
      <c r="D23" s="172">
        <f t="shared" si="0"/>
        <v>1.0188823615288455E-2</v>
      </c>
      <c r="E23" s="172">
        <f t="shared" si="5"/>
        <v>1.0099739870193836</v>
      </c>
      <c r="F23" s="173" t="str">
        <f t="shared" si="3"/>
        <v>C</v>
      </c>
      <c r="G23" s="173" t="str">
        <f t="shared" si="1"/>
        <v>B</v>
      </c>
      <c r="I23" s="182" t="s">
        <v>137</v>
      </c>
      <c r="J23" s="171">
        <f>'Юнит 17'!U18</f>
        <v>18</v>
      </c>
      <c r="K23" s="172">
        <f t="shared" si="2"/>
        <v>1.0619469026548672E-2</v>
      </c>
      <c r="L23" s="172">
        <f t="shared" si="6"/>
        <v>0.94100294985250732</v>
      </c>
      <c r="M23" s="173" t="str">
        <f t="shared" si="4"/>
        <v>B</v>
      </c>
    </row>
    <row r="24" spans="2:13" ht="15" outlineLevel="1" thickBot="1">
      <c r="B24" s="182" t="s">
        <v>140</v>
      </c>
      <c r="C24" s="171">
        <f>'Юнит 17'!AO21</f>
        <v>2379.5724379390203</v>
      </c>
      <c r="D24" s="172">
        <f t="shared" si="0"/>
        <v>4.2045064928731921E-3</v>
      </c>
      <c r="E24" s="172">
        <f t="shared" si="5"/>
        <v>1.0141784935122569</v>
      </c>
      <c r="F24" s="173" t="str">
        <f t="shared" si="3"/>
        <v>C</v>
      </c>
      <c r="G24" s="173" t="str">
        <f t="shared" si="1"/>
        <v>C</v>
      </c>
      <c r="I24" s="182" t="s">
        <v>163</v>
      </c>
      <c r="J24" s="171">
        <f>'Юнит 17'!U44</f>
        <v>15</v>
      </c>
      <c r="K24" s="172">
        <f t="shared" si="2"/>
        <v>8.8495575221238937E-3</v>
      </c>
      <c r="L24" s="172">
        <f t="shared" si="6"/>
        <v>0.94985250737463123</v>
      </c>
      <c r="M24" s="173" t="str">
        <f t="shared" si="4"/>
        <v>B</v>
      </c>
    </row>
    <row r="25" spans="2:13" ht="15" outlineLevel="1" thickBot="1">
      <c r="B25" s="182" t="s">
        <v>141</v>
      </c>
      <c r="C25" s="171">
        <f>'Юнит 17'!AO22</f>
        <v>1871.25091333462</v>
      </c>
      <c r="D25" s="172">
        <f t="shared" si="0"/>
        <v>3.3063446564898904E-3</v>
      </c>
      <c r="E25" s="172">
        <f t="shared" si="5"/>
        <v>1.0174848381687467</v>
      </c>
      <c r="F25" s="173" t="str">
        <f t="shared" si="3"/>
        <v>C</v>
      </c>
      <c r="G25" s="173" t="str">
        <f t="shared" si="1"/>
        <v>C</v>
      </c>
      <c r="I25" s="182" t="s">
        <v>164</v>
      </c>
      <c r="J25" s="171">
        <f>'Юнит 17'!U45</f>
        <v>15</v>
      </c>
      <c r="K25" s="172">
        <f t="shared" si="2"/>
        <v>8.8495575221238937E-3</v>
      </c>
      <c r="L25" s="172">
        <f t="shared" si="6"/>
        <v>0.95870206489675514</v>
      </c>
      <c r="M25" s="173" t="str">
        <f t="shared" si="4"/>
        <v>C</v>
      </c>
    </row>
    <row r="26" spans="2:13" ht="26.5" outlineLevel="1" thickBot="1">
      <c r="B26" s="182" t="s">
        <v>206</v>
      </c>
      <c r="C26" s="171">
        <f>'Юнит 17'!AO87</f>
        <v>1390.4105999999999</v>
      </c>
      <c r="D26" s="172">
        <f t="shared" si="0"/>
        <v>2.4567398337001253E-3</v>
      </c>
      <c r="E26" s="172">
        <f t="shared" si="5"/>
        <v>1.0199415780024468</v>
      </c>
      <c r="F26" s="173" t="str">
        <f t="shared" si="3"/>
        <v>C</v>
      </c>
      <c r="G26" s="173" t="str">
        <f t="shared" si="1"/>
        <v>C</v>
      </c>
      <c r="I26" s="182" t="s">
        <v>338</v>
      </c>
      <c r="J26" s="171">
        <f>'Юнит 17'!U104</f>
        <v>15</v>
      </c>
      <c r="K26" s="172">
        <f t="shared" si="2"/>
        <v>8.8495575221238937E-3</v>
      </c>
      <c r="L26" s="172">
        <f t="shared" si="6"/>
        <v>0.96755162241887904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17'!AO47</f>
        <v>1268.6840262832882</v>
      </c>
      <c r="D27" s="172">
        <f t="shared" si="0"/>
        <v>2.241659106848877E-3</v>
      </c>
      <c r="E27" s="172">
        <f>E26+D27</f>
        <v>1.0221832371092956</v>
      </c>
      <c r="F27" s="173" t="str">
        <f t="shared" si="3"/>
        <v>C</v>
      </c>
      <c r="G27" s="173" t="str">
        <f t="shared" si="1"/>
        <v>C</v>
      </c>
      <c r="I27" s="182" t="s">
        <v>140</v>
      </c>
      <c r="J27" s="171">
        <f>'Юнит 17'!U21</f>
        <v>5</v>
      </c>
      <c r="K27" s="172">
        <f t="shared" si="2"/>
        <v>2.9498525073746312E-3</v>
      </c>
      <c r="L27" s="172">
        <f>L26+K27</f>
        <v>0.97050147492625372</v>
      </c>
      <c r="M27" s="173" t="str">
        <f t="shared" si="4"/>
        <v>C</v>
      </c>
    </row>
    <row r="28" spans="2:13" ht="26.5" outlineLevel="1" thickBot="1">
      <c r="B28" s="182" t="s">
        <v>145</v>
      </c>
      <c r="C28" s="171">
        <f>'Юнит 17'!AO26</f>
        <v>1184.0504702431497</v>
      </c>
      <c r="D28" s="172">
        <f t="shared" si="0"/>
        <v>2.0921186557105583E-3</v>
      </c>
      <c r="E28" s="172">
        <f>E27+D28</f>
        <v>1.0242753557650062</v>
      </c>
      <c r="F28" s="173" t="str">
        <f t="shared" si="3"/>
        <v>C</v>
      </c>
      <c r="G28" s="173" t="str">
        <f t="shared" si="1"/>
        <v>C</v>
      </c>
      <c r="I28" s="182" t="s">
        <v>198</v>
      </c>
      <c r="J28" s="171">
        <f>'Юнит 17'!U79</f>
        <v>5</v>
      </c>
      <c r="K28" s="172">
        <f t="shared" si="2"/>
        <v>2.9498525073746312E-3</v>
      </c>
      <c r="L28" s="172">
        <f t="shared" si="6"/>
        <v>0.97345132743362839</v>
      </c>
      <c r="M28" s="173" t="str">
        <f t="shared" si="4"/>
        <v>C</v>
      </c>
    </row>
    <row r="29" spans="2:13" ht="26.5" outlineLevel="1" thickBot="1">
      <c r="B29" s="182" t="s">
        <v>198</v>
      </c>
      <c r="C29" s="171">
        <f>'Юнит 17'!AO79</f>
        <v>1060.8412188730215</v>
      </c>
      <c r="D29" s="172">
        <f t="shared" si="0"/>
        <v>1.8744181608197933E-3</v>
      </c>
      <c r="E29" s="172">
        <f t="shared" si="5"/>
        <v>1.0261497739258261</v>
      </c>
      <c r="F29" s="173" t="str">
        <f t="shared" si="3"/>
        <v>C</v>
      </c>
      <c r="G29" s="173" t="str">
        <f t="shared" si="1"/>
        <v>C</v>
      </c>
      <c r="I29" s="182" t="s">
        <v>141</v>
      </c>
      <c r="J29" s="171">
        <f>'Юнит 17'!U22</f>
        <v>4</v>
      </c>
      <c r="K29" s="172">
        <f t="shared" si="2"/>
        <v>2.359882005899705E-3</v>
      </c>
      <c r="L29" s="172">
        <f t="shared" si="6"/>
        <v>0.97581120943952815</v>
      </c>
      <c r="M29" s="173" t="str">
        <f t="shared" si="4"/>
        <v>C</v>
      </c>
    </row>
    <row r="30" spans="2:13" ht="26.5" outlineLevel="1" thickBot="1">
      <c r="B30" s="182" t="s">
        <v>137</v>
      </c>
      <c r="C30" s="171">
        <f>'Юнит 17'!AO18</f>
        <v>950.01893686222138</v>
      </c>
      <c r="D30" s="172">
        <f t="shared" si="0"/>
        <v>1.6786044100633754E-3</v>
      </c>
      <c r="E30" s="172">
        <f t="shared" si="5"/>
        <v>1.0278283783358895</v>
      </c>
      <c r="F30" s="173" t="str">
        <f t="shared" si="3"/>
        <v>C</v>
      </c>
      <c r="G30" s="173" t="str">
        <f t="shared" si="1"/>
        <v>B</v>
      </c>
      <c r="I30" s="182" t="s">
        <v>145</v>
      </c>
      <c r="J30" s="171">
        <f>'Юнит 17'!U26</f>
        <v>4</v>
      </c>
      <c r="K30" s="172">
        <f t="shared" si="2"/>
        <v>2.359882005899705E-3</v>
      </c>
      <c r="L30" s="172">
        <f t="shared" si="6"/>
        <v>0.9781710914454278</v>
      </c>
      <c r="M30" s="173" t="str">
        <f t="shared" si="4"/>
        <v>C</v>
      </c>
    </row>
    <row r="31" spans="2:13" ht="26.5" outlineLevel="1" thickBot="1">
      <c r="B31" s="182" t="s">
        <v>139</v>
      </c>
      <c r="C31" s="171">
        <f>'Юнит 17'!AO20</f>
        <v>868.6063822076419</v>
      </c>
      <c r="D31" s="172">
        <f t="shared" si="0"/>
        <v>1.5347552003528093E-3</v>
      </c>
      <c r="E31" s="172">
        <f t="shared" si="5"/>
        <v>1.0293631335362423</v>
      </c>
      <c r="F31" s="173" t="str">
        <f t="shared" si="3"/>
        <v>C</v>
      </c>
      <c r="G31" s="173" t="str">
        <f t="shared" si="1"/>
        <v>C</v>
      </c>
      <c r="I31" s="182" t="s">
        <v>206</v>
      </c>
      <c r="J31" s="171">
        <f>'Юнит 17'!U87</f>
        <v>4</v>
      </c>
      <c r="K31" s="172">
        <f t="shared" si="2"/>
        <v>2.359882005899705E-3</v>
      </c>
      <c r="L31" s="172">
        <f t="shared" si="6"/>
        <v>0.98053097345132745</v>
      </c>
      <c r="M31" s="173" t="str">
        <f t="shared" si="4"/>
        <v>C</v>
      </c>
    </row>
    <row r="32" spans="2:13" ht="15" outlineLevel="1" thickBot="1">
      <c r="B32" s="182" t="s">
        <v>162</v>
      </c>
      <c r="C32" s="171">
        <f>'Юнит 17'!AO43</f>
        <v>837.16189999999995</v>
      </c>
      <c r="D32" s="172">
        <f t="shared" si="0"/>
        <v>1.4791954167970821E-3</v>
      </c>
      <c r="E32" s="172">
        <f t="shared" si="5"/>
        <v>1.0308423289530393</v>
      </c>
      <c r="F32" s="173" t="str">
        <f t="shared" si="3"/>
        <v>C</v>
      </c>
      <c r="G32" s="173" t="str">
        <f t="shared" si="1"/>
        <v>C</v>
      </c>
      <c r="I32" s="182" t="s">
        <v>166</v>
      </c>
      <c r="J32" s="171">
        <f>'Юнит 17'!U47</f>
        <v>3</v>
      </c>
      <c r="K32" s="172">
        <f t="shared" si="2"/>
        <v>1.7699115044247787E-3</v>
      </c>
      <c r="L32" s="172">
        <f t="shared" si="6"/>
        <v>0.98230088495575218</v>
      </c>
      <c r="M32" s="173" t="str">
        <f t="shared" si="4"/>
        <v>C</v>
      </c>
    </row>
    <row r="33" spans="2:13" ht="26.5" outlineLevel="1" thickBot="1">
      <c r="B33" s="182" t="s">
        <v>205</v>
      </c>
      <c r="C33" s="171">
        <f>'Юнит 17'!AO86</f>
        <v>724.2279238131996</v>
      </c>
      <c r="D33" s="172">
        <f t="shared" si="0"/>
        <v>1.2796504781464029E-3</v>
      </c>
      <c r="E33" s="172">
        <f t="shared" si="5"/>
        <v>1.0321219794311858</v>
      </c>
      <c r="F33" s="173" t="str">
        <f t="shared" si="3"/>
        <v>C</v>
      </c>
      <c r="G33" s="173" t="str">
        <f t="shared" si="1"/>
        <v>C</v>
      </c>
      <c r="I33" s="182" t="s">
        <v>259</v>
      </c>
      <c r="J33" s="171">
        <f>'Юнит 17'!U102</f>
        <v>3</v>
      </c>
      <c r="K33" s="172">
        <f t="shared" si="2"/>
        <v>1.7699115044247787E-3</v>
      </c>
      <c r="L33" s="172">
        <f t="shared" si="6"/>
        <v>0.98407079646017692</v>
      </c>
      <c r="M33" s="173" t="str">
        <f t="shared" si="4"/>
        <v>C</v>
      </c>
    </row>
    <row r="34" spans="2:13" ht="15" outlineLevel="1" thickBot="1">
      <c r="B34" s="182" t="s">
        <v>259</v>
      </c>
      <c r="C34" s="171">
        <f>'Юнит 17'!AO102</f>
        <v>703.48998379004252</v>
      </c>
      <c r="D34" s="172">
        <f t="shared" si="0"/>
        <v>1.2430082637359446E-3</v>
      </c>
      <c r="E34" s="172">
        <f t="shared" si="5"/>
        <v>1.0333649876949218</v>
      </c>
      <c r="F34" s="173" t="str">
        <f t="shared" si="3"/>
        <v>C</v>
      </c>
      <c r="G34" s="173" t="str">
        <f t="shared" si="1"/>
        <v>C</v>
      </c>
      <c r="I34" s="182" t="s">
        <v>139</v>
      </c>
      <c r="J34" s="171">
        <f>'Юнит 17'!U20</f>
        <v>2</v>
      </c>
      <c r="K34" s="172">
        <f t="shared" si="2"/>
        <v>1.1799410029498525E-3</v>
      </c>
      <c r="L34" s="172">
        <f t="shared" si="6"/>
        <v>0.98525073746312675</v>
      </c>
      <c r="M34" s="173" t="str">
        <f t="shared" si="4"/>
        <v>C</v>
      </c>
    </row>
    <row r="35" spans="2:13" ht="15" outlineLevel="1" thickBot="1">
      <c r="B35" s="182" t="s">
        <v>208</v>
      </c>
      <c r="C35" s="171">
        <f>'Юнит 17'!AO89</f>
        <v>575.79848606715564</v>
      </c>
      <c r="D35" s="172">
        <f t="shared" si="0"/>
        <v>1.0173880125089725E-3</v>
      </c>
      <c r="E35" s="172">
        <f t="shared" si="5"/>
        <v>1.0343823757074309</v>
      </c>
      <c r="F35" s="173" t="str">
        <f t="shared" si="3"/>
        <v>C</v>
      </c>
      <c r="G35" s="173" t="str">
        <f t="shared" si="1"/>
        <v>C</v>
      </c>
      <c r="I35" s="182" t="s">
        <v>152</v>
      </c>
      <c r="J35" s="171">
        <f>'Юнит 17'!U33</f>
        <v>2</v>
      </c>
      <c r="K35" s="172">
        <f t="shared" si="2"/>
        <v>1.1799410029498525E-3</v>
      </c>
      <c r="L35" s="172">
        <f t="shared" si="6"/>
        <v>0.98643067846607657</v>
      </c>
      <c r="M35" s="173" t="str">
        <f t="shared" si="4"/>
        <v>C</v>
      </c>
    </row>
    <row r="36" spans="2:13" ht="15" outlineLevel="1" thickBot="1">
      <c r="B36" s="182" t="s">
        <v>152</v>
      </c>
      <c r="C36" s="171">
        <f>'Юнит 17'!AO33</f>
        <v>521.24120411848708</v>
      </c>
      <c r="D36" s="172">
        <f t="shared" ref="D36:D67" si="7">C36/C$106</f>
        <v>9.209898350341295E-4</v>
      </c>
      <c r="E36" s="172">
        <f t="shared" si="5"/>
        <v>1.035303365542465</v>
      </c>
      <c r="F36" s="173" t="str">
        <f t="shared" si="3"/>
        <v>C</v>
      </c>
      <c r="G36" s="173" t="str">
        <f t="shared" si="1"/>
        <v>C</v>
      </c>
      <c r="I36" s="182" t="s">
        <v>162</v>
      </c>
      <c r="J36" s="171">
        <f>'Юнит 17'!U43</f>
        <v>2</v>
      </c>
      <c r="K36" s="172">
        <f t="shared" ref="K36:K67" si="8">J36/J$106</f>
        <v>1.1799410029498525E-3</v>
      </c>
      <c r="L36" s="172">
        <f t="shared" si="6"/>
        <v>0.9876106194690264</v>
      </c>
      <c r="M36" s="173" t="str">
        <f t="shared" si="4"/>
        <v>C</v>
      </c>
    </row>
    <row r="37" spans="2:13" ht="26.5" outlineLevel="1" thickBot="1">
      <c r="B37" s="182" t="s">
        <v>257</v>
      </c>
      <c r="C37" s="171">
        <f>'Юнит 17'!AO100</f>
        <v>380.49118201466615</v>
      </c>
      <c r="D37" s="172">
        <f t="shared" si="7"/>
        <v>6.7229625782993531E-4</v>
      </c>
      <c r="E37" s="172">
        <f t="shared" si="5"/>
        <v>1.0359756618002949</v>
      </c>
      <c r="F37" s="173" t="str">
        <f t="shared" si="3"/>
        <v>C</v>
      </c>
      <c r="G37" s="173" t="str">
        <f t="shared" si="1"/>
        <v>C</v>
      </c>
      <c r="I37" s="182" t="s">
        <v>205</v>
      </c>
      <c r="J37" s="171">
        <f>'Юнит 17'!U86</f>
        <v>2</v>
      </c>
      <c r="K37" s="172">
        <f t="shared" si="8"/>
        <v>1.1799410029498525E-3</v>
      </c>
      <c r="L37" s="172">
        <f t="shared" si="6"/>
        <v>0.98879056047197622</v>
      </c>
      <c r="M37" s="173" t="str">
        <f t="shared" si="4"/>
        <v>C</v>
      </c>
    </row>
    <row r="38" spans="2:13" ht="15" outlineLevel="1" thickBot="1">
      <c r="B38" s="182" t="s">
        <v>143</v>
      </c>
      <c r="C38" s="171">
        <f>'Юнит 17'!AO24</f>
        <v>341.25256067888836</v>
      </c>
      <c r="D38" s="172">
        <f t="shared" si="7"/>
        <v>6.0296487898754095E-4</v>
      </c>
      <c r="E38" s="172">
        <f t="shared" si="5"/>
        <v>1.0365786266792825</v>
      </c>
      <c r="F38" s="173" t="str">
        <f t="shared" si="3"/>
        <v>C</v>
      </c>
      <c r="G38" s="173" t="str">
        <f t="shared" si="1"/>
        <v>C</v>
      </c>
      <c r="I38" s="182" t="s">
        <v>211</v>
      </c>
      <c r="J38" s="171">
        <f>'Юнит 17'!U92</f>
        <v>2</v>
      </c>
      <c r="K38" s="172">
        <f t="shared" si="8"/>
        <v>1.1799410029498525E-3</v>
      </c>
      <c r="L38" s="172">
        <f t="shared" si="6"/>
        <v>0.98997050147492605</v>
      </c>
      <c r="M38" s="173" t="str">
        <f t="shared" si="4"/>
        <v>C</v>
      </c>
    </row>
    <row r="39" spans="2:13" ht="15" outlineLevel="1" thickBot="1">
      <c r="B39" s="182" t="s">
        <v>160</v>
      </c>
      <c r="C39" s="171">
        <f>'Юнит 17'!AO41</f>
        <v>301.87035661906611</v>
      </c>
      <c r="D39" s="172">
        <f t="shared" si="7"/>
        <v>5.3337980141932321E-4</v>
      </c>
      <c r="E39" s="172">
        <f>E35+D39</f>
        <v>1.0349157555088502</v>
      </c>
      <c r="F39" s="173" t="str">
        <f t="shared" si="3"/>
        <v>C</v>
      </c>
      <c r="G39" s="173" t="str">
        <f t="shared" si="1"/>
        <v>C</v>
      </c>
      <c r="I39" s="182" t="s">
        <v>217</v>
      </c>
      <c r="J39" s="171">
        <f>'Юнит 17'!U98</f>
        <v>2</v>
      </c>
      <c r="K39" s="172">
        <f t="shared" si="8"/>
        <v>1.1799410029498525E-3</v>
      </c>
      <c r="L39" s="172">
        <f>L35+K39</f>
        <v>0.9876106194690264</v>
      </c>
      <c r="M39" s="173" t="str">
        <f t="shared" si="4"/>
        <v>C</v>
      </c>
    </row>
    <row r="40" spans="2:13" ht="15" outlineLevel="1" thickBot="1">
      <c r="B40" s="182" t="s">
        <v>179</v>
      </c>
      <c r="C40" s="171">
        <f>'Юнит 17'!AO60</f>
        <v>301.47673527595515</v>
      </c>
      <c r="D40" s="172">
        <f t="shared" si="7"/>
        <v>5.3268430525940094E-4</v>
      </c>
      <c r="E40" s="172">
        <f t="shared" si="5"/>
        <v>1.0354484398141095</v>
      </c>
      <c r="F40" s="173" t="str">
        <f t="shared" si="3"/>
        <v>C</v>
      </c>
      <c r="G40" s="173" t="str">
        <f t="shared" si="1"/>
        <v>C</v>
      </c>
      <c r="I40" s="182" t="s">
        <v>143</v>
      </c>
      <c r="J40" s="171">
        <f>'Юнит 17'!U24</f>
        <v>1</v>
      </c>
      <c r="K40" s="172">
        <f t="shared" si="8"/>
        <v>5.8997050147492625E-4</v>
      </c>
      <c r="L40" s="172">
        <f t="shared" si="6"/>
        <v>0.98820058997050131</v>
      </c>
      <c r="M40" s="173" t="str">
        <f t="shared" si="4"/>
        <v>C</v>
      </c>
    </row>
    <row r="41" spans="2:13" ht="15" outlineLevel="1" thickBot="1">
      <c r="B41" s="182" t="s">
        <v>217</v>
      </c>
      <c r="C41" s="171">
        <f>'Юнит 17'!AO98</f>
        <v>225.18053033577797</v>
      </c>
      <c r="D41" s="172">
        <f t="shared" si="7"/>
        <v>3.9787525976112755E-4</v>
      </c>
      <c r="E41" s="172">
        <f t="shared" si="5"/>
        <v>1.0358463150738706</v>
      </c>
      <c r="F41" s="173" t="str">
        <f t="shared" si="3"/>
        <v>C</v>
      </c>
      <c r="G41" s="173" t="str">
        <f t="shared" si="1"/>
        <v>C</v>
      </c>
      <c r="I41" s="182" t="s">
        <v>146</v>
      </c>
      <c r="J41" s="171">
        <f>'Юнит 17'!U27</f>
        <v>1</v>
      </c>
      <c r="K41" s="172">
        <f t="shared" si="8"/>
        <v>5.8997050147492625E-4</v>
      </c>
      <c r="L41" s="172">
        <f t="shared" si="6"/>
        <v>0.98879056047197622</v>
      </c>
      <c r="M41" s="173" t="str">
        <f t="shared" si="4"/>
        <v>C</v>
      </c>
    </row>
    <row r="42" spans="2:13" ht="15" outlineLevel="1" thickBot="1">
      <c r="B42" s="182" t="s">
        <v>188</v>
      </c>
      <c r="C42" s="171">
        <f>'Юнит 17'!AO69</f>
        <v>206.19010000000009</v>
      </c>
      <c r="D42" s="172">
        <f t="shared" si="7"/>
        <v>3.6432074955744184E-4</v>
      </c>
      <c r="E42" s="172">
        <f t="shared" si="5"/>
        <v>1.036210635823428</v>
      </c>
      <c r="F42" s="173" t="str">
        <f t="shared" si="3"/>
        <v>C</v>
      </c>
      <c r="G42" s="173" t="str">
        <f t="shared" si="1"/>
        <v>C</v>
      </c>
      <c r="I42" s="182" t="s">
        <v>153</v>
      </c>
      <c r="J42" s="171">
        <f>'Юнит 17'!U34</f>
        <v>1</v>
      </c>
      <c r="K42" s="172">
        <f t="shared" si="8"/>
        <v>5.8997050147492625E-4</v>
      </c>
      <c r="L42" s="172">
        <f t="shared" si="6"/>
        <v>0.98938053097345113</v>
      </c>
      <c r="M42" s="173" t="str">
        <f t="shared" si="4"/>
        <v>C</v>
      </c>
    </row>
    <row r="43" spans="2:13" ht="15" outlineLevel="1" thickBot="1">
      <c r="B43" s="182" t="s">
        <v>192</v>
      </c>
      <c r="C43" s="171">
        <f>'Юнит 17'!AO73</f>
        <v>205.75398606715552</v>
      </c>
      <c r="D43" s="172">
        <f t="shared" si="7"/>
        <v>3.6355017252728193E-4</v>
      </c>
      <c r="E43" s="172">
        <f t="shared" si="5"/>
        <v>1.0365741859959552</v>
      </c>
      <c r="F43" s="173" t="str">
        <f t="shared" si="3"/>
        <v>C</v>
      </c>
      <c r="G43" s="173" t="str">
        <f t="shared" si="1"/>
        <v>C</v>
      </c>
      <c r="I43" s="182" t="s">
        <v>158</v>
      </c>
      <c r="J43" s="171">
        <f>'Юнит 17'!U39</f>
        <v>1</v>
      </c>
      <c r="K43" s="172">
        <f t="shared" si="8"/>
        <v>5.8997050147492625E-4</v>
      </c>
      <c r="L43" s="172">
        <f t="shared" si="6"/>
        <v>0.98997050147492605</v>
      </c>
      <c r="M43" s="173" t="str">
        <f t="shared" si="4"/>
        <v>C</v>
      </c>
    </row>
    <row r="44" spans="2:13" ht="15" outlineLevel="1" thickBot="1">
      <c r="B44" s="182" t="s">
        <v>158</v>
      </c>
      <c r="C44" s="171">
        <f>'Юнит 17'!AO39</f>
        <v>199.92984347008871</v>
      </c>
      <c r="D44" s="172">
        <f t="shared" si="7"/>
        <v>3.532593971869877E-4</v>
      </c>
      <c r="E44" s="172">
        <f t="shared" si="5"/>
        <v>1.0369274453931421</v>
      </c>
      <c r="F44" s="173" t="str">
        <f t="shared" si="3"/>
        <v>C</v>
      </c>
      <c r="G44" s="173" t="str">
        <f t="shared" si="1"/>
        <v>C</v>
      </c>
      <c r="I44" s="182" t="s">
        <v>160</v>
      </c>
      <c r="J44" s="171">
        <f>'Юнит 17'!U41</f>
        <v>1</v>
      </c>
      <c r="K44" s="172">
        <f t="shared" si="8"/>
        <v>5.8997050147492625E-4</v>
      </c>
      <c r="L44" s="172">
        <f t="shared" si="6"/>
        <v>0.99056047197640096</v>
      </c>
      <c r="M44" s="173" t="str">
        <f t="shared" si="4"/>
        <v>C</v>
      </c>
    </row>
    <row r="45" spans="2:13" ht="15" outlineLevel="1" thickBot="1">
      <c r="B45" s="182" t="s">
        <v>173</v>
      </c>
      <c r="C45" s="171">
        <f>'Юнит 17'!AO54</f>
        <v>156.10390741026634</v>
      </c>
      <c r="D45" s="172">
        <f t="shared" si="7"/>
        <v>2.7582261493909607E-4</v>
      </c>
      <c r="E45" s="172">
        <f t="shared" si="5"/>
        <v>1.0372032680080812</v>
      </c>
      <c r="F45" s="173" t="str">
        <f t="shared" si="3"/>
        <v>C</v>
      </c>
      <c r="G45" s="173" t="str">
        <f t="shared" si="1"/>
        <v>C</v>
      </c>
      <c r="I45" s="182" t="s">
        <v>171</v>
      </c>
      <c r="J45" s="171">
        <f>'Юнит 17'!U52</f>
        <v>1</v>
      </c>
      <c r="K45" s="172">
        <f t="shared" si="8"/>
        <v>5.8997050147492625E-4</v>
      </c>
      <c r="L45" s="172">
        <f t="shared" si="6"/>
        <v>0.99115044247787587</v>
      </c>
      <c r="M45" s="173" t="str">
        <f t="shared" si="4"/>
        <v>C</v>
      </c>
    </row>
    <row r="46" spans="2:13" ht="15" outlineLevel="1" thickBot="1">
      <c r="B46" s="182" t="s">
        <v>197</v>
      </c>
      <c r="C46" s="171">
        <f>'Юнит 17'!AO78</f>
        <v>139.12650247008872</v>
      </c>
      <c r="D46" s="172">
        <f t="shared" si="7"/>
        <v>2.458249531049647E-4</v>
      </c>
      <c r="E46" s="172">
        <f t="shared" si="5"/>
        <v>1.0374490929611861</v>
      </c>
      <c r="F46" s="173" t="str">
        <f t="shared" si="3"/>
        <v>C</v>
      </c>
      <c r="G46" s="173" t="str">
        <f t="shared" si="1"/>
        <v>C</v>
      </c>
      <c r="I46" s="182" t="s">
        <v>173</v>
      </c>
      <c r="J46" s="171">
        <f>'Юнит 17'!U54</f>
        <v>1</v>
      </c>
      <c r="K46" s="172">
        <f t="shared" si="8"/>
        <v>5.8997050147492625E-4</v>
      </c>
      <c r="L46" s="172">
        <f t="shared" si="6"/>
        <v>0.99174041297935078</v>
      </c>
      <c r="M46" s="173" t="str">
        <f t="shared" si="4"/>
        <v>C</v>
      </c>
    </row>
    <row r="47" spans="2:13" ht="15" outlineLevel="1" thickBot="1">
      <c r="B47" s="182" t="s">
        <v>203</v>
      </c>
      <c r="C47" s="171">
        <f>'Юнит 17'!AO84</f>
        <v>84.524556619065976</v>
      </c>
      <c r="D47" s="172">
        <f t="shared" si="7"/>
        <v>1.4934785823115919E-4</v>
      </c>
      <c r="E47" s="172">
        <f t="shared" si="5"/>
        <v>1.0375984408194172</v>
      </c>
      <c r="F47" s="173" t="str">
        <f t="shared" si="3"/>
        <v>C</v>
      </c>
      <c r="G47" s="173" t="str">
        <f t="shared" si="1"/>
        <v>C</v>
      </c>
      <c r="I47" s="182" t="s">
        <v>179</v>
      </c>
      <c r="J47" s="171">
        <f>'Юнит 17'!U60</f>
        <v>1</v>
      </c>
      <c r="K47" s="172">
        <f t="shared" si="8"/>
        <v>5.8997050147492625E-4</v>
      </c>
      <c r="L47" s="172">
        <f t="shared" si="6"/>
        <v>0.9923303834808257</v>
      </c>
      <c r="M47" s="173" t="str">
        <f t="shared" si="4"/>
        <v>C</v>
      </c>
    </row>
    <row r="48" spans="2:13" ht="15" outlineLevel="1" thickBot="1">
      <c r="B48" s="182" t="s">
        <v>153</v>
      </c>
      <c r="C48" s="171">
        <f>'Юнит 17'!AO34</f>
        <v>75.810400000000016</v>
      </c>
      <c r="D48" s="172">
        <f t="shared" si="7"/>
        <v>1.3395066859296097E-4</v>
      </c>
      <c r="E48" s="172">
        <f t="shared" si="5"/>
        <v>1.0377323914880101</v>
      </c>
      <c r="F48" s="173" t="str">
        <f t="shared" si="3"/>
        <v>C</v>
      </c>
      <c r="G48" s="173" t="str">
        <f t="shared" si="1"/>
        <v>C</v>
      </c>
      <c r="I48" s="182" t="s">
        <v>188</v>
      </c>
      <c r="J48" s="171">
        <f>'Юнит 17'!U69</f>
        <v>1</v>
      </c>
      <c r="K48" s="172">
        <f t="shared" si="8"/>
        <v>5.8997050147492625E-4</v>
      </c>
      <c r="L48" s="172">
        <f t="shared" si="6"/>
        <v>0.99292035398230061</v>
      </c>
      <c r="M48" s="173" t="str">
        <f t="shared" si="4"/>
        <v>C</v>
      </c>
    </row>
    <row r="49" spans="2:13" ht="26.5" outlineLevel="1" thickBot="1">
      <c r="B49" s="182" t="s">
        <v>138</v>
      </c>
      <c r="C49" s="171">
        <f>'Юнит 17'!AO19</f>
        <v>0</v>
      </c>
      <c r="D49" s="172">
        <f t="shared" si="7"/>
        <v>0</v>
      </c>
      <c r="E49" s="172">
        <f t="shared" si="5"/>
        <v>1.0377323914880101</v>
      </c>
      <c r="F49" s="173" t="str">
        <f t="shared" si="3"/>
        <v>C</v>
      </c>
      <c r="G49" s="173" t="str">
        <f t="shared" si="1"/>
        <v>C</v>
      </c>
      <c r="I49" s="182" t="s">
        <v>192</v>
      </c>
      <c r="J49" s="171">
        <f>'Юнит 17'!U73</f>
        <v>1</v>
      </c>
      <c r="K49" s="172">
        <f t="shared" si="8"/>
        <v>5.8997050147492625E-4</v>
      </c>
      <c r="L49" s="172">
        <f t="shared" si="6"/>
        <v>0.99351032448377552</v>
      </c>
      <c r="M49" s="173" t="str">
        <f t="shared" si="4"/>
        <v>C</v>
      </c>
    </row>
    <row r="50" spans="2:13" ht="15" outlineLevel="1" thickBot="1">
      <c r="B50" s="182" t="s">
        <v>142</v>
      </c>
      <c r="C50" s="171">
        <f>'Юнит 17'!AO23</f>
        <v>0</v>
      </c>
      <c r="D50" s="172">
        <f t="shared" si="7"/>
        <v>0</v>
      </c>
      <c r="E50" s="172">
        <f t="shared" si="5"/>
        <v>1.0377323914880101</v>
      </c>
      <c r="F50" s="173" t="str">
        <f t="shared" si="3"/>
        <v>C</v>
      </c>
      <c r="G50" s="173" t="str">
        <f t="shared" si="1"/>
        <v>C</v>
      </c>
      <c r="I50" s="182" t="s">
        <v>194</v>
      </c>
      <c r="J50" s="171">
        <f>'Юнит 17'!U75</f>
        <v>1</v>
      </c>
      <c r="K50" s="172">
        <f t="shared" si="8"/>
        <v>5.8997050147492625E-4</v>
      </c>
      <c r="L50" s="172">
        <f t="shared" si="6"/>
        <v>0.99410029498525043</v>
      </c>
      <c r="M50" s="173" t="str">
        <f t="shared" si="4"/>
        <v>C</v>
      </c>
    </row>
    <row r="51" spans="2:13" ht="26.5" outlineLevel="1" thickBot="1">
      <c r="B51" s="182" t="s">
        <v>144</v>
      </c>
      <c r="C51" s="171">
        <f>'Юнит 17'!AO25</f>
        <v>0</v>
      </c>
      <c r="D51" s="172">
        <f t="shared" si="7"/>
        <v>0</v>
      </c>
      <c r="E51" s="172">
        <f t="shared" si="5"/>
        <v>1.0377323914880101</v>
      </c>
      <c r="F51" s="173" t="str">
        <f t="shared" si="3"/>
        <v>C</v>
      </c>
      <c r="G51" s="173" t="str">
        <f t="shared" si="1"/>
        <v>C</v>
      </c>
      <c r="I51" s="182" t="s">
        <v>196</v>
      </c>
      <c r="J51" s="171">
        <f>'Юнит 17'!U77</f>
        <v>1</v>
      </c>
      <c r="K51" s="172">
        <f t="shared" si="8"/>
        <v>5.8997050147492625E-4</v>
      </c>
      <c r="L51" s="172">
        <f t="shared" si="6"/>
        <v>0.99469026548672534</v>
      </c>
      <c r="M51" s="173" t="str">
        <f t="shared" si="4"/>
        <v>C</v>
      </c>
    </row>
    <row r="52" spans="2:13" ht="15" outlineLevel="1" thickBot="1">
      <c r="B52" s="182" t="s">
        <v>148</v>
      </c>
      <c r="C52" s="171">
        <f>'Юнит 17'!AO29</f>
        <v>0</v>
      </c>
      <c r="D52" s="172">
        <f t="shared" si="7"/>
        <v>0</v>
      </c>
      <c r="E52" s="172">
        <f t="shared" si="5"/>
        <v>1.0377323914880101</v>
      </c>
      <c r="F52" s="173" t="str">
        <f t="shared" si="3"/>
        <v>C</v>
      </c>
      <c r="G52" s="173" t="str">
        <f t="shared" si="1"/>
        <v>C</v>
      </c>
      <c r="I52" s="182" t="s">
        <v>197</v>
      </c>
      <c r="J52" s="171">
        <f>'Юнит 17'!U78</f>
        <v>1</v>
      </c>
      <c r="K52" s="172">
        <f t="shared" si="8"/>
        <v>5.8997050147492625E-4</v>
      </c>
      <c r="L52" s="172">
        <f t="shared" si="6"/>
        <v>0.99528023598820026</v>
      </c>
      <c r="M52" s="173" t="str">
        <f t="shared" si="4"/>
        <v>C</v>
      </c>
    </row>
    <row r="53" spans="2:13" ht="15" outlineLevel="1" thickBot="1">
      <c r="B53" s="182" t="s">
        <v>149</v>
      </c>
      <c r="C53" s="171">
        <f>'Юнит 17'!AO30</f>
        <v>0</v>
      </c>
      <c r="D53" s="172">
        <f t="shared" si="7"/>
        <v>0</v>
      </c>
      <c r="E53" s="172">
        <f t="shared" si="5"/>
        <v>1.0377323914880101</v>
      </c>
      <c r="F53" s="173" t="str">
        <f t="shared" si="3"/>
        <v>C</v>
      </c>
      <c r="G53" s="173" t="str">
        <f t="shared" si="1"/>
        <v>C</v>
      </c>
      <c r="I53" s="182" t="s">
        <v>203</v>
      </c>
      <c r="J53" s="171">
        <f>'Юнит 17'!U84</f>
        <v>1</v>
      </c>
      <c r="K53" s="172">
        <f t="shared" si="8"/>
        <v>5.8997050147492625E-4</v>
      </c>
      <c r="L53" s="172">
        <f t="shared" si="6"/>
        <v>0.99587020648967517</v>
      </c>
      <c r="M53" s="173" t="str">
        <f t="shared" si="4"/>
        <v>C</v>
      </c>
    </row>
    <row r="54" spans="2:13" ht="15" outlineLevel="1" thickBot="1">
      <c r="B54" s="182" t="s">
        <v>150</v>
      </c>
      <c r="C54" s="171">
        <f>'Юнит 17'!AO31</f>
        <v>0</v>
      </c>
      <c r="D54" s="172">
        <f t="shared" si="7"/>
        <v>0</v>
      </c>
      <c r="E54" s="172">
        <f t="shared" si="5"/>
        <v>1.0377323914880101</v>
      </c>
      <c r="F54" s="173" t="str">
        <f t="shared" si="3"/>
        <v>C</v>
      </c>
      <c r="G54" s="173" t="str">
        <f t="shared" si="1"/>
        <v>C</v>
      </c>
      <c r="I54" s="182" t="s">
        <v>208</v>
      </c>
      <c r="J54" s="171">
        <f>'Юнит 17'!U89</f>
        <v>1</v>
      </c>
      <c r="K54" s="172">
        <f t="shared" si="8"/>
        <v>5.8997050147492625E-4</v>
      </c>
      <c r="L54" s="172">
        <f t="shared" si="6"/>
        <v>0.99646017699115008</v>
      </c>
      <c r="M54" s="173" t="str">
        <f t="shared" si="4"/>
        <v>C</v>
      </c>
    </row>
    <row r="55" spans="2:13" ht="15" outlineLevel="1" thickBot="1">
      <c r="B55" s="182" t="s">
        <v>151</v>
      </c>
      <c r="C55" s="171">
        <f>'Юнит 17'!AO32</f>
        <v>0</v>
      </c>
      <c r="D55" s="172">
        <f t="shared" si="7"/>
        <v>0</v>
      </c>
      <c r="E55" s="172">
        <f t="shared" si="5"/>
        <v>1.0377323914880101</v>
      </c>
      <c r="F55" s="173" t="str">
        <f t="shared" si="3"/>
        <v>C</v>
      </c>
      <c r="G55" s="173" t="str">
        <f t="shared" si="1"/>
        <v>C</v>
      </c>
      <c r="I55" s="182" t="s">
        <v>210</v>
      </c>
      <c r="J55" s="171">
        <f>'Юнит 17'!U91</f>
        <v>1</v>
      </c>
      <c r="K55" s="172">
        <f t="shared" si="8"/>
        <v>5.8997050147492625E-4</v>
      </c>
      <c r="L55" s="172">
        <f t="shared" si="6"/>
        <v>0.99705014749262499</v>
      </c>
      <c r="M55" s="173" t="str">
        <f t="shared" si="4"/>
        <v>C</v>
      </c>
    </row>
    <row r="56" spans="2:13" ht="15" outlineLevel="1" thickBot="1">
      <c r="B56" s="182" t="s">
        <v>154</v>
      </c>
      <c r="C56" s="171">
        <f>'Юнит 17'!AO35</f>
        <v>0</v>
      </c>
      <c r="D56" s="172">
        <f t="shared" si="7"/>
        <v>0</v>
      </c>
      <c r="E56" s="172">
        <f t="shared" si="5"/>
        <v>1.0377323914880101</v>
      </c>
      <c r="F56" s="173" t="str">
        <f t="shared" si="3"/>
        <v>C</v>
      </c>
      <c r="G56" s="173" t="str">
        <f t="shared" si="1"/>
        <v>C</v>
      </c>
      <c r="I56" s="182" t="s">
        <v>257</v>
      </c>
      <c r="J56" s="171">
        <f>'Юнит 17'!U100</f>
        <v>1</v>
      </c>
      <c r="K56" s="172">
        <f t="shared" si="8"/>
        <v>5.8997050147492625E-4</v>
      </c>
      <c r="L56" s="172">
        <f t="shared" si="6"/>
        <v>0.99764011799409991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17'!AO36</f>
        <v>0</v>
      </c>
      <c r="D57" s="172">
        <f t="shared" si="7"/>
        <v>0</v>
      </c>
      <c r="E57" s="172">
        <f t="shared" si="5"/>
        <v>1.0377323914880101</v>
      </c>
      <c r="F57" s="173" t="str">
        <f t="shared" si="3"/>
        <v>C</v>
      </c>
      <c r="G57" s="173" t="str">
        <f t="shared" si="1"/>
        <v>C</v>
      </c>
      <c r="I57" s="182" t="s">
        <v>138</v>
      </c>
      <c r="J57" s="171">
        <f>'Юнит 17'!U19</f>
        <v>0</v>
      </c>
      <c r="K57" s="172">
        <f t="shared" si="8"/>
        <v>0</v>
      </c>
      <c r="L57" s="172">
        <f t="shared" si="6"/>
        <v>0.99764011799409991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17'!AO46</f>
        <v>0</v>
      </c>
      <c r="D58" s="172">
        <f t="shared" si="7"/>
        <v>0</v>
      </c>
      <c r="E58" s="172">
        <f t="shared" si="5"/>
        <v>1.0377323914880101</v>
      </c>
      <c r="F58" s="173" t="str">
        <f t="shared" si="3"/>
        <v>C</v>
      </c>
      <c r="G58" s="173" t="str">
        <f t="shared" si="1"/>
        <v>C</v>
      </c>
      <c r="I58" s="182" t="s">
        <v>142</v>
      </c>
      <c r="J58" s="171">
        <f>'Юнит 17'!U23</f>
        <v>0</v>
      </c>
      <c r="K58" s="172">
        <f t="shared" si="8"/>
        <v>0</v>
      </c>
      <c r="L58" s="172">
        <f t="shared" si="6"/>
        <v>0.99764011799409991</v>
      </c>
      <c r="M58" s="173" t="str">
        <f t="shared" si="4"/>
        <v>C</v>
      </c>
    </row>
    <row r="59" spans="2:13" ht="15" outlineLevel="1" thickBot="1">
      <c r="B59" s="182" t="s">
        <v>175</v>
      </c>
      <c r="C59" s="171">
        <f>'Юнит 17'!AO56</f>
        <v>0</v>
      </c>
      <c r="D59" s="172">
        <f t="shared" si="7"/>
        <v>0</v>
      </c>
      <c r="E59" s="172">
        <f t="shared" si="5"/>
        <v>1.0377323914880101</v>
      </c>
      <c r="F59" s="173" t="str">
        <f t="shared" si="3"/>
        <v>C</v>
      </c>
      <c r="G59" s="173" t="str">
        <f t="shared" si="1"/>
        <v>C</v>
      </c>
      <c r="I59" s="182" t="s">
        <v>144</v>
      </c>
      <c r="J59" s="171">
        <f>'Юнит 17'!U25</f>
        <v>0</v>
      </c>
      <c r="K59" s="172">
        <f t="shared" si="8"/>
        <v>0</v>
      </c>
      <c r="L59" s="172">
        <f t="shared" si="6"/>
        <v>0.99764011799409991</v>
      </c>
      <c r="M59" s="173" t="str">
        <f t="shared" si="4"/>
        <v>C</v>
      </c>
    </row>
    <row r="60" spans="2:13" ht="15" outlineLevel="1" thickBot="1">
      <c r="B60" s="182" t="s">
        <v>176</v>
      </c>
      <c r="C60" s="171">
        <f>'Юнит 17'!AO57</f>
        <v>0</v>
      </c>
      <c r="D60" s="172">
        <f t="shared" si="7"/>
        <v>0</v>
      </c>
      <c r="E60" s="172">
        <f t="shared" si="5"/>
        <v>1.0377323914880101</v>
      </c>
      <c r="F60" s="173" t="str">
        <f t="shared" si="3"/>
        <v>C</v>
      </c>
      <c r="G60" s="173" t="str">
        <f t="shared" si="1"/>
        <v>C</v>
      </c>
      <c r="I60" s="182" t="s">
        <v>148</v>
      </c>
      <c r="J60" s="171">
        <f>'Юнит 17'!U29</f>
        <v>0</v>
      </c>
      <c r="K60" s="172">
        <f t="shared" si="8"/>
        <v>0</v>
      </c>
      <c r="L60" s="172">
        <f t="shared" si="6"/>
        <v>0.99764011799409991</v>
      </c>
      <c r="M60" s="173" t="str">
        <f t="shared" si="4"/>
        <v>C</v>
      </c>
    </row>
    <row r="61" spans="2:13" ht="15" outlineLevel="1" thickBot="1">
      <c r="B61" s="182" t="s">
        <v>178</v>
      </c>
      <c r="C61" s="171">
        <f>'Юнит 17'!AO59</f>
        <v>0</v>
      </c>
      <c r="D61" s="172">
        <f t="shared" si="7"/>
        <v>0</v>
      </c>
      <c r="E61" s="172">
        <f t="shared" si="5"/>
        <v>1.0377323914880101</v>
      </c>
      <c r="F61" s="173" t="str">
        <f t="shared" si="3"/>
        <v>C</v>
      </c>
      <c r="G61" s="173" t="str">
        <f t="shared" si="1"/>
        <v>C</v>
      </c>
      <c r="I61" s="182" t="s">
        <v>149</v>
      </c>
      <c r="J61" s="171">
        <f>'Юнит 17'!U30</f>
        <v>0</v>
      </c>
      <c r="K61" s="172">
        <f t="shared" si="8"/>
        <v>0</v>
      </c>
      <c r="L61" s="172">
        <f t="shared" si="6"/>
        <v>0.99764011799409991</v>
      </c>
      <c r="M61" s="173" t="str">
        <f t="shared" si="4"/>
        <v>C</v>
      </c>
    </row>
    <row r="62" spans="2:13" ht="15" outlineLevel="1" thickBot="1">
      <c r="B62" s="182" t="s">
        <v>181</v>
      </c>
      <c r="C62" s="171">
        <f>'Юнит 17'!AO62</f>
        <v>0</v>
      </c>
      <c r="D62" s="172">
        <f t="shared" si="7"/>
        <v>0</v>
      </c>
      <c r="E62" s="172">
        <f t="shared" si="5"/>
        <v>1.0377323914880101</v>
      </c>
      <c r="F62" s="173" t="str">
        <f t="shared" si="3"/>
        <v>C</v>
      </c>
      <c r="G62" s="173" t="str">
        <f t="shared" si="1"/>
        <v>C</v>
      </c>
      <c r="I62" s="182" t="s">
        <v>150</v>
      </c>
      <c r="J62" s="171">
        <f>'Юнит 17'!U31</f>
        <v>0</v>
      </c>
      <c r="K62" s="172">
        <f t="shared" si="8"/>
        <v>0</v>
      </c>
      <c r="L62" s="172">
        <f t="shared" si="6"/>
        <v>0.99764011799409991</v>
      </c>
      <c r="M62" s="173" t="str">
        <f t="shared" si="4"/>
        <v>C</v>
      </c>
    </row>
    <row r="63" spans="2:13" ht="15" outlineLevel="1" thickBot="1">
      <c r="B63" s="182" t="s">
        <v>182</v>
      </c>
      <c r="C63" s="171">
        <f>'Юнит 17'!AO63</f>
        <v>0</v>
      </c>
      <c r="D63" s="172">
        <f t="shared" si="7"/>
        <v>0</v>
      </c>
      <c r="E63" s="172">
        <f t="shared" si="5"/>
        <v>1.0377323914880101</v>
      </c>
      <c r="F63" s="173" t="str">
        <f t="shared" si="3"/>
        <v>C</v>
      </c>
      <c r="G63" s="173" t="str">
        <f t="shared" si="1"/>
        <v>C</v>
      </c>
      <c r="I63" s="182" t="s">
        <v>151</v>
      </c>
      <c r="J63" s="171">
        <f>'Юнит 17'!U32</f>
        <v>0</v>
      </c>
      <c r="K63" s="172">
        <f t="shared" si="8"/>
        <v>0</v>
      </c>
      <c r="L63" s="172">
        <f t="shared" si="6"/>
        <v>0.99764011799409991</v>
      </c>
      <c r="M63" s="173" t="str">
        <f t="shared" si="4"/>
        <v>C</v>
      </c>
    </row>
    <row r="64" spans="2:13" ht="15" outlineLevel="1" thickBot="1">
      <c r="B64" s="182" t="s">
        <v>183</v>
      </c>
      <c r="C64" s="171">
        <f>'Юнит 17'!AO64</f>
        <v>0</v>
      </c>
      <c r="D64" s="172">
        <f t="shared" si="7"/>
        <v>0</v>
      </c>
      <c r="E64" s="172">
        <f t="shared" si="5"/>
        <v>1.0377323914880101</v>
      </c>
      <c r="F64" s="173" t="str">
        <f t="shared" si="3"/>
        <v>C</v>
      </c>
      <c r="G64" s="173" t="str">
        <f t="shared" si="1"/>
        <v>C</v>
      </c>
      <c r="I64" s="182" t="s">
        <v>154</v>
      </c>
      <c r="J64" s="171">
        <f>'Юнит 17'!U35</f>
        <v>0</v>
      </c>
      <c r="K64" s="172">
        <f t="shared" si="8"/>
        <v>0</v>
      </c>
      <c r="L64" s="172">
        <f t="shared" si="6"/>
        <v>0.99764011799409991</v>
      </c>
      <c r="M64" s="173" t="str">
        <f t="shared" si="4"/>
        <v>C</v>
      </c>
    </row>
    <row r="65" spans="2:13" ht="15" outlineLevel="1" thickBot="1">
      <c r="B65" s="182" t="s">
        <v>186</v>
      </c>
      <c r="C65" s="171">
        <f>'Юнит 17'!AO67</f>
        <v>0</v>
      </c>
      <c r="D65" s="172">
        <f t="shared" si="7"/>
        <v>0</v>
      </c>
      <c r="E65" s="172">
        <f t="shared" si="5"/>
        <v>1.0377323914880101</v>
      </c>
      <c r="F65" s="173" t="str">
        <f t="shared" si="3"/>
        <v>C</v>
      </c>
      <c r="G65" s="173" t="str">
        <f t="shared" si="1"/>
        <v>C</v>
      </c>
      <c r="I65" s="182" t="s">
        <v>155</v>
      </c>
      <c r="J65" s="171">
        <f>'Юнит 17'!U36</f>
        <v>0</v>
      </c>
      <c r="K65" s="172">
        <f t="shared" si="8"/>
        <v>0</v>
      </c>
      <c r="L65" s="172">
        <f t="shared" si="6"/>
        <v>0.99764011799409991</v>
      </c>
      <c r="M65" s="173" t="str">
        <f t="shared" si="4"/>
        <v>C</v>
      </c>
    </row>
    <row r="66" spans="2:13" ht="15" outlineLevel="1" thickBot="1">
      <c r="B66" s="182" t="s">
        <v>187</v>
      </c>
      <c r="C66" s="171">
        <f>'Юнит 17'!AO68</f>
        <v>0</v>
      </c>
      <c r="D66" s="172">
        <f t="shared" si="7"/>
        <v>0</v>
      </c>
      <c r="E66" s="172">
        <f t="shared" si="5"/>
        <v>1.0377323914880101</v>
      </c>
      <c r="F66" s="173" t="str">
        <f t="shared" si="3"/>
        <v>C</v>
      </c>
      <c r="G66" s="173" t="str">
        <f t="shared" si="1"/>
        <v>C</v>
      </c>
      <c r="I66" s="182" t="s">
        <v>156</v>
      </c>
      <c r="J66" s="171">
        <f>'Юнит 17'!U37</f>
        <v>0</v>
      </c>
      <c r="K66" s="172">
        <f t="shared" si="8"/>
        <v>0</v>
      </c>
      <c r="L66" s="172">
        <f t="shared" si="6"/>
        <v>0.99764011799409991</v>
      </c>
      <c r="M66" s="173" t="str">
        <f t="shared" si="4"/>
        <v>C</v>
      </c>
    </row>
    <row r="67" spans="2:13" ht="15" outlineLevel="1" thickBot="1">
      <c r="B67" s="182" t="s">
        <v>189</v>
      </c>
      <c r="C67" s="171">
        <f>'Юнит 17'!AO70</f>
        <v>0</v>
      </c>
      <c r="D67" s="172">
        <f t="shared" si="7"/>
        <v>0</v>
      </c>
      <c r="E67" s="172">
        <f t="shared" si="5"/>
        <v>1.0377323914880101</v>
      </c>
      <c r="F67" s="173" t="str">
        <f t="shared" si="3"/>
        <v>C</v>
      </c>
      <c r="G67" s="173" t="str">
        <f t="shared" si="1"/>
        <v>C</v>
      </c>
      <c r="I67" s="182" t="s">
        <v>157</v>
      </c>
      <c r="J67" s="171">
        <f>'Юнит 17'!U38</f>
        <v>0</v>
      </c>
      <c r="K67" s="172">
        <f t="shared" si="8"/>
        <v>0</v>
      </c>
      <c r="L67" s="172">
        <f t="shared" si="6"/>
        <v>0.99764011799409991</v>
      </c>
      <c r="M67" s="173" t="str">
        <f t="shared" si="4"/>
        <v>C</v>
      </c>
    </row>
    <row r="68" spans="2:13" ht="15" outlineLevel="1" thickBot="1">
      <c r="B68" s="182" t="s">
        <v>191</v>
      </c>
      <c r="C68" s="171">
        <f>'Юнит 17'!AO72</f>
        <v>0</v>
      </c>
      <c r="D68" s="172">
        <f t="shared" ref="D68:D99" si="9">C68/C$106</f>
        <v>0</v>
      </c>
      <c r="E68" s="172">
        <f t="shared" si="5"/>
        <v>1.0377323914880101</v>
      </c>
      <c r="F68" s="173" t="str">
        <f t="shared" si="3"/>
        <v>C</v>
      </c>
      <c r="G68" s="173" t="str">
        <f t="shared" ref="G68:G105" si="10">VLOOKUP(B$4:B$104,I$4:M$104,5,0)</f>
        <v>C</v>
      </c>
      <c r="I68" s="182" t="s">
        <v>161</v>
      </c>
      <c r="J68" s="171">
        <f>'Юнит 17'!U42</f>
        <v>0</v>
      </c>
      <c r="K68" s="172">
        <f t="shared" ref="K68:K99" si="11">J68/J$106</f>
        <v>0</v>
      </c>
      <c r="L68" s="172">
        <f t="shared" si="6"/>
        <v>0.99764011799409991</v>
      </c>
      <c r="M68" s="173" t="str">
        <f t="shared" si="4"/>
        <v>C</v>
      </c>
    </row>
    <row r="69" spans="2:13" ht="26.5" outlineLevel="1" thickBot="1">
      <c r="B69" s="182" t="s">
        <v>193</v>
      </c>
      <c r="C69" s="171">
        <f>'Юнит 17'!AO74</f>
        <v>0</v>
      </c>
      <c r="D69" s="172">
        <f t="shared" si="9"/>
        <v>0</v>
      </c>
      <c r="E69" s="172">
        <f t="shared" si="5"/>
        <v>1.0377323914880101</v>
      </c>
      <c r="F69" s="173" t="str">
        <f t="shared" si="3"/>
        <v>C</v>
      </c>
      <c r="G69" s="173" t="str">
        <f t="shared" si="10"/>
        <v>C</v>
      </c>
      <c r="I69" s="182" t="s">
        <v>165</v>
      </c>
      <c r="J69" s="171">
        <f>'Юнит 17'!U46</f>
        <v>0</v>
      </c>
      <c r="K69" s="172">
        <f t="shared" si="11"/>
        <v>0</v>
      </c>
      <c r="L69" s="172">
        <f t="shared" si="6"/>
        <v>0.99764011799409991</v>
      </c>
      <c r="M69" s="173" t="str">
        <f t="shared" si="4"/>
        <v>C</v>
      </c>
    </row>
    <row r="70" spans="2:13" ht="26.5" outlineLevel="1" thickBot="1">
      <c r="B70" s="182" t="s">
        <v>213</v>
      </c>
      <c r="C70" s="171">
        <f>'Юнит 17'!AO94</f>
        <v>0</v>
      </c>
      <c r="D70" s="172">
        <f t="shared" si="9"/>
        <v>0</v>
      </c>
      <c r="E70" s="172">
        <f t="shared" ref="E70:E75" si="12">E69+D70</f>
        <v>1.0377323914880101</v>
      </c>
      <c r="F70" s="173" t="str">
        <f t="shared" si="3"/>
        <v>C</v>
      </c>
      <c r="G70" s="173" t="str">
        <f t="shared" si="10"/>
        <v>C</v>
      </c>
      <c r="I70" s="182" t="s">
        <v>170</v>
      </c>
      <c r="J70" s="171">
        <f>'Юнит 17'!U51</f>
        <v>0</v>
      </c>
      <c r="K70" s="172">
        <f t="shared" si="11"/>
        <v>0</v>
      </c>
      <c r="L70" s="172">
        <f t="shared" ref="L70:L75" si="13">L69+K70</f>
        <v>0.99764011799409991</v>
      </c>
      <c r="M70" s="173" t="str">
        <f t="shared" si="4"/>
        <v>C</v>
      </c>
    </row>
    <row r="71" spans="2:13" ht="26.5" outlineLevel="1" thickBot="1">
      <c r="B71" s="182" t="s">
        <v>214</v>
      </c>
      <c r="C71" s="171">
        <f>'Юнит 17'!AO95</f>
        <v>0</v>
      </c>
      <c r="D71" s="172">
        <f t="shared" si="9"/>
        <v>0</v>
      </c>
      <c r="E71" s="172">
        <f t="shared" si="12"/>
        <v>1.0377323914880101</v>
      </c>
      <c r="F71" s="173" t="str">
        <f t="shared" si="3"/>
        <v>C</v>
      </c>
      <c r="G71" s="173" t="str">
        <f t="shared" si="10"/>
        <v>C</v>
      </c>
      <c r="I71" s="182" t="s">
        <v>172</v>
      </c>
      <c r="J71" s="171">
        <f>'Юнит 17'!U53</f>
        <v>0</v>
      </c>
      <c r="K71" s="172">
        <f t="shared" si="11"/>
        <v>0</v>
      </c>
      <c r="L71" s="172">
        <f t="shared" si="13"/>
        <v>0.99764011799409991</v>
      </c>
      <c r="M71" s="173" t="str">
        <f t="shared" si="4"/>
        <v>C</v>
      </c>
    </row>
    <row r="72" spans="2:13" ht="15" outlineLevel="1" thickBot="1">
      <c r="B72" s="182" t="s">
        <v>215</v>
      </c>
      <c r="C72" s="171">
        <f>'Юнит 17'!AO96</f>
        <v>0</v>
      </c>
      <c r="D72" s="172">
        <f t="shared" si="9"/>
        <v>0</v>
      </c>
      <c r="E72" s="172">
        <f t="shared" si="12"/>
        <v>1.0377323914880101</v>
      </c>
      <c r="F72" s="173" t="str">
        <f t="shared" si="3"/>
        <v>C</v>
      </c>
      <c r="G72" s="173" t="str">
        <f t="shared" si="10"/>
        <v>C</v>
      </c>
      <c r="I72" s="182" t="s">
        <v>174</v>
      </c>
      <c r="J72" s="171">
        <f>'Юнит 17'!U55</f>
        <v>0</v>
      </c>
      <c r="K72" s="172">
        <f t="shared" si="11"/>
        <v>0</v>
      </c>
      <c r="L72" s="172">
        <f t="shared" si="13"/>
        <v>0.99764011799409991</v>
      </c>
      <c r="M72" s="173" t="str">
        <f t="shared" si="4"/>
        <v>C</v>
      </c>
    </row>
    <row r="73" spans="2:13" ht="15" outlineLevel="1" thickBot="1">
      <c r="B73" s="182" t="s">
        <v>256</v>
      </c>
      <c r="C73" s="171">
        <f>'Юнит 17'!AO99</f>
        <v>0</v>
      </c>
      <c r="D73" s="172">
        <f t="shared" si="9"/>
        <v>0</v>
      </c>
      <c r="E73" s="172">
        <f t="shared" si="12"/>
        <v>1.0377323914880101</v>
      </c>
      <c r="F73" s="173" t="str">
        <f t="shared" si="3"/>
        <v>C</v>
      </c>
      <c r="G73" s="173" t="str">
        <f t="shared" si="10"/>
        <v>C</v>
      </c>
      <c r="I73" s="182" t="s">
        <v>175</v>
      </c>
      <c r="J73" s="171">
        <f>'Юнит 17'!U56</f>
        <v>0</v>
      </c>
      <c r="K73" s="172">
        <f t="shared" si="11"/>
        <v>0</v>
      </c>
      <c r="L73" s="172">
        <f t="shared" si="13"/>
        <v>0.99764011799409991</v>
      </c>
      <c r="M73" s="173" t="str">
        <f t="shared" si="4"/>
        <v>C</v>
      </c>
    </row>
    <row r="74" spans="2:13" ht="15" outlineLevel="1" thickBot="1">
      <c r="B74" s="182" t="s">
        <v>258</v>
      </c>
      <c r="C74" s="171">
        <f>'Юнит 17'!AO101</f>
        <v>0</v>
      </c>
      <c r="D74" s="172">
        <f t="shared" si="9"/>
        <v>0</v>
      </c>
      <c r="E74" s="172">
        <f t="shared" si="12"/>
        <v>1.0377323914880101</v>
      </c>
      <c r="F74" s="173" t="str">
        <f t="shared" si="3"/>
        <v>C</v>
      </c>
      <c r="G74" s="173" t="str">
        <f t="shared" si="10"/>
        <v>C</v>
      </c>
      <c r="I74" s="182" t="s">
        <v>176</v>
      </c>
      <c r="J74" s="171">
        <f>'Юнит 17'!U57</f>
        <v>0</v>
      </c>
      <c r="K74" s="172">
        <f t="shared" si="11"/>
        <v>0</v>
      </c>
      <c r="L74" s="172">
        <f t="shared" si="13"/>
        <v>0.99764011799409991</v>
      </c>
      <c r="M74" s="173" t="str">
        <f t="shared" si="4"/>
        <v>C</v>
      </c>
    </row>
    <row r="75" spans="2:13" ht="26.5" outlineLevel="1" thickBot="1">
      <c r="B75" s="182" t="s">
        <v>260</v>
      </c>
      <c r="C75" s="171">
        <f>'Юнит 17'!AO103</f>
        <v>0</v>
      </c>
      <c r="D75" s="172">
        <f t="shared" si="9"/>
        <v>0</v>
      </c>
      <c r="E75" s="172">
        <f t="shared" si="12"/>
        <v>1.0377323914880101</v>
      </c>
      <c r="F75" s="173" t="str">
        <f t="shared" si="3"/>
        <v>C</v>
      </c>
      <c r="G75" s="173" t="str">
        <f t="shared" si="10"/>
        <v>C</v>
      </c>
      <c r="I75" s="182" t="s">
        <v>177</v>
      </c>
      <c r="J75" s="171">
        <f>'Юнит 17'!U58</f>
        <v>0</v>
      </c>
      <c r="K75" s="172">
        <f t="shared" si="11"/>
        <v>0</v>
      </c>
      <c r="L75" s="172">
        <f t="shared" si="13"/>
        <v>0.99764011799409991</v>
      </c>
      <c r="M75" s="173" t="str">
        <f t="shared" si="4"/>
        <v>C</v>
      </c>
    </row>
    <row r="76" spans="2:13" ht="15" outlineLevel="1" thickBot="1">
      <c r="B76" s="182" t="s">
        <v>170</v>
      </c>
      <c r="C76" s="171">
        <f>'Юнит 17'!AO51</f>
        <v>-1.0379139328444615</v>
      </c>
      <c r="D76" s="172">
        <f t="shared" si="9"/>
        <v>-1.8339075541939521E-6</v>
      </c>
      <c r="E76" s="172">
        <f>E49+D76</f>
        <v>1.0377305575804558</v>
      </c>
      <c r="F76" s="173" t="str">
        <f t="shared" si="3"/>
        <v>C</v>
      </c>
      <c r="G76" s="173" t="str">
        <f t="shared" si="10"/>
        <v>C</v>
      </c>
      <c r="I76" s="182" t="s">
        <v>178</v>
      </c>
      <c r="J76" s="171">
        <f>'Юнит 17'!U59</f>
        <v>0</v>
      </c>
      <c r="K76" s="172">
        <f t="shared" si="11"/>
        <v>0</v>
      </c>
      <c r="L76" s="172">
        <f>L49+K76</f>
        <v>0.99351032448377552</v>
      </c>
      <c r="M76" s="173" t="str">
        <f t="shared" si="4"/>
        <v>C</v>
      </c>
    </row>
    <row r="77" spans="2:13" ht="15" outlineLevel="1" thickBot="1">
      <c r="B77" s="182" t="s">
        <v>174</v>
      </c>
      <c r="C77" s="171">
        <f>'Юнит 17'!AO55</f>
        <v>-1.0379139328444615</v>
      </c>
      <c r="D77" s="172">
        <f t="shared" si="9"/>
        <v>-1.8339075541939521E-6</v>
      </c>
      <c r="E77" s="172">
        <f t="shared" ref="E77:E93" si="14">E76+D77</f>
        <v>1.0377287236729016</v>
      </c>
      <c r="F77" s="173" t="str">
        <f t="shared" si="3"/>
        <v>C</v>
      </c>
      <c r="G77" s="173" t="str">
        <f t="shared" si="10"/>
        <v>C</v>
      </c>
      <c r="I77" s="182" t="s">
        <v>181</v>
      </c>
      <c r="J77" s="171">
        <f>'Юнит 17'!U62</f>
        <v>0</v>
      </c>
      <c r="K77" s="172">
        <f t="shared" si="11"/>
        <v>0</v>
      </c>
      <c r="L77" s="172">
        <f t="shared" ref="L77:L94" si="15">L76+K77</f>
        <v>0.99351032448377552</v>
      </c>
      <c r="M77" s="173" t="str">
        <f t="shared" si="4"/>
        <v>C</v>
      </c>
    </row>
    <row r="78" spans="2:13" ht="15" outlineLevel="1" thickBot="1">
      <c r="B78" s="182" t="s">
        <v>184</v>
      </c>
      <c r="C78" s="171">
        <f>'Юнит 17'!AO65</f>
        <v>-1.0379139328444615</v>
      </c>
      <c r="D78" s="172">
        <f t="shared" si="9"/>
        <v>-1.8339075541939521E-6</v>
      </c>
      <c r="E78" s="172">
        <f t="shared" si="14"/>
        <v>1.0377268897653473</v>
      </c>
      <c r="F78" s="173" t="str">
        <f t="shared" si="3"/>
        <v>C</v>
      </c>
      <c r="G78" s="173" t="str">
        <f t="shared" si="10"/>
        <v>C</v>
      </c>
      <c r="I78" s="182" t="s">
        <v>182</v>
      </c>
      <c r="J78" s="171">
        <f>'Юнит 17'!U63</f>
        <v>0</v>
      </c>
      <c r="K78" s="172">
        <f t="shared" si="11"/>
        <v>0</v>
      </c>
      <c r="L78" s="172">
        <f t="shared" si="15"/>
        <v>0.99351032448377552</v>
      </c>
      <c r="M78" s="173" t="str">
        <f t="shared" si="4"/>
        <v>C</v>
      </c>
    </row>
    <row r="79" spans="2:13" ht="15" outlineLevel="1" thickBot="1">
      <c r="B79" s="182" t="s">
        <v>185</v>
      </c>
      <c r="C79" s="171">
        <f>'Юнит 17'!AO66</f>
        <v>-2.0758278656889231</v>
      </c>
      <c r="D79" s="172">
        <f t="shared" si="9"/>
        <v>-3.6678151083879043E-6</v>
      </c>
      <c r="E79" s="172">
        <f t="shared" si="14"/>
        <v>1.037723221950239</v>
      </c>
      <c r="F79" s="173" t="str">
        <f t="shared" si="3"/>
        <v>C</v>
      </c>
      <c r="G79" s="173" t="str">
        <f t="shared" si="10"/>
        <v>C</v>
      </c>
      <c r="I79" s="182" t="s">
        <v>183</v>
      </c>
      <c r="J79" s="171">
        <f>'Юнит 17'!U64</f>
        <v>0</v>
      </c>
      <c r="K79" s="172">
        <f t="shared" si="11"/>
        <v>0</v>
      </c>
      <c r="L79" s="172">
        <f t="shared" si="15"/>
        <v>0.99351032448377552</v>
      </c>
      <c r="M79" s="173" t="str">
        <f t="shared" si="4"/>
        <v>C</v>
      </c>
    </row>
    <row r="80" spans="2:13" ht="15" outlineLevel="1" thickBot="1">
      <c r="B80" s="182" t="s">
        <v>216</v>
      </c>
      <c r="C80" s="171">
        <f>'Юнит 17'!AO97</f>
        <v>-5.9558278656889225</v>
      </c>
      <c r="D80" s="172">
        <f t="shared" si="9"/>
        <v>-1.0523452252377231E-5</v>
      </c>
      <c r="E80" s="172">
        <f t="shared" si="14"/>
        <v>1.0377126984979868</v>
      </c>
      <c r="F80" s="173" t="str">
        <f t="shared" si="3"/>
        <v>C</v>
      </c>
      <c r="G80" s="173" t="str">
        <f t="shared" si="10"/>
        <v>C</v>
      </c>
      <c r="I80" s="182" t="s">
        <v>184</v>
      </c>
      <c r="J80" s="171">
        <f>'Юнит 17'!U65</f>
        <v>0</v>
      </c>
      <c r="K80" s="172">
        <f t="shared" si="11"/>
        <v>0</v>
      </c>
      <c r="L80" s="172">
        <f t="shared" si="15"/>
        <v>0.99351032448377552</v>
      </c>
      <c r="M80" s="173" t="str">
        <f t="shared" si="4"/>
        <v>C</v>
      </c>
    </row>
    <row r="81" spans="2:13" ht="26.5" outlineLevel="1" thickBot="1">
      <c r="B81" s="182" t="s">
        <v>200</v>
      </c>
      <c r="C81" s="171">
        <f>'Юнит 17'!AO81</f>
        <v>-13.492881126978</v>
      </c>
      <c r="D81" s="172">
        <f t="shared" si="9"/>
        <v>-2.3840798204521379E-5</v>
      </c>
      <c r="E81" s="172">
        <f t="shared" si="14"/>
        <v>1.0376888576997823</v>
      </c>
      <c r="F81" s="173" t="str">
        <f t="shared" si="3"/>
        <v>C</v>
      </c>
      <c r="G81" s="173" t="str">
        <f t="shared" si="10"/>
        <v>C</v>
      </c>
      <c r="I81" s="182" t="s">
        <v>185</v>
      </c>
      <c r="J81" s="171">
        <f>'Юнит 17'!U66</f>
        <v>0</v>
      </c>
      <c r="K81" s="172">
        <f t="shared" si="11"/>
        <v>0</v>
      </c>
      <c r="L81" s="172">
        <f t="shared" si="15"/>
        <v>0.99351032448377552</v>
      </c>
      <c r="M81" s="173" t="str">
        <f t="shared" si="4"/>
        <v>C</v>
      </c>
    </row>
    <row r="82" spans="2:13" ht="15" outlineLevel="1" thickBot="1">
      <c r="B82" s="182" t="s">
        <v>146</v>
      </c>
      <c r="C82" s="171">
        <f>'Юнит 17'!AO27</f>
        <v>-40.872600000000034</v>
      </c>
      <c r="D82" s="172">
        <f t="shared" si="9"/>
        <v>-7.2218483178200621E-5</v>
      </c>
      <c r="E82" s="172">
        <f t="shared" si="14"/>
        <v>1.037616639216604</v>
      </c>
      <c r="F82" s="173" t="str">
        <f t="shared" si="3"/>
        <v>C</v>
      </c>
      <c r="G82" s="173" t="str">
        <f t="shared" si="10"/>
        <v>C</v>
      </c>
      <c r="I82" s="182" t="s">
        <v>186</v>
      </c>
      <c r="J82" s="171">
        <f>'Юнит 17'!U67</f>
        <v>0</v>
      </c>
      <c r="K82" s="172">
        <f t="shared" si="11"/>
        <v>0</v>
      </c>
      <c r="L82" s="172">
        <f t="shared" si="15"/>
        <v>0.99351032448377552</v>
      </c>
      <c r="M82" s="173" t="str">
        <f t="shared" si="4"/>
        <v>C</v>
      </c>
    </row>
    <row r="83" spans="2:13" ht="15" outlineLevel="1" thickBot="1">
      <c r="B83" s="182" t="s">
        <v>194</v>
      </c>
      <c r="C83" s="171">
        <f>'Юнит 17'!AO75</f>
        <v>-47.845023999999988</v>
      </c>
      <c r="D83" s="172">
        <f t="shared" si="9"/>
        <v>-8.4538176208623901E-5</v>
      </c>
      <c r="E83" s="172">
        <f t="shared" si="14"/>
        <v>1.0375321010403953</v>
      </c>
      <c r="F83" s="173" t="str">
        <f t="shared" si="3"/>
        <v>C</v>
      </c>
      <c r="G83" s="173" t="str">
        <f t="shared" si="10"/>
        <v>C</v>
      </c>
      <c r="I83" s="182" t="s">
        <v>187</v>
      </c>
      <c r="J83" s="171">
        <f>'Юнит 17'!U68</f>
        <v>0</v>
      </c>
      <c r="K83" s="172">
        <f t="shared" si="11"/>
        <v>0</v>
      </c>
      <c r="L83" s="172">
        <f t="shared" si="15"/>
        <v>0.99351032448377552</v>
      </c>
      <c r="M83" s="173" t="str">
        <f t="shared" si="4"/>
        <v>C</v>
      </c>
    </row>
    <row r="84" spans="2:13" ht="26.5" outlineLevel="1" thickBot="1">
      <c r="B84" s="182" t="s">
        <v>209</v>
      </c>
      <c r="C84" s="171">
        <f>'Юнит 17'!AO90</f>
        <v>-49.819868776534157</v>
      </c>
      <c r="D84" s="172">
        <f t="shared" si="9"/>
        <v>-8.8027562601309712E-5</v>
      </c>
      <c r="E84" s="172">
        <f t="shared" si="14"/>
        <v>1.0374440734777939</v>
      </c>
      <c r="F84" s="173" t="str">
        <f t="shared" si="3"/>
        <v>C</v>
      </c>
      <c r="G84" s="173" t="str">
        <f t="shared" si="10"/>
        <v>C</v>
      </c>
      <c r="I84" s="182" t="s">
        <v>189</v>
      </c>
      <c r="J84" s="171">
        <f>'Юнит 17'!U70</f>
        <v>0</v>
      </c>
      <c r="K84" s="172">
        <f t="shared" si="11"/>
        <v>0</v>
      </c>
      <c r="L84" s="172">
        <f t="shared" si="15"/>
        <v>0.99351032448377552</v>
      </c>
      <c r="M84" s="173" t="str">
        <f t="shared" si="4"/>
        <v>C</v>
      </c>
    </row>
    <row r="85" spans="2:13" ht="15" outlineLevel="1" thickBot="1">
      <c r="B85" s="182" t="s">
        <v>190</v>
      </c>
      <c r="C85" s="171">
        <f>'Юнит 17'!AO71</f>
        <v>-88.547913932844452</v>
      </c>
      <c r="D85" s="172">
        <f t="shared" si="9"/>
        <v>-1.5645679581978826E-4</v>
      </c>
      <c r="E85" s="172">
        <f t="shared" si="14"/>
        <v>1.037287616681974</v>
      </c>
      <c r="F85" s="173" t="str">
        <f t="shared" si="3"/>
        <v>C</v>
      </c>
      <c r="G85" s="173" t="str">
        <f t="shared" si="10"/>
        <v>C</v>
      </c>
      <c r="I85" s="182" t="s">
        <v>190</v>
      </c>
      <c r="J85" s="171">
        <f>'Юнит 17'!U71</f>
        <v>0</v>
      </c>
      <c r="K85" s="172">
        <f t="shared" si="11"/>
        <v>0</v>
      </c>
      <c r="L85" s="172">
        <f t="shared" si="15"/>
        <v>0.99351032448377552</v>
      </c>
      <c r="M85" s="173" t="str">
        <f t="shared" si="4"/>
        <v>C</v>
      </c>
    </row>
    <row r="86" spans="2:13" ht="15" outlineLevel="1" thickBot="1">
      <c r="B86" s="182" t="s">
        <v>156</v>
      </c>
      <c r="C86" s="171">
        <f>'Юнит 17'!AO37</f>
        <v>-93.617913932844459</v>
      </c>
      <c r="D86" s="172">
        <f t="shared" si="9"/>
        <v>-1.6541506394350631E-4</v>
      </c>
      <c r="E86" s="172">
        <f t="shared" si="14"/>
        <v>1.0371222016180306</v>
      </c>
      <c r="F86" s="173" t="str">
        <f t="shared" si="3"/>
        <v>C</v>
      </c>
      <c r="G86" s="173" t="str">
        <f t="shared" si="10"/>
        <v>C</v>
      </c>
      <c r="I86" s="182" t="s">
        <v>191</v>
      </c>
      <c r="J86" s="171">
        <f>'Юнит 17'!U72</f>
        <v>0</v>
      </c>
      <c r="K86" s="172">
        <f t="shared" si="11"/>
        <v>0</v>
      </c>
      <c r="L86" s="172">
        <f t="shared" si="15"/>
        <v>0.99351032448377552</v>
      </c>
      <c r="M86" s="173" t="str">
        <f t="shared" si="4"/>
        <v>C</v>
      </c>
    </row>
    <row r="87" spans="2:13" ht="15" outlineLevel="1" thickBot="1">
      <c r="B87" s="182" t="s">
        <v>157</v>
      </c>
      <c r="C87" s="171">
        <f>'Юнит 17'!AO38</f>
        <v>-118.20447124662294</v>
      </c>
      <c r="D87" s="172">
        <f t="shared" si="9"/>
        <v>-2.0885746486184708E-4</v>
      </c>
      <c r="E87" s="172">
        <f t="shared" si="14"/>
        <v>1.0369133441531688</v>
      </c>
      <c r="F87" s="173" t="str">
        <f t="shared" si="3"/>
        <v>C</v>
      </c>
      <c r="G87" s="173" t="str">
        <f t="shared" si="10"/>
        <v>C</v>
      </c>
      <c r="I87" s="182" t="s">
        <v>193</v>
      </c>
      <c r="J87" s="171">
        <f>'Юнит 17'!U74</f>
        <v>0</v>
      </c>
      <c r="K87" s="172">
        <f t="shared" si="11"/>
        <v>0</v>
      </c>
      <c r="L87" s="172">
        <f t="shared" si="15"/>
        <v>0.99351032448377552</v>
      </c>
      <c r="M87" s="173" t="str">
        <f t="shared" si="4"/>
        <v>C</v>
      </c>
    </row>
    <row r="88" spans="2:13" ht="15" outlineLevel="1" thickBot="1">
      <c r="B88" s="182" t="s">
        <v>202</v>
      </c>
      <c r="C88" s="171">
        <f>'Юнит 17'!AO83</f>
        <v>-133.39447124662294</v>
      </c>
      <c r="D88" s="172">
        <f t="shared" si="9"/>
        <v>-2.3569693089720736E-4</v>
      </c>
      <c r="E88" s="172">
        <f t="shared" si="14"/>
        <v>1.0366776472222716</v>
      </c>
      <c r="F88" s="173" t="str">
        <f t="shared" si="3"/>
        <v>C</v>
      </c>
      <c r="G88" s="173" t="str">
        <f t="shared" si="10"/>
        <v>C</v>
      </c>
      <c r="I88" s="182" t="s">
        <v>195</v>
      </c>
      <c r="J88" s="171">
        <f>'Юнит 17'!U76</f>
        <v>0</v>
      </c>
      <c r="K88" s="172">
        <f t="shared" si="11"/>
        <v>0</v>
      </c>
      <c r="L88" s="172">
        <f t="shared" si="15"/>
        <v>0.99351032448377552</v>
      </c>
      <c r="M88" s="173" t="str">
        <f t="shared" si="4"/>
        <v>C</v>
      </c>
    </row>
    <row r="89" spans="2:13" ht="26.5" outlineLevel="1" thickBot="1">
      <c r="B89" s="182" t="s">
        <v>211</v>
      </c>
      <c r="C89" s="171">
        <f>'Юнит 17'!AO92</f>
        <v>-173.37059911231182</v>
      </c>
      <c r="D89" s="172">
        <f t="shared" si="9"/>
        <v>-3.0633142240980621E-4</v>
      </c>
      <c r="E89" s="172">
        <f t="shared" si="14"/>
        <v>1.0363713157998617</v>
      </c>
      <c r="F89" s="173" t="str">
        <f t="shared" si="3"/>
        <v>C</v>
      </c>
      <c r="G89" s="173" t="str">
        <f t="shared" si="10"/>
        <v>C</v>
      </c>
      <c r="I89" s="182" t="s">
        <v>199</v>
      </c>
      <c r="J89" s="171">
        <f>'Юнит 17'!U80</f>
        <v>0</v>
      </c>
      <c r="K89" s="172">
        <f t="shared" si="11"/>
        <v>0</v>
      </c>
      <c r="L89" s="172">
        <f t="shared" si="15"/>
        <v>0.99351032448377552</v>
      </c>
      <c r="M89" s="173" t="str">
        <f t="shared" si="4"/>
        <v>C</v>
      </c>
    </row>
    <row r="90" spans="2:13" ht="26.5" outlineLevel="1" thickBot="1">
      <c r="B90" s="182" t="s">
        <v>161</v>
      </c>
      <c r="C90" s="171">
        <f>'Юнит 17'!AO42</f>
        <v>-209.39576225395601</v>
      </c>
      <c r="D90" s="172">
        <f t="shared" si="9"/>
        <v>-3.6998488801602553E-4</v>
      </c>
      <c r="E90" s="172">
        <f t="shared" si="14"/>
        <v>1.0360013309118457</v>
      </c>
      <c r="F90" s="173" t="str">
        <f t="shared" si="3"/>
        <v>C</v>
      </c>
      <c r="G90" s="173" t="str">
        <f t="shared" si="10"/>
        <v>C</v>
      </c>
      <c r="I90" s="182" t="s">
        <v>200</v>
      </c>
      <c r="J90" s="171">
        <f>'Юнит 17'!U81</f>
        <v>0</v>
      </c>
      <c r="K90" s="172">
        <f t="shared" si="11"/>
        <v>0</v>
      </c>
      <c r="L90" s="172">
        <f t="shared" si="15"/>
        <v>0.99351032448377552</v>
      </c>
      <c r="M90" s="173" t="str">
        <f t="shared" si="4"/>
        <v>C</v>
      </c>
    </row>
    <row r="91" spans="2:13" ht="26.5" outlineLevel="1" thickBot="1">
      <c r="B91" s="182" t="s">
        <v>212</v>
      </c>
      <c r="C91" s="171">
        <f>'Юнит 17'!AO93</f>
        <v>-218.05864338093403</v>
      </c>
      <c r="D91" s="172">
        <f t="shared" si="9"/>
        <v>-3.8529147812635405E-4</v>
      </c>
      <c r="E91" s="172">
        <f t="shared" si="14"/>
        <v>1.0356160394337193</v>
      </c>
      <c r="F91" s="173" t="str">
        <f t="shared" si="3"/>
        <v>C</v>
      </c>
      <c r="G91" s="173" t="str">
        <f t="shared" si="10"/>
        <v>C</v>
      </c>
      <c r="I91" s="182" t="s">
        <v>201</v>
      </c>
      <c r="J91" s="171">
        <f>'Юнит 17'!U82</f>
        <v>0</v>
      </c>
      <c r="K91" s="172">
        <f t="shared" si="11"/>
        <v>0</v>
      </c>
      <c r="L91" s="172">
        <f t="shared" si="15"/>
        <v>0.99351032448377552</v>
      </c>
      <c r="M91" s="173" t="str">
        <f t="shared" si="4"/>
        <v>C</v>
      </c>
    </row>
    <row r="92" spans="2:13" ht="26.5" outlineLevel="1" thickBot="1">
      <c r="B92" s="182" t="s">
        <v>207</v>
      </c>
      <c r="C92" s="171">
        <f>'Юнит 17'!AO88</f>
        <v>-259.75</v>
      </c>
      <c r="D92" s="172">
        <f t="shared" si="9"/>
        <v>-4.5895663612145044E-4</v>
      </c>
      <c r="E92" s="172">
        <f t="shared" si="14"/>
        <v>1.0351570827975978</v>
      </c>
      <c r="F92" s="173" t="str">
        <f t="shared" si="3"/>
        <v>C</v>
      </c>
      <c r="G92" s="173" t="str">
        <f t="shared" si="10"/>
        <v>C</v>
      </c>
      <c r="I92" s="182" t="s">
        <v>202</v>
      </c>
      <c r="J92" s="171">
        <f>'Юнит 17'!U83</f>
        <v>0</v>
      </c>
      <c r="K92" s="172">
        <f t="shared" si="11"/>
        <v>0</v>
      </c>
      <c r="L92" s="172">
        <f t="shared" si="15"/>
        <v>0.99351032448377552</v>
      </c>
      <c r="M92" s="173" t="str">
        <f t="shared" si="4"/>
        <v>C</v>
      </c>
    </row>
    <row r="93" spans="2:13" ht="26.5" outlineLevel="1" thickBot="1">
      <c r="B93" s="182" t="s">
        <v>180</v>
      </c>
      <c r="C93" s="171">
        <f>'Юнит 17'!AO61</f>
        <v>-607.18677352373595</v>
      </c>
      <c r="D93" s="172">
        <f t="shared" si="9"/>
        <v>-1.0728485046155565E-3</v>
      </c>
      <c r="E93" s="172">
        <f t="shared" si="14"/>
        <v>1.0340842342929821</v>
      </c>
      <c r="F93" s="173" t="str">
        <f t="shared" si="3"/>
        <v>C</v>
      </c>
      <c r="G93" s="173" t="e">
        <f t="shared" si="10"/>
        <v>#N/A</v>
      </c>
      <c r="I93" s="182" t="s">
        <v>204</v>
      </c>
      <c r="J93" s="171">
        <f>'Юнит 17'!U85</f>
        <v>0</v>
      </c>
      <c r="K93" s="172">
        <f t="shared" si="11"/>
        <v>0</v>
      </c>
      <c r="L93" s="172">
        <f t="shared" si="15"/>
        <v>0.99351032448377552</v>
      </c>
      <c r="M93" s="173" t="str">
        <f t="shared" si="4"/>
        <v>C</v>
      </c>
    </row>
    <row r="94" spans="2:13" ht="26.5" outlineLevel="1" thickBot="1">
      <c r="B94" s="182" t="s">
        <v>159</v>
      </c>
      <c r="C94" s="171">
        <f>'Юнит 17'!AO40</f>
        <v>-742.27270405248942</v>
      </c>
      <c r="D94" s="172">
        <f t="shared" si="9"/>
        <v>-1.3115341033174339E-3</v>
      </c>
      <c r="E94" s="172">
        <f>E93+D94</f>
        <v>1.0327727001896647</v>
      </c>
      <c r="F94" s="173" t="str">
        <f t="shared" si="3"/>
        <v>C</v>
      </c>
      <c r="G94" s="173" t="str">
        <f t="shared" si="10"/>
        <v>C</v>
      </c>
      <c r="I94" s="182" t="s">
        <v>207</v>
      </c>
      <c r="J94" s="171">
        <f>'Юнит 17'!U88</f>
        <v>0</v>
      </c>
      <c r="K94" s="172">
        <f t="shared" si="11"/>
        <v>0</v>
      </c>
      <c r="L94" s="172">
        <f t="shared" si="15"/>
        <v>0.99351032448377552</v>
      </c>
      <c r="M94" s="173" t="str">
        <f t="shared" si="4"/>
        <v>C</v>
      </c>
    </row>
    <row r="95" spans="2:13" ht="26.5" outlineLevel="1" thickBot="1">
      <c r="B95" s="182" t="s">
        <v>172</v>
      </c>
      <c r="C95" s="171">
        <f>'Юнит 17'!AO53</f>
        <v>-845.62115978386737</v>
      </c>
      <c r="D95" s="172">
        <f t="shared" si="9"/>
        <v>-1.4941422249375297E-3</v>
      </c>
      <c r="E95" s="172">
        <f>E94+D95</f>
        <v>1.0312785579647272</v>
      </c>
      <c r="F95" s="173" t="str">
        <f t="shared" si="3"/>
        <v>C</v>
      </c>
      <c r="G95" s="173" t="str">
        <f t="shared" si="10"/>
        <v>C</v>
      </c>
      <c r="I95" s="182" t="s">
        <v>209</v>
      </c>
      <c r="J95" s="171">
        <f>'Юнит 17'!U90</f>
        <v>0</v>
      </c>
      <c r="K95" s="172">
        <f t="shared" si="11"/>
        <v>0</v>
      </c>
      <c r="L95" s="172">
        <f>L94+K95</f>
        <v>0.99351032448377552</v>
      </c>
      <c r="M95" s="173" t="str">
        <f t="shared" si="4"/>
        <v>C</v>
      </c>
    </row>
    <row r="96" spans="2:13" ht="26.5" outlineLevel="1" thickBot="1">
      <c r="B96" s="182" t="s">
        <v>196</v>
      </c>
      <c r="C96" s="171">
        <f>'Юнит 17'!AO77</f>
        <v>-902.74559258973375</v>
      </c>
      <c r="D96" s="172">
        <f t="shared" si="9"/>
        <v>-1.5950763443636172E-3</v>
      </c>
      <c r="E96" s="172">
        <f t="shared" ref="E96:E98" si="16">E95+D96</f>
        <v>1.0296834816203637</v>
      </c>
      <c r="F96" s="173" t="str">
        <f t="shared" si="3"/>
        <v>C</v>
      </c>
      <c r="G96" s="173" t="str">
        <f t="shared" si="10"/>
        <v>C</v>
      </c>
      <c r="I96" s="182" t="s">
        <v>212</v>
      </c>
      <c r="J96" s="171">
        <f>'Юнит 17'!U93</f>
        <v>0</v>
      </c>
      <c r="K96" s="172">
        <f t="shared" si="11"/>
        <v>0</v>
      </c>
      <c r="L96" s="172">
        <f t="shared" ref="L96:L98" si="17">L95+K96</f>
        <v>0.99351032448377552</v>
      </c>
      <c r="M96" s="173" t="str">
        <f t="shared" si="4"/>
        <v>C</v>
      </c>
    </row>
    <row r="97" spans="2:13" ht="26.5" outlineLevel="1" thickBot="1">
      <c r="B97" s="182" t="s">
        <v>177</v>
      </c>
      <c r="C97" s="171">
        <f>'Юнит 17'!AO58</f>
        <v>-927.95036472404479</v>
      </c>
      <c r="D97" s="172">
        <f t="shared" si="9"/>
        <v>-1.6396110794279909E-3</v>
      </c>
      <c r="E97" s="172">
        <f t="shared" si="16"/>
        <v>1.0280438705409358</v>
      </c>
      <c r="F97" s="173" t="str">
        <f t="shared" ref="F97:F105" si="18">IF(AND(E97&lt;=0),"C",IF(E97&lt;=0.8,"A",IF(E97&lt;=0.95,"B","C")))</f>
        <v>C</v>
      </c>
      <c r="G97" s="173" t="str">
        <f t="shared" si="10"/>
        <v>C</v>
      </c>
      <c r="I97" s="182" t="s">
        <v>213</v>
      </c>
      <c r="J97" s="171">
        <f>'Юнит 17'!U94</f>
        <v>0</v>
      </c>
      <c r="K97" s="172">
        <f t="shared" si="11"/>
        <v>0</v>
      </c>
      <c r="L97" s="172">
        <f t="shared" si="17"/>
        <v>0.99351032448377552</v>
      </c>
      <c r="M97" s="173" t="str">
        <f t="shared" si="4"/>
        <v>C</v>
      </c>
    </row>
    <row r="98" spans="2:13" ht="26.5" outlineLevel="1" thickBot="1">
      <c r="B98" s="182" t="s">
        <v>204</v>
      </c>
      <c r="C98" s="171">
        <f>'Юнит 17'!AO85</f>
        <v>-1100.8711597838671</v>
      </c>
      <c r="D98" s="172">
        <f t="shared" si="9"/>
        <v>-1.9451477355053837E-3</v>
      </c>
      <c r="E98" s="172">
        <f t="shared" si="16"/>
        <v>1.0260987228054304</v>
      </c>
      <c r="F98" s="173" t="str">
        <f t="shared" si="18"/>
        <v>C</v>
      </c>
      <c r="G98" s="173" t="str">
        <f t="shared" si="10"/>
        <v>C</v>
      </c>
      <c r="I98" s="182" t="s">
        <v>214</v>
      </c>
      <c r="J98" s="171">
        <f>'Юнит 17'!U95</f>
        <v>0</v>
      </c>
      <c r="K98" s="172">
        <f t="shared" si="11"/>
        <v>0</v>
      </c>
      <c r="L98" s="172">
        <f t="shared" si="17"/>
        <v>0.99351032448377552</v>
      </c>
      <c r="M98" s="173" t="str">
        <f t="shared" si="4"/>
        <v>C</v>
      </c>
    </row>
    <row r="99" spans="2:13" ht="26.5" outlineLevel="1" thickBot="1">
      <c r="B99" s="182" t="s">
        <v>199</v>
      </c>
      <c r="C99" s="171">
        <f>'Юнит 17'!AO80</f>
        <v>-1112.3045368583557</v>
      </c>
      <c r="D99" s="172">
        <f t="shared" si="9"/>
        <v>-1.9653495614211313E-3</v>
      </c>
      <c r="E99" s="172">
        <f>E93+D99</f>
        <v>1.032118884731561</v>
      </c>
      <c r="F99" s="173" t="str">
        <f t="shared" si="18"/>
        <v>C</v>
      </c>
      <c r="G99" s="173" t="str">
        <f t="shared" si="10"/>
        <v>C</v>
      </c>
      <c r="I99" s="182" t="s">
        <v>215</v>
      </c>
      <c r="J99" s="171">
        <f>'Юнит 17'!U96</f>
        <v>0</v>
      </c>
      <c r="K99" s="172">
        <f t="shared" si="11"/>
        <v>0</v>
      </c>
      <c r="L99" s="172">
        <f>L93+K99</f>
        <v>0.99351032448377552</v>
      </c>
      <c r="M99" s="173" t="str">
        <f t="shared" ref="M99:M105" si="19">_xlfn.IFS(L99&lt;80%,"A",L99&lt;=95%,"B",L99&gt;95%,"C")</f>
        <v>C</v>
      </c>
    </row>
    <row r="100" spans="2:13" ht="26.5" outlineLevel="1" thickBot="1">
      <c r="B100" s="182" t="s">
        <v>210</v>
      </c>
      <c r="C100" s="171">
        <f>'Юнит 17'!AO91</f>
        <v>-1191.1213065225782</v>
      </c>
      <c r="D100" s="172">
        <f t="shared" ref="D100:D105" si="20">C100/C$106</f>
        <v>-2.1046122350498152E-3</v>
      </c>
      <c r="E100" s="172">
        <f t="shared" ref="E100:E105" si="21">E94+D100</f>
        <v>1.0306680879546148</v>
      </c>
      <c r="F100" s="173" t="str">
        <f t="shared" si="18"/>
        <v>C</v>
      </c>
      <c r="G100" s="173" t="str">
        <f t="shared" si="10"/>
        <v>C</v>
      </c>
      <c r="I100" s="182" t="s">
        <v>216</v>
      </c>
      <c r="J100" s="171">
        <f>'Юнит 17'!U97</f>
        <v>0</v>
      </c>
      <c r="K100" s="172">
        <f t="shared" ref="K100:K105" si="22">J100/J$106</f>
        <v>0</v>
      </c>
      <c r="L100" s="172">
        <f t="shared" ref="L100:L105" si="23">L94+K100</f>
        <v>0.99351032448377552</v>
      </c>
      <c r="M100" s="173" t="str">
        <f t="shared" si="19"/>
        <v>C</v>
      </c>
    </row>
    <row r="101" spans="2:13" ht="15" outlineLevel="1" thickBot="1">
      <c r="B101" s="182" t="s">
        <v>195</v>
      </c>
      <c r="C101" s="171">
        <f>'Юнит 17'!AO76</f>
        <v>-1422.7753319181784</v>
      </c>
      <c r="D101" s="172">
        <f t="shared" si="20"/>
        <v>-2.513925621920105E-3</v>
      </c>
      <c r="E101" s="172">
        <f t="shared" si="21"/>
        <v>1.028764632342807</v>
      </c>
      <c r="F101" s="173" t="str">
        <f t="shared" si="18"/>
        <v>C</v>
      </c>
      <c r="G101" s="173" t="str">
        <f t="shared" si="10"/>
        <v>C</v>
      </c>
      <c r="I101" s="182" t="s">
        <v>256</v>
      </c>
      <c r="J101" s="171">
        <f>'Юнит 17'!U99</f>
        <v>0</v>
      </c>
      <c r="K101" s="172">
        <f t="shared" si="22"/>
        <v>0</v>
      </c>
      <c r="L101" s="172">
        <f t="shared" si="23"/>
        <v>0.99351032448377552</v>
      </c>
      <c r="M101" s="173" t="str">
        <f t="shared" si="19"/>
        <v>C</v>
      </c>
    </row>
    <row r="102" spans="2:13" ht="26.5" outlineLevel="1" thickBot="1">
      <c r="B102" s="182" t="s">
        <v>201</v>
      </c>
      <c r="C102" s="171">
        <f>'Юнит 17'!AO82</f>
        <v>-2319.0807294480892</v>
      </c>
      <c r="D102" s="172">
        <f t="shared" si="20"/>
        <v>-4.0976226775036552E-3</v>
      </c>
      <c r="E102" s="172">
        <f t="shared" si="21"/>
        <v>1.0255858589428601</v>
      </c>
      <c r="F102" s="173" t="str">
        <f t="shared" si="18"/>
        <v>C</v>
      </c>
      <c r="G102" s="173" t="str">
        <f t="shared" si="10"/>
        <v>C</v>
      </c>
      <c r="I102" s="182" t="s">
        <v>258</v>
      </c>
      <c r="J102" s="171">
        <f>'Юнит 17'!U101</f>
        <v>0</v>
      </c>
      <c r="K102" s="172">
        <f t="shared" si="22"/>
        <v>0</v>
      </c>
      <c r="L102" s="172">
        <f t="shared" si="23"/>
        <v>0.99351032448377552</v>
      </c>
      <c r="M102" s="173" t="str">
        <f t="shared" si="19"/>
        <v>C</v>
      </c>
    </row>
    <row r="103" spans="2:13" ht="26.5" outlineLevel="1" thickBot="1">
      <c r="B103" s="182" t="s">
        <v>171</v>
      </c>
      <c r="C103" s="171">
        <f>'Юнит 17'!AO52</f>
        <v>-2448.9349253956002</v>
      </c>
      <c r="D103" s="172">
        <f t="shared" si="20"/>
        <v>-4.3270642365347443E-3</v>
      </c>
      <c r="E103" s="172">
        <f t="shared" si="21"/>
        <v>1.0237168063044011</v>
      </c>
      <c r="F103" s="173" t="str">
        <f t="shared" si="18"/>
        <v>C</v>
      </c>
      <c r="G103" s="173" t="str">
        <f t="shared" si="10"/>
        <v>C</v>
      </c>
      <c r="I103" s="182" t="s">
        <v>260</v>
      </c>
      <c r="J103" s="171">
        <f>'Юнит 17'!U103</f>
        <v>0</v>
      </c>
      <c r="K103" s="172">
        <f t="shared" si="22"/>
        <v>0</v>
      </c>
      <c r="L103" s="172">
        <f t="shared" si="23"/>
        <v>0.99351032448377552</v>
      </c>
      <c r="M103" s="173" t="str">
        <f t="shared" si="19"/>
        <v>C</v>
      </c>
    </row>
    <row r="104" spans="2:13" ht="15" outlineLevel="1" thickBot="1">
      <c r="B104" s="182" t="s">
        <v>164</v>
      </c>
      <c r="C104" s="171">
        <f>'Юнит 17'!AO45</f>
        <v>-3233.9702912319544</v>
      </c>
      <c r="D104" s="172">
        <f t="shared" si="20"/>
        <v>-5.7141564049298377E-3</v>
      </c>
      <c r="E104" s="172">
        <f t="shared" si="21"/>
        <v>1.0203845664005005</v>
      </c>
      <c r="F104" s="173" t="str">
        <f t="shared" si="18"/>
        <v>C</v>
      </c>
      <c r="G104" s="173" t="str">
        <f t="shared" si="10"/>
        <v>C</v>
      </c>
      <c r="I104" s="182" t="s">
        <v>159</v>
      </c>
      <c r="J104" s="171">
        <f>'Юнит 17'!U40</f>
        <v>-1</v>
      </c>
      <c r="K104" s="172">
        <f t="shared" si="22"/>
        <v>-5.8997050147492625E-4</v>
      </c>
      <c r="L104" s="172">
        <f t="shared" si="23"/>
        <v>0.99292035398230061</v>
      </c>
      <c r="M104" s="173" t="str">
        <f t="shared" si="19"/>
        <v>C</v>
      </c>
    </row>
    <row r="105" spans="2:13" ht="15" outlineLevel="1" thickBot="1">
      <c r="B105" s="182" t="s">
        <v>147</v>
      </c>
      <c r="C105" s="171">
        <f>'Юнит 17'!AO28</f>
        <v>-4285.5685588116567</v>
      </c>
      <c r="D105" s="172">
        <f t="shared" si="20"/>
        <v>-7.5722430399231969E-3</v>
      </c>
      <c r="E105" s="172">
        <f t="shared" si="21"/>
        <v>1.0245466416916378</v>
      </c>
      <c r="F105" s="173" t="str">
        <f t="shared" si="18"/>
        <v>C</v>
      </c>
      <c r="G105" s="173" t="e">
        <f t="shared" si="10"/>
        <v>#VALUE!</v>
      </c>
      <c r="I105" s="182" t="s">
        <v>180</v>
      </c>
      <c r="J105" s="171">
        <f>'Юнит 17'!U61</f>
        <v>-1</v>
      </c>
      <c r="K105" s="172">
        <f t="shared" si="22"/>
        <v>-5.8997050147492625E-4</v>
      </c>
      <c r="L105" s="172">
        <f t="shared" si="23"/>
        <v>0.99292035398230061</v>
      </c>
      <c r="M105" s="173" t="str">
        <f t="shared" si="19"/>
        <v>C</v>
      </c>
    </row>
    <row r="106" spans="2:13" outlineLevel="1">
      <c r="C106" s="178">
        <f>SUM(C4:C105)</f>
        <v>565957.60809799947</v>
      </c>
      <c r="D106" s="179">
        <f>SUM(D4:D105)</f>
        <v>0.99999999999999933</v>
      </c>
      <c r="J106" s="178">
        <f>SUM(J4:J105)</f>
        <v>1695</v>
      </c>
      <c r="K106" s="179">
        <f>SUM(K4:K105)</f>
        <v>0.99999999999999956</v>
      </c>
    </row>
  </sheetData>
  <sortState xmlns:xlrd2="http://schemas.microsoft.com/office/spreadsheetml/2017/richdata2" ref="B4:C105">
    <sortCondition descending="1" ref="C4:C105"/>
  </sortState>
  <mergeCells count="1">
    <mergeCell ref="B2:M2"/>
  </mergeCells>
  <conditionalFormatting sqref="D4:D98 F4:G98 K4:K98 M4:M98">
    <cfRule type="cellIs" dxfId="214" priority="4" operator="equal">
      <formula>"C"</formula>
    </cfRule>
    <cfRule type="cellIs" dxfId="213" priority="5" operator="equal">
      <formula>"B"</formula>
    </cfRule>
    <cfRule type="cellIs" dxfId="212" priority="6" operator="equal">
      <formula>"A"</formula>
    </cfRule>
  </conditionalFormatting>
  <conditionalFormatting sqref="F99:G105 D99:D105 M99:M105 K99:K105">
    <cfRule type="cellIs" dxfId="211" priority="1" operator="equal">
      <formula>"C"</formula>
    </cfRule>
    <cfRule type="cellIs" dxfId="210" priority="2" operator="equal">
      <formula>"B"</formula>
    </cfRule>
    <cfRule type="cellIs" dxfId="209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AEF1-2A2E-4233-93B9-143E25BBE882}">
  <dimension ref="B1:Q106"/>
  <sheetViews>
    <sheetView zoomScale="80" zoomScaleNormal="80" workbookViewId="0">
      <selection activeCell="B3" sqref="B3:C10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9" t="s">
        <v>86</v>
      </c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1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16'!AO4</f>
        <v>158353.6018683202</v>
      </c>
      <c r="D4" s="172">
        <f t="shared" ref="D4:D35" si="0">C4/C$106</f>
        <v>0.1880596629426953</v>
      </c>
      <c r="E4" s="172">
        <f>D4</f>
        <v>0.1880596629426953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16'!U4</f>
        <v>305</v>
      </c>
      <c r="K4" s="172">
        <f t="shared" ref="K4:K35" si="2">J4/J$106</f>
        <v>0.15844155844155844</v>
      </c>
      <c r="L4" s="172">
        <f>K4</f>
        <v>0.15844155844155844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135</v>
      </c>
      <c r="C5" s="171">
        <f>'Юнит 16'!AO16</f>
        <v>99211.410251114256</v>
      </c>
      <c r="D5" s="172">
        <f t="shared" si="0"/>
        <v>0.11782279753515738</v>
      </c>
      <c r="E5" s="172">
        <f>E4+D5</f>
        <v>0.30588246047785267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16'!U13</f>
        <v>181</v>
      </c>
      <c r="K5" s="172">
        <f t="shared" si="2"/>
        <v>9.4025974025974027E-2</v>
      </c>
      <c r="L5" s="172">
        <f>L4+K5</f>
        <v>0.25246753246753245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16'!AO13</f>
        <v>77693.478202260187</v>
      </c>
      <c r="D6" s="172">
        <f t="shared" si="0"/>
        <v>9.2268247461226416E-2</v>
      </c>
      <c r="E6" s="172">
        <f t="shared" ref="E6:E69" si="5">E5+D6</f>
        <v>0.39815070793907908</v>
      </c>
      <c r="F6" s="173" t="str">
        <f t="shared" si="3"/>
        <v>A</v>
      </c>
      <c r="G6" s="173" t="str">
        <f t="shared" si="1"/>
        <v>A</v>
      </c>
      <c r="I6" s="182" t="s">
        <v>135</v>
      </c>
      <c r="J6" s="171">
        <f>'Юнит 16'!U16</f>
        <v>168</v>
      </c>
      <c r="K6" s="172">
        <f t="shared" si="2"/>
        <v>8.727272727272728E-2</v>
      </c>
      <c r="L6" s="172">
        <f t="shared" ref="L6:L69" si="6">L5+K6</f>
        <v>0.33974025974025973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'Юнит 16'!AO9</f>
        <v>61411.886587613997</v>
      </c>
      <c r="D7" s="172">
        <f t="shared" si="0"/>
        <v>7.2932339751548142E-2</v>
      </c>
      <c r="E7" s="172">
        <f t="shared" si="5"/>
        <v>0.47108304769062725</v>
      </c>
      <c r="F7" s="173" t="str">
        <f t="shared" si="3"/>
        <v>A</v>
      </c>
      <c r="G7" s="173" t="str">
        <f t="shared" si="1"/>
        <v>A</v>
      </c>
      <c r="I7" s="182" t="s">
        <v>128</v>
      </c>
      <c r="J7" s="171">
        <f>'Юнит 16'!U9</f>
        <v>166</v>
      </c>
      <c r="K7" s="172">
        <f t="shared" si="2"/>
        <v>8.6233766233766232E-2</v>
      </c>
      <c r="L7" s="172">
        <f t="shared" si="6"/>
        <v>0.42597402597402595</v>
      </c>
      <c r="M7" s="173" t="str">
        <f t="shared" si="4"/>
        <v>A</v>
      </c>
    </row>
    <row r="8" spans="2:17" ht="15" outlineLevel="1" thickBot="1">
      <c r="B8" s="182" t="s">
        <v>124</v>
      </c>
      <c r="C8" s="171">
        <f>'Юнит 16'!AO5</f>
        <v>58503.347302026326</v>
      </c>
      <c r="D8" s="172">
        <f t="shared" si="0"/>
        <v>6.94781782342241E-2</v>
      </c>
      <c r="E8" s="172">
        <f t="shared" si="5"/>
        <v>0.54056122592485134</v>
      </c>
      <c r="F8" s="173" t="str">
        <f t="shared" si="3"/>
        <v>A</v>
      </c>
      <c r="G8" s="173" t="str">
        <f t="shared" si="1"/>
        <v>A</v>
      </c>
      <c r="I8" s="182" t="s">
        <v>129</v>
      </c>
      <c r="J8" s="171">
        <f>'Юнит 16'!U10</f>
        <v>139</v>
      </c>
      <c r="K8" s="172">
        <f t="shared" si="2"/>
        <v>7.2207792207792207E-2</v>
      </c>
      <c r="L8" s="172">
        <f t="shared" si="6"/>
        <v>0.49818181818181817</v>
      </c>
      <c r="M8" s="173" t="str">
        <f>_xlfn.IFS(L8&lt;80%,"A",L8&lt;=95%,"B",L8&gt;95%,"C")</f>
        <v>A</v>
      </c>
    </row>
    <row r="9" spans="2:17" ht="15" outlineLevel="1" thickBot="1">
      <c r="B9" s="182" t="s">
        <v>126</v>
      </c>
      <c r="C9" s="171">
        <f>'Юнит 16'!AO7</f>
        <v>57203.083550424184</v>
      </c>
      <c r="D9" s="172">
        <f t="shared" si="0"/>
        <v>6.7933993826810105E-2</v>
      </c>
      <c r="E9" s="172">
        <f t="shared" si="5"/>
        <v>0.60849521975166143</v>
      </c>
      <c r="F9" s="173" t="str">
        <f t="shared" si="3"/>
        <v>A</v>
      </c>
      <c r="G9" s="173" t="str">
        <f t="shared" si="1"/>
        <v>A</v>
      </c>
      <c r="I9" s="182" t="s">
        <v>126</v>
      </c>
      <c r="J9" s="171">
        <f>'Юнит 16'!U7</f>
        <v>118</v>
      </c>
      <c r="K9" s="172">
        <f t="shared" si="2"/>
        <v>6.1298701298701297E-2</v>
      </c>
      <c r="L9" s="172">
        <f t="shared" si="6"/>
        <v>0.55948051948051947</v>
      </c>
      <c r="M9" s="173" t="str">
        <f t="shared" si="4"/>
        <v>A</v>
      </c>
    </row>
    <row r="10" spans="2:17" ht="26.5" outlineLevel="1" thickBot="1">
      <c r="B10" s="182" t="s">
        <v>122</v>
      </c>
      <c r="C10" s="171">
        <f>'Юнит 16'!AO3</f>
        <v>51737.748206760407</v>
      </c>
      <c r="D10" s="172">
        <f t="shared" si="0"/>
        <v>6.1443398662117295E-2</v>
      </c>
      <c r="E10" s="172">
        <f t="shared" si="5"/>
        <v>0.66993861841377877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16'!U3</f>
        <v>112</v>
      </c>
      <c r="K10" s="172">
        <f t="shared" si="2"/>
        <v>5.8181818181818182E-2</v>
      </c>
      <c r="L10" s="172">
        <f t="shared" si="6"/>
        <v>0.61766233766233769</v>
      </c>
      <c r="M10" s="173" t="str">
        <f t="shared" si="4"/>
        <v>A</v>
      </c>
    </row>
    <row r="11" spans="2:17" ht="15" outlineLevel="1" thickBot="1">
      <c r="B11" s="182" t="s">
        <v>129</v>
      </c>
      <c r="C11" s="171">
        <f>'Юнит 16'!AO10</f>
        <v>41043.76073721773</v>
      </c>
      <c r="D11" s="172">
        <f t="shared" si="0"/>
        <v>4.8743291715968064E-2</v>
      </c>
      <c r="E11" s="172">
        <f t="shared" si="5"/>
        <v>0.7186819101297468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16'!U5</f>
        <v>109</v>
      </c>
      <c r="K11" s="172">
        <f t="shared" si="2"/>
        <v>5.6623376623376624E-2</v>
      </c>
      <c r="L11" s="172">
        <f t="shared" si="6"/>
        <v>0.67428571428571427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16'!AO11</f>
        <v>33767.008316836764</v>
      </c>
      <c r="D12" s="172">
        <f t="shared" si="0"/>
        <v>4.0101469923797907E-2</v>
      </c>
      <c r="E12" s="172">
        <f t="shared" si="5"/>
        <v>0.75878338005354473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16'!U12</f>
        <v>99</v>
      </c>
      <c r="K12" s="172">
        <f t="shared" si="2"/>
        <v>5.1428571428571428E-2</v>
      </c>
      <c r="L12" s="172">
        <f t="shared" si="6"/>
        <v>0.72571428571428565</v>
      </c>
      <c r="M12" s="173" t="str">
        <f t="shared" si="4"/>
        <v>A</v>
      </c>
    </row>
    <row r="13" spans="2:17" ht="15" outlineLevel="1" thickBot="1">
      <c r="B13" s="182" t="s">
        <v>125</v>
      </c>
      <c r="C13" s="171">
        <f>'Юнит 16'!AO6</f>
        <v>30951.521906497474</v>
      </c>
      <c r="D13" s="172">
        <f t="shared" si="0"/>
        <v>3.6757817369633475E-2</v>
      </c>
      <c r="E13" s="172">
        <f t="shared" si="5"/>
        <v>0.79554119742317819</v>
      </c>
      <c r="F13" s="173" t="str">
        <f t="shared" si="3"/>
        <v>A</v>
      </c>
      <c r="G13" s="173" t="str">
        <f t="shared" si="1"/>
        <v>A</v>
      </c>
      <c r="I13" s="182" t="s">
        <v>130</v>
      </c>
      <c r="J13" s="171">
        <f>'Юнит 16'!U11</f>
        <v>78</v>
      </c>
      <c r="K13" s="172">
        <f t="shared" si="2"/>
        <v>4.0519480519480518E-2</v>
      </c>
      <c r="L13" s="172">
        <f t="shared" si="6"/>
        <v>0.76623376623376616</v>
      </c>
      <c r="M13" s="173" t="str">
        <f t="shared" si="4"/>
        <v>A</v>
      </c>
    </row>
    <row r="14" spans="2:17" ht="15" outlineLevel="1" thickBot="1">
      <c r="B14" s="182" t="s">
        <v>131</v>
      </c>
      <c r="C14" s="171">
        <f>'Юнит 16'!AO12</f>
        <v>30790.725760864476</v>
      </c>
      <c r="D14" s="172">
        <f t="shared" si="0"/>
        <v>3.6566856958291705E-2</v>
      </c>
      <c r="E14" s="172">
        <f t="shared" si="5"/>
        <v>0.83210805438146984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16'!U6</f>
        <v>63</v>
      </c>
      <c r="K14" s="172">
        <f t="shared" si="2"/>
        <v>3.272727272727273E-2</v>
      </c>
      <c r="L14" s="172">
        <f t="shared" si="6"/>
        <v>0.79896103896103887</v>
      </c>
      <c r="M14" s="173" t="str">
        <f t="shared" si="4"/>
        <v>A</v>
      </c>
    </row>
    <row r="15" spans="2:17" ht="15" outlineLevel="1" thickBot="1">
      <c r="B15" s="182" t="s">
        <v>134</v>
      </c>
      <c r="C15" s="171">
        <f>'Юнит 16'!AO15</f>
        <v>25537.369482115922</v>
      </c>
      <c r="D15" s="172">
        <f t="shared" si="0"/>
        <v>3.0328006692537244E-2</v>
      </c>
      <c r="E15" s="172">
        <f t="shared" si="5"/>
        <v>0.86243606107400705</v>
      </c>
      <c r="F15" s="173" t="str">
        <f t="shared" si="3"/>
        <v>B</v>
      </c>
      <c r="G15" s="173" t="str">
        <f t="shared" si="1"/>
        <v>B</v>
      </c>
      <c r="I15" s="182" t="s">
        <v>134</v>
      </c>
      <c r="J15" s="171">
        <f>'Юнит 16'!U15</f>
        <v>55</v>
      </c>
      <c r="K15" s="172">
        <f t="shared" si="2"/>
        <v>2.8571428571428571E-2</v>
      </c>
      <c r="L15" s="172">
        <f t="shared" si="6"/>
        <v>0.82753246753246745</v>
      </c>
      <c r="M15" s="173" t="str">
        <f t="shared" si="4"/>
        <v>B</v>
      </c>
    </row>
    <row r="16" spans="2:17" ht="26.5" outlineLevel="1" thickBot="1">
      <c r="B16" s="182" t="s">
        <v>167</v>
      </c>
      <c r="C16" s="171">
        <f>'Юнит 16'!AO48</f>
        <v>19712.980643660703</v>
      </c>
      <c r="D16" s="172">
        <f t="shared" si="0"/>
        <v>2.3411002034077283E-2</v>
      </c>
      <c r="E16" s="172">
        <f t="shared" si="5"/>
        <v>0.88584706310808436</v>
      </c>
      <c r="F16" s="173" t="str">
        <f t="shared" si="3"/>
        <v>B</v>
      </c>
      <c r="G16" s="173" t="str">
        <f t="shared" si="1"/>
        <v>B</v>
      </c>
      <c r="I16" s="182" t="s">
        <v>167</v>
      </c>
      <c r="J16" s="171">
        <f>'Юнит 16'!U48</f>
        <v>41</v>
      </c>
      <c r="K16" s="172">
        <f t="shared" si="2"/>
        <v>2.12987012987013E-2</v>
      </c>
      <c r="L16" s="172">
        <f t="shared" si="6"/>
        <v>0.84883116883116871</v>
      </c>
      <c r="M16" s="173" t="str">
        <f t="shared" si="4"/>
        <v>B</v>
      </c>
    </row>
    <row r="17" spans="2:13" ht="15" outlineLevel="1" thickBot="1">
      <c r="B17" s="182" t="s">
        <v>169</v>
      </c>
      <c r="C17" s="171">
        <f>'Юнит 16'!AO50</f>
        <v>16703.1791131024</v>
      </c>
      <c r="D17" s="172">
        <f t="shared" si="0"/>
        <v>1.9836582161822772E-2</v>
      </c>
      <c r="E17" s="172">
        <f t="shared" si="5"/>
        <v>0.90568364526990719</v>
      </c>
      <c r="F17" s="173" t="str">
        <f t="shared" si="3"/>
        <v>B</v>
      </c>
      <c r="G17" s="173" t="str">
        <f t="shared" si="1"/>
        <v>B</v>
      </c>
      <c r="I17" s="182" t="s">
        <v>147</v>
      </c>
      <c r="J17" s="171">
        <f>'Юнит 16'!U28</f>
        <v>32</v>
      </c>
      <c r="K17" s="172">
        <f t="shared" si="2"/>
        <v>1.6623376623376623E-2</v>
      </c>
      <c r="L17" s="172">
        <f t="shared" si="6"/>
        <v>0.86545454545454537</v>
      </c>
      <c r="M17" s="173" t="str">
        <f t="shared" si="4"/>
        <v>B</v>
      </c>
    </row>
    <row r="18" spans="2:13" ht="15" outlineLevel="1" thickBot="1">
      <c r="B18" s="182" t="s">
        <v>127</v>
      </c>
      <c r="C18" s="171">
        <f>'Юнит 16'!AO8</f>
        <v>13986.896294749575</v>
      </c>
      <c r="D18" s="172">
        <f t="shared" si="0"/>
        <v>1.6610743120275457E-2</v>
      </c>
      <c r="E18" s="172">
        <f t="shared" si="5"/>
        <v>0.92229438839018263</v>
      </c>
      <c r="F18" s="173" t="str">
        <f t="shared" si="3"/>
        <v>B</v>
      </c>
      <c r="G18" s="173" t="str">
        <f t="shared" si="1"/>
        <v>B</v>
      </c>
      <c r="I18" s="182" t="s">
        <v>169</v>
      </c>
      <c r="J18" s="171">
        <f>'Юнит 16'!U50</f>
        <v>32</v>
      </c>
      <c r="K18" s="172">
        <f t="shared" si="2"/>
        <v>1.6623376623376623E-2</v>
      </c>
      <c r="L18" s="172">
        <f t="shared" si="6"/>
        <v>0.88207792207792202</v>
      </c>
      <c r="M18" s="173" t="str">
        <f t="shared" si="4"/>
        <v>B</v>
      </c>
    </row>
    <row r="19" spans="2:13" ht="15" outlineLevel="1" thickBot="1">
      <c r="B19" s="182" t="s">
        <v>147</v>
      </c>
      <c r="C19" s="171">
        <f>'Юнит 16'!AO28</f>
        <v>12084.527337570167</v>
      </c>
      <c r="D19" s="172">
        <f t="shared" si="0"/>
        <v>1.4351502656788544E-2</v>
      </c>
      <c r="E19" s="172">
        <f t="shared" si="5"/>
        <v>0.93664589104697116</v>
      </c>
      <c r="F19" s="173" t="str">
        <f t="shared" si="3"/>
        <v>B</v>
      </c>
      <c r="G19" s="173" t="str">
        <f t="shared" si="1"/>
        <v>B</v>
      </c>
      <c r="I19" s="182" t="s">
        <v>127</v>
      </c>
      <c r="J19" s="171">
        <f>'Юнит 16'!U8</f>
        <v>29</v>
      </c>
      <c r="K19" s="172">
        <f t="shared" si="2"/>
        <v>1.5064935064935066E-2</v>
      </c>
      <c r="L19" s="172">
        <f t="shared" si="6"/>
        <v>0.89714285714285713</v>
      </c>
      <c r="M19" s="173" t="str">
        <f t="shared" si="4"/>
        <v>B</v>
      </c>
    </row>
    <row r="20" spans="2:13" ht="26.5" outlineLevel="1" thickBot="1">
      <c r="B20" s="182" t="s">
        <v>164</v>
      </c>
      <c r="C20" s="171">
        <f>'Юнит 16'!AO45</f>
        <v>10449.953982867186</v>
      </c>
      <c r="D20" s="172">
        <f t="shared" si="0"/>
        <v>1.2410294433459521E-2</v>
      </c>
      <c r="E20" s="172">
        <f t="shared" si="5"/>
        <v>0.94905618548043069</v>
      </c>
      <c r="F20" s="173" t="str">
        <f t="shared" si="3"/>
        <v>B</v>
      </c>
      <c r="G20" s="173" t="str">
        <f t="shared" si="1"/>
        <v>C</v>
      </c>
      <c r="I20" s="182" t="s">
        <v>137</v>
      </c>
      <c r="J20" s="171">
        <f>'Юнит 16'!U18</f>
        <v>29</v>
      </c>
      <c r="K20" s="172">
        <f t="shared" si="2"/>
        <v>1.5064935064935066E-2</v>
      </c>
      <c r="L20" s="172">
        <f t="shared" si="6"/>
        <v>0.91220779220779225</v>
      </c>
      <c r="M20" s="173" t="str">
        <f t="shared" si="4"/>
        <v>B</v>
      </c>
    </row>
    <row r="21" spans="2:13" ht="26.5" outlineLevel="1" thickBot="1">
      <c r="B21" s="182" t="s">
        <v>137</v>
      </c>
      <c r="C21" s="171">
        <f>'Юнит 16'!AO18</f>
        <v>9493.4544023656636</v>
      </c>
      <c r="D21" s="172">
        <f t="shared" si="0"/>
        <v>1.1274362022755498E-2</v>
      </c>
      <c r="E21" s="172">
        <f t="shared" si="5"/>
        <v>0.96033054750318614</v>
      </c>
      <c r="F21" s="173" t="str">
        <f t="shared" si="3"/>
        <v>C</v>
      </c>
      <c r="G21" s="173" t="str">
        <f t="shared" si="1"/>
        <v>B</v>
      </c>
      <c r="I21" s="182" t="s">
        <v>168</v>
      </c>
      <c r="J21" s="171">
        <f>'Юнит 16'!U49</f>
        <v>25</v>
      </c>
      <c r="K21" s="172">
        <f t="shared" si="2"/>
        <v>1.2987012987012988E-2</v>
      </c>
      <c r="L21" s="172">
        <f t="shared" si="6"/>
        <v>0.92519480519480524</v>
      </c>
      <c r="M21" s="173" t="str">
        <f t="shared" si="4"/>
        <v>B</v>
      </c>
    </row>
    <row r="22" spans="2:13" ht="15" outlineLevel="1" thickBot="1">
      <c r="B22" s="182" t="s">
        <v>168</v>
      </c>
      <c r="C22" s="171">
        <f>'Юнит 16'!AO49</f>
        <v>8440.6416316758896</v>
      </c>
      <c r="D22" s="172">
        <f t="shared" si="0"/>
        <v>1.0024048720994766E-2</v>
      </c>
      <c r="E22" s="172">
        <f t="shared" si="5"/>
        <v>0.97035459622418085</v>
      </c>
      <c r="F22" s="173" t="str">
        <f t="shared" si="3"/>
        <v>C</v>
      </c>
      <c r="G22" s="173" t="str">
        <f t="shared" si="1"/>
        <v>B</v>
      </c>
      <c r="I22" s="182" t="s">
        <v>133</v>
      </c>
      <c r="J22" s="171">
        <f>'Юнит 16'!U14</f>
        <v>24</v>
      </c>
      <c r="K22" s="172">
        <f t="shared" si="2"/>
        <v>1.2467532467532468E-2</v>
      </c>
      <c r="L22" s="172">
        <f t="shared" si="6"/>
        <v>0.93766233766233775</v>
      </c>
      <c r="M22" s="173" t="str">
        <f t="shared" si="4"/>
        <v>B</v>
      </c>
    </row>
    <row r="23" spans="2:13" ht="26.5" outlineLevel="1" thickBot="1">
      <c r="B23" s="182" t="s">
        <v>136</v>
      </c>
      <c r="C23" s="171">
        <f>'Юнит 16'!AO17</f>
        <v>8153.919048161204</v>
      </c>
      <c r="D23" s="172">
        <f t="shared" si="0"/>
        <v>9.6835389266001371E-3</v>
      </c>
      <c r="E23" s="172">
        <f t="shared" si="5"/>
        <v>0.98003813515078098</v>
      </c>
      <c r="F23" s="173" t="str">
        <f t="shared" si="3"/>
        <v>C</v>
      </c>
      <c r="G23" s="173" t="str">
        <f t="shared" si="1"/>
        <v>B</v>
      </c>
      <c r="I23" s="182" t="s">
        <v>136</v>
      </c>
      <c r="J23" s="171">
        <f>'Юнит 16'!U17</f>
        <v>20</v>
      </c>
      <c r="K23" s="172">
        <f t="shared" si="2"/>
        <v>1.038961038961039E-2</v>
      </c>
      <c r="L23" s="172">
        <f t="shared" si="6"/>
        <v>0.94805194805194815</v>
      </c>
      <c r="M23" s="173" t="str">
        <f t="shared" si="4"/>
        <v>B</v>
      </c>
    </row>
    <row r="24" spans="2:13" ht="15" outlineLevel="1" thickBot="1">
      <c r="B24" s="182" t="s">
        <v>133</v>
      </c>
      <c r="C24" s="171">
        <f>'Юнит 16'!AO14</f>
        <v>7514.0944176742232</v>
      </c>
      <c r="D24" s="172">
        <f t="shared" si="0"/>
        <v>8.9236875374800254E-3</v>
      </c>
      <c r="E24" s="172">
        <f t="shared" si="5"/>
        <v>0.98896182268826105</v>
      </c>
      <c r="F24" s="173" t="str">
        <f t="shared" si="3"/>
        <v>C</v>
      </c>
      <c r="G24" s="173" t="str">
        <f t="shared" si="1"/>
        <v>B</v>
      </c>
      <c r="I24" s="182" t="s">
        <v>164</v>
      </c>
      <c r="J24" s="171">
        <f>'Юнит 16'!U45</f>
        <v>20</v>
      </c>
      <c r="K24" s="172">
        <f t="shared" si="2"/>
        <v>1.038961038961039E-2</v>
      </c>
      <c r="L24" s="172">
        <f t="shared" si="6"/>
        <v>0.95844155844155854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'Юнит 16'!AO44</f>
        <v>4138.6463204406846</v>
      </c>
      <c r="D25" s="172">
        <f t="shared" si="0"/>
        <v>4.9150282840317782E-3</v>
      </c>
      <c r="E25" s="172">
        <f t="shared" si="5"/>
        <v>0.99387685097229284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16'!U44</f>
        <v>18</v>
      </c>
      <c r="K25" s="172">
        <f t="shared" si="2"/>
        <v>9.3506493506493506E-3</v>
      </c>
      <c r="L25" s="172">
        <f t="shared" si="6"/>
        <v>0.96779220779220787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'Юнит 16'!AO89</f>
        <v>3447.0665105441035</v>
      </c>
      <c r="D26" s="172">
        <f t="shared" si="0"/>
        <v>4.0937127950713501E-3</v>
      </c>
      <c r="E26" s="172">
        <f t="shared" si="5"/>
        <v>0.99797056376736415</v>
      </c>
      <c r="F26" s="173" t="str">
        <f t="shared" si="3"/>
        <v>C</v>
      </c>
      <c r="G26" s="173" t="str">
        <f t="shared" si="1"/>
        <v>C</v>
      </c>
      <c r="I26" s="182" t="s">
        <v>141</v>
      </c>
      <c r="J26" s="171">
        <f>'Юнит 16'!U22</f>
        <v>7</v>
      </c>
      <c r="K26" s="172">
        <f t="shared" si="2"/>
        <v>3.6363636363636364E-3</v>
      </c>
      <c r="L26" s="172">
        <f t="shared" si="6"/>
        <v>0.97142857142857153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16'!AO47</f>
        <v>3301.6032335586347</v>
      </c>
      <c r="D27" s="172">
        <f t="shared" si="0"/>
        <v>3.9209615944818307E-3</v>
      </c>
      <c r="E27" s="172">
        <f>E26+D27</f>
        <v>1.0018915253618459</v>
      </c>
      <c r="F27" s="173" t="str">
        <f t="shared" si="3"/>
        <v>C</v>
      </c>
      <c r="G27" s="173" t="str">
        <f t="shared" si="1"/>
        <v>C</v>
      </c>
      <c r="I27" s="182" t="s">
        <v>166</v>
      </c>
      <c r="J27" s="171">
        <f>'Юнит 16'!U47</f>
        <v>6</v>
      </c>
      <c r="K27" s="172">
        <f t="shared" si="2"/>
        <v>3.1168831168831169E-3</v>
      </c>
      <c r="L27" s="172">
        <f>L26+K27</f>
        <v>0.9745454545454546</v>
      </c>
      <c r="M27" s="173" t="str">
        <f t="shared" si="4"/>
        <v>C</v>
      </c>
    </row>
    <row r="28" spans="2:13" ht="15" outlineLevel="1" thickBot="1">
      <c r="B28" s="182" t="s">
        <v>141</v>
      </c>
      <c r="C28" s="171">
        <f>'Юнит 16'!AO22</f>
        <v>2282.3549611169315</v>
      </c>
      <c r="D28" s="172">
        <f t="shared" si="0"/>
        <v>2.7105092630615242E-3</v>
      </c>
      <c r="E28" s="172">
        <f>E27+D28</f>
        <v>1.0046020346249074</v>
      </c>
      <c r="F28" s="173" t="str">
        <f t="shared" si="3"/>
        <v>C</v>
      </c>
      <c r="G28" s="173" t="str">
        <f t="shared" si="1"/>
        <v>C</v>
      </c>
      <c r="I28" s="182" t="s">
        <v>208</v>
      </c>
      <c r="J28" s="171">
        <f>'Юнит 16'!U89</f>
        <v>6</v>
      </c>
      <c r="K28" s="172">
        <f t="shared" si="2"/>
        <v>3.1168831168831169E-3</v>
      </c>
      <c r="L28" s="172">
        <f t="shared" si="6"/>
        <v>0.97766233766233768</v>
      </c>
      <c r="M28" s="173" t="str">
        <f t="shared" si="4"/>
        <v>C</v>
      </c>
    </row>
    <row r="29" spans="2:13" ht="15" outlineLevel="1" thickBot="1">
      <c r="B29" s="182" t="s">
        <v>259</v>
      </c>
      <c r="C29" s="171">
        <f>'Юнит 16'!AO102</f>
        <v>1901.7490536759035</v>
      </c>
      <c r="D29" s="172">
        <f t="shared" si="0"/>
        <v>2.258504270293009E-3</v>
      </c>
      <c r="E29" s="172">
        <f t="shared" si="5"/>
        <v>1.0068605388952003</v>
      </c>
      <c r="F29" s="173" t="str">
        <f t="shared" si="3"/>
        <v>C</v>
      </c>
      <c r="G29" s="173" t="str">
        <f t="shared" si="1"/>
        <v>C</v>
      </c>
      <c r="I29" s="182" t="s">
        <v>145</v>
      </c>
      <c r="J29" s="171">
        <f>'Юнит 16'!U26</f>
        <v>5</v>
      </c>
      <c r="K29" s="172">
        <f t="shared" si="2"/>
        <v>2.5974025974025974E-3</v>
      </c>
      <c r="L29" s="172">
        <f t="shared" si="6"/>
        <v>0.98025974025974028</v>
      </c>
      <c r="M29" s="173" t="str">
        <f t="shared" si="4"/>
        <v>C</v>
      </c>
    </row>
    <row r="30" spans="2:13" ht="15" outlineLevel="1" thickBot="1">
      <c r="B30" s="182" t="s">
        <v>257</v>
      </c>
      <c r="C30" s="171">
        <f>'Юнит 16'!AO100</f>
        <v>957.73960544102738</v>
      </c>
      <c r="D30" s="172">
        <f t="shared" si="0"/>
        <v>1.1374050559069876E-3</v>
      </c>
      <c r="E30" s="172">
        <f t="shared" si="5"/>
        <v>1.0079979439511073</v>
      </c>
      <c r="F30" s="173" t="str">
        <f t="shared" si="3"/>
        <v>C</v>
      </c>
      <c r="G30" s="173" t="str">
        <f t="shared" si="1"/>
        <v>C</v>
      </c>
      <c r="I30" s="182" t="s">
        <v>259</v>
      </c>
      <c r="J30" s="171">
        <f>'Юнит 16'!U102</f>
        <v>5</v>
      </c>
      <c r="K30" s="172">
        <f t="shared" si="2"/>
        <v>2.5974025974025974E-3</v>
      </c>
      <c r="L30" s="172">
        <f t="shared" si="6"/>
        <v>0.98285714285714287</v>
      </c>
      <c r="M30" s="173" t="str">
        <f t="shared" si="4"/>
        <v>C</v>
      </c>
    </row>
    <row r="31" spans="2:13" ht="15" outlineLevel="1" thickBot="1">
      <c r="B31" s="182" t="s">
        <v>139</v>
      </c>
      <c r="C31" s="171">
        <f>'Юнит 16'!AO20</f>
        <v>894.56625180804383</v>
      </c>
      <c r="D31" s="172">
        <f t="shared" si="0"/>
        <v>1.0623808098462143E-3</v>
      </c>
      <c r="E31" s="172">
        <f t="shared" si="5"/>
        <v>1.0090603247609535</v>
      </c>
      <c r="F31" s="173" t="str">
        <f t="shared" si="3"/>
        <v>C</v>
      </c>
      <c r="G31" s="173" t="str">
        <f t="shared" si="1"/>
        <v>C</v>
      </c>
      <c r="I31" s="182" t="s">
        <v>139</v>
      </c>
      <c r="J31" s="171">
        <f>'Юнит 16'!U20</f>
        <v>4</v>
      </c>
      <c r="K31" s="172">
        <f t="shared" si="2"/>
        <v>2.0779220779220779E-3</v>
      </c>
      <c r="L31" s="172">
        <f t="shared" si="6"/>
        <v>0.984935064935065</v>
      </c>
      <c r="M31" s="173" t="str">
        <f t="shared" si="4"/>
        <v>C</v>
      </c>
    </row>
    <row r="32" spans="2:13" ht="15" outlineLevel="1" thickBot="1">
      <c r="B32" s="182" t="s">
        <v>171</v>
      </c>
      <c r="C32" s="171">
        <f>'Юнит 16'!AO52</f>
        <v>676.14857380871888</v>
      </c>
      <c r="D32" s="172">
        <f t="shared" si="0"/>
        <v>8.0298945770358472E-4</v>
      </c>
      <c r="E32" s="172">
        <f t="shared" si="5"/>
        <v>1.009863314218657</v>
      </c>
      <c r="F32" s="173" t="str">
        <f t="shared" si="3"/>
        <v>C</v>
      </c>
      <c r="G32" s="173" t="str">
        <f t="shared" si="1"/>
        <v>C</v>
      </c>
      <c r="I32" s="182" t="s">
        <v>140</v>
      </c>
      <c r="J32" s="171">
        <f>'Юнит 16'!U21</f>
        <v>2</v>
      </c>
      <c r="K32" s="172">
        <f t="shared" si="2"/>
        <v>1.038961038961039E-3</v>
      </c>
      <c r="L32" s="172">
        <f t="shared" si="6"/>
        <v>0.98597402597402606</v>
      </c>
      <c r="M32" s="173" t="str">
        <f t="shared" si="4"/>
        <v>C</v>
      </c>
    </row>
    <row r="33" spans="2:13" ht="15" outlineLevel="1" thickBot="1">
      <c r="B33" s="182" t="s">
        <v>145</v>
      </c>
      <c r="C33" s="171">
        <f>'Юнит 16'!AO26</f>
        <v>516.79116177762739</v>
      </c>
      <c r="D33" s="172">
        <f t="shared" si="0"/>
        <v>6.1373767662374601E-4</v>
      </c>
      <c r="E33" s="172">
        <f t="shared" si="5"/>
        <v>1.0104770518952808</v>
      </c>
      <c r="F33" s="173" t="str">
        <f t="shared" si="3"/>
        <v>C</v>
      </c>
      <c r="G33" s="173" t="str">
        <f t="shared" si="1"/>
        <v>C</v>
      </c>
      <c r="I33" s="182" t="s">
        <v>146</v>
      </c>
      <c r="J33" s="171">
        <f>'Юнит 16'!U27</f>
        <v>2</v>
      </c>
      <c r="K33" s="172">
        <f t="shared" si="2"/>
        <v>1.038961038961039E-3</v>
      </c>
      <c r="L33" s="172">
        <f t="shared" si="6"/>
        <v>0.98701298701298712</v>
      </c>
      <c r="M33" s="173" t="str">
        <f t="shared" si="4"/>
        <v>C</v>
      </c>
    </row>
    <row r="34" spans="2:13" ht="15" outlineLevel="1" thickBot="1">
      <c r="B34" s="182" t="s">
        <v>179</v>
      </c>
      <c r="C34" s="171">
        <f>'Юнит 16'!AO60</f>
        <v>379.49816677931733</v>
      </c>
      <c r="D34" s="172">
        <f t="shared" si="0"/>
        <v>4.5068944747613557E-4</v>
      </c>
      <c r="E34" s="172">
        <f t="shared" si="5"/>
        <v>1.0109277413427569</v>
      </c>
      <c r="F34" s="173" t="str">
        <f t="shared" si="3"/>
        <v>C</v>
      </c>
      <c r="G34" s="173" t="str">
        <f t="shared" si="1"/>
        <v>C</v>
      </c>
      <c r="I34" s="182" t="s">
        <v>171</v>
      </c>
      <c r="J34" s="171">
        <f>'Юнит 16'!U52</f>
        <v>2</v>
      </c>
      <c r="K34" s="172">
        <f t="shared" si="2"/>
        <v>1.038961038961039E-3</v>
      </c>
      <c r="L34" s="172">
        <f t="shared" si="6"/>
        <v>0.98805194805194818</v>
      </c>
      <c r="M34" s="173" t="str">
        <f t="shared" si="4"/>
        <v>C</v>
      </c>
    </row>
    <row r="35" spans="2:13" ht="26.5" outlineLevel="1" thickBot="1">
      <c r="B35" s="182" t="s">
        <v>200</v>
      </c>
      <c r="C35" s="171">
        <f>'Юнит 16'!AO81</f>
        <v>378.2549456911118</v>
      </c>
      <c r="D35" s="172">
        <f t="shared" si="0"/>
        <v>4.4921300654866239E-4</v>
      </c>
      <c r="E35" s="172">
        <f t="shared" si="5"/>
        <v>1.0113769543493056</v>
      </c>
      <c r="F35" s="173" t="str">
        <f t="shared" si="3"/>
        <v>C</v>
      </c>
      <c r="G35" s="173" t="str">
        <f t="shared" si="1"/>
        <v>C</v>
      </c>
      <c r="I35" s="182" t="s">
        <v>194</v>
      </c>
      <c r="J35" s="171">
        <f>'Юнит 16'!U75</f>
        <v>2</v>
      </c>
      <c r="K35" s="172">
        <f t="shared" si="2"/>
        <v>1.038961038961039E-3</v>
      </c>
      <c r="L35" s="172">
        <f t="shared" si="6"/>
        <v>0.98909090909090924</v>
      </c>
      <c r="M35" s="173" t="str">
        <f t="shared" si="4"/>
        <v>C</v>
      </c>
    </row>
    <row r="36" spans="2:13" ht="15" outlineLevel="1" thickBot="1">
      <c r="B36" s="182" t="s">
        <v>202</v>
      </c>
      <c r="C36" s="171">
        <f>'Юнит 16'!AO83</f>
        <v>303.24024058803667</v>
      </c>
      <c r="D36" s="172">
        <f t="shared" ref="D36:D67" si="7">C36/C$106</f>
        <v>3.6012605184105212E-4</v>
      </c>
      <c r="E36" s="172">
        <f t="shared" si="5"/>
        <v>1.0117370804011467</v>
      </c>
      <c r="F36" s="173" t="str">
        <f t="shared" si="3"/>
        <v>C</v>
      </c>
      <c r="G36" s="173" t="str">
        <f t="shared" si="1"/>
        <v>C</v>
      </c>
      <c r="I36" s="182" t="s">
        <v>197</v>
      </c>
      <c r="J36" s="171">
        <f>'Юнит 16'!U78</f>
        <v>2</v>
      </c>
      <c r="K36" s="172">
        <f t="shared" ref="K36:K67" si="8">J36/J$106</f>
        <v>1.038961038961039E-3</v>
      </c>
      <c r="L36" s="172">
        <f t="shared" si="6"/>
        <v>0.9901298701298703</v>
      </c>
      <c r="M36" s="173" t="str">
        <f t="shared" si="4"/>
        <v>C</v>
      </c>
    </row>
    <row r="37" spans="2:13" ht="26.5" outlineLevel="1" thickBot="1">
      <c r="B37" s="182" t="s">
        <v>206</v>
      </c>
      <c r="C37" s="171">
        <f>'Юнит 16'!AO87</f>
        <v>289.30564754410295</v>
      </c>
      <c r="D37" s="172">
        <f t="shared" si="7"/>
        <v>3.4357742370649965E-4</v>
      </c>
      <c r="E37" s="172">
        <f t="shared" si="5"/>
        <v>1.0120806578248533</v>
      </c>
      <c r="F37" s="173" t="str">
        <f t="shared" si="3"/>
        <v>C</v>
      </c>
      <c r="G37" s="173" t="str">
        <f t="shared" si="1"/>
        <v>C</v>
      </c>
      <c r="I37" s="182" t="s">
        <v>198</v>
      </c>
      <c r="J37" s="171">
        <f>'Юнит 16'!U79</f>
        <v>2</v>
      </c>
      <c r="K37" s="172">
        <f t="shared" si="8"/>
        <v>1.038961038961039E-3</v>
      </c>
      <c r="L37" s="172">
        <f t="shared" si="6"/>
        <v>0.99116883116883137</v>
      </c>
      <c r="M37" s="173" t="str">
        <f t="shared" si="4"/>
        <v>C</v>
      </c>
    </row>
    <row r="38" spans="2:13" ht="26.5" outlineLevel="1" thickBot="1">
      <c r="B38" s="182" t="s">
        <v>188</v>
      </c>
      <c r="C38" s="171">
        <f>'Юнит 16'!AO69</f>
        <v>287.7056035147009</v>
      </c>
      <c r="D38" s="172">
        <f t="shared" si="7"/>
        <v>3.416772222755714E-4</v>
      </c>
      <c r="E38" s="172">
        <f t="shared" si="5"/>
        <v>1.0124223350471289</v>
      </c>
      <c r="F38" s="173" t="str">
        <f t="shared" si="3"/>
        <v>C</v>
      </c>
      <c r="G38" s="173" t="str">
        <f t="shared" si="1"/>
        <v>C</v>
      </c>
      <c r="I38" s="182" t="s">
        <v>199</v>
      </c>
      <c r="J38" s="171">
        <f>'Юнит 16'!U80</f>
        <v>2</v>
      </c>
      <c r="K38" s="172">
        <f t="shared" si="8"/>
        <v>1.038961038961039E-3</v>
      </c>
      <c r="L38" s="172">
        <f t="shared" si="6"/>
        <v>0.99220779220779243</v>
      </c>
      <c r="M38" s="173" t="str">
        <f t="shared" si="4"/>
        <v>C</v>
      </c>
    </row>
    <row r="39" spans="2:13" ht="26.5" outlineLevel="1" thickBot="1">
      <c r="B39" s="182" t="s">
        <v>143</v>
      </c>
      <c r="C39" s="171">
        <f>'Юнит 16'!AO24</f>
        <v>269.29608786752271</v>
      </c>
      <c r="D39" s="172">
        <f t="shared" si="7"/>
        <v>3.1981420642560342E-4</v>
      </c>
      <c r="E39" s="172">
        <f>E35+D39</f>
        <v>1.0116967685557312</v>
      </c>
      <c r="F39" s="173" t="str">
        <f t="shared" si="3"/>
        <v>C</v>
      </c>
      <c r="G39" s="173" t="str">
        <f t="shared" si="1"/>
        <v>C</v>
      </c>
      <c r="I39" s="182" t="s">
        <v>206</v>
      </c>
      <c r="J39" s="171">
        <f>'Юнит 16'!U87</f>
        <v>2</v>
      </c>
      <c r="K39" s="172">
        <f t="shared" si="8"/>
        <v>1.038961038961039E-3</v>
      </c>
      <c r="L39" s="172">
        <f>L35+K39</f>
        <v>0.9901298701298703</v>
      </c>
      <c r="M39" s="173" t="str">
        <f t="shared" si="4"/>
        <v>C</v>
      </c>
    </row>
    <row r="40" spans="2:13" ht="15" outlineLevel="1" thickBot="1">
      <c r="B40" s="182" t="s">
        <v>180</v>
      </c>
      <c r="C40" s="171">
        <f>'Юнит 16'!AO61</f>
        <v>224.87776729334246</v>
      </c>
      <c r="D40" s="172">
        <f t="shared" si="7"/>
        <v>2.6706331034805699E-4</v>
      </c>
      <c r="E40" s="172">
        <f t="shared" si="5"/>
        <v>1.0119638318660793</v>
      </c>
      <c r="F40" s="173" t="str">
        <f t="shared" si="3"/>
        <v>C</v>
      </c>
      <c r="G40" s="173" t="str">
        <f t="shared" si="1"/>
        <v>C</v>
      </c>
      <c r="I40" s="182" t="s">
        <v>257</v>
      </c>
      <c r="J40" s="171">
        <f>'Юнит 16'!U100</f>
        <v>2</v>
      </c>
      <c r="K40" s="172">
        <f t="shared" si="8"/>
        <v>1.038961038961039E-3</v>
      </c>
      <c r="L40" s="172">
        <f t="shared" si="6"/>
        <v>0.99116883116883137</v>
      </c>
      <c r="M40" s="173" t="str">
        <f t="shared" si="4"/>
        <v>C</v>
      </c>
    </row>
    <row r="41" spans="2:13" ht="15" outlineLevel="1" thickBot="1">
      <c r="B41" s="182" t="s">
        <v>161</v>
      </c>
      <c r="C41" s="171">
        <f>'Юнит 16'!AO42</f>
        <v>207.64038786752283</v>
      </c>
      <c r="D41" s="172">
        <f t="shared" si="7"/>
        <v>2.465923155200984E-4</v>
      </c>
      <c r="E41" s="172">
        <f t="shared" si="5"/>
        <v>1.0122104241815995</v>
      </c>
      <c r="F41" s="173" t="str">
        <f t="shared" si="3"/>
        <v>C</v>
      </c>
      <c r="G41" s="173" t="str">
        <f t="shared" si="1"/>
        <v>C</v>
      </c>
      <c r="I41" s="182" t="s">
        <v>143</v>
      </c>
      <c r="J41" s="171">
        <f>'Юнит 16'!U24</f>
        <v>1</v>
      </c>
      <c r="K41" s="172">
        <f t="shared" si="8"/>
        <v>5.1948051948051948E-4</v>
      </c>
      <c r="L41" s="172">
        <f t="shared" si="6"/>
        <v>0.99168831168831184</v>
      </c>
      <c r="M41" s="173" t="str">
        <f t="shared" si="4"/>
        <v>C</v>
      </c>
    </row>
    <row r="42" spans="2:13" ht="15" outlineLevel="1" thickBot="1">
      <c r="B42" s="182" t="s">
        <v>217</v>
      </c>
      <c r="C42" s="171">
        <f>'Юнит 16'!AO98</f>
        <v>163.70867160290632</v>
      </c>
      <c r="D42" s="172">
        <f t="shared" si="7"/>
        <v>1.9441930741834372E-4</v>
      </c>
      <c r="E42" s="172">
        <f t="shared" si="5"/>
        <v>1.0124048434890178</v>
      </c>
      <c r="F42" s="173" t="str">
        <f t="shared" si="3"/>
        <v>C</v>
      </c>
      <c r="G42" s="173" t="str">
        <f t="shared" si="1"/>
        <v>C</v>
      </c>
      <c r="I42" s="182" t="s">
        <v>152</v>
      </c>
      <c r="J42" s="171">
        <f>'Юнит 16'!U33</f>
        <v>1</v>
      </c>
      <c r="K42" s="172">
        <f t="shared" si="8"/>
        <v>5.1948051948051948E-4</v>
      </c>
      <c r="L42" s="172">
        <f t="shared" si="6"/>
        <v>0.99220779220779232</v>
      </c>
      <c r="M42" s="173" t="str">
        <f t="shared" si="4"/>
        <v>C</v>
      </c>
    </row>
    <row r="43" spans="2:13" ht="26.5" outlineLevel="1" thickBot="1">
      <c r="B43" s="182" t="s">
        <v>196</v>
      </c>
      <c r="C43" s="171">
        <f>'Юнит 16'!AO77</f>
        <v>147.75797732342011</v>
      </c>
      <c r="D43" s="172">
        <f t="shared" si="7"/>
        <v>1.7547637113833061E-4</v>
      </c>
      <c r="E43" s="172">
        <f t="shared" si="5"/>
        <v>1.0125803198601562</v>
      </c>
      <c r="F43" s="173" t="str">
        <f t="shared" si="3"/>
        <v>C</v>
      </c>
      <c r="G43" s="173" t="str">
        <f t="shared" si="1"/>
        <v>C</v>
      </c>
      <c r="I43" s="182" t="s">
        <v>161</v>
      </c>
      <c r="J43" s="171">
        <f>'Юнит 16'!U42</f>
        <v>1</v>
      </c>
      <c r="K43" s="172">
        <f t="shared" si="8"/>
        <v>5.1948051948051948E-4</v>
      </c>
      <c r="L43" s="172">
        <f t="shared" si="6"/>
        <v>0.99272727272727279</v>
      </c>
      <c r="M43" s="173" t="str">
        <f t="shared" si="4"/>
        <v>C</v>
      </c>
    </row>
    <row r="44" spans="2:13" ht="15" outlineLevel="1" thickBot="1">
      <c r="B44" s="182" t="s">
        <v>192</v>
      </c>
      <c r="C44" s="171">
        <f>'Юнит 16'!AO73</f>
        <v>144.1827070294018</v>
      </c>
      <c r="D44" s="172">
        <f t="shared" si="7"/>
        <v>1.7123040440003551E-4</v>
      </c>
      <c r="E44" s="172">
        <f t="shared" si="5"/>
        <v>1.0127515502645561</v>
      </c>
      <c r="F44" s="173" t="str">
        <f t="shared" si="3"/>
        <v>C</v>
      </c>
      <c r="G44" s="173" t="str">
        <f t="shared" si="1"/>
        <v>C</v>
      </c>
      <c r="I44" s="182" t="s">
        <v>162</v>
      </c>
      <c r="J44" s="171">
        <f>'Юнит 16'!U43</f>
        <v>1</v>
      </c>
      <c r="K44" s="172">
        <f t="shared" si="8"/>
        <v>5.1948051948051948E-4</v>
      </c>
      <c r="L44" s="172">
        <f t="shared" si="6"/>
        <v>0.99324675324675327</v>
      </c>
      <c r="M44" s="173" t="str">
        <f t="shared" si="4"/>
        <v>C</v>
      </c>
    </row>
    <row r="45" spans="2:13" ht="15" outlineLevel="1" thickBot="1">
      <c r="B45" s="182" t="s">
        <v>194</v>
      </c>
      <c r="C45" s="171">
        <f>'Юнит 16'!AO75</f>
        <v>126.55779999999999</v>
      </c>
      <c r="D45" s="172">
        <f t="shared" si="7"/>
        <v>1.5029918441994395E-4</v>
      </c>
      <c r="E45" s="172">
        <f t="shared" si="5"/>
        <v>1.0129018494489761</v>
      </c>
      <c r="F45" s="173" t="str">
        <f t="shared" si="3"/>
        <v>C</v>
      </c>
      <c r="G45" s="173" t="str">
        <f t="shared" si="1"/>
        <v>C</v>
      </c>
      <c r="I45" s="182" t="s">
        <v>177</v>
      </c>
      <c r="J45" s="171">
        <f>'Юнит 16'!U58</f>
        <v>1</v>
      </c>
      <c r="K45" s="172">
        <f t="shared" si="8"/>
        <v>5.1948051948051948E-4</v>
      </c>
      <c r="L45" s="172">
        <f t="shared" si="6"/>
        <v>0.99376623376623374</v>
      </c>
      <c r="M45" s="173" t="str">
        <f t="shared" si="4"/>
        <v>C</v>
      </c>
    </row>
    <row r="46" spans="2:13" ht="15" outlineLevel="1" thickBot="1">
      <c r="B46" s="182" t="s">
        <v>162</v>
      </c>
      <c r="C46" s="171">
        <f>'Юнит 16'!AO43</f>
        <v>108.44550702940182</v>
      </c>
      <c r="D46" s="172">
        <f t="shared" si="7"/>
        <v>1.2878914820363814E-4</v>
      </c>
      <c r="E46" s="172">
        <f t="shared" si="5"/>
        <v>1.0130306385971797</v>
      </c>
      <c r="F46" s="173" t="str">
        <f t="shared" si="3"/>
        <v>C</v>
      </c>
      <c r="G46" s="173" t="str">
        <f t="shared" si="1"/>
        <v>C</v>
      </c>
      <c r="I46" s="182" t="s">
        <v>179</v>
      </c>
      <c r="J46" s="171">
        <f>'Юнит 16'!U60</f>
        <v>1</v>
      </c>
      <c r="K46" s="172">
        <f t="shared" si="8"/>
        <v>5.1948051948051948E-4</v>
      </c>
      <c r="L46" s="172">
        <f t="shared" si="6"/>
        <v>0.99428571428571422</v>
      </c>
      <c r="M46" s="173" t="str">
        <f t="shared" si="4"/>
        <v>C</v>
      </c>
    </row>
    <row r="47" spans="2:13" ht="15" outlineLevel="1" thickBot="1">
      <c r="B47" s="182" t="s">
        <v>146</v>
      </c>
      <c r="C47" s="171">
        <f>'Юнит 16'!AO27</f>
        <v>31.522842514700798</v>
      </c>
      <c r="D47" s="172">
        <f t="shared" si="7"/>
        <v>3.7436313846778832E-5</v>
      </c>
      <c r="E47" s="172">
        <f t="shared" si="5"/>
        <v>1.0130680749110264</v>
      </c>
      <c r="F47" s="173" t="str">
        <f t="shared" si="3"/>
        <v>C</v>
      </c>
      <c r="G47" s="173" t="str">
        <f t="shared" si="1"/>
        <v>C</v>
      </c>
      <c r="I47" s="182" t="s">
        <v>180</v>
      </c>
      <c r="J47" s="171">
        <f>'Юнит 16'!U61</f>
        <v>1</v>
      </c>
      <c r="K47" s="172">
        <f t="shared" si="8"/>
        <v>5.1948051948051948E-4</v>
      </c>
      <c r="L47" s="172">
        <f t="shared" si="6"/>
        <v>0.99480519480519469</v>
      </c>
      <c r="M47" s="173" t="str">
        <f t="shared" si="4"/>
        <v>C</v>
      </c>
    </row>
    <row r="48" spans="2:13" ht="26.5" outlineLevel="1" thickBot="1">
      <c r="B48" s="182" t="s">
        <v>138</v>
      </c>
      <c r="C48" s="171">
        <f>'Юнит 16'!AO19</f>
        <v>0</v>
      </c>
      <c r="D48" s="172">
        <f t="shared" si="7"/>
        <v>0</v>
      </c>
      <c r="E48" s="172">
        <f t="shared" si="5"/>
        <v>1.0130680749110264</v>
      </c>
      <c r="F48" s="173" t="str">
        <f t="shared" si="3"/>
        <v>C</v>
      </c>
      <c r="G48" s="173" t="str">
        <f t="shared" si="1"/>
        <v>C</v>
      </c>
      <c r="I48" s="182" t="s">
        <v>188</v>
      </c>
      <c r="J48" s="171">
        <f>'Юнит 16'!U69</f>
        <v>1</v>
      </c>
      <c r="K48" s="172">
        <f t="shared" si="8"/>
        <v>5.1948051948051948E-4</v>
      </c>
      <c r="L48" s="172">
        <f t="shared" si="6"/>
        <v>0.99532467532467517</v>
      </c>
      <c r="M48" s="173" t="str">
        <f t="shared" si="4"/>
        <v>C</v>
      </c>
    </row>
    <row r="49" spans="2:13" ht="15" outlineLevel="1" thickBot="1">
      <c r="B49" s="182" t="s">
        <v>142</v>
      </c>
      <c r="C49" s="171">
        <f>'Юнит 16'!AO23</f>
        <v>0</v>
      </c>
      <c r="D49" s="172">
        <f t="shared" si="7"/>
        <v>0</v>
      </c>
      <c r="E49" s="172">
        <f t="shared" si="5"/>
        <v>1.0130680749110264</v>
      </c>
      <c r="F49" s="173" t="str">
        <f t="shared" si="3"/>
        <v>C</v>
      </c>
      <c r="G49" s="173" t="str">
        <f t="shared" si="1"/>
        <v>C</v>
      </c>
      <c r="I49" s="182" t="s">
        <v>192</v>
      </c>
      <c r="J49" s="171">
        <f>'Юнит 16'!U73</f>
        <v>1</v>
      </c>
      <c r="K49" s="172">
        <f t="shared" si="8"/>
        <v>5.1948051948051948E-4</v>
      </c>
      <c r="L49" s="172">
        <f t="shared" si="6"/>
        <v>0.99584415584415564</v>
      </c>
      <c r="M49" s="173" t="str">
        <f t="shared" si="4"/>
        <v>C</v>
      </c>
    </row>
    <row r="50" spans="2:13" ht="26.5" outlineLevel="1" thickBot="1">
      <c r="B50" s="182" t="s">
        <v>144</v>
      </c>
      <c r="C50" s="171">
        <f>'Юнит 16'!AO25</f>
        <v>0</v>
      </c>
      <c r="D50" s="172">
        <f t="shared" si="7"/>
        <v>0</v>
      </c>
      <c r="E50" s="172">
        <f t="shared" si="5"/>
        <v>1.0130680749110264</v>
      </c>
      <c r="F50" s="173" t="str">
        <f t="shared" si="3"/>
        <v>C</v>
      </c>
      <c r="G50" s="173" t="str">
        <f t="shared" si="1"/>
        <v>C</v>
      </c>
      <c r="I50" s="182" t="s">
        <v>196</v>
      </c>
      <c r="J50" s="171">
        <f>'Юнит 16'!U77</f>
        <v>1</v>
      </c>
      <c r="K50" s="172">
        <f t="shared" si="8"/>
        <v>5.1948051948051948E-4</v>
      </c>
      <c r="L50" s="172">
        <f t="shared" si="6"/>
        <v>0.99636363636363612</v>
      </c>
      <c r="M50" s="173" t="str">
        <f t="shared" si="4"/>
        <v>C</v>
      </c>
    </row>
    <row r="51" spans="2:13" ht="26.5" outlineLevel="1" thickBot="1">
      <c r="B51" s="182" t="s">
        <v>148</v>
      </c>
      <c r="C51" s="171">
        <f>'Юнит 16'!AO29</f>
        <v>0</v>
      </c>
      <c r="D51" s="172">
        <f t="shared" si="7"/>
        <v>0</v>
      </c>
      <c r="E51" s="172">
        <f t="shared" si="5"/>
        <v>1.0130680749110264</v>
      </c>
      <c r="F51" s="173" t="str">
        <f t="shared" si="3"/>
        <v>C</v>
      </c>
      <c r="G51" s="173" t="str">
        <f t="shared" si="1"/>
        <v>C</v>
      </c>
      <c r="I51" s="182" t="s">
        <v>200</v>
      </c>
      <c r="J51" s="171">
        <f>'Юнит 16'!U81</f>
        <v>1</v>
      </c>
      <c r="K51" s="172">
        <f t="shared" si="8"/>
        <v>5.1948051948051948E-4</v>
      </c>
      <c r="L51" s="172">
        <f t="shared" si="6"/>
        <v>0.99688311688311659</v>
      </c>
      <c r="M51" s="173" t="str">
        <f t="shared" si="4"/>
        <v>C</v>
      </c>
    </row>
    <row r="52" spans="2:13" ht="15" outlineLevel="1" thickBot="1">
      <c r="B52" s="182" t="s">
        <v>149</v>
      </c>
      <c r="C52" s="171">
        <f>'Юнит 16'!AO30</f>
        <v>0</v>
      </c>
      <c r="D52" s="172">
        <f t="shared" si="7"/>
        <v>0</v>
      </c>
      <c r="E52" s="172">
        <f t="shared" si="5"/>
        <v>1.0130680749110264</v>
      </c>
      <c r="F52" s="173" t="str">
        <f t="shared" si="3"/>
        <v>C</v>
      </c>
      <c r="G52" s="173" t="str">
        <f t="shared" si="1"/>
        <v>C</v>
      </c>
      <c r="I52" s="182" t="s">
        <v>202</v>
      </c>
      <c r="J52" s="171">
        <f>'Юнит 16'!U83</f>
        <v>1</v>
      </c>
      <c r="K52" s="172">
        <f t="shared" si="8"/>
        <v>5.1948051948051948E-4</v>
      </c>
      <c r="L52" s="172">
        <f t="shared" si="6"/>
        <v>0.99740259740259707</v>
      </c>
      <c r="M52" s="173" t="str">
        <f t="shared" si="4"/>
        <v>C</v>
      </c>
    </row>
    <row r="53" spans="2:13" ht="15" outlineLevel="1" thickBot="1">
      <c r="B53" s="182" t="s">
        <v>150</v>
      </c>
      <c r="C53" s="171">
        <f>'Юнит 16'!AO31</f>
        <v>0</v>
      </c>
      <c r="D53" s="172">
        <f t="shared" si="7"/>
        <v>0</v>
      </c>
      <c r="E53" s="172">
        <f t="shared" si="5"/>
        <v>1.0130680749110264</v>
      </c>
      <c r="F53" s="173" t="str">
        <f t="shared" si="3"/>
        <v>C</v>
      </c>
      <c r="G53" s="173" t="str">
        <f t="shared" si="1"/>
        <v>C</v>
      </c>
      <c r="I53" s="182" t="s">
        <v>217</v>
      </c>
      <c r="J53" s="171">
        <f>'Юнит 16'!U98</f>
        <v>1</v>
      </c>
      <c r="K53" s="172">
        <f t="shared" si="8"/>
        <v>5.1948051948051948E-4</v>
      </c>
      <c r="L53" s="172">
        <f t="shared" si="6"/>
        <v>0.99792207792207754</v>
      </c>
      <c r="M53" s="173" t="str">
        <f t="shared" si="4"/>
        <v>C</v>
      </c>
    </row>
    <row r="54" spans="2:13" ht="26.5" outlineLevel="1" thickBot="1">
      <c r="B54" s="182" t="s">
        <v>151</v>
      </c>
      <c r="C54" s="171">
        <f>'Юнит 16'!AO32</f>
        <v>0</v>
      </c>
      <c r="D54" s="172">
        <f t="shared" si="7"/>
        <v>0</v>
      </c>
      <c r="E54" s="172">
        <f t="shared" si="5"/>
        <v>1.0130680749110264</v>
      </c>
      <c r="F54" s="173" t="str">
        <f t="shared" si="3"/>
        <v>C</v>
      </c>
      <c r="G54" s="173" t="str">
        <f t="shared" si="1"/>
        <v>C</v>
      </c>
      <c r="I54" s="182" t="s">
        <v>138</v>
      </c>
      <c r="J54" s="171">
        <f>'Юнит 16'!U19</f>
        <v>0</v>
      </c>
      <c r="K54" s="172">
        <f t="shared" si="8"/>
        <v>0</v>
      </c>
      <c r="L54" s="172">
        <f t="shared" si="6"/>
        <v>0.99792207792207754</v>
      </c>
      <c r="M54" s="173" t="str">
        <f t="shared" si="4"/>
        <v>C</v>
      </c>
    </row>
    <row r="55" spans="2:13" ht="15" outlineLevel="1" thickBot="1">
      <c r="B55" s="182" t="s">
        <v>154</v>
      </c>
      <c r="C55" s="171">
        <f>'Юнит 16'!AO35</f>
        <v>0</v>
      </c>
      <c r="D55" s="172">
        <f t="shared" si="7"/>
        <v>0</v>
      </c>
      <c r="E55" s="172">
        <f t="shared" si="5"/>
        <v>1.0130680749110264</v>
      </c>
      <c r="F55" s="173" t="str">
        <f t="shared" si="3"/>
        <v>C</v>
      </c>
      <c r="G55" s="173" t="str">
        <f t="shared" si="1"/>
        <v>C</v>
      </c>
      <c r="I55" s="182" t="s">
        <v>142</v>
      </c>
      <c r="J55" s="171">
        <f>'Юнит 16'!U23</f>
        <v>0</v>
      </c>
      <c r="K55" s="172">
        <f t="shared" si="8"/>
        <v>0</v>
      </c>
      <c r="L55" s="172">
        <f t="shared" si="6"/>
        <v>0.99792207792207754</v>
      </c>
      <c r="M55" s="173" t="str">
        <f t="shared" si="4"/>
        <v>C</v>
      </c>
    </row>
    <row r="56" spans="2:13" ht="15" outlineLevel="1" thickBot="1">
      <c r="B56" s="182" t="s">
        <v>155</v>
      </c>
      <c r="C56" s="171">
        <f>'Юнит 16'!AO36</f>
        <v>0</v>
      </c>
      <c r="D56" s="172">
        <f t="shared" si="7"/>
        <v>0</v>
      </c>
      <c r="E56" s="172">
        <f t="shared" si="5"/>
        <v>1.0130680749110264</v>
      </c>
      <c r="F56" s="173" t="str">
        <f t="shared" si="3"/>
        <v>C</v>
      </c>
      <c r="G56" s="173" t="str">
        <f t="shared" si="1"/>
        <v>C</v>
      </c>
      <c r="I56" s="182" t="s">
        <v>144</v>
      </c>
      <c r="J56" s="171">
        <f>'Юнит 16'!U25</f>
        <v>0</v>
      </c>
      <c r="K56" s="172">
        <f t="shared" si="8"/>
        <v>0</v>
      </c>
      <c r="L56" s="172">
        <f t="shared" si="6"/>
        <v>0.99792207792207754</v>
      </c>
      <c r="M56" s="173" t="str">
        <f t="shared" si="4"/>
        <v>C</v>
      </c>
    </row>
    <row r="57" spans="2:13" ht="26.5" outlineLevel="1" thickBot="1">
      <c r="B57" s="182" t="s">
        <v>165</v>
      </c>
      <c r="C57" s="171">
        <f>'Юнит 16'!AO46</f>
        <v>0</v>
      </c>
      <c r="D57" s="172">
        <f t="shared" si="7"/>
        <v>0</v>
      </c>
      <c r="E57" s="172">
        <f t="shared" si="5"/>
        <v>1.0130680749110264</v>
      </c>
      <c r="F57" s="173" t="str">
        <f t="shared" si="3"/>
        <v>C</v>
      </c>
      <c r="G57" s="173" t="str">
        <f t="shared" si="1"/>
        <v>C</v>
      </c>
      <c r="I57" s="182" t="s">
        <v>148</v>
      </c>
      <c r="J57" s="171">
        <f>'Юнит 16'!U29</f>
        <v>0</v>
      </c>
      <c r="K57" s="172">
        <f t="shared" si="8"/>
        <v>0</v>
      </c>
      <c r="L57" s="172">
        <f t="shared" si="6"/>
        <v>0.99792207792207754</v>
      </c>
      <c r="M57" s="173" t="str">
        <f t="shared" si="4"/>
        <v>C</v>
      </c>
    </row>
    <row r="58" spans="2:13" ht="15" outlineLevel="1" thickBot="1">
      <c r="B58" s="182" t="s">
        <v>175</v>
      </c>
      <c r="C58" s="171">
        <f>'Юнит 16'!AO56</f>
        <v>0</v>
      </c>
      <c r="D58" s="172">
        <f t="shared" si="7"/>
        <v>0</v>
      </c>
      <c r="E58" s="172">
        <f t="shared" si="5"/>
        <v>1.0130680749110264</v>
      </c>
      <c r="F58" s="173" t="str">
        <f t="shared" si="3"/>
        <v>C</v>
      </c>
      <c r="G58" s="173" t="str">
        <f t="shared" si="1"/>
        <v>C</v>
      </c>
      <c r="I58" s="182" t="s">
        <v>149</v>
      </c>
      <c r="J58" s="171">
        <f>'Юнит 16'!U30</f>
        <v>0</v>
      </c>
      <c r="K58" s="172">
        <f t="shared" si="8"/>
        <v>0</v>
      </c>
      <c r="L58" s="172">
        <f t="shared" si="6"/>
        <v>0.99792207792207754</v>
      </c>
      <c r="M58" s="173" t="str">
        <f t="shared" si="4"/>
        <v>C</v>
      </c>
    </row>
    <row r="59" spans="2:13" ht="15" outlineLevel="1" thickBot="1">
      <c r="B59" s="182" t="s">
        <v>176</v>
      </c>
      <c r="C59" s="171">
        <f>'Юнит 16'!AO57</f>
        <v>0</v>
      </c>
      <c r="D59" s="172">
        <f t="shared" si="7"/>
        <v>0</v>
      </c>
      <c r="E59" s="172">
        <f t="shared" si="5"/>
        <v>1.0130680749110264</v>
      </c>
      <c r="F59" s="173" t="str">
        <f t="shared" si="3"/>
        <v>C</v>
      </c>
      <c r="G59" s="173" t="str">
        <f t="shared" si="1"/>
        <v>C</v>
      </c>
      <c r="I59" s="182" t="s">
        <v>150</v>
      </c>
      <c r="J59" s="171">
        <f>'Юнит 16'!U31</f>
        <v>0</v>
      </c>
      <c r="K59" s="172">
        <f t="shared" si="8"/>
        <v>0</v>
      </c>
      <c r="L59" s="172">
        <f t="shared" si="6"/>
        <v>0.99792207792207754</v>
      </c>
      <c r="M59" s="173" t="str">
        <f t="shared" si="4"/>
        <v>C</v>
      </c>
    </row>
    <row r="60" spans="2:13" ht="15" outlineLevel="1" thickBot="1">
      <c r="B60" s="182" t="s">
        <v>178</v>
      </c>
      <c r="C60" s="171">
        <f>'Юнит 16'!AO59</f>
        <v>0</v>
      </c>
      <c r="D60" s="172">
        <f t="shared" si="7"/>
        <v>0</v>
      </c>
      <c r="E60" s="172">
        <f t="shared" si="5"/>
        <v>1.0130680749110264</v>
      </c>
      <c r="F60" s="173" t="str">
        <f t="shared" si="3"/>
        <v>C</v>
      </c>
      <c r="G60" s="173" t="str">
        <f t="shared" si="1"/>
        <v>C</v>
      </c>
      <c r="I60" s="182" t="s">
        <v>151</v>
      </c>
      <c r="J60" s="171">
        <f>'Юнит 16'!U32</f>
        <v>0</v>
      </c>
      <c r="K60" s="172">
        <f t="shared" si="8"/>
        <v>0</v>
      </c>
      <c r="L60" s="172">
        <f t="shared" si="6"/>
        <v>0.99792207792207754</v>
      </c>
      <c r="M60" s="173" t="str">
        <f t="shared" si="4"/>
        <v>C</v>
      </c>
    </row>
    <row r="61" spans="2:13" ht="15" outlineLevel="1" thickBot="1">
      <c r="B61" s="182" t="s">
        <v>181</v>
      </c>
      <c r="C61" s="171">
        <f>'Юнит 16'!AO62</f>
        <v>0</v>
      </c>
      <c r="D61" s="172">
        <f t="shared" si="7"/>
        <v>0</v>
      </c>
      <c r="E61" s="172">
        <f t="shared" si="5"/>
        <v>1.0130680749110264</v>
      </c>
      <c r="F61" s="173" t="str">
        <f t="shared" si="3"/>
        <v>C</v>
      </c>
      <c r="G61" s="173" t="str">
        <f t="shared" si="1"/>
        <v>C</v>
      </c>
      <c r="I61" s="182" t="s">
        <v>153</v>
      </c>
      <c r="J61" s="171">
        <f>'Юнит 16'!U34</f>
        <v>0</v>
      </c>
      <c r="K61" s="172">
        <f t="shared" si="8"/>
        <v>0</v>
      </c>
      <c r="L61" s="172">
        <f t="shared" si="6"/>
        <v>0.99792207792207754</v>
      </c>
      <c r="M61" s="173" t="str">
        <f t="shared" si="4"/>
        <v>C</v>
      </c>
    </row>
    <row r="62" spans="2:13" ht="15" outlineLevel="1" thickBot="1">
      <c r="B62" s="182" t="s">
        <v>182</v>
      </c>
      <c r="C62" s="171">
        <f>'Юнит 16'!AO63</f>
        <v>0</v>
      </c>
      <c r="D62" s="172">
        <f t="shared" si="7"/>
        <v>0</v>
      </c>
      <c r="E62" s="172">
        <f t="shared" si="5"/>
        <v>1.0130680749110264</v>
      </c>
      <c r="F62" s="173" t="str">
        <f t="shared" si="3"/>
        <v>C</v>
      </c>
      <c r="G62" s="173" t="str">
        <f t="shared" si="1"/>
        <v>C</v>
      </c>
      <c r="I62" s="182" t="s">
        <v>154</v>
      </c>
      <c r="J62" s="171">
        <f>'Юнит 16'!U35</f>
        <v>0</v>
      </c>
      <c r="K62" s="172">
        <f t="shared" si="8"/>
        <v>0</v>
      </c>
      <c r="L62" s="172">
        <f t="shared" si="6"/>
        <v>0.99792207792207754</v>
      </c>
      <c r="M62" s="173" t="str">
        <f t="shared" si="4"/>
        <v>C</v>
      </c>
    </row>
    <row r="63" spans="2:13" ht="15" outlineLevel="1" thickBot="1">
      <c r="B63" s="182" t="s">
        <v>183</v>
      </c>
      <c r="C63" s="171">
        <f>'Юнит 16'!AO64</f>
        <v>0</v>
      </c>
      <c r="D63" s="172">
        <f t="shared" si="7"/>
        <v>0</v>
      </c>
      <c r="E63" s="172">
        <f t="shared" si="5"/>
        <v>1.0130680749110264</v>
      </c>
      <c r="F63" s="173" t="str">
        <f t="shared" si="3"/>
        <v>C</v>
      </c>
      <c r="G63" s="173" t="str">
        <f t="shared" si="1"/>
        <v>C</v>
      </c>
      <c r="I63" s="182" t="s">
        <v>155</v>
      </c>
      <c r="J63" s="171">
        <f>'Юнит 16'!U36</f>
        <v>0</v>
      </c>
      <c r="K63" s="172">
        <f t="shared" si="8"/>
        <v>0</v>
      </c>
      <c r="L63" s="172">
        <f t="shared" si="6"/>
        <v>0.99792207792207754</v>
      </c>
      <c r="M63" s="173" t="str">
        <f t="shared" si="4"/>
        <v>C</v>
      </c>
    </row>
    <row r="64" spans="2:13" ht="15" outlineLevel="1" thickBot="1">
      <c r="B64" s="182" t="s">
        <v>186</v>
      </c>
      <c r="C64" s="171">
        <f>'Юнит 16'!AO67</f>
        <v>0</v>
      </c>
      <c r="D64" s="172">
        <f t="shared" si="7"/>
        <v>0</v>
      </c>
      <c r="E64" s="172">
        <f t="shared" si="5"/>
        <v>1.0130680749110264</v>
      </c>
      <c r="F64" s="173" t="str">
        <f t="shared" si="3"/>
        <v>C</v>
      </c>
      <c r="G64" s="173" t="str">
        <f t="shared" si="1"/>
        <v>C</v>
      </c>
      <c r="I64" s="182" t="s">
        <v>156</v>
      </c>
      <c r="J64" s="171">
        <f>'Юнит 16'!U37</f>
        <v>0</v>
      </c>
      <c r="K64" s="172">
        <f t="shared" si="8"/>
        <v>0</v>
      </c>
      <c r="L64" s="172">
        <f t="shared" si="6"/>
        <v>0.99792207792207754</v>
      </c>
      <c r="M64" s="173" t="str">
        <f t="shared" si="4"/>
        <v>C</v>
      </c>
    </row>
    <row r="65" spans="2:13" ht="15" outlineLevel="1" thickBot="1">
      <c r="B65" s="182" t="s">
        <v>187</v>
      </c>
      <c r="C65" s="171">
        <f>'Юнит 16'!AO68</f>
        <v>0</v>
      </c>
      <c r="D65" s="172">
        <f t="shared" si="7"/>
        <v>0</v>
      </c>
      <c r="E65" s="172">
        <f t="shared" si="5"/>
        <v>1.0130680749110264</v>
      </c>
      <c r="F65" s="173" t="str">
        <f t="shared" si="3"/>
        <v>C</v>
      </c>
      <c r="G65" s="173" t="str">
        <f t="shared" si="1"/>
        <v>C</v>
      </c>
      <c r="I65" s="182" t="s">
        <v>157</v>
      </c>
      <c r="J65" s="171">
        <f>'Юнит 16'!U38</f>
        <v>0</v>
      </c>
      <c r="K65" s="172">
        <f t="shared" si="8"/>
        <v>0</v>
      </c>
      <c r="L65" s="172">
        <f t="shared" si="6"/>
        <v>0.99792207792207754</v>
      </c>
      <c r="M65" s="173" t="str">
        <f t="shared" si="4"/>
        <v>C</v>
      </c>
    </row>
    <row r="66" spans="2:13" ht="15" outlineLevel="1" thickBot="1">
      <c r="B66" s="182" t="s">
        <v>189</v>
      </c>
      <c r="C66" s="171">
        <f>'Юнит 16'!AO70</f>
        <v>0</v>
      </c>
      <c r="D66" s="172">
        <f t="shared" si="7"/>
        <v>0</v>
      </c>
      <c r="E66" s="172">
        <f t="shared" si="5"/>
        <v>1.0130680749110264</v>
      </c>
      <c r="F66" s="173" t="str">
        <f t="shared" si="3"/>
        <v>C</v>
      </c>
      <c r="G66" s="173" t="str">
        <f t="shared" si="1"/>
        <v>C</v>
      </c>
      <c r="I66" s="182" t="s">
        <v>159</v>
      </c>
      <c r="J66" s="171">
        <f>'Юнит 16'!U40</f>
        <v>0</v>
      </c>
      <c r="K66" s="172">
        <f t="shared" si="8"/>
        <v>0</v>
      </c>
      <c r="L66" s="172">
        <f t="shared" si="6"/>
        <v>0.99792207792207754</v>
      </c>
      <c r="M66" s="173" t="str">
        <f t="shared" si="4"/>
        <v>C</v>
      </c>
    </row>
    <row r="67" spans="2:13" ht="15" outlineLevel="1" thickBot="1">
      <c r="B67" s="182" t="s">
        <v>191</v>
      </c>
      <c r="C67" s="171">
        <f>'Юнит 16'!AO72</f>
        <v>0</v>
      </c>
      <c r="D67" s="172">
        <f t="shared" si="7"/>
        <v>0</v>
      </c>
      <c r="E67" s="172">
        <f t="shared" si="5"/>
        <v>1.0130680749110264</v>
      </c>
      <c r="F67" s="173" t="str">
        <f t="shared" si="3"/>
        <v>C</v>
      </c>
      <c r="G67" s="173" t="str">
        <f t="shared" si="1"/>
        <v>C</v>
      </c>
      <c r="I67" s="182" t="s">
        <v>160</v>
      </c>
      <c r="J67" s="171">
        <f>'Юнит 16'!U41</f>
        <v>0</v>
      </c>
      <c r="K67" s="172">
        <f t="shared" si="8"/>
        <v>0</v>
      </c>
      <c r="L67" s="172">
        <f t="shared" si="6"/>
        <v>0.99792207792207754</v>
      </c>
      <c r="M67" s="173" t="str">
        <f t="shared" si="4"/>
        <v>C</v>
      </c>
    </row>
    <row r="68" spans="2:13" ht="26.5" outlineLevel="1" thickBot="1">
      <c r="B68" s="182" t="s">
        <v>193</v>
      </c>
      <c r="C68" s="171">
        <f>'Юнит 16'!AO74</f>
        <v>0</v>
      </c>
      <c r="D68" s="172">
        <f t="shared" ref="D68:D99" si="9">C68/C$106</f>
        <v>0</v>
      </c>
      <c r="E68" s="172">
        <f t="shared" si="5"/>
        <v>1.0130680749110264</v>
      </c>
      <c r="F68" s="173" t="str">
        <f t="shared" si="3"/>
        <v>C</v>
      </c>
      <c r="G68" s="173" t="str">
        <f t="shared" ref="G68:G104" si="10">VLOOKUP(B$4:B$104,I$4:M$104,5,0)</f>
        <v>C</v>
      </c>
      <c r="I68" s="182" t="s">
        <v>165</v>
      </c>
      <c r="J68" s="171">
        <f>'Юнит 16'!U46</f>
        <v>0</v>
      </c>
      <c r="K68" s="172">
        <f t="shared" ref="K68:K99" si="11">J68/J$106</f>
        <v>0</v>
      </c>
      <c r="L68" s="172">
        <f t="shared" si="6"/>
        <v>0.99792207792207754</v>
      </c>
      <c r="M68" s="173" t="str">
        <f t="shared" si="4"/>
        <v>C</v>
      </c>
    </row>
    <row r="69" spans="2:13" ht="26.5" outlineLevel="1" thickBot="1">
      <c r="B69" s="182" t="s">
        <v>213</v>
      </c>
      <c r="C69" s="171">
        <f>'Юнит 16'!AO94</f>
        <v>0</v>
      </c>
      <c r="D69" s="172">
        <f t="shared" si="9"/>
        <v>0</v>
      </c>
      <c r="E69" s="172">
        <f t="shared" si="5"/>
        <v>1.0130680749110264</v>
      </c>
      <c r="F69" s="173" t="str">
        <f t="shared" si="3"/>
        <v>C</v>
      </c>
      <c r="G69" s="173" t="str">
        <f t="shared" si="10"/>
        <v>C</v>
      </c>
      <c r="I69" s="182" t="s">
        <v>170</v>
      </c>
      <c r="J69" s="171">
        <f>'Юнит 16'!U51</f>
        <v>0</v>
      </c>
      <c r="K69" s="172">
        <f t="shared" si="11"/>
        <v>0</v>
      </c>
      <c r="L69" s="172">
        <f t="shared" si="6"/>
        <v>0.99792207792207754</v>
      </c>
      <c r="M69" s="173" t="str">
        <f t="shared" si="4"/>
        <v>C</v>
      </c>
    </row>
    <row r="70" spans="2:13" ht="26.5" outlineLevel="1" thickBot="1">
      <c r="B70" s="182" t="s">
        <v>214</v>
      </c>
      <c r="C70" s="171">
        <f>'Юнит 16'!AO95</f>
        <v>0</v>
      </c>
      <c r="D70" s="172">
        <f t="shared" si="9"/>
        <v>0</v>
      </c>
      <c r="E70" s="172">
        <f t="shared" ref="E70:E75" si="12">E69+D70</f>
        <v>1.0130680749110264</v>
      </c>
      <c r="F70" s="173" t="str">
        <f t="shared" si="3"/>
        <v>C</v>
      </c>
      <c r="G70" s="173" t="str">
        <f t="shared" si="10"/>
        <v>C</v>
      </c>
      <c r="I70" s="182" t="s">
        <v>173</v>
      </c>
      <c r="J70" s="171">
        <f>'Юнит 16'!U54</f>
        <v>0</v>
      </c>
      <c r="K70" s="172">
        <f t="shared" si="11"/>
        <v>0</v>
      </c>
      <c r="L70" s="172">
        <f t="shared" ref="L70:L75" si="13">L69+K70</f>
        <v>0.99792207792207754</v>
      </c>
      <c r="M70" s="173" t="str">
        <f t="shared" si="4"/>
        <v>C</v>
      </c>
    </row>
    <row r="71" spans="2:13" ht="15" outlineLevel="1" thickBot="1">
      <c r="B71" s="182" t="s">
        <v>215</v>
      </c>
      <c r="C71" s="171">
        <f>'Юнит 16'!AO96</f>
        <v>0</v>
      </c>
      <c r="D71" s="172">
        <f t="shared" si="9"/>
        <v>0</v>
      </c>
      <c r="E71" s="172">
        <f t="shared" si="12"/>
        <v>1.0130680749110264</v>
      </c>
      <c r="F71" s="173" t="str">
        <f t="shared" si="3"/>
        <v>C</v>
      </c>
      <c r="G71" s="173" t="str">
        <f t="shared" si="10"/>
        <v>C</v>
      </c>
      <c r="I71" s="182" t="s">
        <v>174</v>
      </c>
      <c r="J71" s="171">
        <f>'Юнит 16'!U55</f>
        <v>0</v>
      </c>
      <c r="K71" s="172">
        <f t="shared" si="11"/>
        <v>0</v>
      </c>
      <c r="L71" s="172">
        <f t="shared" si="13"/>
        <v>0.99792207792207754</v>
      </c>
      <c r="M71" s="173" t="str">
        <f t="shared" si="4"/>
        <v>C</v>
      </c>
    </row>
    <row r="72" spans="2:13" ht="15" outlineLevel="1" thickBot="1">
      <c r="B72" s="182" t="s">
        <v>256</v>
      </c>
      <c r="C72" s="171">
        <f>'Юнит 16'!AO99</f>
        <v>0</v>
      </c>
      <c r="D72" s="172">
        <f t="shared" si="9"/>
        <v>0</v>
      </c>
      <c r="E72" s="172">
        <f t="shared" si="12"/>
        <v>1.0130680749110264</v>
      </c>
      <c r="F72" s="173" t="str">
        <f t="shared" si="3"/>
        <v>C</v>
      </c>
      <c r="G72" s="173" t="str">
        <f t="shared" si="10"/>
        <v>C</v>
      </c>
      <c r="I72" s="182" t="s">
        <v>175</v>
      </c>
      <c r="J72" s="171">
        <f>'Юнит 16'!U56</f>
        <v>0</v>
      </c>
      <c r="K72" s="172">
        <f t="shared" si="11"/>
        <v>0</v>
      </c>
      <c r="L72" s="172">
        <f t="shared" si="13"/>
        <v>0.99792207792207754</v>
      </c>
      <c r="M72" s="173" t="str">
        <f t="shared" si="4"/>
        <v>C</v>
      </c>
    </row>
    <row r="73" spans="2:13" ht="15" outlineLevel="1" thickBot="1">
      <c r="B73" s="182" t="s">
        <v>258</v>
      </c>
      <c r="C73" s="171">
        <f>'Юнит 16'!AO101</f>
        <v>0</v>
      </c>
      <c r="D73" s="172">
        <f t="shared" si="9"/>
        <v>0</v>
      </c>
      <c r="E73" s="172">
        <f t="shared" si="12"/>
        <v>1.0130680749110264</v>
      </c>
      <c r="F73" s="173" t="str">
        <f t="shared" si="3"/>
        <v>C</v>
      </c>
      <c r="G73" s="173" t="str">
        <f t="shared" si="10"/>
        <v>C</v>
      </c>
      <c r="I73" s="182" t="s">
        <v>176</v>
      </c>
      <c r="J73" s="171">
        <f>'Юнит 16'!U57</f>
        <v>0</v>
      </c>
      <c r="K73" s="172">
        <f t="shared" si="11"/>
        <v>0</v>
      </c>
      <c r="L73" s="172">
        <f t="shared" si="13"/>
        <v>0.99792207792207754</v>
      </c>
      <c r="M73" s="173" t="str">
        <f t="shared" si="4"/>
        <v>C</v>
      </c>
    </row>
    <row r="74" spans="2:13" ht="26.5" outlineLevel="1" thickBot="1">
      <c r="B74" s="182" t="s">
        <v>260</v>
      </c>
      <c r="C74" s="171">
        <f>'Юнит 16'!AO103</f>
        <v>0</v>
      </c>
      <c r="D74" s="172">
        <f t="shared" si="9"/>
        <v>0</v>
      </c>
      <c r="E74" s="172">
        <f t="shared" si="12"/>
        <v>1.0130680749110264</v>
      </c>
      <c r="F74" s="173" t="str">
        <f t="shared" si="3"/>
        <v>C</v>
      </c>
      <c r="G74" s="173" t="str">
        <f t="shared" si="10"/>
        <v>C</v>
      </c>
      <c r="I74" s="182" t="s">
        <v>178</v>
      </c>
      <c r="J74" s="171">
        <f>'Юнит 16'!U59</f>
        <v>0</v>
      </c>
      <c r="K74" s="172">
        <f t="shared" si="11"/>
        <v>0</v>
      </c>
      <c r="L74" s="172">
        <f t="shared" si="13"/>
        <v>0.99792207792207754</v>
      </c>
      <c r="M74" s="173" t="str">
        <f t="shared" si="4"/>
        <v>C</v>
      </c>
    </row>
    <row r="75" spans="2:13" ht="15" outlineLevel="1" thickBot="1">
      <c r="B75" s="182" t="s">
        <v>170</v>
      </c>
      <c r="C75" s="171">
        <f>'Юнит 16'!AO51</f>
        <v>-0.93309648529908751</v>
      </c>
      <c r="D75" s="172">
        <f t="shared" si="9"/>
        <v>-1.1081390536621931E-6</v>
      </c>
      <c r="E75" s="172">
        <f t="shared" si="12"/>
        <v>1.0130669667719727</v>
      </c>
      <c r="F75" s="173" t="str">
        <f t="shared" si="3"/>
        <v>C</v>
      </c>
      <c r="G75" s="173" t="str">
        <f t="shared" si="10"/>
        <v>C</v>
      </c>
      <c r="I75" s="182" t="s">
        <v>181</v>
      </c>
      <c r="J75" s="171">
        <f>'Юнит 16'!U62</f>
        <v>0</v>
      </c>
      <c r="K75" s="172">
        <f t="shared" si="11"/>
        <v>0</v>
      </c>
      <c r="L75" s="172">
        <f t="shared" si="13"/>
        <v>0.99792207792207754</v>
      </c>
      <c r="M75" s="173" t="str">
        <f t="shared" si="4"/>
        <v>C</v>
      </c>
    </row>
    <row r="76" spans="2:13" ht="15" outlineLevel="1" thickBot="1">
      <c r="B76" s="182" t="s">
        <v>174</v>
      </c>
      <c r="C76" s="171">
        <f>'Юнит 16'!AO55</f>
        <v>-0.93309648529908751</v>
      </c>
      <c r="D76" s="172">
        <f t="shared" si="9"/>
        <v>-1.1081390536621931E-6</v>
      </c>
      <c r="E76" s="172">
        <f>E49+D76</f>
        <v>1.0130669667719727</v>
      </c>
      <c r="F76" s="173" t="str">
        <f t="shared" si="3"/>
        <v>C</v>
      </c>
      <c r="G76" s="173" t="str">
        <f t="shared" si="10"/>
        <v>C</v>
      </c>
      <c r="I76" s="182" t="s">
        <v>182</v>
      </c>
      <c r="J76" s="171">
        <f>'Юнит 16'!U63</f>
        <v>0</v>
      </c>
      <c r="K76" s="172">
        <f t="shared" si="11"/>
        <v>0</v>
      </c>
      <c r="L76" s="172">
        <f>L49+K76</f>
        <v>0.99584415584415564</v>
      </c>
      <c r="M76" s="173" t="str">
        <f t="shared" si="4"/>
        <v>C</v>
      </c>
    </row>
    <row r="77" spans="2:13" ht="26.5" outlineLevel="1" thickBot="1">
      <c r="B77" s="182" t="s">
        <v>207</v>
      </c>
      <c r="C77" s="171">
        <f>'Юнит 16'!AO88</f>
        <v>-1.63</v>
      </c>
      <c r="D77" s="172">
        <f t="shared" si="9"/>
        <v>-1.9357769383199508E-6</v>
      </c>
      <c r="E77" s="172">
        <f t="shared" ref="E77:E93" si="14">E76+D77</f>
        <v>1.0130650309950344</v>
      </c>
      <c r="F77" s="173" t="str">
        <f t="shared" si="3"/>
        <v>C</v>
      </c>
      <c r="G77" s="173" t="str">
        <f t="shared" si="10"/>
        <v>C</v>
      </c>
      <c r="I77" s="182" t="s">
        <v>183</v>
      </c>
      <c r="J77" s="171">
        <f>'Юнит 16'!U64</f>
        <v>0</v>
      </c>
      <c r="K77" s="172">
        <f t="shared" si="11"/>
        <v>0</v>
      </c>
      <c r="L77" s="172">
        <f t="shared" ref="L77:L94" si="15">L76+K77</f>
        <v>0.99584415584415564</v>
      </c>
      <c r="M77" s="173" t="str">
        <f t="shared" si="4"/>
        <v>C</v>
      </c>
    </row>
    <row r="78" spans="2:13" ht="15" outlineLevel="1" thickBot="1">
      <c r="B78" s="182" t="s">
        <v>185</v>
      </c>
      <c r="C78" s="171">
        <f>'Юнит 16'!AO66</f>
        <v>-1.866192970598175</v>
      </c>
      <c r="D78" s="172">
        <f t="shared" si="9"/>
        <v>-2.2162781073243863E-6</v>
      </c>
      <c r="E78" s="172">
        <f t="shared" si="14"/>
        <v>1.0130628147169272</v>
      </c>
      <c r="F78" s="173" t="str">
        <f t="shared" si="3"/>
        <v>C</v>
      </c>
      <c r="G78" s="173" t="str">
        <f t="shared" si="10"/>
        <v>C</v>
      </c>
      <c r="I78" s="182" t="s">
        <v>184</v>
      </c>
      <c r="J78" s="171">
        <f>'Юнит 16'!U65</f>
        <v>0</v>
      </c>
      <c r="K78" s="172">
        <f t="shared" si="11"/>
        <v>0</v>
      </c>
      <c r="L78" s="172">
        <f t="shared" si="15"/>
        <v>0.99584415584415564</v>
      </c>
      <c r="M78" s="173" t="str">
        <f t="shared" si="4"/>
        <v>C</v>
      </c>
    </row>
    <row r="79" spans="2:13" ht="15" outlineLevel="1" thickBot="1">
      <c r="B79" s="182" t="s">
        <v>184</v>
      </c>
      <c r="C79" s="171">
        <f>'Юнит 16'!AO65</f>
        <v>-2.1830964852990875</v>
      </c>
      <c r="D79" s="172">
        <f t="shared" si="9"/>
        <v>-2.5926305707787198E-6</v>
      </c>
      <c r="E79" s="172">
        <f t="shared" si="14"/>
        <v>1.0130602220863565</v>
      </c>
      <c r="F79" s="173" t="str">
        <f t="shared" si="3"/>
        <v>C</v>
      </c>
      <c r="G79" s="173" t="str">
        <f t="shared" si="10"/>
        <v>C</v>
      </c>
      <c r="I79" s="182" t="s">
        <v>185</v>
      </c>
      <c r="J79" s="171">
        <f>'Юнит 16'!U66</f>
        <v>0</v>
      </c>
      <c r="K79" s="172">
        <f t="shared" si="11"/>
        <v>0</v>
      </c>
      <c r="L79" s="172">
        <f t="shared" si="15"/>
        <v>0.99584415584415564</v>
      </c>
      <c r="M79" s="173" t="str">
        <f t="shared" si="4"/>
        <v>C</v>
      </c>
    </row>
    <row r="80" spans="2:13" ht="15" outlineLevel="1" thickBot="1">
      <c r="B80" s="182" t="s">
        <v>190</v>
      </c>
      <c r="C80" s="171">
        <f>'Юнит 16'!AO71</f>
        <v>-4.5961929705981746</v>
      </c>
      <c r="D80" s="172">
        <f t="shared" si="9"/>
        <v>-5.4584075807068804E-6</v>
      </c>
      <c r="E80" s="172">
        <f t="shared" si="14"/>
        <v>1.0130547636787757</v>
      </c>
      <c r="F80" s="173" t="str">
        <f t="shared" si="3"/>
        <v>C</v>
      </c>
      <c r="G80" s="173" t="str">
        <f t="shared" si="10"/>
        <v>C</v>
      </c>
      <c r="I80" s="182" t="s">
        <v>186</v>
      </c>
      <c r="J80" s="171">
        <f>'Юнит 16'!U67</f>
        <v>0</v>
      </c>
      <c r="K80" s="172">
        <f t="shared" si="11"/>
        <v>0</v>
      </c>
      <c r="L80" s="172">
        <f t="shared" si="15"/>
        <v>0.99584415584415564</v>
      </c>
      <c r="M80" s="173" t="str">
        <f t="shared" si="4"/>
        <v>C</v>
      </c>
    </row>
    <row r="81" spans="2:13" ht="15" outlineLevel="1" thickBot="1">
      <c r="B81" s="182" t="s">
        <v>160</v>
      </c>
      <c r="C81" s="171">
        <f>'Юнит 16'!AO41</f>
        <v>-37.323859411963497</v>
      </c>
      <c r="D81" s="172">
        <f t="shared" si="9"/>
        <v>-4.4325562146487718E-5</v>
      </c>
      <c r="E81" s="172">
        <f t="shared" si="14"/>
        <v>1.0130104381166292</v>
      </c>
      <c r="F81" s="173" t="str">
        <f t="shared" si="3"/>
        <v>C</v>
      </c>
      <c r="G81" s="173" t="str">
        <f t="shared" si="10"/>
        <v>C</v>
      </c>
      <c r="I81" s="182" t="s">
        <v>187</v>
      </c>
      <c r="J81" s="171">
        <f>'Юнит 16'!U68</f>
        <v>0</v>
      </c>
      <c r="K81" s="172">
        <f t="shared" si="11"/>
        <v>0</v>
      </c>
      <c r="L81" s="172">
        <f t="shared" si="15"/>
        <v>0.99584415584415564</v>
      </c>
      <c r="M81" s="173" t="str">
        <f t="shared" si="4"/>
        <v>C</v>
      </c>
    </row>
    <row r="82" spans="2:13" ht="26.5" outlineLevel="1" thickBot="1">
      <c r="B82" s="182" t="s">
        <v>212</v>
      </c>
      <c r="C82" s="171">
        <f>'Юнит 16'!AO93</f>
        <v>-43.110762926664407</v>
      </c>
      <c r="D82" s="172">
        <f t="shared" si="9"/>
        <v>-5.1198049488843972E-5</v>
      </c>
      <c r="E82" s="172">
        <f t="shared" si="14"/>
        <v>1.0129592400671403</v>
      </c>
      <c r="F82" s="173" t="str">
        <f t="shared" si="3"/>
        <v>C</v>
      </c>
      <c r="G82" s="173" t="str">
        <f t="shared" si="10"/>
        <v>C</v>
      </c>
      <c r="I82" s="182" t="s">
        <v>189</v>
      </c>
      <c r="J82" s="171">
        <f>'Юнит 16'!U70</f>
        <v>0</v>
      </c>
      <c r="K82" s="172">
        <f t="shared" si="11"/>
        <v>0</v>
      </c>
      <c r="L82" s="172">
        <f t="shared" si="15"/>
        <v>0.99584415584415564</v>
      </c>
      <c r="M82" s="173" t="str">
        <f t="shared" si="4"/>
        <v>C</v>
      </c>
    </row>
    <row r="83" spans="2:13" ht="26.5" outlineLevel="1" thickBot="1">
      <c r="B83" s="182" t="s">
        <v>209</v>
      </c>
      <c r="C83" s="171">
        <f>'Юнит 16'!AO90</f>
        <v>-44.7886312943562</v>
      </c>
      <c r="D83" s="172">
        <f t="shared" si="9"/>
        <v>-5.319067457578527E-5</v>
      </c>
      <c r="E83" s="172">
        <f t="shared" si="14"/>
        <v>1.0129060493925646</v>
      </c>
      <c r="F83" s="173" t="str">
        <f t="shared" si="3"/>
        <v>C</v>
      </c>
      <c r="G83" s="173" t="str">
        <f t="shared" si="10"/>
        <v>C</v>
      </c>
      <c r="I83" s="182" t="s">
        <v>190</v>
      </c>
      <c r="J83" s="171">
        <f>'Юнит 16'!U71</f>
        <v>0</v>
      </c>
      <c r="K83" s="172">
        <f t="shared" si="11"/>
        <v>0</v>
      </c>
      <c r="L83" s="172">
        <f t="shared" si="15"/>
        <v>0.99584415584415564</v>
      </c>
      <c r="M83" s="173" t="str">
        <f t="shared" si="4"/>
        <v>C</v>
      </c>
    </row>
    <row r="84" spans="2:13" ht="15" outlineLevel="1" thickBot="1">
      <c r="B84" s="182" t="s">
        <v>216</v>
      </c>
      <c r="C84" s="171">
        <f>'Юнит 16'!AO97</f>
        <v>-67.183096485299089</v>
      </c>
      <c r="D84" s="172">
        <f t="shared" si="9"/>
        <v>-7.9786189460838116E-5</v>
      </c>
      <c r="E84" s="172">
        <f t="shared" si="14"/>
        <v>1.0128262632031038</v>
      </c>
      <c r="F84" s="173" t="str">
        <f t="shared" si="3"/>
        <v>C</v>
      </c>
      <c r="G84" s="173" t="str">
        <f t="shared" si="10"/>
        <v>C</v>
      </c>
      <c r="I84" s="182" t="s">
        <v>191</v>
      </c>
      <c r="J84" s="171">
        <f>'Юнит 16'!U72</f>
        <v>0</v>
      </c>
      <c r="K84" s="172">
        <f t="shared" si="11"/>
        <v>0</v>
      </c>
      <c r="L84" s="172">
        <f t="shared" si="15"/>
        <v>0.99584415584415564</v>
      </c>
      <c r="M84" s="173" t="str">
        <f t="shared" si="4"/>
        <v>C</v>
      </c>
    </row>
    <row r="85" spans="2:13" ht="15" outlineLevel="1" thickBot="1">
      <c r="B85" s="182" t="s">
        <v>156</v>
      </c>
      <c r="C85" s="171">
        <f>'Юнит 16'!AO37</f>
        <v>-91.89</v>
      </c>
      <c r="D85" s="172">
        <f t="shared" si="9"/>
        <v>-1.0912794040627012E-4</v>
      </c>
      <c r="E85" s="172">
        <f t="shared" si="14"/>
        <v>1.0127171352626976</v>
      </c>
      <c r="F85" s="173" t="str">
        <f t="shared" si="3"/>
        <v>C</v>
      </c>
      <c r="G85" s="173" t="str">
        <f t="shared" si="10"/>
        <v>C</v>
      </c>
      <c r="I85" s="182" t="s">
        <v>193</v>
      </c>
      <c r="J85" s="171">
        <f>'Юнит 16'!U74</f>
        <v>0</v>
      </c>
      <c r="K85" s="172">
        <f t="shared" si="11"/>
        <v>0</v>
      </c>
      <c r="L85" s="172">
        <f t="shared" si="15"/>
        <v>0.99584415584415564</v>
      </c>
      <c r="M85" s="173" t="str">
        <f t="shared" si="4"/>
        <v>C</v>
      </c>
    </row>
    <row r="86" spans="2:13" ht="15" outlineLevel="1" thickBot="1">
      <c r="B86" s="182" t="s">
        <v>153</v>
      </c>
      <c r="C86" s="171">
        <f>'Юнит 16'!AO34</f>
        <v>-94.37</v>
      </c>
      <c r="D86" s="172">
        <f t="shared" si="9"/>
        <v>-1.1207317157622931E-4</v>
      </c>
      <c r="E86" s="172">
        <f t="shared" si="14"/>
        <v>1.0126050620911213</v>
      </c>
      <c r="F86" s="173" t="str">
        <f t="shared" si="3"/>
        <v>C</v>
      </c>
      <c r="G86" s="173" t="str">
        <f t="shared" si="10"/>
        <v>C</v>
      </c>
      <c r="I86" s="182" t="s">
        <v>195</v>
      </c>
      <c r="J86" s="171">
        <f>'Юнит 16'!U76</f>
        <v>0</v>
      </c>
      <c r="K86" s="172">
        <f t="shared" si="11"/>
        <v>0</v>
      </c>
      <c r="L86" s="172">
        <f t="shared" si="15"/>
        <v>0.99584415584415564</v>
      </c>
      <c r="M86" s="173" t="str">
        <f t="shared" si="4"/>
        <v>C</v>
      </c>
    </row>
    <row r="87" spans="2:13" ht="26.5" outlineLevel="1" thickBot="1">
      <c r="B87" s="182" t="s">
        <v>157</v>
      </c>
      <c r="C87" s="171">
        <f>'Юнит 16'!AO38</f>
        <v>-117.98005238256167</v>
      </c>
      <c r="D87" s="172">
        <f t="shared" si="9"/>
        <v>-1.4011230956070101E-4</v>
      </c>
      <c r="E87" s="172">
        <f t="shared" si="14"/>
        <v>1.0124649497815605</v>
      </c>
      <c r="F87" s="173" t="str">
        <f t="shared" si="3"/>
        <v>C</v>
      </c>
      <c r="G87" s="173" t="str">
        <f t="shared" si="10"/>
        <v>C</v>
      </c>
      <c r="I87" s="182" t="s">
        <v>201</v>
      </c>
      <c r="J87" s="171">
        <f>'Юнит 16'!U82</f>
        <v>0</v>
      </c>
      <c r="K87" s="172">
        <f t="shared" si="11"/>
        <v>0</v>
      </c>
      <c r="L87" s="172">
        <f t="shared" si="15"/>
        <v>0.99584415584415564</v>
      </c>
      <c r="M87" s="173" t="str">
        <f t="shared" si="4"/>
        <v>C</v>
      </c>
    </row>
    <row r="88" spans="2:13" ht="15" outlineLevel="1" thickBot="1">
      <c r="B88" s="182" t="s">
        <v>173</v>
      </c>
      <c r="C88" s="171">
        <f>'Юнит 16'!AO54</f>
        <v>-159.11192970598177</v>
      </c>
      <c r="D88" s="172">
        <f t="shared" si="9"/>
        <v>-1.8896024793645683E-4</v>
      </c>
      <c r="E88" s="172">
        <f t="shared" si="14"/>
        <v>1.0122759895336242</v>
      </c>
      <c r="F88" s="173" t="str">
        <f t="shared" si="3"/>
        <v>C</v>
      </c>
      <c r="G88" s="173" t="str">
        <f t="shared" si="10"/>
        <v>C</v>
      </c>
      <c r="I88" s="182" t="s">
        <v>203</v>
      </c>
      <c r="J88" s="171">
        <f>'Юнит 16'!U84</f>
        <v>0</v>
      </c>
      <c r="K88" s="172">
        <f t="shared" si="11"/>
        <v>0</v>
      </c>
      <c r="L88" s="172">
        <f t="shared" si="15"/>
        <v>0.99584415584415564</v>
      </c>
      <c r="M88" s="173" t="str">
        <f t="shared" si="4"/>
        <v>C</v>
      </c>
    </row>
    <row r="89" spans="2:13" ht="26.5" outlineLevel="1" thickBot="1">
      <c r="B89" s="182" t="s">
        <v>338</v>
      </c>
      <c r="C89" s="171">
        <f>'Юнит 16'!AO104</f>
        <v>-167.75726258871242</v>
      </c>
      <c r="D89" s="172">
        <f t="shared" si="9"/>
        <v>-1.9922738659810662E-4</v>
      </c>
      <c r="E89" s="172">
        <f t="shared" si="14"/>
        <v>1.0120767621470261</v>
      </c>
      <c r="F89" s="173" t="str">
        <f t="shared" si="3"/>
        <v>C</v>
      </c>
      <c r="G89" s="173" t="str">
        <f t="shared" si="10"/>
        <v>C</v>
      </c>
      <c r="I89" s="182" t="s">
        <v>204</v>
      </c>
      <c r="J89" s="171">
        <f>'Юнит 16'!U85</f>
        <v>0</v>
      </c>
      <c r="K89" s="172">
        <f t="shared" si="11"/>
        <v>0</v>
      </c>
      <c r="L89" s="172">
        <f t="shared" si="15"/>
        <v>0.99584415584415564</v>
      </c>
      <c r="M89" s="173" t="str">
        <f t="shared" si="4"/>
        <v>C</v>
      </c>
    </row>
    <row r="90" spans="2:13" ht="26.5" outlineLevel="1" thickBot="1">
      <c r="B90" s="182" t="s">
        <v>159</v>
      </c>
      <c r="C90" s="171">
        <f>'Юнит 16'!AO40</f>
        <v>-200.57360510307541</v>
      </c>
      <c r="D90" s="172">
        <f t="shared" si="9"/>
        <v>-2.3819985226639643E-4</v>
      </c>
      <c r="E90" s="172">
        <f t="shared" si="14"/>
        <v>1.0118385622947597</v>
      </c>
      <c r="F90" s="173" t="str">
        <f t="shared" si="3"/>
        <v>C</v>
      </c>
      <c r="G90" s="173" t="str">
        <f t="shared" si="10"/>
        <v>C</v>
      </c>
      <c r="I90" s="182" t="s">
        <v>205</v>
      </c>
      <c r="J90" s="171">
        <f>'Юнит 16'!U86</f>
        <v>0</v>
      </c>
      <c r="K90" s="172">
        <f t="shared" si="11"/>
        <v>0</v>
      </c>
      <c r="L90" s="172">
        <f t="shared" si="15"/>
        <v>0.99584415584415564</v>
      </c>
      <c r="M90" s="173" t="str">
        <f t="shared" si="4"/>
        <v>C</v>
      </c>
    </row>
    <row r="91" spans="2:13" ht="26.5" outlineLevel="1" thickBot="1">
      <c r="B91" s="182" t="s">
        <v>203</v>
      </c>
      <c r="C91" s="171">
        <f>'Юнит 16'!AO84</f>
        <v>-274.64147347076727</v>
      </c>
      <c r="D91" s="172">
        <f t="shared" si="9"/>
        <v>-3.2616235009259013E-4</v>
      </c>
      <c r="E91" s="172">
        <f t="shared" si="14"/>
        <v>1.0115123999446671</v>
      </c>
      <c r="F91" s="173" t="str">
        <f t="shared" si="3"/>
        <v>C</v>
      </c>
      <c r="G91" s="173" t="str">
        <f t="shared" si="10"/>
        <v>C</v>
      </c>
      <c r="I91" s="182" t="s">
        <v>207</v>
      </c>
      <c r="J91" s="171">
        <f>'Юнит 16'!U88</f>
        <v>0</v>
      </c>
      <c r="K91" s="172">
        <f t="shared" si="11"/>
        <v>0</v>
      </c>
      <c r="L91" s="172">
        <f t="shared" si="15"/>
        <v>0.99584415584415564</v>
      </c>
      <c r="M91" s="173" t="str">
        <f t="shared" si="4"/>
        <v>C</v>
      </c>
    </row>
    <row r="92" spans="2:13" ht="26.5" outlineLevel="1" thickBot="1">
      <c r="B92" s="182" t="s">
        <v>211</v>
      </c>
      <c r="C92" s="171">
        <f>'Юнит 16'!AO92</f>
        <v>-306.48314886786079</v>
      </c>
      <c r="D92" s="172">
        <f t="shared" si="9"/>
        <v>-3.6397730770680077E-4</v>
      </c>
      <c r="E92" s="172">
        <f t="shared" si="14"/>
        <v>1.0111484226369603</v>
      </c>
      <c r="F92" s="173" t="str">
        <f t="shared" si="3"/>
        <v>C</v>
      </c>
      <c r="G92" s="173" t="str">
        <f t="shared" si="10"/>
        <v>C</v>
      </c>
      <c r="I92" s="182" t="s">
        <v>209</v>
      </c>
      <c r="J92" s="171">
        <f>'Юнит 16'!U90</f>
        <v>0</v>
      </c>
      <c r="K92" s="172">
        <f t="shared" si="11"/>
        <v>0</v>
      </c>
      <c r="L92" s="172">
        <f t="shared" si="15"/>
        <v>0.99584415584415564</v>
      </c>
      <c r="M92" s="173" t="str">
        <f t="shared" si="4"/>
        <v>C</v>
      </c>
    </row>
    <row r="93" spans="2:13" ht="26.5" outlineLevel="1" thickBot="1">
      <c r="B93" s="182" t="s">
        <v>201</v>
      </c>
      <c r="C93" s="171">
        <f>'Юнит 16'!AO82</f>
        <v>-340.39005238256163</v>
      </c>
      <c r="D93" s="172">
        <f t="shared" si="9"/>
        <v>-4.0424491621821035E-4</v>
      </c>
      <c r="E93" s="172">
        <f t="shared" si="14"/>
        <v>1.010744177720742</v>
      </c>
      <c r="F93" s="173" t="str">
        <f t="shared" si="3"/>
        <v>C</v>
      </c>
      <c r="G93" s="173" t="str">
        <f t="shared" si="10"/>
        <v>C</v>
      </c>
      <c r="I93" s="182" t="s">
        <v>210</v>
      </c>
      <c r="J93" s="171">
        <f>'Юнит 16'!U91</f>
        <v>0</v>
      </c>
      <c r="K93" s="172">
        <f t="shared" si="11"/>
        <v>0</v>
      </c>
      <c r="L93" s="172">
        <f t="shared" si="15"/>
        <v>0.99584415584415564</v>
      </c>
      <c r="M93" s="173" t="str">
        <f t="shared" si="4"/>
        <v>C</v>
      </c>
    </row>
    <row r="94" spans="2:13" ht="15" outlineLevel="1" thickBot="1">
      <c r="B94" s="182" t="s">
        <v>177</v>
      </c>
      <c r="C94" s="171">
        <f>'Юнит 16'!AO58</f>
        <v>-433.75023322068256</v>
      </c>
      <c r="D94" s="172">
        <f t="shared" si="9"/>
        <v>-5.1511883341073469E-4</v>
      </c>
      <c r="E94" s="172">
        <f>E93+D94</f>
        <v>1.0102290588873313</v>
      </c>
      <c r="F94" s="173" t="str">
        <f t="shared" si="3"/>
        <v>C</v>
      </c>
      <c r="G94" s="173" t="str">
        <f t="shared" si="10"/>
        <v>C</v>
      </c>
      <c r="I94" s="182" t="s">
        <v>211</v>
      </c>
      <c r="J94" s="171">
        <f>'Юнит 16'!U92</f>
        <v>0</v>
      </c>
      <c r="K94" s="172">
        <f t="shared" si="11"/>
        <v>0</v>
      </c>
      <c r="L94" s="172">
        <f t="shared" si="15"/>
        <v>0.99584415584415564</v>
      </c>
      <c r="M94" s="173" t="str">
        <f t="shared" si="4"/>
        <v>C</v>
      </c>
    </row>
    <row r="95" spans="2:13" ht="26.5" outlineLevel="1" thickBot="1">
      <c r="B95" s="182" t="s">
        <v>195</v>
      </c>
      <c r="C95" s="171">
        <f>'Юнит 16'!AO76</f>
        <v>-524.93218401487013</v>
      </c>
      <c r="D95" s="172">
        <f t="shared" si="9"/>
        <v>-6.2340589938522108E-4</v>
      </c>
      <c r="E95" s="172">
        <f>E94+D95</f>
        <v>1.009605652987946</v>
      </c>
      <c r="F95" s="173" t="str">
        <f t="shared" si="3"/>
        <v>C</v>
      </c>
      <c r="G95" s="173" t="str">
        <f t="shared" si="10"/>
        <v>C</v>
      </c>
      <c r="I95" s="182" t="s">
        <v>212</v>
      </c>
      <c r="J95" s="171">
        <f>'Юнит 16'!U93</f>
        <v>0</v>
      </c>
      <c r="K95" s="172">
        <f t="shared" si="11"/>
        <v>0</v>
      </c>
      <c r="L95" s="172">
        <f>L94+K95</f>
        <v>0.99584415584415564</v>
      </c>
      <c r="M95" s="173" t="str">
        <f t="shared" si="4"/>
        <v>C</v>
      </c>
    </row>
    <row r="96" spans="2:13" ht="26.5" outlineLevel="1" thickBot="1">
      <c r="B96" s="182" t="s">
        <v>199</v>
      </c>
      <c r="C96" s="171">
        <f>'Юнит 16'!AO80</f>
        <v>-642.22065079418701</v>
      </c>
      <c r="D96" s="172">
        <f t="shared" si="9"/>
        <v>-7.6269688657682063E-4</v>
      </c>
      <c r="E96" s="172">
        <f t="shared" ref="E96:E98" si="16">E95+D96</f>
        <v>1.0088429561013692</v>
      </c>
      <c r="F96" s="173" t="str">
        <f t="shared" si="3"/>
        <v>C</v>
      </c>
      <c r="G96" s="173" t="str">
        <f t="shared" si="10"/>
        <v>C</v>
      </c>
      <c r="I96" s="182" t="s">
        <v>213</v>
      </c>
      <c r="J96" s="171">
        <f>'Юнит 16'!U94</f>
        <v>0</v>
      </c>
      <c r="K96" s="172">
        <f t="shared" si="11"/>
        <v>0</v>
      </c>
      <c r="L96" s="172">
        <f t="shared" ref="L96:L98" si="17">L95+K96</f>
        <v>0.99584415584415564</v>
      </c>
      <c r="M96" s="173" t="str">
        <f t="shared" si="4"/>
        <v>C</v>
      </c>
    </row>
    <row r="97" spans="2:13" ht="26.5" outlineLevel="1" thickBot="1">
      <c r="B97" s="182" t="s">
        <v>158</v>
      </c>
      <c r="C97" s="171">
        <f>'Юнит 16'!AO39</f>
        <v>-653.74717188239276</v>
      </c>
      <c r="D97" s="172">
        <f t="shared" si="9"/>
        <v>-7.763857047986656E-4</v>
      </c>
      <c r="E97" s="172">
        <f t="shared" si="16"/>
        <v>1.0080665703965705</v>
      </c>
      <c r="F97" s="173" t="str">
        <f t="shared" ref="F97:F104" si="18">IF(AND(E97&lt;=0),"C",IF(E97&lt;=0.8,"A",IF(E97&lt;=0.95,"B","C")))</f>
        <v>C</v>
      </c>
      <c r="G97" s="173" t="str">
        <f t="shared" si="10"/>
        <v>C</v>
      </c>
      <c r="I97" s="182" t="s">
        <v>214</v>
      </c>
      <c r="J97" s="171">
        <f>'Юнит 16'!U95</f>
        <v>0</v>
      </c>
      <c r="K97" s="172">
        <f t="shared" si="11"/>
        <v>0</v>
      </c>
      <c r="L97" s="172">
        <f t="shared" si="17"/>
        <v>0.99584415584415564</v>
      </c>
      <c r="M97" s="173" t="str">
        <f t="shared" si="4"/>
        <v>C</v>
      </c>
    </row>
    <row r="98" spans="2:13" ht="26.5" outlineLevel="1" thickBot="1">
      <c r="B98" s="182" t="s">
        <v>204</v>
      </c>
      <c r="C98" s="171">
        <f>'Юнит 16'!AO85</f>
        <v>-658.31908752957088</v>
      </c>
      <c r="D98" s="172">
        <f t="shared" si="9"/>
        <v>-7.818152807948322E-4</v>
      </c>
      <c r="E98" s="172">
        <f t="shared" si="16"/>
        <v>1.0072847551157758</v>
      </c>
      <c r="F98" s="173" t="str">
        <f t="shared" si="18"/>
        <v>C</v>
      </c>
      <c r="G98" s="173" t="str">
        <f t="shared" si="10"/>
        <v>C</v>
      </c>
      <c r="I98" s="182" t="s">
        <v>215</v>
      </c>
      <c r="J98" s="171">
        <f>'Юнит 16'!U96</f>
        <v>0</v>
      </c>
      <c r="K98" s="172">
        <f t="shared" si="11"/>
        <v>0</v>
      </c>
      <c r="L98" s="172">
        <f t="shared" si="17"/>
        <v>0.99584415584415564</v>
      </c>
      <c r="M98" s="173" t="str">
        <f t="shared" si="4"/>
        <v>C</v>
      </c>
    </row>
    <row r="99" spans="2:13" ht="26.5" outlineLevel="1" thickBot="1">
      <c r="B99" s="182" t="s">
        <v>198</v>
      </c>
      <c r="C99" s="171">
        <f>'Юнит 16'!AO79</f>
        <v>-720.44590861777624</v>
      </c>
      <c r="D99" s="172">
        <f t="shared" si="9"/>
        <v>-8.5559667190751782E-4</v>
      </c>
      <c r="E99" s="172">
        <f>E93+D99</f>
        <v>1.0098885810488345</v>
      </c>
      <c r="F99" s="173" t="str">
        <f t="shared" si="18"/>
        <v>C</v>
      </c>
      <c r="G99" s="173" t="str">
        <f t="shared" si="10"/>
        <v>C</v>
      </c>
      <c r="I99" s="182" t="s">
        <v>216</v>
      </c>
      <c r="J99" s="171">
        <f>'Юнит 16'!U97</f>
        <v>0</v>
      </c>
      <c r="K99" s="172">
        <f t="shared" si="11"/>
        <v>0</v>
      </c>
      <c r="L99" s="172">
        <f>L93+K99</f>
        <v>0.99584415584415564</v>
      </c>
      <c r="M99" s="173" t="str">
        <f t="shared" ref="M99:M104" si="19">_xlfn.IFS(L99&lt;80%,"A",L99&lt;=95%,"B",L99&gt;95%,"C")</f>
        <v>C</v>
      </c>
    </row>
    <row r="100" spans="2:13" ht="15" outlineLevel="1" thickBot="1">
      <c r="B100" s="182" t="s">
        <v>197</v>
      </c>
      <c r="C100" s="171">
        <f>'Юнит 16'!AO78</f>
        <v>-785.18557188239288</v>
      </c>
      <c r="D100" s="172">
        <f t="shared" ref="D100:D105" si="20">C100/C$106</f>
        <v>-9.3248105665736086E-4</v>
      </c>
      <c r="E100" s="172">
        <f t="shared" ref="E100:E104" si="21">E94+D100</f>
        <v>1.0092965778306739</v>
      </c>
      <c r="F100" s="173" t="str">
        <f t="shared" si="18"/>
        <v>C</v>
      </c>
      <c r="G100" s="173" t="str">
        <f t="shared" si="10"/>
        <v>C</v>
      </c>
      <c r="I100" s="182" t="s">
        <v>256</v>
      </c>
      <c r="J100" s="171">
        <f>'Юнит 16'!U99</f>
        <v>0</v>
      </c>
      <c r="K100" s="172">
        <f t="shared" ref="K100:K105" si="22">J100/J$106</f>
        <v>0</v>
      </c>
      <c r="L100" s="172">
        <f t="shared" ref="L100:L104" si="23">L94+K100</f>
        <v>0.99584415584415564</v>
      </c>
      <c r="M100" s="173" t="str">
        <f t="shared" si="19"/>
        <v>C</v>
      </c>
    </row>
    <row r="101" spans="2:13" ht="15" outlineLevel="1" thickBot="1">
      <c r="B101" s="182" t="s">
        <v>210</v>
      </c>
      <c r="C101" s="171">
        <f>'Юнит 16'!AO91</f>
        <v>-805.06883322068268</v>
      </c>
      <c r="D101" s="172">
        <f t="shared" si="20"/>
        <v>-9.5609428288880266E-4</v>
      </c>
      <c r="E101" s="172">
        <f t="shared" si="21"/>
        <v>1.0086495587050572</v>
      </c>
      <c r="F101" s="173" t="str">
        <f t="shared" si="18"/>
        <v>C</v>
      </c>
      <c r="G101" s="173" t="str">
        <f t="shared" si="10"/>
        <v>C</v>
      </c>
      <c r="I101" s="182" t="s">
        <v>258</v>
      </c>
      <c r="J101" s="171">
        <f>'Юнит 16'!U101</f>
        <v>0</v>
      </c>
      <c r="K101" s="172">
        <f t="shared" si="22"/>
        <v>0</v>
      </c>
      <c r="L101" s="172">
        <f t="shared" si="23"/>
        <v>0.99584415584415564</v>
      </c>
      <c r="M101" s="173" t="str">
        <f t="shared" si="19"/>
        <v>C</v>
      </c>
    </row>
    <row r="102" spans="2:13" ht="26.5" outlineLevel="1" thickBot="1">
      <c r="B102" s="182" t="s">
        <v>140</v>
      </c>
      <c r="C102" s="171">
        <f>'Юнит 16'!AO21</f>
        <v>-814.84905873605931</v>
      </c>
      <c r="D102" s="172">
        <f t="shared" si="20"/>
        <v>-9.6770921233925325E-4</v>
      </c>
      <c r="E102" s="172">
        <f t="shared" si="21"/>
        <v>1.00787524688903</v>
      </c>
      <c r="F102" s="173" t="str">
        <f t="shared" si="18"/>
        <v>C</v>
      </c>
      <c r="G102" s="173" t="str">
        <f t="shared" si="10"/>
        <v>C</v>
      </c>
      <c r="I102" s="182" t="s">
        <v>260</v>
      </c>
      <c r="J102" s="171">
        <f>'Юнит 16'!U103</f>
        <v>0</v>
      </c>
      <c r="K102" s="172">
        <f t="shared" si="22"/>
        <v>0</v>
      </c>
      <c r="L102" s="172">
        <f t="shared" si="23"/>
        <v>0.99584415584415564</v>
      </c>
      <c r="M102" s="173" t="str">
        <f t="shared" si="19"/>
        <v>C</v>
      </c>
    </row>
    <row r="103" spans="2:13" ht="15" outlineLevel="1" thickBot="1">
      <c r="B103" s="182" t="s">
        <v>152</v>
      </c>
      <c r="C103" s="171">
        <f>'Юнит 16'!AO33</f>
        <v>-837.95199229469392</v>
      </c>
      <c r="D103" s="172">
        <f t="shared" si="20"/>
        <v>-9.9514609944989312E-4</v>
      </c>
      <c r="E103" s="172">
        <f t="shared" si="21"/>
        <v>1.0070714242971206</v>
      </c>
      <c r="F103" s="173" t="str">
        <f t="shared" si="18"/>
        <v>C</v>
      </c>
      <c r="G103" s="173" t="str">
        <f t="shared" si="10"/>
        <v>C</v>
      </c>
      <c r="I103" s="182" t="s">
        <v>338</v>
      </c>
      <c r="J103" s="171">
        <f>'Юнит 16'!U104</f>
        <v>0</v>
      </c>
      <c r="K103" s="172">
        <f t="shared" si="22"/>
        <v>0</v>
      </c>
      <c r="L103" s="172">
        <f t="shared" si="23"/>
        <v>0.99584415584415564</v>
      </c>
      <c r="M103" s="173" t="str">
        <f t="shared" si="19"/>
        <v>C</v>
      </c>
    </row>
    <row r="104" spans="2:13" ht="26.5" outlineLevel="1" thickBot="1">
      <c r="B104" s="182" t="s">
        <v>205</v>
      </c>
      <c r="C104" s="171">
        <f>'Юнит 16'!AO86</f>
        <v>-1110.0700523825617</v>
      </c>
      <c r="D104" s="172">
        <f t="shared" si="20"/>
        <v>-1.318311660933609E-3</v>
      </c>
      <c r="E104" s="172">
        <f t="shared" si="21"/>
        <v>1.0059664434548421</v>
      </c>
      <c r="F104" s="173" t="str">
        <f t="shared" si="18"/>
        <v>C</v>
      </c>
      <c r="G104" s="173" t="str">
        <f t="shared" si="10"/>
        <v>C</v>
      </c>
      <c r="I104" s="182" t="s">
        <v>158</v>
      </c>
      <c r="J104" s="171">
        <f>'Юнит 16'!U39</f>
        <v>-1</v>
      </c>
      <c r="K104" s="172">
        <f t="shared" si="22"/>
        <v>-5.1948051948051948E-4</v>
      </c>
      <c r="L104" s="172">
        <f t="shared" si="23"/>
        <v>0.99532467532467517</v>
      </c>
      <c r="M104" s="173" t="str">
        <f t="shared" si="19"/>
        <v>C</v>
      </c>
    </row>
    <row r="105" spans="2:13" ht="26.5" outlineLevel="1" thickBot="1">
      <c r="B105" s="182" t="s">
        <v>172</v>
      </c>
      <c r="C105" s="171">
        <f>'Юнит 16'!AO53</f>
        <v>-1939.796105103075</v>
      </c>
      <c r="D105" s="172">
        <f t="shared" si="20"/>
        <v>-2.3036886903689546E-3</v>
      </c>
      <c r="E105" s="172">
        <f t="shared" ref="E105" si="24">E99+D105</f>
        <v>1.0075848923584656</v>
      </c>
      <c r="F105" s="173" t="str">
        <f t="shared" ref="F105" si="25">IF(AND(E105&lt;=0),"C",IF(E105&lt;=0.8,"A",IF(E105&lt;=0.95,"B","C")))</f>
        <v>C</v>
      </c>
      <c r="G105" s="173" t="e">
        <f t="shared" ref="G105" si="26">VLOOKUP(B$4:B$104,I$4:M$104,5,0)</f>
        <v>#VALUE!</v>
      </c>
      <c r="I105" s="182" t="s">
        <v>172</v>
      </c>
      <c r="J105" s="171">
        <f>'Юнит 16'!U53</f>
        <v>-1</v>
      </c>
      <c r="K105" s="172">
        <f t="shared" si="22"/>
        <v>-5.1948051948051948E-4</v>
      </c>
      <c r="L105" s="172">
        <f t="shared" ref="L105" si="27">L99+K105</f>
        <v>0.99532467532467517</v>
      </c>
      <c r="M105" s="173" t="str">
        <f t="shared" ref="M105" si="28">_xlfn.IFS(L105&lt;80%,"A",L105&lt;=95%,"B",L105&gt;95%,"C")</f>
        <v>C</v>
      </c>
    </row>
    <row r="106" spans="2:13" outlineLevel="1">
      <c r="C106" s="178">
        <f>SUM(C4:C105)</f>
        <v>842039.16666900017</v>
      </c>
      <c r="D106" s="179">
        <f>SUM(D4:D105)</f>
        <v>1</v>
      </c>
      <c r="J106" s="178">
        <f>SUM(J4:J105)</f>
        <v>1925</v>
      </c>
      <c r="K106" s="179">
        <f>SUM(K4:K105)</f>
        <v>0.99999999999999989</v>
      </c>
    </row>
  </sheetData>
  <sortState xmlns:xlrd2="http://schemas.microsoft.com/office/spreadsheetml/2017/richdata2" ref="B4:C105">
    <sortCondition descending="1" ref="C4:C105"/>
  </sortState>
  <mergeCells count="1">
    <mergeCell ref="B2:M2"/>
  </mergeCells>
  <conditionalFormatting sqref="D4:D98 F4:G98 K4:K98 M4:M98">
    <cfRule type="cellIs" dxfId="208" priority="4" operator="equal">
      <formula>"C"</formula>
    </cfRule>
    <cfRule type="cellIs" dxfId="207" priority="5" operator="equal">
      <formula>"B"</formula>
    </cfRule>
    <cfRule type="cellIs" dxfId="206" priority="6" operator="equal">
      <formula>"A"</formula>
    </cfRule>
  </conditionalFormatting>
  <conditionalFormatting sqref="F99:G105 D99:D105 M99:M105 K99:K105">
    <cfRule type="cellIs" dxfId="205" priority="1" operator="equal">
      <formula>"C"</formula>
    </cfRule>
    <cfRule type="cellIs" dxfId="204" priority="2" operator="equal">
      <formula>"B"</formula>
    </cfRule>
    <cfRule type="cellIs" dxfId="203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9C19-EECF-4996-825E-409CF7F98CD3}">
  <dimension ref="B1:Q105"/>
  <sheetViews>
    <sheetView zoomScale="80" zoomScaleNormal="80" workbookViewId="0">
      <selection activeCell="K12" sqref="K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9" t="s">
        <v>86</v>
      </c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1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15'!AO4</f>
        <v>182652.83672382942</v>
      </c>
      <c r="D4" s="172">
        <f t="shared" ref="D4:D67" si="0">C4/C$105</f>
        <v>0.1834062483234197</v>
      </c>
      <c r="E4" s="172">
        <f>D4</f>
        <v>0.1834062483234197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15'!U4</f>
        <v>315</v>
      </c>
      <c r="K4" s="172">
        <f t="shared" ref="K4:K67" si="2">J4/J$105</f>
        <v>0.14879546528105811</v>
      </c>
      <c r="L4" s="172">
        <f>K4</f>
        <v>0.14879546528105811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'Юнит 15'!AO13</f>
        <v>101216.47880598261</v>
      </c>
      <c r="D5" s="172">
        <f t="shared" si="0"/>
        <v>0.10163397940750578</v>
      </c>
      <c r="E5" s="172">
        <f>E4+D5</f>
        <v>0.28504022773092547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15'!U13</f>
        <v>190</v>
      </c>
      <c r="K5" s="172">
        <f t="shared" si="2"/>
        <v>8.9749645725082663E-2</v>
      </c>
      <c r="L5" s="172">
        <f>L4+K5</f>
        <v>0.23854511100614079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15'!AO9</f>
        <v>93844.336580645075</v>
      </c>
      <c r="D6" s="172">
        <f t="shared" si="0"/>
        <v>9.4231428360898206E-2</v>
      </c>
      <c r="E6" s="172">
        <f t="shared" ref="E6:E69" si="5">E5+D6</f>
        <v>0.37927165609182367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15'!U9</f>
        <v>180</v>
      </c>
      <c r="K6" s="172">
        <f t="shared" si="2"/>
        <v>8.5025980160604628E-2</v>
      </c>
      <c r="L6" s="172">
        <f t="shared" ref="L6:L69" si="6">L5+K6</f>
        <v>0.32357109116674543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135</v>
      </c>
      <c r="C7" s="171">
        <f>'Юнит 15'!AO16</f>
        <v>81890.736991983751</v>
      </c>
      <c r="D7" s="172">
        <f t="shared" si="0"/>
        <v>8.2228522225738662E-2</v>
      </c>
      <c r="E7" s="172">
        <f t="shared" si="5"/>
        <v>0.46150017831756235</v>
      </c>
      <c r="F7" s="173" t="str">
        <f t="shared" si="3"/>
        <v>A</v>
      </c>
      <c r="G7" s="173" t="str">
        <f t="shared" si="1"/>
        <v>A</v>
      </c>
      <c r="I7" s="182" t="s">
        <v>126</v>
      </c>
      <c r="J7" s="171">
        <f>'Юнит 15'!U7</f>
        <v>155</v>
      </c>
      <c r="K7" s="172">
        <f t="shared" si="2"/>
        <v>7.3216816249409539E-2</v>
      </c>
      <c r="L7" s="172">
        <f t="shared" si="6"/>
        <v>0.39678790741615499</v>
      </c>
      <c r="M7" s="173" t="str">
        <f t="shared" si="4"/>
        <v>A</v>
      </c>
    </row>
    <row r="8" spans="2:17" ht="15" outlineLevel="1" thickBot="1">
      <c r="B8" s="182" t="s">
        <v>126</v>
      </c>
      <c r="C8" s="171">
        <f>'Юнит 15'!AO7</f>
        <v>72275.074798780639</v>
      </c>
      <c r="D8" s="172">
        <f t="shared" si="0"/>
        <v>7.2573197076492582E-2</v>
      </c>
      <c r="E8" s="172">
        <f t="shared" si="5"/>
        <v>0.53407337539405497</v>
      </c>
      <c r="F8" s="173" t="str">
        <f t="shared" si="3"/>
        <v>A</v>
      </c>
      <c r="G8" s="173" t="str">
        <f t="shared" si="1"/>
        <v>A</v>
      </c>
      <c r="I8" s="182" t="s">
        <v>129</v>
      </c>
      <c r="J8" s="171">
        <f>'Юнит 15'!U10</f>
        <v>153</v>
      </c>
      <c r="K8" s="172">
        <f t="shared" si="2"/>
        <v>7.227208313651394E-2</v>
      </c>
      <c r="L8" s="172">
        <f t="shared" si="6"/>
        <v>0.46905999055266895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'Юнит 15'!AO5</f>
        <v>62875.188583475741</v>
      </c>
      <c r="D9" s="172">
        <f t="shared" si="0"/>
        <v>6.3134537944016147E-2</v>
      </c>
      <c r="E9" s="172">
        <f t="shared" si="5"/>
        <v>0.59720791333807111</v>
      </c>
      <c r="F9" s="173" t="str">
        <f t="shared" si="3"/>
        <v>A</v>
      </c>
      <c r="G9" s="173" t="str">
        <f t="shared" si="1"/>
        <v>A</v>
      </c>
      <c r="I9" s="182" t="s">
        <v>135</v>
      </c>
      <c r="J9" s="171">
        <f>'Юнит 15'!U16</f>
        <v>147</v>
      </c>
      <c r="K9" s="172">
        <f t="shared" si="2"/>
        <v>6.9437883797827116E-2</v>
      </c>
      <c r="L9" s="172">
        <f t="shared" si="6"/>
        <v>0.53849787435049601</v>
      </c>
      <c r="M9" s="173" t="str">
        <f t="shared" si="4"/>
        <v>A</v>
      </c>
    </row>
    <row r="10" spans="2:17" ht="26.5" outlineLevel="1" thickBot="1">
      <c r="B10" s="182" t="s">
        <v>122</v>
      </c>
      <c r="C10" s="171">
        <f>'Юнит 15'!AO3</f>
        <v>59823.329246440364</v>
      </c>
      <c r="D10" s="172">
        <f t="shared" si="0"/>
        <v>6.0070090211059406E-2</v>
      </c>
      <c r="E10" s="172">
        <f t="shared" si="5"/>
        <v>0.65727800354913046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'Юнит 15'!U5</f>
        <v>124</v>
      </c>
      <c r="K10" s="172">
        <f t="shared" si="2"/>
        <v>5.8573452999527632E-2</v>
      </c>
      <c r="L10" s="172">
        <f t="shared" si="6"/>
        <v>0.59707132735002366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'Юнит 15'!AO10</f>
        <v>57630.332527260718</v>
      </c>
      <c r="D11" s="172">
        <f t="shared" si="0"/>
        <v>5.7868047756835461E-2</v>
      </c>
      <c r="E11" s="172">
        <f t="shared" si="5"/>
        <v>0.71514605130596598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15'!U3</f>
        <v>116</v>
      </c>
      <c r="K11" s="172">
        <f t="shared" si="2"/>
        <v>5.4794520547945202E-2</v>
      </c>
      <c r="L11" s="172">
        <f t="shared" si="6"/>
        <v>0.65186584789796886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15'!AO12</f>
        <v>43739.957673770274</v>
      </c>
      <c r="D12" s="172">
        <f t="shared" si="0"/>
        <v>4.3920377491321931E-2</v>
      </c>
      <c r="E12" s="172">
        <f t="shared" si="5"/>
        <v>0.75906642879728792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15'!U12</f>
        <v>108</v>
      </c>
      <c r="K12" s="172">
        <f t="shared" si="2"/>
        <v>5.1015588096362779E-2</v>
      </c>
      <c r="L12" s="172">
        <f t="shared" si="6"/>
        <v>0.70288143599433162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'Юнит 15'!AO11</f>
        <v>31038.072719783508</v>
      </c>
      <c r="D13" s="172">
        <f t="shared" si="0"/>
        <v>3.1166099442146263E-2</v>
      </c>
      <c r="E13" s="172">
        <f t="shared" si="5"/>
        <v>0.79023252823943413</v>
      </c>
      <c r="F13" s="173" t="str">
        <f t="shared" si="3"/>
        <v>A</v>
      </c>
      <c r="G13" s="173" t="str">
        <f t="shared" si="1"/>
        <v>A</v>
      </c>
      <c r="I13" s="182" t="s">
        <v>130</v>
      </c>
      <c r="J13" s="171">
        <f>'Юнит 15'!U11</f>
        <v>85</v>
      </c>
      <c r="K13" s="172">
        <f t="shared" si="2"/>
        <v>4.0151157298063296E-2</v>
      </c>
      <c r="L13" s="172">
        <f t="shared" si="6"/>
        <v>0.74303259329239491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15'!AO6</f>
        <v>30960.496495611191</v>
      </c>
      <c r="D14" s="172">
        <f t="shared" si="0"/>
        <v>3.1088203229364997E-2</v>
      </c>
      <c r="E14" s="172">
        <f t="shared" si="5"/>
        <v>0.82132073146879914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15'!U6</f>
        <v>69</v>
      </c>
      <c r="K14" s="172">
        <f t="shared" si="2"/>
        <v>3.2593292394898443E-2</v>
      </c>
      <c r="L14" s="172">
        <f t="shared" si="6"/>
        <v>0.77562588568729329</v>
      </c>
      <c r="M14" s="173" t="str">
        <f t="shared" si="4"/>
        <v>A</v>
      </c>
    </row>
    <row r="15" spans="2:17" ht="15" outlineLevel="1" thickBot="1">
      <c r="B15" s="182" t="s">
        <v>133</v>
      </c>
      <c r="C15" s="171">
        <f>'Юнит 15'!AO14</f>
        <v>23642.762400178188</v>
      </c>
      <c r="D15" s="172">
        <f t="shared" si="0"/>
        <v>2.3740284736858807E-2</v>
      </c>
      <c r="E15" s="172">
        <f t="shared" si="5"/>
        <v>0.84506101620565799</v>
      </c>
      <c r="F15" s="173" t="str">
        <f t="shared" si="3"/>
        <v>B</v>
      </c>
      <c r="G15" s="173" t="str">
        <f t="shared" si="1"/>
        <v>B</v>
      </c>
      <c r="I15" s="182" t="s">
        <v>133</v>
      </c>
      <c r="J15" s="171">
        <f>'Юнит 15'!U14</f>
        <v>52</v>
      </c>
      <c r="K15" s="172">
        <f t="shared" si="2"/>
        <v>2.4563060935285781E-2</v>
      </c>
      <c r="L15" s="172">
        <f t="shared" si="6"/>
        <v>0.80018894662257911</v>
      </c>
      <c r="M15" s="173" t="str">
        <f t="shared" si="4"/>
        <v>B</v>
      </c>
    </row>
    <row r="16" spans="2:17" ht="15" outlineLevel="1" thickBot="1">
      <c r="B16" s="182" t="s">
        <v>134</v>
      </c>
      <c r="C16" s="171">
        <f>'Юнит 15'!AO15</f>
        <v>21256.767670058904</v>
      </c>
      <c r="D16" s="172">
        <f t="shared" si="0"/>
        <v>2.1344448188027713E-2</v>
      </c>
      <c r="E16" s="172">
        <f t="shared" si="5"/>
        <v>0.86640546439368571</v>
      </c>
      <c r="F16" s="173" t="str">
        <f t="shared" si="3"/>
        <v>B</v>
      </c>
      <c r="G16" s="173" t="str">
        <f t="shared" si="1"/>
        <v>B</v>
      </c>
      <c r="I16" s="182" t="s">
        <v>134</v>
      </c>
      <c r="J16" s="171">
        <f>'Юнит 15'!U15</f>
        <v>49</v>
      </c>
      <c r="K16" s="172">
        <f t="shared" si="2"/>
        <v>2.3145961265942372E-2</v>
      </c>
      <c r="L16" s="172">
        <f t="shared" si="6"/>
        <v>0.82333490788852148</v>
      </c>
      <c r="M16" s="173" t="str">
        <f t="shared" si="4"/>
        <v>B</v>
      </c>
    </row>
    <row r="17" spans="2:13" ht="15" outlineLevel="1" thickBot="1">
      <c r="B17" s="182" t="s">
        <v>168</v>
      </c>
      <c r="C17" s="171">
        <f>'Юнит 15'!AO49</f>
        <v>19409.455303388801</v>
      </c>
      <c r="D17" s="172">
        <f t="shared" si="0"/>
        <v>1.9489515974931572E-2</v>
      </c>
      <c r="E17" s="172">
        <f t="shared" si="5"/>
        <v>0.88589498036861725</v>
      </c>
      <c r="F17" s="173" t="str">
        <f t="shared" si="3"/>
        <v>B</v>
      </c>
      <c r="G17" s="173" t="str">
        <f t="shared" si="1"/>
        <v>B</v>
      </c>
      <c r="I17" s="182" t="s">
        <v>147</v>
      </c>
      <c r="J17" s="171">
        <f>'Юнит 15'!U28</f>
        <v>49</v>
      </c>
      <c r="K17" s="172">
        <f t="shared" si="2"/>
        <v>2.3145961265942372E-2</v>
      </c>
      <c r="L17" s="172">
        <f t="shared" si="6"/>
        <v>0.84648086915446386</v>
      </c>
      <c r="M17" s="173" t="str">
        <f t="shared" si="4"/>
        <v>B</v>
      </c>
    </row>
    <row r="18" spans="2:13" ht="26.5" outlineLevel="1" thickBot="1">
      <c r="B18" s="182" t="s">
        <v>167</v>
      </c>
      <c r="C18" s="171">
        <f>'Юнит 15'!AO48</f>
        <v>18206.416455817402</v>
      </c>
      <c r="D18" s="172">
        <f t="shared" si="0"/>
        <v>1.8281514798612505E-2</v>
      </c>
      <c r="E18" s="172">
        <f t="shared" si="5"/>
        <v>0.90417649516722975</v>
      </c>
      <c r="F18" s="173" t="str">
        <f t="shared" si="3"/>
        <v>B</v>
      </c>
      <c r="G18" s="173" t="str">
        <f t="shared" si="1"/>
        <v>B</v>
      </c>
      <c r="I18" s="182" t="s">
        <v>167</v>
      </c>
      <c r="J18" s="171">
        <f>'Юнит 15'!U48</f>
        <v>45</v>
      </c>
      <c r="K18" s="172">
        <f t="shared" si="2"/>
        <v>2.1256495040151157E-2</v>
      </c>
      <c r="L18" s="172">
        <f t="shared" si="6"/>
        <v>0.867737364194615</v>
      </c>
      <c r="M18" s="173" t="str">
        <f t="shared" si="4"/>
        <v>B</v>
      </c>
    </row>
    <row r="19" spans="2:13" ht="15" outlineLevel="1" thickBot="1">
      <c r="B19" s="182" t="s">
        <v>169</v>
      </c>
      <c r="C19" s="171">
        <f>'Юнит 15'!AO50</f>
        <v>15255.859575920471</v>
      </c>
      <c r="D19" s="172">
        <f t="shared" si="0"/>
        <v>1.5318787378041593E-2</v>
      </c>
      <c r="E19" s="172">
        <f t="shared" si="5"/>
        <v>0.91949528254527135</v>
      </c>
      <c r="F19" s="173" t="str">
        <f t="shared" si="3"/>
        <v>B</v>
      </c>
      <c r="G19" s="173" t="str">
        <f t="shared" si="1"/>
        <v>B</v>
      </c>
      <c r="I19" s="182" t="s">
        <v>168</v>
      </c>
      <c r="J19" s="171">
        <f>'Юнит 15'!U49</f>
        <v>37</v>
      </c>
      <c r="K19" s="172">
        <f t="shared" si="2"/>
        <v>1.7477562588568731E-2</v>
      </c>
      <c r="L19" s="172">
        <f t="shared" si="6"/>
        <v>0.8852149267831837</v>
      </c>
      <c r="M19" s="173" t="str">
        <f t="shared" si="4"/>
        <v>B</v>
      </c>
    </row>
    <row r="20" spans="2:13" ht="15" outlineLevel="1" thickBot="1">
      <c r="B20" s="182" t="s">
        <v>147</v>
      </c>
      <c r="C20" s="171">
        <f>'Юнит 15'!AO28</f>
        <v>13706.162310938151</v>
      </c>
      <c r="D20" s="172">
        <f t="shared" si="0"/>
        <v>1.3762697877842822E-2</v>
      </c>
      <c r="E20" s="172">
        <f t="shared" si="5"/>
        <v>0.93325798042311414</v>
      </c>
      <c r="F20" s="173" t="str">
        <f t="shared" si="3"/>
        <v>B</v>
      </c>
      <c r="G20" s="173" t="str">
        <f t="shared" si="1"/>
        <v>B</v>
      </c>
      <c r="I20" s="182" t="s">
        <v>163</v>
      </c>
      <c r="J20" s="171">
        <f>'Юнит 15'!U44</f>
        <v>33</v>
      </c>
      <c r="K20" s="172">
        <f t="shared" si="2"/>
        <v>1.5588096362777516E-2</v>
      </c>
      <c r="L20" s="172">
        <f t="shared" si="6"/>
        <v>0.90080302314596117</v>
      </c>
      <c r="M20" s="173" t="str">
        <f t="shared" si="4"/>
        <v>B</v>
      </c>
    </row>
    <row r="21" spans="2:13" ht="15" outlineLevel="1" thickBot="1">
      <c r="B21" s="182" t="s">
        <v>127</v>
      </c>
      <c r="C21" s="171">
        <f>'Юнит 15'!AO8</f>
        <v>13507.963360908692</v>
      </c>
      <c r="D21" s="172">
        <f t="shared" si="0"/>
        <v>1.3563681391164838E-2</v>
      </c>
      <c r="E21" s="172">
        <f t="shared" si="5"/>
        <v>0.94682166181427896</v>
      </c>
      <c r="F21" s="173" t="str">
        <f t="shared" si="3"/>
        <v>B</v>
      </c>
      <c r="G21" s="173" t="str">
        <f t="shared" si="1"/>
        <v>B</v>
      </c>
      <c r="I21" s="182" t="s">
        <v>169</v>
      </c>
      <c r="J21" s="171">
        <f>'Юнит 15'!U50</f>
        <v>33</v>
      </c>
      <c r="K21" s="172">
        <f t="shared" si="2"/>
        <v>1.5588096362777516E-2</v>
      </c>
      <c r="L21" s="172">
        <f t="shared" si="6"/>
        <v>0.91639111950873864</v>
      </c>
      <c r="M21" s="173" t="str">
        <f t="shared" si="4"/>
        <v>B</v>
      </c>
    </row>
    <row r="22" spans="2:13" ht="26.5" outlineLevel="1" thickBot="1">
      <c r="B22" s="182" t="s">
        <v>136</v>
      </c>
      <c r="C22" s="171">
        <f>'Юнит 15'!AO17</f>
        <v>12267.249771231222</v>
      </c>
      <c r="D22" s="172">
        <f t="shared" si="0"/>
        <v>1.2317850070895284E-2</v>
      </c>
      <c r="E22" s="172">
        <f t="shared" si="5"/>
        <v>0.95913951188517421</v>
      </c>
      <c r="F22" s="173" t="str">
        <f t="shared" si="3"/>
        <v>C</v>
      </c>
      <c r="G22" s="173" t="str">
        <f t="shared" si="1"/>
        <v>B</v>
      </c>
      <c r="I22" s="182" t="s">
        <v>127</v>
      </c>
      <c r="J22" s="171">
        <f>'Юнит 15'!U8</f>
        <v>29</v>
      </c>
      <c r="K22" s="172">
        <f t="shared" si="2"/>
        <v>1.3698630136986301E-2</v>
      </c>
      <c r="L22" s="172">
        <f t="shared" si="6"/>
        <v>0.93008974964572499</v>
      </c>
      <c r="M22" s="173" t="str">
        <f t="shared" si="4"/>
        <v>B</v>
      </c>
    </row>
    <row r="23" spans="2:13" ht="26.5" outlineLevel="1" thickBot="1">
      <c r="B23" s="182" t="s">
        <v>137</v>
      </c>
      <c r="C23" s="171">
        <f>'Юнит 15'!AO18</f>
        <v>12021.437784200294</v>
      </c>
      <c r="D23" s="172">
        <f t="shared" si="0"/>
        <v>1.2071024151610857E-2</v>
      </c>
      <c r="E23" s="172">
        <f t="shared" si="5"/>
        <v>0.97121053603678509</v>
      </c>
      <c r="F23" s="173" t="str">
        <f t="shared" si="3"/>
        <v>C</v>
      </c>
      <c r="G23" s="173" t="str">
        <f t="shared" si="1"/>
        <v>C</v>
      </c>
      <c r="I23" s="182" t="s">
        <v>136</v>
      </c>
      <c r="J23" s="171">
        <f>'Юнит 15'!U17</f>
        <v>29</v>
      </c>
      <c r="K23" s="172">
        <f t="shared" si="2"/>
        <v>1.3698630136986301E-2</v>
      </c>
      <c r="L23" s="172">
        <f t="shared" si="6"/>
        <v>0.94378837978271135</v>
      </c>
      <c r="M23" s="173" t="str">
        <f t="shared" si="4"/>
        <v>B</v>
      </c>
    </row>
    <row r="24" spans="2:13" ht="26.5" outlineLevel="1" thickBot="1">
      <c r="B24" s="182" t="s">
        <v>163</v>
      </c>
      <c r="C24" s="171">
        <f>'Юнит 15'!AO44</f>
        <v>11867.157960394699</v>
      </c>
      <c r="D24" s="172">
        <f t="shared" si="0"/>
        <v>1.1916107950013804E-2</v>
      </c>
      <c r="E24" s="172">
        <f t="shared" si="5"/>
        <v>0.98312664398679894</v>
      </c>
      <c r="F24" s="173" t="str">
        <f t="shared" si="3"/>
        <v>C</v>
      </c>
      <c r="G24" s="173" t="str">
        <f t="shared" si="1"/>
        <v>B</v>
      </c>
      <c r="I24" s="182" t="s">
        <v>137</v>
      </c>
      <c r="J24" s="171">
        <f>'Юнит 15'!U18</f>
        <v>23</v>
      </c>
      <c r="K24" s="172">
        <f t="shared" si="2"/>
        <v>1.086443079829948E-2</v>
      </c>
      <c r="L24" s="172">
        <f t="shared" si="6"/>
        <v>0.95465281058101081</v>
      </c>
      <c r="M24" s="173" t="str">
        <f t="shared" si="4"/>
        <v>C</v>
      </c>
    </row>
    <row r="25" spans="2:13" ht="15" outlineLevel="1" thickBot="1">
      <c r="B25" s="182" t="s">
        <v>164</v>
      </c>
      <c r="C25" s="171">
        <f>'Юнит 15'!AO45</f>
        <v>7964.8073385979342</v>
      </c>
      <c r="D25" s="172">
        <f t="shared" si="0"/>
        <v>7.9976608017306994E-3</v>
      </c>
      <c r="E25" s="172">
        <f t="shared" si="5"/>
        <v>0.99112430478852964</v>
      </c>
      <c r="F25" s="173" t="str">
        <f t="shared" si="3"/>
        <v>C</v>
      </c>
      <c r="G25" s="173" t="str">
        <f t="shared" si="1"/>
        <v>C</v>
      </c>
      <c r="I25" s="182" t="s">
        <v>164</v>
      </c>
      <c r="J25" s="171">
        <f>'Юнит 15'!U45</f>
        <v>19</v>
      </c>
      <c r="K25" s="172">
        <f t="shared" si="2"/>
        <v>8.9749645725082667E-3</v>
      </c>
      <c r="L25" s="172">
        <f t="shared" si="6"/>
        <v>0.96362777515351905</v>
      </c>
      <c r="M25" s="173" t="str">
        <f t="shared" si="4"/>
        <v>C</v>
      </c>
    </row>
    <row r="26" spans="2:13" ht="15" outlineLevel="1" thickBot="1">
      <c r="B26" s="182" t="s">
        <v>139</v>
      </c>
      <c r="C26" s="171">
        <f>'Юнит 15'!AO20</f>
        <v>3974.109625213549</v>
      </c>
      <c r="D26" s="172">
        <f t="shared" si="0"/>
        <v>3.9905021452717312E-3</v>
      </c>
      <c r="E26" s="172">
        <f t="shared" si="5"/>
        <v>0.99511480693380139</v>
      </c>
      <c r="F26" s="173" t="str">
        <f t="shared" si="3"/>
        <v>C</v>
      </c>
      <c r="G26" s="173" t="str">
        <f t="shared" si="1"/>
        <v>C</v>
      </c>
      <c r="I26" s="182" t="s">
        <v>139</v>
      </c>
      <c r="J26" s="171">
        <f>'Юнит 15'!U20</f>
        <v>10</v>
      </c>
      <c r="K26" s="172">
        <f t="shared" si="2"/>
        <v>4.7236655644780348E-3</v>
      </c>
      <c r="L26" s="172">
        <f t="shared" si="6"/>
        <v>0.96835144071799706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15'!AO47</f>
        <v>2830.6558456833577</v>
      </c>
      <c r="D27" s="172">
        <f t="shared" si="0"/>
        <v>2.8423318151719148E-3</v>
      </c>
      <c r="E27" s="172">
        <f>E26+D27</f>
        <v>0.99795713874897329</v>
      </c>
      <c r="F27" s="173" t="str">
        <f t="shared" si="3"/>
        <v>C</v>
      </c>
      <c r="G27" s="173" t="str">
        <f t="shared" si="1"/>
        <v>C</v>
      </c>
      <c r="I27" s="182" t="s">
        <v>140</v>
      </c>
      <c r="J27" s="171">
        <f>'Юнит 15'!U21</f>
        <v>5</v>
      </c>
      <c r="K27" s="172">
        <f t="shared" si="2"/>
        <v>2.3618327822390174E-3</v>
      </c>
      <c r="L27" s="172">
        <f>L26+K27</f>
        <v>0.97071327350023606</v>
      </c>
      <c r="M27" s="173" t="str">
        <f t="shared" si="4"/>
        <v>C</v>
      </c>
    </row>
    <row r="28" spans="2:13" ht="15" outlineLevel="1" thickBot="1">
      <c r="B28" s="182" t="s">
        <v>159</v>
      </c>
      <c r="C28" s="171">
        <f>'Юнит 15'!AO40</f>
        <v>1559.1891423048603</v>
      </c>
      <c r="D28" s="172">
        <f t="shared" si="0"/>
        <v>1.5656205298860116E-3</v>
      </c>
      <c r="E28" s="172">
        <f>E27+D28</f>
        <v>0.99952275927885925</v>
      </c>
      <c r="F28" s="173" t="str">
        <f t="shared" si="3"/>
        <v>C</v>
      </c>
      <c r="G28" s="173" t="str">
        <f t="shared" si="1"/>
        <v>C</v>
      </c>
      <c r="I28" s="182" t="s">
        <v>141</v>
      </c>
      <c r="J28" s="171">
        <f>'Юнит 15'!U22</f>
        <v>5</v>
      </c>
      <c r="K28" s="172">
        <f t="shared" si="2"/>
        <v>2.3618327822390174E-3</v>
      </c>
      <c r="L28" s="172">
        <f t="shared" si="6"/>
        <v>0.97307510628247507</v>
      </c>
      <c r="M28" s="173" t="str">
        <f t="shared" si="4"/>
        <v>C</v>
      </c>
    </row>
    <row r="29" spans="2:13" ht="15" outlineLevel="1" thickBot="1">
      <c r="B29" s="182" t="s">
        <v>140</v>
      </c>
      <c r="C29" s="171">
        <f>'Юнит 15'!AO21</f>
        <v>1162.139435524301</v>
      </c>
      <c r="D29" s="172">
        <f t="shared" si="0"/>
        <v>1.1669330612175562E-3</v>
      </c>
      <c r="E29" s="172">
        <f t="shared" si="5"/>
        <v>1.0006896923400768</v>
      </c>
      <c r="F29" s="173" t="str">
        <f t="shared" si="3"/>
        <v>C</v>
      </c>
      <c r="G29" s="173" t="str">
        <f t="shared" si="1"/>
        <v>C</v>
      </c>
      <c r="I29" s="182" t="s">
        <v>145</v>
      </c>
      <c r="J29" s="171">
        <f>'Юнит 15'!U26</f>
        <v>5</v>
      </c>
      <c r="K29" s="172">
        <f t="shared" si="2"/>
        <v>2.3618327822390174E-3</v>
      </c>
      <c r="L29" s="172">
        <f t="shared" si="6"/>
        <v>0.97543693906471407</v>
      </c>
      <c r="M29" s="173" t="str">
        <f t="shared" si="4"/>
        <v>C</v>
      </c>
    </row>
    <row r="30" spans="2:13" ht="15" outlineLevel="1" thickBot="1">
      <c r="B30" s="182" t="s">
        <v>141</v>
      </c>
      <c r="C30" s="171">
        <f>'Юнит 15'!AO22</f>
        <v>1140.3671180780561</v>
      </c>
      <c r="D30" s="172">
        <f t="shared" si="0"/>
        <v>1.1450709366990087E-3</v>
      </c>
      <c r="E30" s="172">
        <f t="shared" si="5"/>
        <v>1.0018347632767757</v>
      </c>
      <c r="F30" s="173" t="str">
        <f t="shared" si="3"/>
        <v>C</v>
      </c>
      <c r="G30" s="173" t="str">
        <f t="shared" si="1"/>
        <v>C</v>
      </c>
      <c r="I30" s="182" t="s">
        <v>166</v>
      </c>
      <c r="J30" s="171">
        <f>'Юнит 15'!U47</f>
        <v>5</v>
      </c>
      <c r="K30" s="172">
        <f t="shared" si="2"/>
        <v>2.3618327822390174E-3</v>
      </c>
      <c r="L30" s="172">
        <f t="shared" si="6"/>
        <v>0.97779877184695307</v>
      </c>
      <c r="M30" s="173" t="str">
        <f t="shared" si="4"/>
        <v>C</v>
      </c>
    </row>
    <row r="31" spans="2:13" ht="26.5" outlineLevel="1" thickBot="1">
      <c r="B31" s="182" t="s">
        <v>172</v>
      </c>
      <c r="C31" s="171">
        <f>'Юнит 15'!AO53</f>
        <v>1069.6358455817387</v>
      </c>
      <c r="D31" s="172">
        <f t="shared" si="0"/>
        <v>1.0740479098444871E-3</v>
      </c>
      <c r="E31" s="172">
        <f t="shared" si="5"/>
        <v>1.0029088111866202</v>
      </c>
      <c r="F31" s="173" t="str">
        <f t="shared" si="3"/>
        <v>C</v>
      </c>
      <c r="G31" s="173" t="str">
        <f t="shared" si="1"/>
        <v>C</v>
      </c>
      <c r="I31" s="182" t="s">
        <v>172</v>
      </c>
      <c r="J31" s="171">
        <f>'Юнит 15'!U53</f>
        <v>5</v>
      </c>
      <c r="K31" s="172">
        <f t="shared" si="2"/>
        <v>2.3618327822390174E-3</v>
      </c>
      <c r="L31" s="172">
        <f t="shared" si="6"/>
        <v>0.98016060462919208</v>
      </c>
      <c r="M31" s="173" t="str">
        <f t="shared" si="4"/>
        <v>C</v>
      </c>
    </row>
    <row r="32" spans="2:13" ht="15" outlineLevel="1" thickBot="1">
      <c r="B32" s="182" t="s">
        <v>152</v>
      </c>
      <c r="C32" s="171">
        <f>'Юнит 15'!AO33</f>
        <v>1059.4123452871872</v>
      </c>
      <c r="D32" s="172">
        <f t="shared" si="0"/>
        <v>1.0637822393660585E-3</v>
      </c>
      <c r="E32" s="172">
        <f t="shared" si="5"/>
        <v>1.0039725934259862</v>
      </c>
      <c r="F32" s="173" t="str">
        <f t="shared" si="3"/>
        <v>C</v>
      </c>
      <c r="G32" s="173" t="str">
        <f t="shared" si="1"/>
        <v>C</v>
      </c>
      <c r="I32" s="182" t="s">
        <v>194</v>
      </c>
      <c r="J32" s="171">
        <f>'Юнит 15'!U75</f>
        <v>5</v>
      </c>
      <c r="K32" s="172">
        <f t="shared" si="2"/>
        <v>2.3618327822390174E-3</v>
      </c>
      <c r="L32" s="172">
        <f t="shared" si="6"/>
        <v>0.98252243741143108</v>
      </c>
      <c r="M32" s="173" t="str">
        <f t="shared" si="4"/>
        <v>C</v>
      </c>
    </row>
    <row r="33" spans="2:13" ht="15" outlineLevel="1" thickBot="1">
      <c r="B33" s="182" t="s">
        <v>208</v>
      </c>
      <c r="C33" s="171">
        <f>'Юнит 15'!AO89</f>
        <v>870.31959672312246</v>
      </c>
      <c r="D33" s="172">
        <f t="shared" si="0"/>
        <v>8.73909515671457E-4</v>
      </c>
      <c r="E33" s="172">
        <f t="shared" si="5"/>
        <v>1.0048465029416578</v>
      </c>
      <c r="F33" s="173" t="str">
        <f t="shared" si="3"/>
        <v>C</v>
      </c>
      <c r="G33" s="173" t="str">
        <f t="shared" si="1"/>
        <v>C</v>
      </c>
      <c r="I33" s="182" t="s">
        <v>259</v>
      </c>
      <c r="J33" s="171">
        <f>'Юнит 15'!U102</f>
        <v>5</v>
      </c>
      <c r="K33" s="172">
        <f t="shared" si="2"/>
        <v>2.3618327822390174E-3</v>
      </c>
      <c r="L33" s="172">
        <f t="shared" si="6"/>
        <v>0.98488427019367009</v>
      </c>
      <c r="M33" s="173" t="str">
        <f t="shared" si="4"/>
        <v>C</v>
      </c>
    </row>
    <row r="34" spans="2:13" ht="15" outlineLevel="1" thickBot="1">
      <c r="B34" s="182" t="s">
        <v>158</v>
      </c>
      <c r="C34" s="171">
        <f>'Юнит 15'!AO39</f>
        <v>855.70943475699562</v>
      </c>
      <c r="D34" s="172">
        <f t="shared" si="0"/>
        <v>8.5923908929501705E-4</v>
      </c>
      <c r="E34" s="172">
        <f t="shared" si="5"/>
        <v>1.0057057420309528</v>
      </c>
      <c r="F34" s="173" t="str">
        <f t="shared" si="3"/>
        <v>C</v>
      </c>
      <c r="G34" s="173" t="str">
        <f t="shared" si="1"/>
        <v>C</v>
      </c>
      <c r="I34" s="182" t="s">
        <v>159</v>
      </c>
      <c r="J34" s="171">
        <f>'Юнит 15'!U40</f>
        <v>3</v>
      </c>
      <c r="K34" s="172">
        <f t="shared" si="2"/>
        <v>1.4170996693434106E-3</v>
      </c>
      <c r="L34" s="172">
        <f t="shared" si="6"/>
        <v>0.98630136986301353</v>
      </c>
      <c r="M34" s="173" t="str">
        <f t="shared" si="4"/>
        <v>C</v>
      </c>
    </row>
    <row r="35" spans="2:13" ht="15" outlineLevel="1" thickBot="1">
      <c r="B35" s="182" t="s">
        <v>194</v>
      </c>
      <c r="C35" s="171">
        <f>'Юнит 15'!AO75</f>
        <v>811.61311737849792</v>
      </c>
      <c r="D35" s="172">
        <f t="shared" si="0"/>
        <v>8.1496088217635398E-4</v>
      </c>
      <c r="E35" s="172">
        <f t="shared" si="5"/>
        <v>1.0065207029131291</v>
      </c>
      <c r="F35" s="173" t="str">
        <f t="shared" si="3"/>
        <v>C</v>
      </c>
      <c r="G35" s="173" t="str">
        <f t="shared" si="1"/>
        <v>C</v>
      </c>
      <c r="I35" s="182" t="s">
        <v>173</v>
      </c>
      <c r="J35" s="171">
        <f>'Юнит 15'!U54</f>
        <v>3</v>
      </c>
      <c r="K35" s="172">
        <f t="shared" si="2"/>
        <v>1.4170996693434106E-3</v>
      </c>
      <c r="L35" s="172">
        <f t="shared" si="6"/>
        <v>0.98771846953235698</v>
      </c>
      <c r="M35" s="173" t="str">
        <f t="shared" si="4"/>
        <v>C</v>
      </c>
    </row>
    <row r="36" spans="2:13" ht="26.5" outlineLevel="1" thickBot="1">
      <c r="B36" s="182" t="s">
        <v>173</v>
      </c>
      <c r="C36" s="171">
        <f>'Юнит 15'!AO54</f>
        <v>622.02366623711328</v>
      </c>
      <c r="D36" s="172">
        <f t="shared" si="0"/>
        <v>6.2458940709155886E-4</v>
      </c>
      <c r="E36" s="172">
        <f t="shared" si="5"/>
        <v>1.0071452923202207</v>
      </c>
      <c r="F36" s="173" t="str">
        <f t="shared" si="3"/>
        <v>C</v>
      </c>
      <c r="G36" s="173" t="str">
        <f t="shared" si="1"/>
        <v>C</v>
      </c>
      <c r="I36" s="182" t="s">
        <v>196</v>
      </c>
      <c r="J36" s="171">
        <f>'Юнит 15'!U77</f>
        <v>3</v>
      </c>
      <c r="K36" s="172">
        <f t="shared" si="2"/>
        <v>1.4170996693434106E-3</v>
      </c>
      <c r="L36" s="172">
        <f t="shared" si="6"/>
        <v>0.98913556920170043</v>
      </c>
      <c r="M36" s="173" t="str">
        <f t="shared" si="4"/>
        <v>C</v>
      </c>
    </row>
    <row r="37" spans="2:13" ht="15" outlineLevel="1" thickBot="1">
      <c r="B37" s="182" t="s">
        <v>188</v>
      </c>
      <c r="C37" s="171">
        <f>'Юнит 15'!AO69</f>
        <v>539.59373803387336</v>
      </c>
      <c r="D37" s="172">
        <f t="shared" si="0"/>
        <v>5.4181946958336842E-4</v>
      </c>
      <c r="E37" s="172">
        <f t="shared" si="5"/>
        <v>1.0076871117898041</v>
      </c>
      <c r="F37" s="173" t="str">
        <f t="shared" si="3"/>
        <v>C</v>
      </c>
      <c r="G37" s="173" t="str">
        <f t="shared" si="1"/>
        <v>C</v>
      </c>
      <c r="I37" s="182" t="s">
        <v>146</v>
      </c>
      <c r="J37" s="171">
        <f>'Юнит 15'!U27</f>
        <v>2</v>
      </c>
      <c r="K37" s="172">
        <f t="shared" si="2"/>
        <v>9.4473311289560704E-4</v>
      </c>
      <c r="L37" s="172">
        <f t="shared" si="6"/>
        <v>0.99008030231459598</v>
      </c>
      <c r="M37" s="173" t="str">
        <f t="shared" si="4"/>
        <v>C</v>
      </c>
    </row>
    <row r="38" spans="2:13" ht="26.5" outlineLevel="1" thickBot="1">
      <c r="B38" s="182" t="s">
        <v>207</v>
      </c>
      <c r="C38" s="171">
        <f>'Юнит 15'!AO88</f>
        <v>525.96987934462447</v>
      </c>
      <c r="D38" s="172">
        <f t="shared" si="0"/>
        <v>5.2813941481552715E-4</v>
      </c>
      <c r="E38" s="172">
        <f t="shared" si="5"/>
        <v>1.0082152512046196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'Юнит 15'!U33</f>
        <v>2</v>
      </c>
      <c r="K38" s="172">
        <f t="shared" si="2"/>
        <v>9.4473311289560704E-4</v>
      </c>
      <c r="L38" s="172">
        <f t="shared" si="6"/>
        <v>0.99102503542749154</v>
      </c>
      <c r="M38" s="173" t="str">
        <f t="shared" si="4"/>
        <v>C</v>
      </c>
    </row>
    <row r="39" spans="2:13" ht="15" outlineLevel="1" thickBot="1">
      <c r="B39" s="182" t="s">
        <v>160</v>
      </c>
      <c r="C39" s="171">
        <f>'Юнит 15'!AO41</f>
        <v>497.45135312960241</v>
      </c>
      <c r="D39" s="172">
        <f t="shared" si="0"/>
        <v>4.9950325457500072E-4</v>
      </c>
      <c r="E39" s="172">
        <f>E35+D39</f>
        <v>1.007020206167704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15'!U39</f>
        <v>2</v>
      </c>
      <c r="K39" s="172">
        <f t="shared" si="2"/>
        <v>9.4473311289560704E-4</v>
      </c>
      <c r="L39" s="172">
        <f>L35+K39</f>
        <v>0.98866320264525254</v>
      </c>
      <c r="M39" s="173" t="str">
        <f t="shared" si="4"/>
        <v>C</v>
      </c>
    </row>
    <row r="40" spans="2:13" ht="26.5" outlineLevel="1" thickBot="1">
      <c r="B40" s="182" t="s">
        <v>201</v>
      </c>
      <c r="C40" s="171">
        <f>'Юнит 15'!AO82</f>
        <v>447.90643247422679</v>
      </c>
      <c r="D40" s="172">
        <f t="shared" si="0"/>
        <v>4.4975396962618143E-4</v>
      </c>
      <c r="E40" s="172">
        <f t="shared" si="5"/>
        <v>1.0074699601373303</v>
      </c>
      <c r="F40" s="173" t="str">
        <f t="shared" si="3"/>
        <v>C</v>
      </c>
      <c r="G40" s="173" t="str">
        <f t="shared" si="1"/>
        <v>C</v>
      </c>
      <c r="I40" s="182" t="s">
        <v>188</v>
      </c>
      <c r="J40" s="171">
        <f>'Юнит 15'!U69</f>
        <v>2</v>
      </c>
      <c r="K40" s="172">
        <f t="shared" si="2"/>
        <v>9.4473311289560704E-4</v>
      </c>
      <c r="L40" s="172">
        <f t="shared" si="6"/>
        <v>0.98960793575814809</v>
      </c>
      <c r="M40" s="173" t="str">
        <f t="shared" si="4"/>
        <v>C</v>
      </c>
    </row>
    <row r="41" spans="2:13" ht="26.5" outlineLevel="1" thickBot="1">
      <c r="B41" s="182" t="s">
        <v>259</v>
      </c>
      <c r="C41" s="171">
        <f>'Юнит 15'!AO102</f>
        <v>374.33608659793799</v>
      </c>
      <c r="D41" s="172">
        <f t="shared" si="0"/>
        <v>3.7588015870131596E-4</v>
      </c>
      <c r="E41" s="172">
        <f t="shared" si="5"/>
        <v>1.0078458402960315</v>
      </c>
      <c r="F41" s="173" t="str">
        <f t="shared" si="3"/>
        <v>C</v>
      </c>
      <c r="G41" s="173" t="str">
        <f t="shared" si="1"/>
        <v>C</v>
      </c>
      <c r="I41" s="182" t="s">
        <v>198</v>
      </c>
      <c r="J41" s="171">
        <f>'Юнит 15'!U79</f>
        <v>2</v>
      </c>
      <c r="K41" s="172">
        <f t="shared" si="2"/>
        <v>9.4473311289560704E-4</v>
      </c>
      <c r="L41" s="172">
        <f t="shared" si="6"/>
        <v>0.99055266887104365</v>
      </c>
      <c r="M41" s="173" t="str">
        <f t="shared" si="4"/>
        <v>C</v>
      </c>
    </row>
    <row r="42" spans="2:13" ht="15" outlineLevel="1" thickBot="1">
      <c r="B42" s="182" t="s">
        <v>257</v>
      </c>
      <c r="C42" s="171">
        <f>'Юнит 15'!AO100</f>
        <v>307.84147706185564</v>
      </c>
      <c r="D42" s="172">
        <f t="shared" si="0"/>
        <v>3.0911127031452813E-4</v>
      </c>
      <c r="E42" s="172">
        <f t="shared" si="5"/>
        <v>1.0081549515663462</v>
      </c>
      <c r="F42" s="173" t="str">
        <f t="shared" si="3"/>
        <v>C</v>
      </c>
      <c r="G42" s="173" t="str">
        <f t="shared" si="1"/>
        <v>C</v>
      </c>
      <c r="I42" s="182" t="s">
        <v>203</v>
      </c>
      <c r="J42" s="171">
        <f>'Юнит 15'!U84</f>
        <v>2</v>
      </c>
      <c r="K42" s="172">
        <f t="shared" si="2"/>
        <v>9.4473311289560704E-4</v>
      </c>
      <c r="L42" s="172">
        <f t="shared" si="6"/>
        <v>0.99149740198393921</v>
      </c>
      <c r="M42" s="173" t="str">
        <f t="shared" si="4"/>
        <v>C</v>
      </c>
    </row>
    <row r="43" spans="2:13" ht="26.5" outlineLevel="1" thickBot="1">
      <c r="B43" s="182" t="s">
        <v>206</v>
      </c>
      <c r="C43" s="171">
        <f>'Юнит 15'!AO87</f>
        <v>266.45067606774671</v>
      </c>
      <c r="D43" s="172">
        <f t="shared" si="0"/>
        <v>2.6754973937094436E-4</v>
      </c>
      <c r="E43" s="172">
        <f t="shared" si="5"/>
        <v>1.0084225013057171</v>
      </c>
      <c r="F43" s="173" t="str">
        <f t="shared" si="3"/>
        <v>C</v>
      </c>
      <c r="G43" s="173" t="str">
        <f t="shared" si="1"/>
        <v>C</v>
      </c>
      <c r="I43" s="182" t="s">
        <v>206</v>
      </c>
      <c r="J43" s="171">
        <f>'Юнит 15'!U87</f>
        <v>2</v>
      </c>
      <c r="K43" s="172">
        <f t="shared" si="2"/>
        <v>9.4473311289560704E-4</v>
      </c>
      <c r="L43" s="172">
        <f t="shared" si="6"/>
        <v>0.99244213509683477</v>
      </c>
      <c r="M43" s="173" t="str">
        <f t="shared" si="4"/>
        <v>C</v>
      </c>
    </row>
    <row r="44" spans="2:13" ht="15" outlineLevel="1" thickBot="1">
      <c r="B44" s="182" t="s">
        <v>217</v>
      </c>
      <c r="C44" s="171">
        <f>'Юнит 15'!AO98</f>
        <v>143.29521410162016</v>
      </c>
      <c r="D44" s="172">
        <f t="shared" si="0"/>
        <v>1.4388628226352979E-4</v>
      </c>
      <c r="E44" s="172">
        <f t="shared" si="5"/>
        <v>1.0085663875879807</v>
      </c>
      <c r="F44" s="173" t="str">
        <f t="shared" si="3"/>
        <v>C</v>
      </c>
      <c r="G44" s="173" t="str">
        <f t="shared" si="1"/>
        <v>C</v>
      </c>
      <c r="I44" s="182" t="s">
        <v>208</v>
      </c>
      <c r="J44" s="171">
        <f>'Юнит 15'!U89</f>
        <v>2</v>
      </c>
      <c r="K44" s="172">
        <f t="shared" si="2"/>
        <v>9.4473311289560704E-4</v>
      </c>
      <c r="L44" s="172">
        <f t="shared" si="6"/>
        <v>0.99338686820973032</v>
      </c>
      <c r="M44" s="173" t="str">
        <f t="shared" si="4"/>
        <v>C</v>
      </c>
    </row>
    <row r="45" spans="2:13" ht="26.5" outlineLevel="1" thickBot="1">
      <c r="B45" s="182" t="s">
        <v>138</v>
      </c>
      <c r="C45" s="171">
        <f>'Юнит 15'!AO19</f>
        <v>0</v>
      </c>
      <c r="D45" s="172">
        <f t="shared" si="0"/>
        <v>0</v>
      </c>
      <c r="E45" s="172">
        <f t="shared" si="5"/>
        <v>1.0085663875879807</v>
      </c>
      <c r="F45" s="173" t="str">
        <f t="shared" si="3"/>
        <v>C</v>
      </c>
      <c r="G45" s="173" t="str">
        <f t="shared" si="1"/>
        <v>C</v>
      </c>
      <c r="I45" s="182" t="s">
        <v>160</v>
      </c>
      <c r="J45" s="171">
        <f>'Юнит 15'!U41</f>
        <v>1</v>
      </c>
      <c r="K45" s="172">
        <f t="shared" si="2"/>
        <v>4.7236655644780352E-4</v>
      </c>
      <c r="L45" s="172">
        <f t="shared" si="6"/>
        <v>0.9938592347661781</v>
      </c>
      <c r="M45" s="173" t="str">
        <f t="shared" si="4"/>
        <v>C</v>
      </c>
    </row>
    <row r="46" spans="2:13" ht="15" outlineLevel="1" thickBot="1">
      <c r="B46" s="182" t="s">
        <v>142</v>
      </c>
      <c r="C46" s="171">
        <f>'Юнит 15'!AO23</f>
        <v>0</v>
      </c>
      <c r="D46" s="172">
        <f t="shared" si="0"/>
        <v>0</v>
      </c>
      <c r="E46" s="172">
        <f t="shared" si="5"/>
        <v>1.0085663875879807</v>
      </c>
      <c r="F46" s="173" t="str">
        <f t="shared" si="3"/>
        <v>C</v>
      </c>
      <c r="G46" s="173" t="str">
        <f t="shared" si="1"/>
        <v>C</v>
      </c>
      <c r="I46" s="182" t="s">
        <v>171</v>
      </c>
      <c r="J46" s="171">
        <f>'Юнит 15'!U52</f>
        <v>1</v>
      </c>
      <c r="K46" s="172">
        <f t="shared" si="2"/>
        <v>4.7236655644780352E-4</v>
      </c>
      <c r="L46" s="172">
        <f t="shared" si="6"/>
        <v>0.99433160132262588</v>
      </c>
      <c r="M46" s="173" t="str">
        <f t="shared" si="4"/>
        <v>C</v>
      </c>
    </row>
    <row r="47" spans="2:13" ht="15" outlineLevel="1" thickBot="1">
      <c r="B47" s="182" t="s">
        <v>144</v>
      </c>
      <c r="C47" s="171">
        <f>'Юнит 15'!AO25</f>
        <v>0</v>
      </c>
      <c r="D47" s="172">
        <f t="shared" si="0"/>
        <v>0</v>
      </c>
      <c r="E47" s="172">
        <f t="shared" si="5"/>
        <v>1.0085663875879807</v>
      </c>
      <c r="F47" s="173" t="str">
        <f t="shared" si="3"/>
        <v>C</v>
      </c>
      <c r="G47" s="173" t="str">
        <f t="shared" si="1"/>
        <v>C</v>
      </c>
      <c r="I47" s="182" t="s">
        <v>180</v>
      </c>
      <c r="J47" s="171">
        <f>'Юнит 15'!U61</f>
        <v>1</v>
      </c>
      <c r="K47" s="172">
        <f t="shared" si="2"/>
        <v>4.7236655644780352E-4</v>
      </c>
      <c r="L47" s="172">
        <f t="shared" si="6"/>
        <v>0.99480396787907366</v>
      </c>
      <c r="M47" s="173" t="str">
        <f t="shared" si="4"/>
        <v>C</v>
      </c>
    </row>
    <row r="48" spans="2:13" ht="26.5" outlineLevel="1" thickBot="1">
      <c r="B48" s="182" t="s">
        <v>148</v>
      </c>
      <c r="C48" s="171">
        <f>'Юнит 15'!AO29</f>
        <v>0</v>
      </c>
      <c r="D48" s="172">
        <f t="shared" si="0"/>
        <v>0</v>
      </c>
      <c r="E48" s="172">
        <f t="shared" si="5"/>
        <v>1.0085663875879807</v>
      </c>
      <c r="F48" s="173" t="str">
        <f t="shared" si="3"/>
        <v>C</v>
      </c>
      <c r="G48" s="173" t="str">
        <f t="shared" si="1"/>
        <v>C</v>
      </c>
      <c r="I48" s="182" t="s">
        <v>199</v>
      </c>
      <c r="J48" s="171">
        <f>'Юнит 15'!U80</f>
        <v>1</v>
      </c>
      <c r="K48" s="172">
        <f t="shared" si="2"/>
        <v>4.7236655644780352E-4</v>
      </c>
      <c r="L48" s="172">
        <f t="shared" si="6"/>
        <v>0.99527633443552144</v>
      </c>
      <c r="M48" s="173" t="str">
        <f t="shared" si="4"/>
        <v>C</v>
      </c>
    </row>
    <row r="49" spans="2:13" ht="26.5" outlineLevel="1" thickBot="1">
      <c r="B49" s="182" t="s">
        <v>149</v>
      </c>
      <c r="C49" s="171">
        <f>'Юнит 15'!AO30</f>
        <v>0</v>
      </c>
      <c r="D49" s="172">
        <f t="shared" si="0"/>
        <v>0</v>
      </c>
      <c r="E49" s="172">
        <f t="shared" si="5"/>
        <v>1.0085663875879807</v>
      </c>
      <c r="F49" s="173" t="str">
        <f t="shared" si="3"/>
        <v>C</v>
      </c>
      <c r="G49" s="173" t="str">
        <f t="shared" si="1"/>
        <v>C</v>
      </c>
      <c r="I49" s="182" t="s">
        <v>201</v>
      </c>
      <c r="J49" s="171">
        <f>'Юнит 15'!U82</f>
        <v>1</v>
      </c>
      <c r="K49" s="172">
        <f t="shared" si="2"/>
        <v>4.7236655644780352E-4</v>
      </c>
      <c r="L49" s="172">
        <f t="shared" si="6"/>
        <v>0.99574870099196922</v>
      </c>
      <c r="M49" s="173" t="str">
        <f t="shared" si="4"/>
        <v>C</v>
      </c>
    </row>
    <row r="50" spans="2:13" ht="26.5" outlineLevel="1" thickBot="1">
      <c r="B50" s="182" t="s">
        <v>150</v>
      </c>
      <c r="C50" s="171">
        <f>'Юнит 15'!AO31</f>
        <v>0</v>
      </c>
      <c r="D50" s="172">
        <f t="shared" si="0"/>
        <v>0</v>
      </c>
      <c r="E50" s="172">
        <f t="shared" si="5"/>
        <v>1.0085663875879807</v>
      </c>
      <c r="F50" s="173" t="str">
        <f t="shared" si="3"/>
        <v>C</v>
      </c>
      <c r="G50" s="173" t="str">
        <f t="shared" si="1"/>
        <v>C</v>
      </c>
      <c r="I50" s="182" t="s">
        <v>207</v>
      </c>
      <c r="J50" s="171">
        <f>'Юнит 15'!U88</f>
        <v>1</v>
      </c>
      <c r="K50" s="172">
        <f t="shared" si="2"/>
        <v>4.7236655644780352E-4</v>
      </c>
      <c r="L50" s="172">
        <f t="shared" si="6"/>
        <v>0.99622106754841699</v>
      </c>
      <c r="M50" s="173" t="str">
        <f t="shared" si="4"/>
        <v>C</v>
      </c>
    </row>
    <row r="51" spans="2:13" ht="15" outlineLevel="1" thickBot="1">
      <c r="B51" s="182" t="s">
        <v>151</v>
      </c>
      <c r="C51" s="171">
        <f>'Юнит 15'!AO32</f>
        <v>0</v>
      </c>
      <c r="D51" s="172">
        <f t="shared" si="0"/>
        <v>0</v>
      </c>
      <c r="E51" s="172">
        <f t="shared" si="5"/>
        <v>1.0085663875879807</v>
      </c>
      <c r="F51" s="173" t="str">
        <f t="shared" si="3"/>
        <v>C</v>
      </c>
      <c r="G51" s="173" t="str">
        <f t="shared" si="1"/>
        <v>C</v>
      </c>
      <c r="I51" s="182" t="s">
        <v>217</v>
      </c>
      <c r="J51" s="171">
        <f>'Юнит 15'!U98</f>
        <v>1</v>
      </c>
      <c r="K51" s="172">
        <f t="shared" si="2"/>
        <v>4.7236655644780352E-4</v>
      </c>
      <c r="L51" s="172">
        <f t="shared" si="6"/>
        <v>0.99669343410486477</v>
      </c>
      <c r="M51" s="173" t="str">
        <f t="shared" si="4"/>
        <v>C</v>
      </c>
    </row>
    <row r="52" spans="2:13" ht="15" outlineLevel="1" thickBot="1">
      <c r="B52" s="182" t="s">
        <v>153</v>
      </c>
      <c r="C52" s="171">
        <f>'Юнит 15'!AO34</f>
        <v>0</v>
      </c>
      <c r="D52" s="172">
        <f t="shared" si="0"/>
        <v>0</v>
      </c>
      <c r="E52" s="172">
        <f t="shared" si="5"/>
        <v>1.0085663875879807</v>
      </c>
      <c r="F52" s="173" t="str">
        <f t="shared" si="3"/>
        <v>C</v>
      </c>
      <c r="G52" s="173" t="str">
        <f t="shared" si="1"/>
        <v>C</v>
      </c>
      <c r="I52" s="182" t="s">
        <v>257</v>
      </c>
      <c r="J52" s="171">
        <f>'Юнит 15'!U100</f>
        <v>1</v>
      </c>
      <c r="K52" s="172">
        <f t="shared" si="2"/>
        <v>4.7236655644780352E-4</v>
      </c>
      <c r="L52" s="172">
        <f t="shared" si="6"/>
        <v>0.99716580066131255</v>
      </c>
      <c r="M52" s="173" t="str">
        <f t="shared" si="4"/>
        <v>C</v>
      </c>
    </row>
    <row r="53" spans="2:13" ht="26.5" outlineLevel="1" thickBot="1">
      <c r="B53" s="182" t="s">
        <v>154</v>
      </c>
      <c r="C53" s="171">
        <f>'Юнит 15'!AO35</f>
        <v>0</v>
      </c>
      <c r="D53" s="172">
        <f t="shared" si="0"/>
        <v>0</v>
      </c>
      <c r="E53" s="172">
        <f t="shared" si="5"/>
        <v>1.0085663875879807</v>
      </c>
      <c r="F53" s="173" t="str">
        <f t="shared" si="3"/>
        <v>C</v>
      </c>
      <c r="G53" s="173" t="str">
        <f t="shared" si="1"/>
        <v>C</v>
      </c>
      <c r="I53" s="182" t="s">
        <v>138</v>
      </c>
      <c r="J53" s="171">
        <f>'Юнит 15'!U19</f>
        <v>0</v>
      </c>
      <c r="K53" s="172">
        <f t="shared" si="2"/>
        <v>0</v>
      </c>
      <c r="L53" s="172">
        <f t="shared" si="6"/>
        <v>0.99716580066131255</v>
      </c>
      <c r="M53" s="173" t="str">
        <f t="shared" si="4"/>
        <v>C</v>
      </c>
    </row>
    <row r="54" spans="2:13" ht="15" outlineLevel="1" thickBot="1">
      <c r="B54" s="182" t="s">
        <v>155</v>
      </c>
      <c r="C54" s="171">
        <f>'Юнит 15'!AO36</f>
        <v>0</v>
      </c>
      <c r="D54" s="172">
        <f t="shared" si="0"/>
        <v>0</v>
      </c>
      <c r="E54" s="172">
        <f t="shared" si="5"/>
        <v>1.0085663875879807</v>
      </c>
      <c r="F54" s="173" t="str">
        <f t="shared" si="3"/>
        <v>C</v>
      </c>
      <c r="G54" s="173" t="str">
        <f t="shared" si="1"/>
        <v>C</v>
      </c>
      <c r="I54" s="182" t="s">
        <v>142</v>
      </c>
      <c r="J54" s="171">
        <f>'Юнит 15'!U23</f>
        <v>0</v>
      </c>
      <c r="K54" s="172">
        <f t="shared" si="2"/>
        <v>0</v>
      </c>
      <c r="L54" s="172">
        <f t="shared" si="6"/>
        <v>0.99716580066131255</v>
      </c>
      <c r="M54" s="173" t="str">
        <f t="shared" si="4"/>
        <v>C</v>
      </c>
    </row>
    <row r="55" spans="2:13" ht="15" outlineLevel="1" thickBot="1">
      <c r="B55" s="182" t="s">
        <v>156</v>
      </c>
      <c r="C55" s="171">
        <f>'Юнит 15'!AO37</f>
        <v>0</v>
      </c>
      <c r="D55" s="172">
        <f t="shared" si="0"/>
        <v>0</v>
      </c>
      <c r="E55" s="172">
        <f t="shared" si="5"/>
        <v>1.0085663875879807</v>
      </c>
      <c r="F55" s="173" t="str">
        <f t="shared" si="3"/>
        <v>C</v>
      </c>
      <c r="G55" s="173" t="str">
        <f t="shared" si="1"/>
        <v>C</v>
      </c>
      <c r="I55" s="182" t="s">
        <v>143</v>
      </c>
      <c r="J55" s="171">
        <f>'Юнит 15'!U24</f>
        <v>0</v>
      </c>
      <c r="K55" s="172">
        <f t="shared" si="2"/>
        <v>0</v>
      </c>
      <c r="L55" s="172">
        <f t="shared" si="6"/>
        <v>0.99716580066131255</v>
      </c>
      <c r="M55" s="173" t="str">
        <f t="shared" si="4"/>
        <v>C</v>
      </c>
    </row>
    <row r="56" spans="2:13" ht="26.5" outlineLevel="1" thickBot="1">
      <c r="B56" s="182" t="s">
        <v>165</v>
      </c>
      <c r="C56" s="171">
        <f>'Юнит 15'!AO46</f>
        <v>0</v>
      </c>
      <c r="D56" s="172">
        <f t="shared" si="0"/>
        <v>0</v>
      </c>
      <c r="E56" s="172">
        <f t="shared" si="5"/>
        <v>1.0085663875879807</v>
      </c>
      <c r="F56" s="173" t="str">
        <f t="shared" si="3"/>
        <v>C</v>
      </c>
      <c r="G56" s="173" t="str">
        <f t="shared" si="1"/>
        <v>C</v>
      </c>
      <c r="I56" s="182" t="s">
        <v>144</v>
      </c>
      <c r="J56" s="171">
        <f>'Юнит 15'!U25</f>
        <v>0</v>
      </c>
      <c r="K56" s="172">
        <f t="shared" si="2"/>
        <v>0</v>
      </c>
      <c r="L56" s="172">
        <f t="shared" si="6"/>
        <v>0.99716580066131255</v>
      </c>
      <c r="M56" s="173" t="str">
        <f t="shared" si="4"/>
        <v>C</v>
      </c>
    </row>
    <row r="57" spans="2:13" ht="15" outlineLevel="1" thickBot="1">
      <c r="B57" s="182" t="s">
        <v>175</v>
      </c>
      <c r="C57" s="171">
        <f>'Юнит 15'!AO56</f>
        <v>0</v>
      </c>
      <c r="D57" s="172">
        <f t="shared" si="0"/>
        <v>0</v>
      </c>
      <c r="E57" s="172">
        <f t="shared" si="5"/>
        <v>1.0085663875879807</v>
      </c>
      <c r="F57" s="173" t="str">
        <f t="shared" si="3"/>
        <v>C</v>
      </c>
      <c r="G57" s="173" t="str">
        <f t="shared" si="1"/>
        <v>C</v>
      </c>
      <c r="I57" s="182" t="s">
        <v>148</v>
      </c>
      <c r="J57" s="171">
        <f>'Юнит 15'!U29</f>
        <v>0</v>
      </c>
      <c r="K57" s="172">
        <f t="shared" si="2"/>
        <v>0</v>
      </c>
      <c r="L57" s="172">
        <f t="shared" si="6"/>
        <v>0.99716580066131255</v>
      </c>
      <c r="M57" s="173" t="str">
        <f t="shared" si="4"/>
        <v>C</v>
      </c>
    </row>
    <row r="58" spans="2:13" ht="15" outlineLevel="1" thickBot="1">
      <c r="B58" s="182" t="s">
        <v>176</v>
      </c>
      <c r="C58" s="171">
        <f>'Юнит 15'!AO57</f>
        <v>0</v>
      </c>
      <c r="D58" s="172">
        <f t="shared" si="0"/>
        <v>0</v>
      </c>
      <c r="E58" s="172">
        <f t="shared" si="5"/>
        <v>1.0085663875879807</v>
      </c>
      <c r="F58" s="173" t="str">
        <f t="shared" si="3"/>
        <v>C</v>
      </c>
      <c r="G58" s="173" t="str">
        <f t="shared" si="1"/>
        <v>C</v>
      </c>
      <c r="I58" s="182" t="s">
        <v>149</v>
      </c>
      <c r="J58" s="171">
        <f>'Юнит 15'!U30</f>
        <v>0</v>
      </c>
      <c r="K58" s="172">
        <f t="shared" si="2"/>
        <v>0</v>
      </c>
      <c r="L58" s="172">
        <f t="shared" si="6"/>
        <v>0.99716580066131255</v>
      </c>
      <c r="M58" s="173" t="str">
        <f t="shared" si="4"/>
        <v>C</v>
      </c>
    </row>
    <row r="59" spans="2:13" ht="15" outlineLevel="1" thickBot="1">
      <c r="B59" s="182" t="s">
        <v>178</v>
      </c>
      <c r="C59" s="171">
        <f>'Юнит 15'!AO59</f>
        <v>0</v>
      </c>
      <c r="D59" s="172">
        <f t="shared" si="0"/>
        <v>0</v>
      </c>
      <c r="E59" s="172">
        <f t="shared" si="5"/>
        <v>1.0085663875879807</v>
      </c>
      <c r="F59" s="173" t="str">
        <f t="shared" si="3"/>
        <v>C</v>
      </c>
      <c r="G59" s="173" t="str">
        <f t="shared" si="1"/>
        <v>C</v>
      </c>
      <c r="I59" s="182" t="s">
        <v>150</v>
      </c>
      <c r="J59" s="171">
        <f>'Юнит 15'!U31</f>
        <v>0</v>
      </c>
      <c r="K59" s="172">
        <f t="shared" si="2"/>
        <v>0</v>
      </c>
      <c r="L59" s="172">
        <f t="shared" si="6"/>
        <v>0.99716580066131255</v>
      </c>
      <c r="M59" s="173" t="str">
        <f t="shared" si="4"/>
        <v>C</v>
      </c>
    </row>
    <row r="60" spans="2:13" ht="15" outlineLevel="1" thickBot="1">
      <c r="B60" s="182" t="s">
        <v>181</v>
      </c>
      <c r="C60" s="171">
        <f>'Юнит 15'!AO62</f>
        <v>0</v>
      </c>
      <c r="D60" s="172">
        <f t="shared" si="0"/>
        <v>0</v>
      </c>
      <c r="E60" s="172">
        <f t="shared" si="5"/>
        <v>1.0085663875879807</v>
      </c>
      <c r="F60" s="173" t="str">
        <f t="shared" si="3"/>
        <v>C</v>
      </c>
      <c r="G60" s="173" t="str">
        <f t="shared" si="1"/>
        <v>C</v>
      </c>
      <c r="I60" s="182" t="s">
        <v>151</v>
      </c>
      <c r="J60" s="171">
        <f>'Юнит 15'!U32</f>
        <v>0</v>
      </c>
      <c r="K60" s="172">
        <f t="shared" si="2"/>
        <v>0</v>
      </c>
      <c r="L60" s="172">
        <f t="shared" si="6"/>
        <v>0.99716580066131255</v>
      </c>
      <c r="M60" s="173" t="str">
        <f t="shared" si="4"/>
        <v>C</v>
      </c>
    </row>
    <row r="61" spans="2:13" ht="15" outlineLevel="1" thickBot="1">
      <c r="B61" s="182" t="s">
        <v>182</v>
      </c>
      <c r="C61" s="171">
        <f>'Юнит 15'!AO63</f>
        <v>0</v>
      </c>
      <c r="D61" s="172">
        <f t="shared" si="0"/>
        <v>0</v>
      </c>
      <c r="E61" s="172">
        <f t="shared" si="5"/>
        <v>1.0085663875879807</v>
      </c>
      <c r="F61" s="173" t="str">
        <f t="shared" si="3"/>
        <v>C</v>
      </c>
      <c r="G61" s="173" t="str">
        <f t="shared" si="1"/>
        <v>C</v>
      </c>
      <c r="I61" s="182" t="s">
        <v>153</v>
      </c>
      <c r="J61" s="171">
        <f>'Юнит 15'!U34</f>
        <v>0</v>
      </c>
      <c r="K61" s="172">
        <f t="shared" si="2"/>
        <v>0</v>
      </c>
      <c r="L61" s="172">
        <f t="shared" si="6"/>
        <v>0.99716580066131255</v>
      </c>
      <c r="M61" s="173" t="str">
        <f t="shared" si="4"/>
        <v>C</v>
      </c>
    </row>
    <row r="62" spans="2:13" ht="15" outlineLevel="1" thickBot="1">
      <c r="B62" s="182" t="s">
        <v>183</v>
      </c>
      <c r="C62" s="171">
        <f>'Юнит 15'!AO64</f>
        <v>0</v>
      </c>
      <c r="D62" s="172">
        <f t="shared" si="0"/>
        <v>0</v>
      </c>
      <c r="E62" s="172">
        <f t="shared" si="5"/>
        <v>1.0085663875879807</v>
      </c>
      <c r="F62" s="173" t="str">
        <f t="shared" si="3"/>
        <v>C</v>
      </c>
      <c r="G62" s="173" t="str">
        <f t="shared" si="1"/>
        <v>C</v>
      </c>
      <c r="I62" s="182" t="s">
        <v>154</v>
      </c>
      <c r="J62" s="171">
        <f>'Юнит 15'!U35</f>
        <v>0</v>
      </c>
      <c r="K62" s="172">
        <f t="shared" si="2"/>
        <v>0</v>
      </c>
      <c r="L62" s="172">
        <f t="shared" si="6"/>
        <v>0.99716580066131255</v>
      </c>
      <c r="M62" s="173" t="str">
        <f t="shared" si="4"/>
        <v>C</v>
      </c>
    </row>
    <row r="63" spans="2:13" ht="15" outlineLevel="1" thickBot="1">
      <c r="B63" s="182" t="s">
        <v>186</v>
      </c>
      <c r="C63" s="171">
        <f>'Юнит 15'!AO67</f>
        <v>0</v>
      </c>
      <c r="D63" s="172">
        <f t="shared" si="0"/>
        <v>0</v>
      </c>
      <c r="E63" s="172">
        <f t="shared" si="5"/>
        <v>1.0085663875879807</v>
      </c>
      <c r="F63" s="173" t="str">
        <f t="shared" si="3"/>
        <v>C</v>
      </c>
      <c r="G63" s="173" t="str">
        <f t="shared" si="1"/>
        <v>C</v>
      </c>
      <c r="I63" s="182" t="s">
        <v>155</v>
      </c>
      <c r="J63" s="171">
        <f>'Юнит 15'!U36</f>
        <v>0</v>
      </c>
      <c r="K63" s="172">
        <f t="shared" si="2"/>
        <v>0</v>
      </c>
      <c r="L63" s="172">
        <f t="shared" si="6"/>
        <v>0.99716580066131255</v>
      </c>
      <c r="M63" s="173" t="str">
        <f t="shared" si="4"/>
        <v>C</v>
      </c>
    </row>
    <row r="64" spans="2:13" ht="15" outlineLevel="1" thickBot="1">
      <c r="B64" s="182" t="s">
        <v>187</v>
      </c>
      <c r="C64" s="171">
        <f>'Юнит 15'!AO68</f>
        <v>0</v>
      </c>
      <c r="D64" s="172">
        <f t="shared" si="0"/>
        <v>0</v>
      </c>
      <c r="E64" s="172">
        <f t="shared" si="5"/>
        <v>1.0085663875879807</v>
      </c>
      <c r="F64" s="173" t="str">
        <f t="shared" si="3"/>
        <v>C</v>
      </c>
      <c r="G64" s="173" t="str">
        <f t="shared" si="1"/>
        <v>C</v>
      </c>
      <c r="I64" s="182" t="s">
        <v>156</v>
      </c>
      <c r="J64" s="171">
        <f>'Юнит 15'!U37</f>
        <v>0</v>
      </c>
      <c r="K64" s="172">
        <f t="shared" si="2"/>
        <v>0</v>
      </c>
      <c r="L64" s="172">
        <f t="shared" si="6"/>
        <v>0.99716580066131255</v>
      </c>
      <c r="M64" s="173" t="str">
        <f t="shared" si="4"/>
        <v>C</v>
      </c>
    </row>
    <row r="65" spans="2:13" ht="15" outlineLevel="1" thickBot="1">
      <c r="B65" s="182" t="s">
        <v>189</v>
      </c>
      <c r="C65" s="171">
        <f>'Юнит 15'!AO70</f>
        <v>0</v>
      </c>
      <c r="D65" s="172">
        <f t="shared" si="0"/>
        <v>0</v>
      </c>
      <c r="E65" s="172">
        <f t="shared" si="5"/>
        <v>1.0085663875879807</v>
      </c>
      <c r="F65" s="173" t="str">
        <f t="shared" si="3"/>
        <v>C</v>
      </c>
      <c r="G65" s="173" t="str">
        <f t="shared" si="1"/>
        <v>C</v>
      </c>
      <c r="I65" s="182" t="s">
        <v>157</v>
      </c>
      <c r="J65" s="171">
        <f>'Юнит 15'!U38</f>
        <v>0</v>
      </c>
      <c r="K65" s="172">
        <f t="shared" si="2"/>
        <v>0</v>
      </c>
      <c r="L65" s="172">
        <f t="shared" si="6"/>
        <v>0.99716580066131255</v>
      </c>
      <c r="M65" s="173" t="str">
        <f t="shared" si="4"/>
        <v>C</v>
      </c>
    </row>
    <row r="66" spans="2:13" ht="15" outlineLevel="1" thickBot="1">
      <c r="B66" s="182" t="s">
        <v>191</v>
      </c>
      <c r="C66" s="171">
        <f>'Юнит 15'!AO72</f>
        <v>0</v>
      </c>
      <c r="D66" s="172">
        <f t="shared" si="0"/>
        <v>0</v>
      </c>
      <c r="E66" s="172">
        <f t="shared" si="5"/>
        <v>1.0085663875879807</v>
      </c>
      <c r="F66" s="173" t="str">
        <f t="shared" si="3"/>
        <v>C</v>
      </c>
      <c r="G66" s="173" t="str">
        <f t="shared" si="1"/>
        <v>C</v>
      </c>
      <c r="I66" s="182" t="s">
        <v>161</v>
      </c>
      <c r="J66" s="171">
        <f>'Юнит 15'!U42</f>
        <v>0</v>
      </c>
      <c r="K66" s="172">
        <f t="shared" si="2"/>
        <v>0</v>
      </c>
      <c r="L66" s="172">
        <f t="shared" si="6"/>
        <v>0.99716580066131255</v>
      </c>
      <c r="M66" s="173" t="str">
        <f t="shared" si="4"/>
        <v>C</v>
      </c>
    </row>
    <row r="67" spans="2:13" ht="26.5" outlineLevel="1" thickBot="1">
      <c r="B67" s="182" t="s">
        <v>213</v>
      </c>
      <c r="C67" s="171">
        <f>'Юнит 15'!AO94</f>
        <v>0</v>
      </c>
      <c r="D67" s="172">
        <f t="shared" si="0"/>
        <v>0</v>
      </c>
      <c r="E67" s="172">
        <f t="shared" si="5"/>
        <v>1.0085663875879807</v>
      </c>
      <c r="F67" s="173" t="str">
        <f t="shared" si="3"/>
        <v>C</v>
      </c>
      <c r="G67" s="173" t="str">
        <f t="shared" si="1"/>
        <v>C</v>
      </c>
      <c r="I67" s="182" t="s">
        <v>162</v>
      </c>
      <c r="J67" s="171">
        <f>'Юнит 15'!U43</f>
        <v>0</v>
      </c>
      <c r="K67" s="172">
        <f t="shared" si="2"/>
        <v>0</v>
      </c>
      <c r="L67" s="172">
        <f t="shared" si="6"/>
        <v>0.99716580066131255</v>
      </c>
      <c r="M67" s="173" t="str">
        <f t="shared" si="4"/>
        <v>C</v>
      </c>
    </row>
    <row r="68" spans="2:13" ht="26.5" outlineLevel="1" thickBot="1">
      <c r="B68" s="182" t="s">
        <v>214</v>
      </c>
      <c r="C68" s="171">
        <f>'Юнит 15'!AO95</f>
        <v>0</v>
      </c>
      <c r="D68" s="172">
        <f t="shared" ref="D68:D104" si="7">C68/C$105</f>
        <v>0</v>
      </c>
      <c r="E68" s="172">
        <f t="shared" si="5"/>
        <v>1.0085663875879807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165</v>
      </c>
      <c r="J68" s="171">
        <f>'Юнит 15'!U46</f>
        <v>0</v>
      </c>
      <c r="K68" s="172">
        <f t="shared" ref="K68:K104" si="9">J68/J$105</f>
        <v>0</v>
      </c>
      <c r="L68" s="172">
        <f t="shared" si="6"/>
        <v>0.99716580066131255</v>
      </c>
      <c r="M68" s="173" t="str">
        <f t="shared" si="4"/>
        <v>C</v>
      </c>
    </row>
    <row r="69" spans="2:13" ht="15" outlineLevel="1" thickBot="1">
      <c r="B69" s="182" t="s">
        <v>215</v>
      </c>
      <c r="C69" s="171">
        <f>'Юнит 15'!AO96</f>
        <v>0</v>
      </c>
      <c r="D69" s="172">
        <f t="shared" si="7"/>
        <v>0</v>
      </c>
      <c r="E69" s="172">
        <f t="shared" si="5"/>
        <v>1.0085663875879807</v>
      </c>
      <c r="F69" s="173" t="str">
        <f t="shared" si="3"/>
        <v>C</v>
      </c>
      <c r="G69" s="173" t="str">
        <f t="shared" si="8"/>
        <v>C</v>
      </c>
      <c r="I69" s="182" t="s">
        <v>170</v>
      </c>
      <c r="J69" s="171">
        <f>'Юнит 15'!U51</f>
        <v>0</v>
      </c>
      <c r="K69" s="172">
        <f t="shared" si="9"/>
        <v>0</v>
      </c>
      <c r="L69" s="172">
        <f t="shared" si="6"/>
        <v>0.99716580066131255</v>
      </c>
      <c r="M69" s="173" t="str">
        <f t="shared" si="4"/>
        <v>C</v>
      </c>
    </row>
    <row r="70" spans="2:13" ht="15" outlineLevel="1" thickBot="1">
      <c r="B70" s="182" t="s">
        <v>256</v>
      </c>
      <c r="C70" s="171">
        <f>'Юнит 15'!AO99</f>
        <v>0</v>
      </c>
      <c r="D70" s="172">
        <f t="shared" si="7"/>
        <v>0</v>
      </c>
      <c r="E70" s="172">
        <f t="shared" ref="E70:E75" si="10">E69+D70</f>
        <v>1.0085663875879807</v>
      </c>
      <c r="F70" s="173" t="str">
        <f t="shared" si="3"/>
        <v>C</v>
      </c>
      <c r="G70" s="173" t="str">
        <f t="shared" si="8"/>
        <v>C</v>
      </c>
      <c r="I70" s="182" t="s">
        <v>174</v>
      </c>
      <c r="J70" s="171">
        <f>'Юнит 15'!U55</f>
        <v>0</v>
      </c>
      <c r="K70" s="172">
        <f t="shared" si="9"/>
        <v>0</v>
      </c>
      <c r="L70" s="172">
        <f t="shared" ref="L70:L75" si="11">L69+K70</f>
        <v>0.99716580066131255</v>
      </c>
      <c r="M70" s="173" t="str">
        <f t="shared" si="4"/>
        <v>C</v>
      </c>
    </row>
    <row r="71" spans="2:13" ht="15" outlineLevel="1" thickBot="1">
      <c r="B71" s="182" t="s">
        <v>258</v>
      </c>
      <c r="C71" s="171">
        <f>'Юнит 15'!AO101</f>
        <v>0</v>
      </c>
      <c r="D71" s="172">
        <f t="shared" si="7"/>
        <v>0</v>
      </c>
      <c r="E71" s="172">
        <f t="shared" si="10"/>
        <v>1.0085663875879807</v>
      </c>
      <c r="F71" s="173" t="str">
        <f t="shared" si="3"/>
        <v>C</v>
      </c>
      <c r="G71" s="173" t="str">
        <f t="shared" si="8"/>
        <v>C</v>
      </c>
      <c r="I71" s="182" t="s">
        <v>175</v>
      </c>
      <c r="J71" s="171">
        <f>'Юнит 15'!U56</f>
        <v>0</v>
      </c>
      <c r="K71" s="172">
        <f t="shared" si="9"/>
        <v>0</v>
      </c>
      <c r="L71" s="172">
        <f t="shared" si="11"/>
        <v>0.99716580066131255</v>
      </c>
      <c r="M71" s="173" t="str">
        <f t="shared" si="4"/>
        <v>C</v>
      </c>
    </row>
    <row r="72" spans="2:13" ht="26.5" outlineLevel="1" thickBot="1">
      <c r="B72" s="182" t="s">
        <v>260</v>
      </c>
      <c r="C72" s="171">
        <f>'Юнит 15'!AO103</f>
        <v>0</v>
      </c>
      <c r="D72" s="172">
        <f t="shared" si="7"/>
        <v>0</v>
      </c>
      <c r="E72" s="172">
        <f t="shared" si="10"/>
        <v>1.0085663875879807</v>
      </c>
      <c r="F72" s="173" t="str">
        <f t="shared" si="3"/>
        <v>C</v>
      </c>
      <c r="G72" s="173" t="str">
        <f t="shared" si="8"/>
        <v>C</v>
      </c>
      <c r="I72" s="182" t="s">
        <v>176</v>
      </c>
      <c r="J72" s="171">
        <f>'Юнит 15'!U57</f>
        <v>0</v>
      </c>
      <c r="K72" s="172">
        <f t="shared" si="9"/>
        <v>0</v>
      </c>
      <c r="L72" s="172">
        <f t="shared" si="11"/>
        <v>0.99716580066131255</v>
      </c>
      <c r="M72" s="173" t="str">
        <f t="shared" si="4"/>
        <v>C</v>
      </c>
    </row>
    <row r="73" spans="2:13" ht="15" outlineLevel="1" thickBot="1">
      <c r="B73" s="182" t="s">
        <v>174</v>
      </c>
      <c r="C73" s="171">
        <f>'Юнит 15'!AO55</f>
        <v>-0.84042065537555233</v>
      </c>
      <c r="D73" s="172">
        <f t="shared" si="7"/>
        <v>-8.4388724632290546E-7</v>
      </c>
      <c r="E73" s="172">
        <f t="shared" si="10"/>
        <v>1.0085655437007344</v>
      </c>
      <c r="F73" s="173" t="str">
        <f t="shared" si="3"/>
        <v>C</v>
      </c>
      <c r="G73" s="173" t="str">
        <f t="shared" si="8"/>
        <v>C</v>
      </c>
      <c r="I73" s="182" t="s">
        <v>177</v>
      </c>
      <c r="J73" s="171">
        <f>'Юнит 15'!U58</f>
        <v>0</v>
      </c>
      <c r="K73" s="172">
        <f t="shared" si="9"/>
        <v>0</v>
      </c>
      <c r="L73" s="172">
        <f t="shared" si="11"/>
        <v>0.99716580066131255</v>
      </c>
      <c r="M73" s="173" t="str">
        <f t="shared" si="4"/>
        <v>C</v>
      </c>
    </row>
    <row r="74" spans="2:13" ht="15" outlineLevel="1" thickBot="1">
      <c r="B74" s="182" t="s">
        <v>184</v>
      </c>
      <c r="C74" s="171">
        <f>'Юнит 15'!AO65</f>
        <v>-0.84042065537555233</v>
      </c>
      <c r="D74" s="172">
        <f t="shared" si="7"/>
        <v>-8.4388724632290546E-7</v>
      </c>
      <c r="E74" s="172">
        <f t="shared" si="10"/>
        <v>1.0085646998134881</v>
      </c>
      <c r="F74" s="173" t="str">
        <f t="shared" si="3"/>
        <v>C</v>
      </c>
      <c r="G74" s="173" t="str">
        <f t="shared" si="8"/>
        <v>C</v>
      </c>
      <c r="I74" s="182" t="s">
        <v>178</v>
      </c>
      <c r="J74" s="171">
        <f>'Юнит 15'!U59</f>
        <v>0</v>
      </c>
      <c r="K74" s="172">
        <f t="shared" si="9"/>
        <v>0</v>
      </c>
      <c r="L74" s="172">
        <f t="shared" si="11"/>
        <v>0.99716580066131255</v>
      </c>
      <c r="M74" s="173" t="str">
        <f t="shared" si="4"/>
        <v>C</v>
      </c>
    </row>
    <row r="75" spans="2:13" ht="15" outlineLevel="1" thickBot="1">
      <c r="B75" s="182" t="s">
        <v>192</v>
      </c>
      <c r="C75" s="171">
        <f>'Юнит 15'!AO73</f>
        <v>-0.84042065537555233</v>
      </c>
      <c r="D75" s="172">
        <f t="shared" si="7"/>
        <v>-8.4388724632290546E-7</v>
      </c>
      <c r="E75" s="172">
        <f t="shared" si="10"/>
        <v>1.0085638559262418</v>
      </c>
      <c r="F75" s="173" t="str">
        <f t="shared" si="3"/>
        <v>C</v>
      </c>
      <c r="G75" s="173" t="str">
        <f t="shared" si="8"/>
        <v>C</v>
      </c>
      <c r="I75" s="182" t="s">
        <v>179</v>
      </c>
      <c r="J75" s="171">
        <f>'Юнит 15'!U60</f>
        <v>0</v>
      </c>
      <c r="K75" s="172">
        <f t="shared" si="9"/>
        <v>0</v>
      </c>
      <c r="L75" s="172">
        <f t="shared" si="11"/>
        <v>0.99716580066131255</v>
      </c>
      <c r="M75" s="173" t="str">
        <f t="shared" si="4"/>
        <v>C</v>
      </c>
    </row>
    <row r="76" spans="2:13" ht="15" outlineLevel="1" thickBot="1">
      <c r="B76" s="182" t="s">
        <v>185</v>
      </c>
      <c r="C76" s="171">
        <f>'Юнит 15'!AO66</f>
        <v>-1.6808413107511047</v>
      </c>
      <c r="D76" s="172">
        <f t="shared" si="7"/>
        <v>-1.6877744926458109E-6</v>
      </c>
      <c r="E76" s="172">
        <f>E49+D76</f>
        <v>1.0085646998134881</v>
      </c>
      <c r="F76" s="173" t="str">
        <f t="shared" si="3"/>
        <v>C</v>
      </c>
      <c r="G76" s="173" t="str">
        <f t="shared" si="8"/>
        <v>C</v>
      </c>
      <c r="I76" s="182" t="s">
        <v>181</v>
      </c>
      <c r="J76" s="171">
        <f>'Юнит 15'!U62</f>
        <v>0</v>
      </c>
      <c r="K76" s="172">
        <f t="shared" si="9"/>
        <v>0</v>
      </c>
      <c r="L76" s="172">
        <f>L49+K76</f>
        <v>0.99574870099196922</v>
      </c>
      <c r="M76" s="173" t="str">
        <f t="shared" si="4"/>
        <v>C</v>
      </c>
    </row>
    <row r="77" spans="2:13" ht="15" outlineLevel="1" thickBot="1">
      <c r="B77" s="182" t="s">
        <v>190</v>
      </c>
      <c r="C77" s="171">
        <f>'Юнит 15'!AO71</f>
        <v>-2.5212619661266569</v>
      </c>
      <c r="D77" s="172">
        <f t="shared" si="7"/>
        <v>-2.5316617389687166E-6</v>
      </c>
      <c r="E77" s="172">
        <f t="shared" ref="E77:E93" si="12">E76+D77</f>
        <v>1.0085621681517491</v>
      </c>
      <c r="F77" s="173" t="str">
        <f t="shared" si="3"/>
        <v>C</v>
      </c>
      <c r="G77" s="173" t="str">
        <f t="shared" si="8"/>
        <v>C</v>
      </c>
      <c r="I77" s="182" t="s">
        <v>182</v>
      </c>
      <c r="J77" s="171">
        <f>'Юнит 15'!U63</f>
        <v>0</v>
      </c>
      <c r="K77" s="172">
        <f t="shared" si="9"/>
        <v>0</v>
      </c>
      <c r="L77" s="172">
        <f t="shared" ref="L77:L94" si="13">L76+K77</f>
        <v>0.99574870099196922</v>
      </c>
      <c r="M77" s="173" t="str">
        <f t="shared" si="4"/>
        <v>C</v>
      </c>
    </row>
    <row r="78" spans="2:13" ht="15" outlineLevel="1" thickBot="1">
      <c r="B78" s="182" t="s">
        <v>143</v>
      </c>
      <c r="C78" s="171">
        <f>'Юнит 15'!AO24</f>
        <v>-21.850937039764357</v>
      </c>
      <c r="D78" s="172">
        <f t="shared" si="7"/>
        <v>-2.194106840439554E-5</v>
      </c>
      <c r="E78" s="172">
        <f t="shared" si="12"/>
        <v>1.0085402270833448</v>
      </c>
      <c r="F78" s="173" t="str">
        <f t="shared" si="3"/>
        <v>C</v>
      </c>
      <c r="G78" s="173" t="str">
        <f t="shared" si="8"/>
        <v>C</v>
      </c>
      <c r="I78" s="182" t="s">
        <v>183</v>
      </c>
      <c r="J78" s="171">
        <f>'Юнит 15'!U64</f>
        <v>0</v>
      </c>
      <c r="K78" s="172">
        <f t="shared" si="9"/>
        <v>0</v>
      </c>
      <c r="L78" s="172">
        <f t="shared" si="13"/>
        <v>0.99574870099196922</v>
      </c>
      <c r="M78" s="173" t="str">
        <f t="shared" si="4"/>
        <v>C</v>
      </c>
    </row>
    <row r="79" spans="2:13" ht="26.5" outlineLevel="1" thickBot="1">
      <c r="B79" s="182" t="s">
        <v>212</v>
      </c>
      <c r="C79" s="171">
        <f>'Юнит 15'!AO93</f>
        <v>-32.776405559646541</v>
      </c>
      <c r="D79" s="172">
        <f t="shared" si="7"/>
        <v>-3.2911602606593318E-5</v>
      </c>
      <c r="E79" s="172">
        <f t="shared" si="12"/>
        <v>1.0085073154807382</v>
      </c>
      <c r="F79" s="173" t="str">
        <f t="shared" si="3"/>
        <v>C</v>
      </c>
      <c r="G79" s="173" t="str">
        <f t="shared" si="8"/>
        <v>C</v>
      </c>
      <c r="I79" s="182" t="s">
        <v>184</v>
      </c>
      <c r="J79" s="171">
        <f>'Юнит 15'!U65</f>
        <v>0</v>
      </c>
      <c r="K79" s="172">
        <f t="shared" si="9"/>
        <v>0</v>
      </c>
      <c r="L79" s="172">
        <f t="shared" si="13"/>
        <v>0.99574870099196922</v>
      </c>
      <c r="M79" s="173" t="str">
        <f t="shared" si="4"/>
        <v>C</v>
      </c>
    </row>
    <row r="80" spans="2:13" ht="26.5" outlineLevel="1" thickBot="1">
      <c r="B80" s="182" t="s">
        <v>199</v>
      </c>
      <c r="C80" s="171">
        <f>'Юнит 15'!AO80</f>
        <v>-38.168871796760087</v>
      </c>
      <c r="D80" s="172">
        <f t="shared" si="7"/>
        <v>-3.8326311841331822E-5</v>
      </c>
      <c r="E80" s="172">
        <f t="shared" si="12"/>
        <v>1.0084689891688969</v>
      </c>
      <c r="F80" s="173" t="str">
        <f t="shared" si="3"/>
        <v>C</v>
      </c>
      <c r="G80" s="173" t="str">
        <f t="shared" si="8"/>
        <v>C</v>
      </c>
      <c r="I80" s="182" t="s">
        <v>185</v>
      </c>
      <c r="J80" s="171">
        <f>'Юнит 15'!U66</f>
        <v>0</v>
      </c>
      <c r="K80" s="172">
        <f t="shared" si="9"/>
        <v>0</v>
      </c>
      <c r="L80" s="172">
        <f t="shared" si="13"/>
        <v>0.99574870099196922</v>
      </c>
      <c r="M80" s="173" t="str">
        <f t="shared" si="4"/>
        <v>C</v>
      </c>
    </row>
    <row r="81" spans="2:13" ht="26.5" outlineLevel="1" thickBot="1">
      <c r="B81" s="182" t="s">
        <v>209</v>
      </c>
      <c r="C81" s="171">
        <f>'Юнит 15'!AO90</f>
        <v>-40.34019145802651</v>
      </c>
      <c r="D81" s="172">
        <f t="shared" si="7"/>
        <v>-4.0506587823499465E-5</v>
      </c>
      <c r="E81" s="172">
        <f t="shared" si="12"/>
        <v>1.0084284825810734</v>
      </c>
      <c r="F81" s="173" t="str">
        <f t="shared" si="3"/>
        <v>C</v>
      </c>
      <c r="G81" s="173" t="str">
        <f t="shared" si="8"/>
        <v>C</v>
      </c>
      <c r="I81" s="182" t="s">
        <v>186</v>
      </c>
      <c r="J81" s="171">
        <f>'Юнит 15'!U67</f>
        <v>0</v>
      </c>
      <c r="K81" s="172">
        <f t="shared" si="9"/>
        <v>0</v>
      </c>
      <c r="L81" s="172">
        <f t="shared" si="13"/>
        <v>0.99574870099196922</v>
      </c>
      <c r="M81" s="173" t="str">
        <f t="shared" si="4"/>
        <v>C</v>
      </c>
    </row>
    <row r="82" spans="2:13" ht="15" outlineLevel="1" thickBot="1">
      <c r="B82" s="182" t="s">
        <v>193</v>
      </c>
      <c r="C82" s="171">
        <f>'Юнит 15'!AO74</f>
        <v>-58.29</v>
      </c>
      <c r="D82" s="172">
        <f t="shared" si="7"/>
        <v>-5.8530436244669542E-5</v>
      </c>
      <c r="E82" s="172">
        <f t="shared" si="12"/>
        <v>1.0083699521448288</v>
      </c>
      <c r="F82" s="173" t="str">
        <f t="shared" si="3"/>
        <v>C</v>
      </c>
      <c r="G82" s="173" t="str">
        <f t="shared" si="8"/>
        <v>C</v>
      </c>
      <c r="I82" s="182" t="s">
        <v>187</v>
      </c>
      <c r="J82" s="171">
        <f>'Юнит 15'!U68</f>
        <v>0</v>
      </c>
      <c r="K82" s="172">
        <f t="shared" si="9"/>
        <v>0</v>
      </c>
      <c r="L82" s="172">
        <f t="shared" si="13"/>
        <v>0.99574870099196922</v>
      </c>
      <c r="M82" s="173" t="str">
        <f t="shared" si="4"/>
        <v>C</v>
      </c>
    </row>
    <row r="83" spans="2:13" ht="15" outlineLevel="1" thickBot="1">
      <c r="B83" s="182" t="s">
        <v>145</v>
      </c>
      <c r="C83" s="171">
        <f>'Юнит 15'!AO26</f>
        <v>-96.630332658321379</v>
      </c>
      <c r="D83" s="172">
        <f t="shared" si="7"/>
        <v>-9.7028916194185778E-5</v>
      </c>
      <c r="E83" s="172">
        <f t="shared" si="12"/>
        <v>1.0082729232286347</v>
      </c>
      <c r="F83" s="173" t="str">
        <f t="shared" si="3"/>
        <v>C</v>
      </c>
      <c r="G83" s="173" t="str">
        <f t="shared" si="8"/>
        <v>C</v>
      </c>
      <c r="I83" s="182" t="s">
        <v>189</v>
      </c>
      <c r="J83" s="171">
        <f>'Юнит 15'!U70</f>
        <v>0</v>
      </c>
      <c r="K83" s="172">
        <f t="shared" si="9"/>
        <v>0</v>
      </c>
      <c r="L83" s="172">
        <f t="shared" si="13"/>
        <v>0.99574870099196922</v>
      </c>
      <c r="M83" s="173" t="str">
        <f t="shared" si="4"/>
        <v>C</v>
      </c>
    </row>
    <row r="84" spans="2:13" ht="15" outlineLevel="1" thickBot="1">
      <c r="B84" s="182" t="s">
        <v>180</v>
      </c>
      <c r="C84" s="171">
        <f>'Юнит 15'!AO61</f>
        <v>-101.35258092783516</v>
      </c>
      <c r="D84" s="172">
        <f t="shared" si="7"/>
        <v>-1.0177064292724939E-4</v>
      </c>
      <c r="E84" s="172">
        <f t="shared" si="12"/>
        <v>1.0081711525857076</v>
      </c>
      <c r="F84" s="173" t="str">
        <f t="shared" si="3"/>
        <v>C</v>
      </c>
      <c r="G84" s="173" t="str">
        <f t="shared" si="8"/>
        <v>C</v>
      </c>
      <c r="I84" s="182" t="s">
        <v>190</v>
      </c>
      <c r="J84" s="171">
        <f>'Юнит 15'!U71</f>
        <v>0</v>
      </c>
      <c r="K84" s="172">
        <f t="shared" si="9"/>
        <v>0</v>
      </c>
      <c r="L84" s="172">
        <f t="shared" si="13"/>
        <v>0.99574870099196922</v>
      </c>
      <c r="M84" s="173" t="str">
        <f t="shared" si="4"/>
        <v>C</v>
      </c>
    </row>
    <row r="85" spans="2:13" ht="26.5" outlineLevel="1" thickBot="1">
      <c r="B85" s="182" t="s">
        <v>200</v>
      </c>
      <c r="C85" s="171">
        <f>'Юнит 15'!AO81</f>
        <v>-104.26462720913108</v>
      </c>
      <c r="D85" s="172">
        <f t="shared" si="7"/>
        <v>-1.0469470089961029E-4</v>
      </c>
      <c r="E85" s="172">
        <f t="shared" si="12"/>
        <v>1.008066457884808</v>
      </c>
      <c r="F85" s="173" t="str">
        <f t="shared" si="3"/>
        <v>C</v>
      </c>
      <c r="G85" s="173" t="str">
        <f t="shared" si="8"/>
        <v>C</v>
      </c>
      <c r="I85" s="182" t="s">
        <v>191</v>
      </c>
      <c r="J85" s="171">
        <f>'Юнит 15'!U72</f>
        <v>0</v>
      </c>
      <c r="K85" s="172">
        <f t="shared" si="9"/>
        <v>0</v>
      </c>
      <c r="L85" s="172">
        <f t="shared" si="13"/>
        <v>0.99574870099196922</v>
      </c>
      <c r="M85" s="173" t="str">
        <f t="shared" si="4"/>
        <v>C</v>
      </c>
    </row>
    <row r="86" spans="2:13" ht="26.5" outlineLevel="1" thickBot="1">
      <c r="B86" s="182" t="s">
        <v>196</v>
      </c>
      <c r="C86" s="171">
        <f>'Юнит 15'!AO77</f>
        <v>-106.11109572901343</v>
      </c>
      <c r="D86" s="172">
        <f t="shared" si="7"/>
        <v>-1.0654878578519554E-4</v>
      </c>
      <c r="E86" s="172">
        <f t="shared" si="12"/>
        <v>1.0079599090990228</v>
      </c>
      <c r="F86" s="173" t="str">
        <f t="shared" si="3"/>
        <v>C</v>
      </c>
      <c r="G86" s="173" t="str">
        <f t="shared" si="8"/>
        <v>C</v>
      </c>
      <c r="I86" s="182" t="s">
        <v>192</v>
      </c>
      <c r="J86" s="171">
        <f>'Юнит 15'!U73</f>
        <v>0</v>
      </c>
      <c r="K86" s="172">
        <f t="shared" si="9"/>
        <v>0</v>
      </c>
      <c r="L86" s="172">
        <f t="shared" si="13"/>
        <v>0.99574870099196922</v>
      </c>
      <c r="M86" s="173" t="str">
        <f t="shared" si="4"/>
        <v>C</v>
      </c>
    </row>
    <row r="87" spans="2:13" ht="15" outlineLevel="1" thickBot="1">
      <c r="B87" s="182" t="s">
        <v>146</v>
      </c>
      <c r="C87" s="171">
        <f>'Юнит 15'!AO27</f>
        <v>-132.66560165537561</v>
      </c>
      <c r="D87" s="172">
        <f t="shared" si="7"/>
        <v>-1.3321282449049046E-4</v>
      </c>
      <c r="E87" s="172">
        <f t="shared" si="12"/>
        <v>1.0078266962745324</v>
      </c>
      <c r="F87" s="173" t="str">
        <f t="shared" si="3"/>
        <v>C</v>
      </c>
      <c r="G87" s="173" t="str">
        <f t="shared" si="8"/>
        <v>C</v>
      </c>
      <c r="I87" s="182" t="s">
        <v>193</v>
      </c>
      <c r="J87" s="171">
        <f>'Юнит 15'!U74</f>
        <v>0</v>
      </c>
      <c r="K87" s="172">
        <f t="shared" si="9"/>
        <v>0</v>
      </c>
      <c r="L87" s="172">
        <f t="shared" si="13"/>
        <v>0.99574870099196922</v>
      </c>
      <c r="M87" s="173" t="str">
        <f t="shared" si="4"/>
        <v>C</v>
      </c>
    </row>
    <row r="88" spans="2:13" ht="15" outlineLevel="1" thickBot="1">
      <c r="B88" s="182" t="s">
        <v>171</v>
      </c>
      <c r="C88" s="171">
        <f>'Юнит 15'!AO52</f>
        <v>-134.80591638438892</v>
      </c>
      <c r="D88" s="172">
        <f t="shared" si="7"/>
        <v>-1.3536196765038137E-4</v>
      </c>
      <c r="E88" s="172">
        <f t="shared" si="12"/>
        <v>1.0076913343068821</v>
      </c>
      <c r="F88" s="173" t="str">
        <f t="shared" si="3"/>
        <v>C</v>
      </c>
      <c r="G88" s="173" t="str">
        <f t="shared" si="8"/>
        <v>C</v>
      </c>
      <c r="I88" s="182" t="s">
        <v>195</v>
      </c>
      <c r="J88" s="171">
        <f>'Юнит 15'!U76</f>
        <v>0</v>
      </c>
      <c r="K88" s="172">
        <f t="shared" si="9"/>
        <v>0</v>
      </c>
      <c r="L88" s="172">
        <f t="shared" si="13"/>
        <v>0.99574870099196922</v>
      </c>
      <c r="M88" s="173" t="str">
        <f t="shared" si="4"/>
        <v>C</v>
      </c>
    </row>
    <row r="89" spans="2:13" ht="15" outlineLevel="1" thickBot="1">
      <c r="B89" s="182" t="s">
        <v>170</v>
      </c>
      <c r="C89" s="171">
        <f>'Юнит 15'!AO51</f>
        <v>-149</v>
      </c>
      <c r="D89" s="172">
        <f t="shared" si="7"/>
        <v>-1.4961459942452844E-4</v>
      </c>
      <c r="E89" s="172">
        <f t="shared" si="12"/>
        <v>1.0075417197074577</v>
      </c>
      <c r="F89" s="173" t="str">
        <f t="shared" si="3"/>
        <v>C</v>
      </c>
      <c r="G89" s="173" t="str">
        <f t="shared" si="8"/>
        <v>C</v>
      </c>
      <c r="I89" s="182" t="s">
        <v>197</v>
      </c>
      <c r="J89" s="171">
        <f>'Юнит 15'!U78</f>
        <v>0</v>
      </c>
      <c r="K89" s="172">
        <f t="shared" si="9"/>
        <v>0</v>
      </c>
      <c r="L89" s="172">
        <f t="shared" si="13"/>
        <v>0.99574870099196922</v>
      </c>
      <c r="M89" s="173" t="str">
        <f t="shared" si="4"/>
        <v>C</v>
      </c>
    </row>
    <row r="90" spans="2:13" ht="26.5" outlineLevel="1" thickBot="1">
      <c r="B90" s="182" t="s">
        <v>216</v>
      </c>
      <c r="C90" s="171">
        <f>'Юнит 15'!AO97</f>
        <v>-154.67042065537552</v>
      </c>
      <c r="D90" s="172">
        <f t="shared" si="7"/>
        <v>-1.5530840959179407E-4</v>
      </c>
      <c r="E90" s="172">
        <f t="shared" si="12"/>
        <v>1.0073864112978659</v>
      </c>
      <c r="F90" s="173" t="str">
        <f t="shared" si="3"/>
        <v>C</v>
      </c>
      <c r="G90" s="173" t="str">
        <f t="shared" si="8"/>
        <v>C</v>
      </c>
      <c r="I90" s="182" t="s">
        <v>200</v>
      </c>
      <c r="J90" s="171">
        <f>'Юнит 15'!U81</f>
        <v>0</v>
      </c>
      <c r="K90" s="172">
        <f t="shared" si="9"/>
        <v>0</v>
      </c>
      <c r="L90" s="172">
        <f t="shared" si="13"/>
        <v>0.99574870099196922</v>
      </c>
      <c r="M90" s="173" t="str">
        <f t="shared" si="4"/>
        <v>C</v>
      </c>
    </row>
    <row r="91" spans="2:13" ht="15" outlineLevel="1" thickBot="1">
      <c r="B91" s="182" t="s">
        <v>157</v>
      </c>
      <c r="C91" s="171">
        <f>'Юнит 15'!AO38</f>
        <v>-203.96808818114874</v>
      </c>
      <c r="D91" s="172">
        <f t="shared" si="7"/>
        <v>-2.0480942153429168E-4</v>
      </c>
      <c r="E91" s="172">
        <f t="shared" si="12"/>
        <v>1.0071816018763315</v>
      </c>
      <c r="F91" s="173" t="str">
        <f t="shared" si="3"/>
        <v>C</v>
      </c>
      <c r="G91" s="173" t="str">
        <f t="shared" si="8"/>
        <v>C</v>
      </c>
      <c r="I91" s="182" t="s">
        <v>202</v>
      </c>
      <c r="J91" s="171">
        <f>'Юнит 15'!U83</f>
        <v>0</v>
      </c>
      <c r="K91" s="172">
        <f t="shared" si="9"/>
        <v>0</v>
      </c>
      <c r="L91" s="172">
        <f t="shared" si="13"/>
        <v>0.99574870099196922</v>
      </c>
      <c r="M91" s="173" t="str">
        <f t="shared" si="4"/>
        <v>C</v>
      </c>
    </row>
    <row r="92" spans="2:13" ht="26.5" outlineLevel="1" thickBot="1">
      <c r="B92" s="182" t="s">
        <v>202</v>
      </c>
      <c r="C92" s="171">
        <f>'Юнит 15'!AO83</f>
        <v>-209.61724687039765</v>
      </c>
      <c r="D92" s="172">
        <f t="shared" si="7"/>
        <v>-2.1048188203347002E-4</v>
      </c>
      <c r="E92" s="172">
        <f t="shared" si="12"/>
        <v>1.0069711199942981</v>
      </c>
      <c r="F92" s="173" t="str">
        <f t="shared" si="3"/>
        <v>C</v>
      </c>
      <c r="G92" s="173" t="str">
        <f t="shared" si="8"/>
        <v>C</v>
      </c>
      <c r="I92" s="182" t="s">
        <v>204</v>
      </c>
      <c r="J92" s="171">
        <f>'Юнит 15'!U85</f>
        <v>0</v>
      </c>
      <c r="K92" s="172">
        <f t="shared" si="9"/>
        <v>0</v>
      </c>
      <c r="L92" s="172">
        <f t="shared" si="13"/>
        <v>0.99574870099196922</v>
      </c>
      <c r="M92" s="173" t="str">
        <f t="shared" si="4"/>
        <v>C</v>
      </c>
    </row>
    <row r="93" spans="2:13" ht="26.5" outlineLevel="1" thickBot="1">
      <c r="B93" s="182" t="s">
        <v>205</v>
      </c>
      <c r="C93" s="171">
        <f>'Юнит 15'!AO86</f>
        <v>-214.62682621502208</v>
      </c>
      <c r="D93" s="172">
        <f t="shared" si="7"/>
        <v>-2.1551212503300945E-4</v>
      </c>
      <c r="E93" s="172">
        <f t="shared" si="12"/>
        <v>1.0067556078692652</v>
      </c>
      <c r="F93" s="173" t="str">
        <f t="shared" si="3"/>
        <v>C</v>
      </c>
      <c r="G93" s="173" t="str">
        <f t="shared" si="8"/>
        <v>C</v>
      </c>
      <c r="I93" s="182" t="s">
        <v>205</v>
      </c>
      <c r="J93" s="171">
        <f>'Юнит 15'!U86</f>
        <v>0</v>
      </c>
      <c r="K93" s="172">
        <f t="shared" si="9"/>
        <v>0</v>
      </c>
      <c r="L93" s="172">
        <f t="shared" si="13"/>
        <v>0.99574870099196922</v>
      </c>
      <c r="M93" s="173" t="str">
        <f t="shared" si="4"/>
        <v>C</v>
      </c>
    </row>
    <row r="94" spans="2:13" ht="26.5" outlineLevel="1" thickBot="1">
      <c r="B94" s="182" t="s">
        <v>179</v>
      </c>
      <c r="C94" s="171">
        <f>'Юнит 15'!AO60</f>
        <v>-246.40799245213549</v>
      </c>
      <c r="D94" s="172">
        <f t="shared" si="7"/>
        <v>-2.4742438312569447E-4</v>
      </c>
      <c r="E94" s="172">
        <f>E93+D94</f>
        <v>1.0065081834861396</v>
      </c>
      <c r="F94" s="173" t="str">
        <f t="shared" si="3"/>
        <v>C</v>
      </c>
      <c r="G94" s="173" t="str">
        <f t="shared" si="8"/>
        <v>C</v>
      </c>
      <c r="I94" s="182" t="s">
        <v>209</v>
      </c>
      <c r="J94" s="171">
        <f>'Юнит 15'!U90</f>
        <v>0</v>
      </c>
      <c r="K94" s="172">
        <f t="shared" si="9"/>
        <v>0</v>
      </c>
      <c r="L94" s="172">
        <f t="shared" si="13"/>
        <v>0.99574870099196922</v>
      </c>
      <c r="M94" s="173" t="str">
        <f t="shared" si="4"/>
        <v>C</v>
      </c>
    </row>
    <row r="95" spans="2:13" ht="15" outlineLevel="1" thickBot="1">
      <c r="B95" s="182" t="s">
        <v>161</v>
      </c>
      <c r="C95" s="171">
        <f>'Юнит 15'!AO42</f>
        <v>-248.8613576951399</v>
      </c>
      <c r="D95" s="172">
        <f t="shared" si="7"/>
        <v>-2.4988786807921237E-4</v>
      </c>
      <c r="E95" s="172">
        <f>E94+D95</f>
        <v>1.0062582956180603</v>
      </c>
      <c r="F95" s="173" t="str">
        <f t="shared" si="3"/>
        <v>C</v>
      </c>
      <c r="G95" s="173" t="str">
        <f t="shared" si="8"/>
        <v>C</v>
      </c>
      <c r="I95" s="182" t="s">
        <v>211</v>
      </c>
      <c r="J95" s="171">
        <f>'Юнит 15'!U92</f>
        <v>0</v>
      </c>
      <c r="K95" s="172">
        <f t="shared" si="9"/>
        <v>0</v>
      </c>
      <c r="L95" s="172">
        <f>L94+K95</f>
        <v>0.99574870099196922</v>
      </c>
      <c r="M95" s="173" t="str">
        <f t="shared" si="4"/>
        <v>C</v>
      </c>
    </row>
    <row r="96" spans="2:13" ht="26.5" outlineLevel="1" thickBot="1">
      <c r="B96" s="182" t="s">
        <v>198</v>
      </c>
      <c r="C96" s="171">
        <f>'Юнит 15'!AO79</f>
        <v>-286.34386097201752</v>
      </c>
      <c r="D96" s="172">
        <f t="shared" si="7"/>
        <v>-2.8752498024833063E-4</v>
      </c>
      <c r="E96" s="172">
        <f t="shared" ref="E96:E98" si="14">E95+D96</f>
        <v>1.005970770637812</v>
      </c>
      <c r="F96" s="173" t="str">
        <f t="shared" si="3"/>
        <v>C</v>
      </c>
      <c r="G96" s="173" t="str">
        <f t="shared" si="8"/>
        <v>C</v>
      </c>
      <c r="I96" s="182" t="s">
        <v>212</v>
      </c>
      <c r="J96" s="171">
        <f>'Юнит 15'!U93</f>
        <v>0</v>
      </c>
      <c r="K96" s="172">
        <f t="shared" si="9"/>
        <v>0</v>
      </c>
      <c r="L96" s="172">
        <f t="shared" ref="L96:L98" si="15">L95+K96</f>
        <v>0.99574870099196922</v>
      </c>
      <c r="M96" s="173" t="str">
        <f t="shared" si="4"/>
        <v>C</v>
      </c>
    </row>
    <row r="97" spans="2:13" ht="26.5" outlineLevel="1" thickBot="1">
      <c r="B97" s="182" t="s">
        <v>162</v>
      </c>
      <c r="C97" s="171">
        <f>'Юнит 15'!AO43</f>
        <v>-324.31084131075107</v>
      </c>
      <c r="D97" s="172">
        <f t="shared" si="7"/>
        <v>-3.2564856786402571E-4</v>
      </c>
      <c r="E97" s="172">
        <f t="shared" si="14"/>
        <v>1.005645122069948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213</v>
      </c>
      <c r="J97" s="171">
        <f>'Юнит 15'!U94</f>
        <v>0</v>
      </c>
      <c r="K97" s="172">
        <f t="shared" si="9"/>
        <v>0</v>
      </c>
      <c r="L97" s="172">
        <f t="shared" si="15"/>
        <v>0.99574870099196922</v>
      </c>
      <c r="M97" s="173" t="str">
        <f t="shared" si="4"/>
        <v>C</v>
      </c>
    </row>
    <row r="98" spans="2:13" ht="26.5" outlineLevel="1" thickBot="1">
      <c r="B98" s="182" t="s">
        <v>203</v>
      </c>
      <c r="C98" s="171">
        <f>'Юнит 15'!AO84</f>
        <v>-664.32153531664187</v>
      </c>
      <c r="D98" s="172">
        <f t="shared" si="7"/>
        <v>-6.6706174762071874E-4</v>
      </c>
      <c r="E98" s="172">
        <f t="shared" si="14"/>
        <v>1.0049780603223273</v>
      </c>
      <c r="F98" s="173" t="str">
        <f t="shared" si="16"/>
        <v>C</v>
      </c>
      <c r="G98" s="173" t="str">
        <f t="shared" si="8"/>
        <v>C</v>
      </c>
      <c r="I98" s="182" t="s">
        <v>214</v>
      </c>
      <c r="J98" s="171">
        <f>'Юнит 15'!U95</f>
        <v>0</v>
      </c>
      <c r="K98" s="172">
        <f t="shared" si="9"/>
        <v>0</v>
      </c>
      <c r="L98" s="172">
        <f t="shared" si="15"/>
        <v>0.99574870099196922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15'!AO85</f>
        <v>-778.3543022827688</v>
      </c>
      <c r="D99" s="172">
        <f t="shared" si="7"/>
        <v>-7.8156488017714612E-4</v>
      </c>
      <c r="E99" s="172">
        <f>E93+D99</f>
        <v>1.005974042989088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'Юнит 15'!U96</f>
        <v>0</v>
      </c>
      <c r="K99" s="172">
        <f t="shared" si="9"/>
        <v>0</v>
      </c>
      <c r="L99" s="172">
        <f>L93+K99</f>
        <v>0.99574870099196922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177</v>
      </c>
      <c r="C100" s="171">
        <f>'Юнит 15'!AO58</f>
        <v>-823.42841310751101</v>
      </c>
      <c r="D100" s="172">
        <f t="shared" si="7"/>
        <v>-8.2682491397218373E-4</v>
      </c>
      <c r="E100" s="172">
        <f t="shared" ref="E100:E104" si="18">E94+D100</f>
        <v>1.0056813585721673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'Юнит 15'!U97</f>
        <v>0</v>
      </c>
      <c r="K100" s="172">
        <f t="shared" si="9"/>
        <v>0</v>
      </c>
      <c r="L100" s="172">
        <f t="shared" ref="L100:L104" si="19">L94+K100</f>
        <v>0.99574870099196922</v>
      </c>
      <c r="M100" s="173" t="str">
        <f t="shared" si="17"/>
        <v>C</v>
      </c>
    </row>
    <row r="101" spans="2:13" ht="15" outlineLevel="1" thickBot="1">
      <c r="B101" s="182" t="s">
        <v>197</v>
      </c>
      <c r="C101" s="171">
        <f>'Юнит 15'!AO78</f>
        <v>-951.42630983063327</v>
      </c>
      <c r="D101" s="172">
        <f t="shared" si="7"/>
        <v>-9.5535078004877502E-4</v>
      </c>
      <c r="E101" s="172">
        <f t="shared" si="18"/>
        <v>1.0053029448380115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15'!U99</f>
        <v>0</v>
      </c>
      <c r="K101" s="172">
        <f t="shared" si="9"/>
        <v>0</v>
      </c>
      <c r="L101" s="172">
        <f t="shared" si="19"/>
        <v>0.99574870099196922</v>
      </c>
      <c r="M101" s="173" t="str">
        <f t="shared" si="17"/>
        <v>C</v>
      </c>
    </row>
    <row r="102" spans="2:13" ht="15" outlineLevel="1" thickBot="1">
      <c r="B102" s="182" t="s">
        <v>195</v>
      </c>
      <c r="C102" s="171">
        <f>'Юнит 15'!AO76</f>
        <v>-1170.2947229381441</v>
      </c>
      <c r="D102" s="172">
        <f t="shared" si="7"/>
        <v>-1.175121987792147E-3</v>
      </c>
      <c r="E102" s="172">
        <f t="shared" si="18"/>
        <v>1.0047956486500198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15'!U101</f>
        <v>0</v>
      </c>
      <c r="K102" s="172">
        <f t="shared" si="9"/>
        <v>0</v>
      </c>
      <c r="L102" s="172">
        <f t="shared" si="19"/>
        <v>0.99574870099196922</v>
      </c>
      <c r="M102" s="173" t="str">
        <f t="shared" si="17"/>
        <v>C</v>
      </c>
    </row>
    <row r="103" spans="2:13" ht="26.5" outlineLevel="1" thickBot="1">
      <c r="B103" s="182" t="s">
        <v>210</v>
      </c>
      <c r="C103" s="171">
        <f>'Юнит 15'!AO91</f>
        <v>-1359.0756337628864</v>
      </c>
      <c r="D103" s="172">
        <f t="shared" si="7"/>
        <v>-1.3646815874702775E-3</v>
      </c>
      <c r="E103" s="172">
        <f t="shared" si="18"/>
        <v>1.0042804404824777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15'!U103</f>
        <v>0</v>
      </c>
      <c r="K103" s="172">
        <f t="shared" si="9"/>
        <v>0</v>
      </c>
      <c r="L103" s="172">
        <f t="shared" si="19"/>
        <v>0.99574870099196922</v>
      </c>
      <c r="M103" s="173" t="str">
        <f t="shared" si="17"/>
        <v>C</v>
      </c>
    </row>
    <row r="104" spans="2:13" ht="15" outlineLevel="1" thickBot="1">
      <c r="B104" s="182" t="s">
        <v>211</v>
      </c>
      <c r="C104" s="171">
        <f>'Юнит 15'!AO92</f>
        <v>-1560.0976675257734</v>
      </c>
      <c r="D104" s="172">
        <f t="shared" si="7"/>
        <v>-1.566532802617515E-3</v>
      </c>
      <c r="E104" s="172">
        <f t="shared" si="18"/>
        <v>1.0034115275197097</v>
      </c>
      <c r="F104" s="173" t="str">
        <f t="shared" si="16"/>
        <v>C</v>
      </c>
      <c r="G104" s="173" t="str">
        <f t="shared" si="8"/>
        <v>C</v>
      </c>
      <c r="I104" s="182" t="s">
        <v>210</v>
      </c>
      <c r="J104" s="171">
        <f>'Юнит 15'!U91</f>
        <v>-1</v>
      </c>
      <c r="K104" s="172">
        <f t="shared" si="9"/>
        <v>-4.7236655644780352E-4</v>
      </c>
      <c r="L104" s="172">
        <f t="shared" si="19"/>
        <v>0.99527633443552144</v>
      </c>
      <c r="M104" s="173" t="str">
        <f t="shared" si="17"/>
        <v>C</v>
      </c>
    </row>
    <row r="105" spans="2:13" outlineLevel="1">
      <c r="C105" s="178">
        <f>SUM(C4:C104)</f>
        <v>995892.11596400081</v>
      </c>
      <c r="D105" s="179">
        <f>SUM(D4:D104)</f>
        <v>1.0000000000000004</v>
      </c>
      <c r="J105" s="178">
        <f>SUM(J4:J104)</f>
        <v>2117</v>
      </c>
      <c r="K105" s="179">
        <f>SUM(K4:K104)</f>
        <v>0.99999999999999944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202" priority="4" operator="equal">
      <formula>"C"</formula>
    </cfRule>
    <cfRule type="cellIs" dxfId="201" priority="5" operator="equal">
      <formula>"B"</formula>
    </cfRule>
    <cfRule type="cellIs" dxfId="200" priority="6" operator="equal">
      <formula>"A"</formula>
    </cfRule>
  </conditionalFormatting>
  <conditionalFormatting sqref="F99:G104 D99:D104 M99:M104 K99:K104">
    <cfRule type="cellIs" dxfId="199" priority="1" operator="equal">
      <formula>"C"</formula>
    </cfRule>
    <cfRule type="cellIs" dxfId="198" priority="2" operator="equal">
      <formula>"B"</formula>
    </cfRule>
    <cfRule type="cellIs" dxfId="197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C520-387B-44D2-B2E5-38123B7F39A2}">
  <dimension ref="B1:Q105"/>
  <sheetViews>
    <sheetView zoomScale="80" zoomScaleNormal="80" workbookViewId="0">
      <selection activeCell="D10" sqref="D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9" t="s">
        <v>86</v>
      </c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1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14'!AO4</f>
        <v>264219.93356964883</v>
      </c>
      <c r="D4" s="172">
        <f t="shared" ref="D4:D67" si="0">C4/C$105</f>
        <v>0.20222750582234678</v>
      </c>
      <c r="E4" s="172">
        <f>D4</f>
        <v>0.20222750582234678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14'!U4</f>
        <v>447</v>
      </c>
      <c r="K4" s="172">
        <f t="shared" ref="K4:K67" si="2">J4/J$105</f>
        <v>0.1527160915613256</v>
      </c>
      <c r="L4" s="172">
        <f>K4</f>
        <v>0.1527160915613256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'Юнит 14'!AO13</f>
        <v>151931.13180590383</v>
      </c>
      <c r="D5" s="172">
        <f t="shared" si="0"/>
        <v>0.11628439015474615</v>
      </c>
      <c r="E5" s="172">
        <f>E4+D5</f>
        <v>0.31851189597709295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14'!U13</f>
        <v>275</v>
      </c>
      <c r="K5" s="172">
        <f t="shared" si="2"/>
        <v>9.3952852750256236E-2</v>
      </c>
      <c r="L5" s="172">
        <f>L4+K5</f>
        <v>0.24666894431158182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14'!AO9</f>
        <v>124360.36696852905</v>
      </c>
      <c r="D6" s="172">
        <f t="shared" si="0"/>
        <v>9.5182397843454336E-2</v>
      </c>
      <c r="E6" s="172">
        <f t="shared" ref="E6:E69" si="5">E5+D6</f>
        <v>0.41369429382054729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14'!U9</f>
        <v>253</v>
      </c>
      <c r="K6" s="172">
        <f t="shared" si="2"/>
        <v>8.6436624530235734E-2</v>
      </c>
      <c r="L6" s="172">
        <f t="shared" ref="L6:L69" si="6">L5+K6</f>
        <v>0.33310556884181752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135</v>
      </c>
      <c r="C7" s="171">
        <f>'Юнит 14'!AO16</f>
        <v>105462.57412364625</v>
      </c>
      <c r="D7" s="172">
        <f t="shared" si="0"/>
        <v>8.0718487187899479E-2</v>
      </c>
      <c r="E7" s="172">
        <f t="shared" si="5"/>
        <v>0.49441278100844677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14'!U16</f>
        <v>209</v>
      </c>
      <c r="K7" s="172">
        <f t="shared" si="2"/>
        <v>7.1404168090194745E-2</v>
      </c>
      <c r="L7" s="172">
        <f t="shared" si="6"/>
        <v>0.40450973693201225</v>
      </c>
      <c r="M7" s="173" t="str">
        <f t="shared" si="4"/>
        <v>A</v>
      </c>
    </row>
    <row r="8" spans="2:17" ht="26.5" outlineLevel="1" thickBot="1">
      <c r="B8" s="182" t="s">
        <v>122</v>
      </c>
      <c r="C8" s="171">
        <f>'Юнит 14'!AO3</f>
        <v>82186.059605151706</v>
      </c>
      <c r="D8" s="172">
        <f t="shared" si="0"/>
        <v>6.2903209545071739E-2</v>
      </c>
      <c r="E8" s="172">
        <f t="shared" si="5"/>
        <v>0.55731599055351855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14'!U7</f>
        <v>191</v>
      </c>
      <c r="K8" s="172">
        <f t="shared" si="2"/>
        <v>6.5254526819268882E-2</v>
      </c>
      <c r="L8" s="172">
        <f t="shared" si="6"/>
        <v>0.46976426375128111</v>
      </c>
      <c r="M8" s="173" t="str">
        <f>_xlfn.IFS(L8&lt;80%,"A",L8&lt;=95%,"B",L8&gt;95%,"C")</f>
        <v>A</v>
      </c>
    </row>
    <row r="9" spans="2:17" ht="15" outlineLevel="1" thickBot="1">
      <c r="B9" s="182" t="s">
        <v>126</v>
      </c>
      <c r="C9" s="171">
        <f>'Юнит 14'!AO7</f>
        <v>77247.9890210257</v>
      </c>
      <c r="D9" s="172">
        <f t="shared" si="0"/>
        <v>5.912373051670667E-2</v>
      </c>
      <c r="E9" s="172">
        <f t="shared" si="5"/>
        <v>0.61643972107022527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14'!U10</f>
        <v>188</v>
      </c>
      <c r="K9" s="172">
        <f t="shared" si="2"/>
        <v>6.4229586607447903E-2</v>
      </c>
      <c r="L9" s="172">
        <f t="shared" si="6"/>
        <v>0.53399385035872904</v>
      </c>
      <c r="M9" s="173" t="str">
        <f t="shared" si="4"/>
        <v>A</v>
      </c>
    </row>
    <row r="10" spans="2:17" ht="26.5" outlineLevel="1" thickBot="1">
      <c r="B10" s="182" t="s">
        <v>124</v>
      </c>
      <c r="C10" s="171">
        <f>'Юнит 14'!AO5</f>
        <v>75745.826734883405</v>
      </c>
      <c r="D10" s="172">
        <f t="shared" si="0"/>
        <v>5.7974012066766653E-2</v>
      </c>
      <c r="E10" s="172">
        <f t="shared" si="5"/>
        <v>0.67441373313699193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14'!U3</f>
        <v>173</v>
      </c>
      <c r="K10" s="172">
        <f t="shared" si="2"/>
        <v>5.9104885548343013E-2</v>
      </c>
      <c r="L10" s="172">
        <f t="shared" si="6"/>
        <v>0.59309873590707207</v>
      </c>
      <c r="M10" s="173" t="str">
        <f t="shared" si="4"/>
        <v>A</v>
      </c>
    </row>
    <row r="11" spans="2:17" ht="15" outlineLevel="1" thickBot="1">
      <c r="B11" s="182" t="s">
        <v>129</v>
      </c>
      <c r="C11" s="171">
        <f>'Юнит 14'!AO10</f>
        <v>60980.794688473048</v>
      </c>
      <c r="D11" s="172">
        <f t="shared" si="0"/>
        <v>4.6673215931544325E-2</v>
      </c>
      <c r="E11" s="172">
        <f t="shared" si="5"/>
        <v>0.72108694906853621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14'!U5</f>
        <v>168</v>
      </c>
      <c r="K11" s="172">
        <f t="shared" si="2"/>
        <v>5.7396651861974721E-2</v>
      </c>
      <c r="L11" s="172">
        <f t="shared" si="6"/>
        <v>0.65049538776904681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14'!AO11</f>
        <v>51237.526297989294</v>
      </c>
      <c r="D12" s="172">
        <f t="shared" si="0"/>
        <v>3.9215955464684621E-2</v>
      </c>
      <c r="E12" s="172">
        <f t="shared" si="5"/>
        <v>0.7603029045332208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14'!U12</f>
        <v>135</v>
      </c>
      <c r="K12" s="172">
        <f t="shared" si="2"/>
        <v>4.6122309531943968E-2</v>
      </c>
      <c r="L12" s="172">
        <f t="shared" si="6"/>
        <v>0.69661769730099077</v>
      </c>
      <c r="M12" s="173" t="str">
        <f t="shared" si="4"/>
        <v>A</v>
      </c>
    </row>
    <row r="13" spans="2:17" ht="15" outlineLevel="1" thickBot="1">
      <c r="B13" s="182" t="s">
        <v>131</v>
      </c>
      <c r="C13" s="171">
        <f>'Юнит 14'!AO12</f>
        <v>49657.381018855107</v>
      </c>
      <c r="D13" s="172">
        <f t="shared" si="0"/>
        <v>3.8006550730079199E-2</v>
      </c>
      <c r="E13" s="172">
        <f t="shared" si="5"/>
        <v>0.79830945526329999</v>
      </c>
      <c r="F13" s="173" t="str">
        <f t="shared" si="3"/>
        <v>A</v>
      </c>
      <c r="G13" s="173" t="str">
        <f t="shared" si="1"/>
        <v>A</v>
      </c>
      <c r="I13" s="182" t="s">
        <v>130</v>
      </c>
      <c r="J13" s="171">
        <f>'Юнит 14'!U11</f>
        <v>112</v>
      </c>
      <c r="K13" s="172">
        <f t="shared" si="2"/>
        <v>3.8264434574649814E-2</v>
      </c>
      <c r="L13" s="172">
        <f t="shared" si="6"/>
        <v>0.73488213187564055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14'!AO6</f>
        <v>35034.333439037953</v>
      </c>
      <c r="D14" s="172">
        <f t="shared" si="0"/>
        <v>2.681442604956788E-2</v>
      </c>
      <c r="E14" s="172">
        <f t="shared" si="5"/>
        <v>0.82512388131286785</v>
      </c>
      <c r="F14" s="173" t="str">
        <f t="shared" si="3"/>
        <v>B</v>
      </c>
      <c r="G14" s="173" t="str">
        <f t="shared" si="1"/>
        <v>A</v>
      </c>
      <c r="I14" s="182" t="s">
        <v>147</v>
      </c>
      <c r="J14" s="171">
        <f>'Юнит 14'!U28</f>
        <v>79</v>
      </c>
      <c r="K14" s="172">
        <f t="shared" si="2"/>
        <v>2.6990092244619065E-2</v>
      </c>
      <c r="L14" s="172">
        <f t="shared" si="6"/>
        <v>0.76187222412025957</v>
      </c>
      <c r="M14" s="173" t="str">
        <f t="shared" si="4"/>
        <v>A</v>
      </c>
    </row>
    <row r="15" spans="2:17" ht="15" outlineLevel="1" thickBot="1">
      <c r="B15" s="182" t="s">
        <v>169</v>
      </c>
      <c r="C15" s="171">
        <f>'Юнит 14'!AO50</f>
        <v>32607.020822680239</v>
      </c>
      <c r="D15" s="172">
        <f t="shared" si="0"/>
        <v>2.4956620055805713E-2</v>
      </c>
      <c r="E15" s="172">
        <f t="shared" si="5"/>
        <v>0.85008050136867352</v>
      </c>
      <c r="F15" s="173" t="str">
        <f t="shared" si="3"/>
        <v>B</v>
      </c>
      <c r="G15" s="173" t="str">
        <f t="shared" si="1"/>
        <v>B</v>
      </c>
      <c r="I15" s="182" t="s">
        <v>125</v>
      </c>
      <c r="J15" s="171">
        <f>'Юнит 14'!U6</f>
        <v>76</v>
      </c>
      <c r="K15" s="172">
        <f t="shared" si="2"/>
        <v>2.5965152032798085E-2</v>
      </c>
      <c r="L15" s="172">
        <f t="shared" si="6"/>
        <v>0.7878373761530576</v>
      </c>
      <c r="M15" s="173" t="str">
        <f t="shared" si="4"/>
        <v>A</v>
      </c>
    </row>
    <row r="16" spans="2:17" ht="26.5" outlineLevel="1" thickBot="1">
      <c r="B16" s="182" t="s">
        <v>147</v>
      </c>
      <c r="C16" s="171">
        <f>'Юнит 14'!AO28</f>
        <v>29891.063665967762</v>
      </c>
      <c r="D16" s="172">
        <f t="shared" si="0"/>
        <v>2.2877892556703014E-2</v>
      </c>
      <c r="E16" s="172">
        <f t="shared" si="5"/>
        <v>0.87295839392537655</v>
      </c>
      <c r="F16" s="173" t="str">
        <f t="shared" si="3"/>
        <v>B</v>
      </c>
      <c r="G16" s="173" t="str">
        <f t="shared" si="1"/>
        <v>A</v>
      </c>
      <c r="I16" s="182" t="s">
        <v>167</v>
      </c>
      <c r="J16" s="171">
        <f>'Юнит 14'!U48</f>
        <v>67</v>
      </c>
      <c r="K16" s="172">
        <f t="shared" si="2"/>
        <v>2.2890331397335154E-2</v>
      </c>
      <c r="L16" s="172">
        <f t="shared" si="6"/>
        <v>0.81072770755039281</v>
      </c>
      <c r="M16" s="173" t="str">
        <f t="shared" si="4"/>
        <v>B</v>
      </c>
    </row>
    <row r="17" spans="2:13" ht="15" outlineLevel="1" thickBot="1">
      <c r="B17" s="182" t="s">
        <v>134</v>
      </c>
      <c r="C17" s="171">
        <f>'Юнит 14'!AO15</f>
        <v>25591.497434869256</v>
      </c>
      <c r="D17" s="172">
        <f t="shared" si="0"/>
        <v>1.9587109218420783E-2</v>
      </c>
      <c r="E17" s="172">
        <f t="shared" si="5"/>
        <v>0.89254550314379733</v>
      </c>
      <c r="F17" s="173" t="str">
        <f t="shared" si="3"/>
        <v>B</v>
      </c>
      <c r="G17" s="173" t="str">
        <f t="shared" si="1"/>
        <v>B</v>
      </c>
      <c r="I17" s="182" t="s">
        <v>169</v>
      </c>
      <c r="J17" s="171">
        <f>'Юнит 14'!U50</f>
        <v>62</v>
      </c>
      <c r="K17" s="172">
        <f t="shared" si="2"/>
        <v>2.1182097710966859E-2</v>
      </c>
      <c r="L17" s="172">
        <f t="shared" si="6"/>
        <v>0.83190980526135971</v>
      </c>
      <c r="M17" s="173" t="str">
        <f t="shared" si="4"/>
        <v>B</v>
      </c>
    </row>
    <row r="18" spans="2:13" ht="15" outlineLevel="1" thickBot="1">
      <c r="B18" s="182" t="s">
        <v>167</v>
      </c>
      <c r="C18" s="171">
        <f>'Юнит 14'!AO48</f>
        <v>21995.533830475957</v>
      </c>
      <c r="D18" s="172">
        <f t="shared" si="0"/>
        <v>1.6834846204348452E-2</v>
      </c>
      <c r="E18" s="172">
        <f t="shared" si="5"/>
        <v>0.90938034934814582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'Юнит 14'!U15</f>
        <v>57</v>
      </c>
      <c r="K18" s="172">
        <f t="shared" si="2"/>
        <v>1.9473864024598567E-2</v>
      </c>
      <c r="L18" s="172">
        <f t="shared" si="6"/>
        <v>0.85138366928595832</v>
      </c>
      <c r="M18" s="173" t="str">
        <f t="shared" si="4"/>
        <v>B</v>
      </c>
    </row>
    <row r="19" spans="2:13" ht="15" outlineLevel="1" thickBot="1">
      <c r="B19" s="182" t="s">
        <v>133</v>
      </c>
      <c r="C19" s="171">
        <f>'Юнит 14'!AO14</f>
        <v>21141.184016521238</v>
      </c>
      <c r="D19" s="172">
        <f t="shared" si="0"/>
        <v>1.6180947652329074E-2</v>
      </c>
      <c r="E19" s="172">
        <f t="shared" si="5"/>
        <v>0.92556129700047485</v>
      </c>
      <c r="F19" s="173" t="str">
        <f t="shared" si="3"/>
        <v>B</v>
      </c>
      <c r="G19" s="173" t="str">
        <f t="shared" si="1"/>
        <v>B</v>
      </c>
      <c r="I19" s="182" t="s">
        <v>133</v>
      </c>
      <c r="J19" s="171">
        <f>'Юнит 14'!U14</f>
        <v>55</v>
      </c>
      <c r="K19" s="172">
        <f t="shared" si="2"/>
        <v>1.8790570550051247E-2</v>
      </c>
      <c r="L19" s="172">
        <f t="shared" si="6"/>
        <v>0.87017423983600961</v>
      </c>
      <c r="M19" s="173" t="str">
        <f t="shared" si="4"/>
        <v>B</v>
      </c>
    </row>
    <row r="20" spans="2:13" ht="26.5" outlineLevel="1" thickBot="1">
      <c r="B20" s="182" t="s">
        <v>137</v>
      </c>
      <c r="C20" s="171">
        <f>'Юнит 14'!AO18</f>
        <v>20540.778332939459</v>
      </c>
      <c r="D20" s="172">
        <f t="shared" si="0"/>
        <v>1.572141175648684E-2</v>
      </c>
      <c r="E20" s="172">
        <f t="shared" si="5"/>
        <v>0.94128270875696174</v>
      </c>
      <c r="F20" s="173" t="str">
        <f t="shared" si="3"/>
        <v>B</v>
      </c>
      <c r="G20" s="173" t="str">
        <f t="shared" si="1"/>
        <v>B</v>
      </c>
      <c r="I20" s="182" t="s">
        <v>168</v>
      </c>
      <c r="J20" s="171">
        <f>'Юнит 14'!U49</f>
        <v>52</v>
      </c>
      <c r="K20" s="172">
        <f t="shared" si="2"/>
        <v>1.7765630338230271E-2</v>
      </c>
      <c r="L20" s="172">
        <f t="shared" si="6"/>
        <v>0.88793987017423992</v>
      </c>
      <c r="M20" s="173" t="str">
        <f t="shared" si="4"/>
        <v>B</v>
      </c>
    </row>
    <row r="21" spans="2:13" ht="26.5" outlineLevel="1" thickBot="1">
      <c r="B21" s="182" t="s">
        <v>168</v>
      </c>
      <c r="C21" s="171">
        <f>'Юнит 14'!AO49</f>
        <v>19594.383816257501</v>
      </c>
      <c r="D21" s="172">
        <f t="shared" si="0"/>
        <v>1.4997064429444281E-2</v>
      </c>
      <c r="E21" s="172">
        <f t="shared" si="5"/>
        <v>0.956279773186406</v>
      </c>
      <c r="F21" s="173" t="str">
        <f t="shared" si="3"/>
        <v>C</v>
      </c>
      <c r="G21" s="173" t="str">
        <f t="shared" si="1"/>
        <v>B</v>
      </c>
      <c r="I21" s="182" t="s">
        <v>137</v>
      </c>
      <c r="J21" s="171">
        <f>'Юнит 14'!U18</f>
        <v>47</v>
      </c>
      <c r="K21" s="172">
        <f t="shared" si="2"/>
        <v>1.6057396651861976E-2</v>
      </c>
      <c r="L21" s="172">
        <f t="shared" si="6"/>
        <v>0.90399726682610193</v>
      </c>
      <c r="M21" s="173" t="str">
        <f t="shared" si="4"/>
        <v>B</v>
      </c>
    </row>
    <row r="22" spans="2:13" ht="15" outlineLevel="1" thickBot="1">
      <c r="B22" s="182" t="s">
        <v>127</v>
      </c>
      <c r="C22" s="171">
        <f>'Юнит 14'!AO8</f>
        <v>17115.24624225128</v>
      </c>
      <c r="D22" s="172">
        <f t="shared" si="0"/>
        <v>1.3099592874560308E-2</v>
      </c>
      <c r="E22" s="172">
        <f t="shared" si="5"/>
        <v>0.96937936606096631</v>
      </c>
      <c r="F22" s="173" t="str">
        <f t="shared" si="3"/>
        <v>C</v>
      </c>
      <c r="G22" s="173" t="str">
        <f t="shared" si="1"/>
        <v>B</v>
      </c>
      <c r="I22" s="182" t="s">
        <v>127</v>
      </c>
      <c r="J22" s="171">
        <f>'Юнит 14'!U8</f>
        <v>38</v>
      </c>
      <c r="K22" s="172">
        <f t="shared" si="2"/>
        <v>1.2982576016399043E-2</v>
      </c>
      <c r="L22" s="172">
        <f t="shared" si="6"/>
        <v>0.916979842842501</v>
      </c>
      <c r="M22" s="173" t="str">
        <f t="shared" si="4"/>
        <v>B</v>
      </c>
    </row>
    <row r="23" spans="2:13" ht="26.5" outlineLevel="1" thickBot="1">
      <c r="B23" s="182" t="s">
        <v>136</v>
      </c>
      <c r="C23" s="171">
        <f>'Юнит 14'!AO17</f>
        <v>16290.672516859653</v>
      </c>
      <c r="D23" s="172">
        <f t="shared" si="0"/>
        <v>1.2468484215952483E-2</v>
      </c>
      <c r="E23" s="172">
        <f t="shared" si="5"/>
        <v>0.98184785027691879</v>
      </c>
      <c r="F23" s="173" t="str">
        <f t="shared" si="3"/>
        <v>C</v>
      </c>
      <c r="G23" s="173" t="str">
        <f t="shared" si="1"/>
        <v>B</v>
      </c>
      <c r="I23" s="182" t="s">
        <v>163</v>
      </c>
      <c r="J23" s="171">
        <f>'Юнит 14'!U44</f>
        <v>37</v>
      </c>
      <c r="K23" s="172">
        <f t="shared" si="2"/>
        <v>1.2640929279125385E-2</v>
      </c>
      <c r="L23" s="172">
        <f t="shared" si="6"/>
        <v>0.92962077212162642</v>
      </c>
      <c r="M23" s="173" t="str">
        <f t="shared" si="4"/>
        <v>B</v>
      </c>
    </row>
    <row r="24" spans="2:13" ht="26.5" outlineLevel="1" thickBot="1">
      <c r="B24" s="182" t="s">
        <v>164</v>
      </c>
      <c r="C24" s="171">
        <f>'Юнит 14'!AO45</f>
        <v>13568.884881892467</v>
      </c>
      <c r="D24" s="172">
        <f t="shared" si="0"/>
        <v>1.0385294210712298E-2</v>
      </c>
      <c r="E24" s="172">
        <f t="shared" si="5"/>
        <v>0.99223314448763111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14'!U17</f>
        <v>35</v>
      </c>
      <c r="K24" s="172">
        <f t="shared" si="2"/>
        <v>1.1957635804578067E-2</v>
      </c>
      <c r="L24" s="172">
        <f t="shared" si="6"/>
        <v>0.94157840792620451</v>
      </c>
      <c r="M24" s="173" t="str">
        <f t="shared" si="4"/>
        <v>B</v>
      </c>
    </row>
    <row r="25" spans="2:13" ht="15" outlineLevel="1" thickBot="1">
      <c r="B25" s="182" t="s">
        <v>163</v>
      </c>
      <c r="C25" s="171">
        <f>'Юнит 14'!AO44</f>
        <v>11502.141756372954</v>
      </c>
      <c r="D25" s="172">
        <f t="shared" si="0"/>
        <v>8.8034593286778606E-3</v>
      </c>
      <c r="E25" s="172">
        <f t="shared" si="5"/>
        <v>1.001036603816309</v>
      </c>
      <c r="F25" s="173" t="str">
        <f t="shared" si="3"/>
        <v>C</v>
      </c>
      <c r="G25" s="173" t="str">
        <f t="shared" si="1"/>
        <v>B</v>
      </c>
      <c r="I25" s="182" t="s">
        <v>259</v>
      </c>
      <c r="J25" s="171">
        <f>'Юнит 14'!U102</f>
        <v>18</v>
      </c>
      <c r="K25" s="172">
        <f t="shared" si="2"/>
        <v>6.1496412709258624E-3</v>
      </c>
      <c r="L25" s="172">
        <f t="shared" si="6"/>
        <v>0.94772804919713038</v>
      </c>
      <c r="M25" s="173" t="str">
        <f t="shared" si="4"/>
        <v>B</v>
      </c>
    </row>
    <row r="26" spans="2:13" ht="15" outlineLevel="1" thickBot="1">
      <c r="B26" s="182" t="s">
        <v>208</v>
      </c>
      <c r="C26" s="171">
        <f>'Юнит 14'!AO89</f>
        <v>3018.3531821731758</v>
      </c>
      <c r="D26" s="172">
        <f t="shared" si="0"/>
        <v>2.3101740564207807E-3</v>
      </c>
      <c r="E26" s="172">
        <f t="shared" si="5"/>
        <v>1.0033467778727299</v>
      </c>
      <c r="F26" s="173" t="str">
        <f t="shared" si="3"/>
        <v>C</v>
      </c>
      <c r="G26" s="173" t="str">
        <f t="shared" si="1"/>
        <v>C</v>
      </c>
      <c r="I26" s="182" t="s">
        <v>164</v>
      </c>
      <c r="J26" s="171">
        <f>'Юнит 14'!U45</f>
        <v>17</v>
      </c>
      <c r="K26" s="172">
        <f t="shared" si="2"/>
        <v>5.8079945336522035E-3</v>
      </c>
      <c r="L26" s="172">
        <f t="shared" si="6"/>
        <v>0.9535360437307826</v>
      </c>
      <c r="M26" s="173" t="str">
        <f t="shared" si="4"/>
        <v>C</v>
      </c>
    </row>
    <row r="27" spans="2:13" ht="15" outlineLevel="1" thickBot="1">
      <c r="B27" s="182" t="s">
        <v>145</v>
      </c>
      <c r="C27" s="171">
        <f>'Юнит 14'!AO26</f>
        <v>2261.5306692857944</v>
      </c>
      <c r="D27" s="172">
        <f t="shared" si="0"/>
        <v>1.7309205267431204E-3</v>
      </c>
      <c r="E27" s="172">
        <f>E26+D27</f>
        <v>1.0050776983994729</v>
      </c>
      <c r="F27" s="173" t="str">
        <f t="shared" si="3"/>
        <v>C</v>
      </c>
      <c r="G27" s="173" t="str">
        <f t="shared" si="1"/>
        <v>C</v>
      </c>
      <c r="I27" s="182" t="s">
        <v>145</v>
      </c>
      <c r="J27" s="171">
        <f>'Юнит 14'!U26</f>
        <v>14</v>
      </c>
      <c r="K27" s="172">
        <f t="shared" si="2"/>
        <v>4.7830543218312267E-3</v>
      </c>
      <c r="L27" s="172">
        <f>L26+K27</f>
        <v>0.95831909805261384</v>
      </c>
      <c r="M27" s="173" t="str">
        <f t="shared" si="4"/>
        <v>C</v>
      </c>
    </row>
    <row r="28" spans="2:13" ht="15" outlineLevel="1" thickBot="1">
      <c r="B28" s="182" t="s">
        <v>257</v>
      </c>
      <c r="C28" s="171">
        <f>'Юнит 14'!AO100</f>
        <v>2002.124134634975</v>
      </c>
      <c r="D28" s="172">
        <f t="shared" si="0"/>
        <v>1.5323770792911322E-3</v>
      </c>
      <c r="E28" s="172">
        <f>E27+D28</f>
        <v>1.0066100754787641</v>
      </c>
      <c r="F28" s="173" t="str">
        <f t="shared" si="3"/>
        <v>C</v>
      </c>
      <c r="G28" s="173" t="str">
        <f t="shared" si="1"/>
        <v>C</v>
      </c>
      <c r="I28" s="182" t="s">
        <v>141</v>
      </c>
      <c r="J28" s="171">
        <f>'Юнит 14'!U22</f>
        <v>11</v>
      </c>
      <c r="K28" s="172">
        <f t="shared" si="2"/>
        <v>3.7581141100102495E-3</v>
      </c>
      <c r="L28" s="172">
        <f t="shared" si="6"/>
        <v>0.9620772121626241</v>
      </c>
      <c r="M28" s="173" t="str">
        <f t="shared" si="4"/>
        <v>C</v>
      </c>
    </row>
    <row r="29" spans="2:13" ht="15" outlineLevel="1" thickBot="1">
      <c r="B29" s="182" t="s">
        <v>152</v>
      </c>
      <c r="C29" s="171">
        <f>'Юнит 14'!AO33</f>
        <v>1942.6760428409762</v>
      </c>
      <c r="D29" s="172">
        <f t="shared" si="0"/>
        <v>1.4868769568477614E-3</v>
      </c>
      <c r="E29" s="172">
        <f t="shared" si="5"/>
        <v>1.0080969524356118</v>
      </c>
      <c r="F29" s="173" t="str">
        <f t="shared" si="3"/>
        <v>C</v>
      </c>
      <c r="G29" s="173" t="str">
        <f t="shared" si="1"/>
        <v>C</v>
      </c>
      <c r="I29" s="182" t="s">
        <v>140</v>
      </c>
      <c r="J29" s="171">
        <f>'Юнит 14'!U21</f>
        <v>7</v>
      </c>
      <c r="K29" s="172">
        <f t="shared" si="2"/>
        <v>2.3915271609156134E-3</v>
      </c>
      <c r="L29" s="172">
        <f t="shared" si="6"/>
        <v>0.96446873932353971</v>
      </c>
      <c r="M29" s="173" t="str">
        <f t="shared" si="4"/>
        <v>C</v>
      </c>
    </row>
    <row r="30" spans="2:13" ht="26.5" outlineLevel="1" thickBot="1">
      <c r="B30" s="182" t="s">
        <v>212</v>
      </c>
      <c r="C30" s="171">
        <f>'Юнит 14'!AO93</f>
        <v>1470.7681913978497</v>
      </c>
      <c r="D30" s="172">
        <f t="shared" si="0"/>
        <v>1.125690173980867E-3</v>
      </c>
      <c r="E30" s="172">
        <f t="shared" si="5"/>
        <v>1.0092226426095927</v>
      </c>
      <c r="F30" s="173" t="str">
        <f t="shared" si="3"/>
        <v>C</v>
      </c>
      <c r="G30" s="173" t="str">
        <f t="shared" si="1"/>
        <v>C</v>
      </c>
      <c r="I30" s="182" t="s">
        <v>152</v>
      </c>
      <c r="J30" s="171">
        <f>'Юнит 14'!U33</f>
        <v>7</v>
      </c>
      <c r="K30" s="172">
        <f t="shared" si="2"/>
        <v>2.3915271609156134E-3</v>
      </c>
      <c r="L30" s="172">
        <f t="shared" si="6"/>
        <v>0.96686026648445533</v>
      </c>
      <c r="M30" s="173" t="str">
        <f t="shared" si="4"/>
        <v>C</v>
      </c>
    </row>
    <row r="31" spans="2:13" ht="26.5" outlineLevel="1" thickBot="1">
      <c r="B31" s="182" t="s">
        <v>199</v>
      </c>
      <c r="C31" s="171">
        <f>'Юнит 14'!AO80</f>
        <v>1434.6921584040749</v>
      </c>
      <c r="D31" s="172">
        <f t="shared" si="0"/>
        <v>1.0980784564479328E-3</v>
      </c>
      <c r="E31" s="172">
        <f t="shared" si="5"/>
        <v>1.0103207210660405</v>
      </c>
      <c r="F31" s="173" t="str">
        <f t="shared" si="3"/>
        <v>C</v>
      </c>
      <c r="G31" s="173" t="str">
        <f t="shared" si="1"/>
        <v>C</v>
      </c>
      <c r="I31" s="182" t="s">
        <v>196</v>
      </c>
      <c r="J31" s="171">
        <f>'Юнит 14'!U77</f>
        <v>6</v>
      </c>
      <c r="K31" s="172">
        <f t="shared" si="2"/>
        <v>2.0498804236419544E-3</v>
      </c>
      <c r="L31" s="172">
        <f t="shared" si="6"/>
        <v>0.96891014690809729</v>
      </c>
      <c r="M31" s="173" t="str">
        <f t="shared" si="4"/>
        <v>C</v>
      </c>
    </row>
    <row r="32" spans="2:13" ht="15" outlineLevel="1" thickBot="1">
      <c r="B32" s="182" t="s">
        <v>173</v>
      </c>
      <c r="C32" s="171">
        <f>'Юнит 14'!AO54</f>
        <v>1203.7937389360507</v>
      </c>
      <c r="D32" s="172">
        <f t="shared" si="0"/>
        <v>9.2135442644573798E-4</v>
      </c>
      <c r="E32" s="172">
        <f t="shared" si="5"/>
        <v>1.0112420754924862</v>
      </c>
      <c r="F32" s="173" t="str">
        <f t="shared" si="3"/>
        <v>C</v>
      </c>
      <c r="G32" s="173" t="str">
        <f t="shared" si="1"/>
        <v>C</v>
      </c>
      <c r="I32" s="182" t="s">
        <v>208</v>
      </c>
      <c r="J32" s="171">
        <f>'Юнит 14'!U89</f>
        <v>6</v>
      </c>
      <c r="K32" s="172">
        <f t="shared" si="2"/>
        <v>2.0498804236419544E-3</v>
      </c>
      <c r="L32" s="172">
        <f t="shared" si="6"/>
        <v>0.97096002733173925</v>
      </c>
      <c r="M32" s="173" t="str">
        <f t="shared" si="4"/>
        <v>C</v>
      </c>
    </row>
    <row r="33" spans="2:13" ht="15" outlineLevel="1" thickBot="1">
      <c r="B33" s="182" t="s">
        <v>141</v>
      </c>
      <c r="C33" s="171">
        <f>'Юнит 14'!AO22</f>
        <v>983.75182055234893</v>
      </c>
      <c r="D33" s="172">
        <f t="shared" si="0"/>
        <v>7.5293969811726191E-4</v>
      </c>
      <c r="E33" s="172">
        <f t="shared" si="5"/>
        <v>1.0119950151906034</v>
      </c>
      <c r="F33" s="173" t="str">
        <f t="shared" si="3"/>
        <v>C</v>
      </c>
      <c r="G33" s="173" t="str">
        <f t="shared" si="1"/>
        <v>C</v>
      </c>
      <c r="I33" s="182" t="s">
        <v>139</v>
      </c>
      <c r="J33" s="171">
        <f>'Юнит 14'!U20</f>
        <v>5</v>
      </c>
      <c r="K33" s="172">
        <f t="shared" si="2"/>
        <v>1.7082336863682953E-3</v>
      </c>
      <c r="L33" s="172">
        <f t="shared" si="6"/>
        <v>0.97266826101810755</v>
      </c>
      <c r="M33" s="173" t="str">
        <f t="shared" si="4"/>
        <v>C</v>
      </c>
    </row>
    <row r="34" spans="2:13" ht="15" outlineLevel="1" thickBot="1">
      <c r="B34" s="182" t="s">
        <v>189</v>
      </c>
      <c r="C34" s="171">
        <f>'Юнит 14'!AO70</f>
        <v>880.52909999999997</v>
      </c>
      <c r="D34" s="172">
        <f t="shared" si="0"/>
        <v>6.7393554033294372E-4</v>
      </c>
      <c r="E34" s="172">
        <f t="shared" si="5"/>
        <v>1.0126689507309363</v>
      </c>
      <c r="F34" s="173" t="str">
        <f t="shared" si="3"/>
        <v>C</v>
      </c>
      <c r="G34" s="173" t="str">
        <f t="shared" si="1"/>
        <v>C</v>
      </c>
      <c r="I34" s="182" t="s">
        <v>173</v>
      </c>
      <c r="J34" s="171">
        <f>'Юнит 14'!U54</f>
        <v>5</v>
      </c>
      <c r="K34" s="172">
        <f t="shared" si="2"/>
        <v>1.7082336863682953E-3</v>
      </c>
      <c r="L34" s="172">
        <f t="shared" si="6"/>
        <v>0.97437649470447585</v>
      </c>
      <c r="M34" s="173" t="str">
        <f t="shared" si="4"/>
        <v>C</v>
      </c>
    </row>
    <row r="35" spans="2:13" ht="26.5" outlineLevel="1" thickBot="1">
      <c r="B35" s="182" t="s">
        <v>209</v>
      </c>
      <c r="C35" s="171">
        <f>'Юнит 14'!AO90</f>
        <v>877.84620492359932</v>
      </c>
      <c r="D35" s="172">
        <f t="shared" si="0"/>
        <v>6.7188211774535324E-4</v>
      </c>
      <c r="E35" s="172">
        <f t="shared" si="5"/>
        <v>1.0133408328486817</v>
      </c>
      <c r="F35" s="173" t="str">
        <f t="shared" si="3"/>
        <v>C</v>
      </c>
      <c r="G35" s="173" t="str">
        <f t="shared" si="1"/>
        <v>C</v>
      </c>
      <c r="I35" s="182" t="s">
        <v>194</v>
      </c>
      <c r="J35" s="171">
        <f>'Юнит 14'!U75</f>
        <v>5</v>
      </c>
      <c r="K35" s="172">
        <f t="shared" si="2"/>
        <v>1.7082336863682953E-3</v>
      </c>
      <c r="L35" s="172">
        <f t="shared" si="6"/>
        <v>0.97608472839084415</v>
      </c>
      <c r="M35" s="173" t="str">
        <f t="shared" si="4"/>
        <v>C</v>
      </c>
    </row>
    <row r="36" spans="2:13" ht="26.5" outlineLevel="1" thickBot="1">
      <c r="B36" s="182" t="s">
        <v>201</v>
      </c>
      <c r="C36" s="171">
        <f>'Юнит 14'!AO82</f>
        <v>852.01933516072427</v>
      </c>
      <c r="D36" s="172">
        <f t="shared" si="0"/>
        <v>6.5211486027623412E-4</v>
      </c>
      <c r="E36" s="172">
        <f t="shared" si="5"/>
        <v>1.013992947708958</v>
      </c>
      <c r="F36" s="173" t="str">
        <f t="shared" si="3"/>
        <v>C</v>
      </c>
      <c r="G36" s="173" t="str">
        <f t="shared" si="1"/>
        <v>C</v>
      </c>
      <c r="I36" s="182" t="s">
        <v>199</v>
      </c>
      <c r="J36" s="171">
        <f>'Юнит 14'!U80</f>
        <v>5</v>
      </c>
      <c r="K36" s="172">
        <f t="shared" si="2"/>
        <v>1.7082336863682953E-3</v>
      </c>
      <c r="L36" s="172">
        <f t="shared" si="6"/>
        <v>0.97779296207721245</v>
      </c>
      <c r="M36" s="173" t="str">
        <f t="shared" si="4"/>
        <v>C</v>
      </c>
    </row>
    <row r="37" spans="2:13" ht="15" outlineLevel="1" thickBot="1">
      <c r="B37" s="182" t="s">
        <v>159</v>
      </c>
      <c r="C37" s="171">
        <f>'Юнит 14'!AO40</f>
        <v>643.78498381437475</v>
      </c>
      <c r="D37" s="172">
        <f t="shared" si="0"/>
        <v>4.9273735635219334E-4</v>
      </c>
      <c r="E37" s="172">
        <f t="shared" si="5"/>
        <v>1.0144856850653101</v>
      </c>
      <c r="F37" s="173" t="str">
        <f t="shared" si="3"/>
        <v>C</v>
      </c>
      <c r="G37" s="173" t="str">
        <f t="shared" si="1"/>
        <v>C</v>
      </c>
      <c r="I37" s="182" t="s">
        <v>171</v>
      </c>
      <c r="J37" s="171">
        <f>'Юнит 14'!U52</f>
        <v>4</v>
      </c>
      <c r="K37" s="172">
        <f t="shared" si="2"/>
        <v>1.3665869490946361E-3</v>
      </c>
      <c r="L37" s="172">
        <f t="shared" si="6"/>
        <v>0.97915954902630709</v>
      </c>
      <c r="M37" s="173" t="str">
        <f t="shared" si="4"/>
        <v>C</v>
      </c>
    </row>
    <row r="38" spans="2:13" ht="15" outlineLevel="1" thickBot="1">
      <c r="B38" s="182" t="s">
        <v>166</v>
      </c>
      <c r="C38" s="171">
        <f>'Юнит 14'!AO47</f>
        <v>639.45554339784962</v>
      </c>
      <c r="D38" s="172">
        <f t="shared" si="0"/>
        <v>4.8942370803954801E-4</v>
      </c>
      <c r="E38" s="172">
        <f t="shared" si="5"/>
        <v>1.0149751087733496</v>
      </c>
      <c r="F38" s="173" t="str">
        <f t="shared" si="3"/>
        <v>C</v>
      </c>
      <c r="G38" s="173" t="str">
        <f t="shared" si="1"/>
        <v>C</v>
      </c>
      <c r="I38" s="182" t="s">
        <v>195</v>
      </c>
      <c r="J38" s="171">
        <f>'Юнит 14'!U76</f>
        <v>4</v>
      </c>
      <c r="K38" s="172">
        <f t="shared" si="2"/>
        <v>1.3665869490946361E-3</v>
      </c>
      <c r="L38" s="172">
        <f t="shared" si="6"/>
        <v>0.98052613597540172</v>
      </c>
      <c r="M38" s="173" t="str">
        <f t="shared" si="4"/>
        <v>C</v>
      </c>
    </row>
    <row r="39" spans="2:13" ht="15" outlineLevel="1" thickBot="1">
      <c r="B39" s="182" t="s">
        <v>161</v>
      </c>
      <c r="C39" s="171">
        <f>'Юнит 14'!AO42</f>
        <v>606.24778205149983</v>
      </c>
      <c r="D39" s="172">
        <f t="shared" si="0"/>
        <v>4.6400729580944709E-4</v>
      </c>
      <c r="E39" s="172">
        <f>E35+D39</f>
        <v>1.0138048401444912</v>
      </c>
      <c r="F39" s="173" t="str">
        <f t="shared" si="3"/>
        <v>C</v>
      </c>
      <c r="G39" s="173" t="str">
        <f t="shared" si="1"/>
        <v>C</v>
      </c>
      <c r="I39" s="182" t="s">
        <v>203</v>
      </c>
      <c r="J39" s="171">
        <f>'Юнит 14'!U84</f>
        <v>4</v>
      </c>
      <c r="K39" s="172">
        <f t="shared" si="2"/>
        <v>1.3665869490946361E-3</v>
      </c>
      <c r="L39" s="172">
        <f>L35+K39</f>
        <v>0.97745131533993879</v>
      </c>
      <c r="M39" s="173" t="str">
        <f t="shared" si="4"/>
        <v>C</v>
      </c>
    </row>
    <row r="40" spans="2:13" ht="15" outlineLevel="1" thickBot="1">
      <c r="B40" s="182" t="s">
        <v>188</v>
      </c>
      <c r="C40" s="171">
        <f>'Юнит 14'!AO69</f>
        <v>542.49546270514998</v>
      </c>
      <c r="D40" s="172">
        <f t="shared" si="0"/>
        <v>4.1521282236596789E-4</v>
      </c>
      <c r="E40" s="172">
        <f t="shared" si="5"/>
        <v>1.0142200529668572</v>
      </c>
      <c r="F40" s="173" t="str">
        <f t="shared" si="3"/>
        <v>C</v>
      </c>
      <c r="G40" s="173" t="str">
        <f t="shared" si="1"/>
        <v>C</v>
      </c>
      <c r="I40" s="182" t="s">
        <v>257</v>
      </c>
      <c r="J40" s="171">
        <f>'Юнит 14'!U100</f>
        <v>4</v>
      </c>
      <c r="K40" s="172">
        <f t="shared" si="2"/>
        <v>1.3665869490946361E-3</v>
      </c>
      <c r="L40" s="172">
        <f t="shared" si="6"/>
        <v>0.97881790228903343</v>
      </c>
      <c r="M40" s="173" t="str">
        <f t="shared" si="4"/>
        <v>C</v>
      </c>
    </row>
    <row r="41" spans="2:13" ht="15" outlineLevel="1" thickBot="1">
      <c r="B41" s="182" t="s">
        <v>180</v>
      </c>
      <c r="C41" s="171">
        <f>'Юнит 14'!AO61</f>
        <v>531.18139394397281</v>
      </c>
      <c r="D41" s="172">
        <f t="shared" si="0"/>
        <v>4.0655330952996051E-4</v>
      </c>
      <c r="E41" s="172">
        <f t="shared" si="5"/>
        <v>1.0146266062763871</v>
      </c>
      <c r="F41" s="173" t="str">
        <f t="shared" si="3"/>
        <v>C</v>
      </c>
      <c r="G41" s="173" t="str">
        <f t="shared" si="1"/>
        <v>C</v>
      </c>
      <c r="I41" s="182" t="s">
        <v>146</v>
      </c>
      <c r="J41" s="171">
        <f>'Юнит 14'!U27</f>
        <v>3</v>
      </c>
      <c r="K41" s="172">
        <f t="shared" si="2"/>
        <v>1.0249402118209772E-3</v>
      </c>
      <c r="L41" s="172">
        <f t="shared" si="6"/>
        <v>0.97984284250085441</v>
      </c>
      <c r="M41" s="173" t="str">
        <f t="shared" si="4"/>
        <v>C</v>
      </c>
    </row>
    <row r="42" spans="2:13" ht="15" outlineLevel="1" thickBot="1">
      <c r="B42" s="182" t="s">
        <v>162</v>
      </c>
      <c r="C42" s="171">
        <f>'Юнит 14'!AO43</f>
        <v>512.43796270514986</v>
      </c>
      <c r="D42" s="172">
        <f t="shared" si="0"/>
        <v>3.9220754349039461E-4</v>
      </c>
      <c r="E42" s="172">
        <f t="shared" si="5"/>
        <v>1.0150188138198775</v>
      </c>
      <c r="F42" s="173" t="str">
        <f t="shared" si="3"/>
        <v>C</v>
      </c>
      <c r="G42" s="173" t="str">
        <f t="shared" si="1"/>
        <v>C</v>
      </c>
      <c r="I42" s="182" t="s">
        <v>161</v>
      </c>
      <c r="J42" s="171">
        <f>'Юнит 14'!U42</f>
        <v>3</v>
      </c>
      <c r="K42" s="172">
        <f t="shared" si="2"/>
        <v>1.0249402118209772E-3</v>
      </c>
      <c r="L42" s="172">
        <f t="shared" si="6"/>
        <v>0.98086778271267538</v>
      </c>
      <c r="M42" s="173" t="str">
        <f t="shared" si="4"/>
        <v>C</v>
      </c>
    </row>
    <row r="43" spans="2:13" ht="15" outlineLevel="1" thickBot="1">
      <c r="B43" s="182" t="s">
        <v>194</v>
      </c>
      <c r="C43" s="171">
        <f>'Юнит 14'!AO75</f>
        <v>484.67028811545003</v>
      </c>
      <c r="D43" s="172">
        <f t="shared" si="0"/>
        <v>3.7095484124761958E-4</v>
      </c>
      <c r="E43" s="172">
        <f t="shared" si="5"/>
        <v>1.0153897686611251</v>
      </c>
      <c r="F43" s="173" t="str">
        <f t="shared" si="3"/>
        <v>C</v>
      </c>
      <c r="G43" s="173" t="str">
        <f t="shared" si="1"/>
        <v>C</v>
      </c>
      <c r="I43" s="182" t="s">
        <v>166</v>
      </c>
      <c r="J43" s="171">
        <f>'Юнит 14'!U47</f>
        <v>3</v>
      </c>
      <c r="K43" s="172">
        <f t="shared" si="2"/>
        <v>1.0249402118209772E-3</v>
      </c>
      <c r="L43" s="172">
        <f t="shared" si="6"/>
        <v>0.98189272292449636</v>
      </c>
      <c r="M43" s="173" t="str">
        <f t="shared" si="4"/>
        <v>C</v>
      </c>
    </row>
    <row r="44" spans="2:13" ht="15" outlineLevel="1" thickBot="1">
      <c r="B44" s="182" t="s">
        <v>192</v>
      </c>
      <c r="C44" s="171">
        <f>'Юнит 14'!AO73</f>
        <v>412.72262335257489</v>
      </c>
      <c r="D44" s="172">
        <f t="shared" si="0"/>
        <v>3.1588784990382212E-4</v>
      </c>
      <c r="E44" s="172">
        <f t="shared" si="5"/>
        <v>1.015705656511029</v>
      </c>
      <c r="F44" s="173" t="str">
        <f t="shared" si="3"/>
        <v>C</v>
      </c>
      <c r="G44" s="173" t="str">
        <f t="shared" si="1"/>
        <v>C</v>
      </c>
      <c r="I44" s="182" t="s">
        <v>180</v>
      </c>
      <c r="J44" s="171">
        <f>'Юнит 14'!U61</f>
        <v>3</v>
      </c>
      <c r="K44" s="172">
        <f t="shared" si="2"/>
        <v>1.0249402118209772E-3</v>
      </c>
      <c r="L44" s="172">
        <f t="shared" si="6"/>
        <v>0.98291766313631734</v>
      </c>
      <c r="M44" s="173" t="str">
        <f t="shared" si="4"/>
        <v>C</v>
      </c>
    </row>
    <row r="45" spans="2:13" ht="15" outlineLevel="1" thickBot="1">
      <c r="B45" s="182" t="s">
        <v>153</v>
      </c>
      <c r="C45" s="171">
        <f>'Юнит 14'!AO34</f>
        <v>333.24</v>
      </c>
      <c r="D45" s="172">
        <f t="shared" si="0"/>
        <v>2.5505378466259682E-4</v>
      </c>
      <c r="E45" s="172">
        <f t="shared" si="5"/>
        <v>1.0159607102956916</v>
      </c>
      <c r="F45" s="173" t="str">
        <f t="shared" si="3"/>
        <v>C</v>
      </c>
      <c r="G45" s="173" t="str">
        <f t="shared" si="1"/>
        <v>C</v>
      </c>
      <c r="I45" s="182" t="s">
        <v>197</v>
      </c>
      <c r="J45" s="171">
        <f>'Юнит 14'!U78</f>
        <v>3</v>
      </c>
      <c r="K45" s="172">
        <f t="shared" si="2"/>
        <v>1.0249402118209772E-3</v>
      </c>
      <c r="L45" s="172">
        <f t="shared" si="6"/>
        <v>0.98394260334813832</v>
      </c>
      <c r="M45" s="173" t="str">
        <f t="shared" si="4"/>
        <v>C</v>
      </c>
    </row>
    <row r="46" spans="2:13" ht="26.5" outlineLevel="1" thickBot="1">
      <c r="B46" s="182" t="s">
        <v>202</v>
      </c>
      <c r="C46" s="171">
        <f>'Юнит 14'!AO83</f>
        <v>320.54408545557459</v>
      </c>
      <c r="D46" s="172">
        <f t="shared" si="0"/>
        <v>2.4533664069936127E-4</v>
      </c>
      <c r="E46" s="172">
        <f t="shared" si="5"/>
        <v>1.0162060469363909</v>
      </c>
      <c r="F46" s="173" t="str">
        <f t="shared" si="3"/>
        <v>C</v>
      </c>
      <c r="G46" s="173" t="str">
        <f t="shared" si="1"/>
        <v>C</v>
      </c>
      <c r="I46" s="182" t="s">
        <v>198</v>
      </c>
      <c r="J46" s="171">
        <f>'Юнит 14'!U79</f>
        <v>3</v>
      </c>
      <c r="K46" s="172">
        <f t="shared" si="2"/>
        <v>1.0249402118209772E-3</v>
      </c>
      <c r="L46" s="172">
        <f t="shared" si="6"/>
        <v>0.9849675435599593</v>
      </c>
      <c r="M46" s="173" t="str">
        <f t="shared" si="4"/>
        <v>C</v>
      </c>
    </row>
    <row r="47" spans="2:13" ht="26.5" outlineLevel="1" thickBot="1">
      <c r="B47" s="182" t="s">
        <v>191</v>
      </c>
      <c r="C47" s="171">
        <f>'Юнит 14'!AO72</f>
        <v>303.57169999999996</v>
      </c>
      <c r="D47" s="172">
        <f t="shared" si="0"/>
        <v>2.3234638999357349E-4</v>
      </c>
      <c r="E47" s="172">
        <f t="shared" si="5"/>
        <v>1.0164383933263845</v>
      </c>
      <c r="F47" s="173" t="str">
        <f t="shared" si="3"/>
        <v>C</v>
      </c>
      <c r="G47" s="173" t="str">
        <f t="shared" si="1"/>
        <v>C</v>
      </c>
      <c r="I47" s="182" t="s">
        <v>212</v>
      </c>
      <c r="J47" s="171">
        <f>'Юнит 14'!U93</f>
        <v>3</v>
      </c>
      <c r="K47" s="172">
        <f t="shared" si="2"/>
        <v>1.0249402118209772E-3</v>
      </c>
      <c r="L47" s="172">
        <f t="shared" si="6"/>
        <v>0.98599248377178028</v>
      </c>
      <c r="M47" s="173" t="str">
        <f t="shared" si="4"/>
        <v>C</v>
      </c>
    </row>
    <row r="48" spans="2:13" ht="15" outlineLevel="1" thickBot="1">
      <c r="B48" s="182" t="s">
        <v>157</v>
      </c>
      <c r="C48" s="171">
        <f>'Юнит 14'!AO38</f>
        <v>302.82005410299939</v>
      </c>
      <c r="D48" s="172">
        <f t="shared" si="0"/>
        <v>2.3177109851969246E-4</v>
      </c>
      <c r="E48" s="172">
        <f t="shared" si="5"/>
        <v>1.0166701644249043</v>
      </c>
      <c r="F48" s="173" t="str">
        <f t="shared" si="3"/>
        <v>C</v>
      </c>
      <c r="G48" s="173" t="str">
        <f t="shared" si="1"/>
        <v>C</v>
      </c>
      <c r="I48" s="182" t="s">
        <v>159</v>
      </c>
      <c r="J48" s="171">
        <f>'Юнит 14'!U40</f>
        <v>2</v>
      </c>
      <c r="K48" s="172">
        <f t="shared" si="2"/>
        <v>6.8329347454731807E-4</v>
      </c>
      <c r="L48" s="172">
        <f t="shared" si="6"/>
        <v>0.9866757772463276</v>
      </c>
      <c r="M48" s="173" t="str">
        <f t="shared" si="4"/>
        <v>C</v>
      </c>
    </row>
    <row r="49" spans="2:13" ht="26.5" outlineLevel="1" thickBot="1">
      <c r="B49" s="182" t="s">
        <v>196</v>
      </c>
      <c r="C49" s="171">
        <f>'Юнит 14'!AO77</f>
        <v>231.03732705150031</v>
      </c>
      <c r="D49" s="172">
        <f t="shared" si="0"/>
        <v>1.7683034648546185E-4</v>
      </c>
      <c r="E49" s="172">
        <f t="shared" si="5"/>
        <v>1.0168469947713898</v>
      </c>
      <c r="F49" s="173" t="str">
        <f t="shared" si="3"/>
        <v>C</v>
      </c>
      <c r="G49" s="173" t="str">
        <f t="shared" si="1"/>
        <v>C</v>
      </c>
      <c r="I49" s="182" t="s">
        <v>162</v>
      </c>
      <c r="J49" s="171">
        <f>'Юнит 14'!U43</f>
        <v>2</v>
      </c>
      <c r="K49" s="172">
        <f t="shared" si="2"/>
        <v>6.8329347454731807E-4</v>
      </c>
      <c r="L49" s="172">
        <f t="shared" si="6"/>
        <v>0.98735907072087492</v>
      </c>
      <c r="M49" s="173" t="str">
        <f t="shared" si="4"/>
        <v>C</v>
      </c>
    </row>
    <row r="50" spans="2:13" ht="26.5" outlineLevel="1" thickBot="1">
      <c r="B50" s="182" t="s">
        <v>200</v>
      </c>
      <c r="C50" s="171">
        <f>'Юнит 14'!AO81</f>
        <v>132.24931352574984</v>
      </c>
      <c r="D50" s="172">
        <f t="shared" si="0"/>
        <v>1.0122040551486271E-4</v>
      </c>
      <c r="E50" s="172">
        <f t="shared" si="5"/>
        <v>1.0169482151769047</v>
      </c>
      <c r="F50" s="173" t="str">
        <f t="shared" si="3"/>
        <v>C</v>
      </c>
      <c r="G50" s="173" t="str">
        <f t="shared" si="1"/>
        <v>C</v>
      </c>
      <c r="I50" s="182" t="s">
        <v>188</v>
      </c>
      <c r="J50" s="171">
        <f>'Юнит 14'!U69</f>
        <v>2</v>
      </c>
      <c r="K50" s="172">
        <f t="shared" si="2"/>
        <v>6.8329347454731807E-4</v>
      </c>
      <c r="L50" s="172">
        <f t="shared" si="6"/>
        <v>0.98804236419542224</v>
      </c>
      <c r="M50" s="173" t="str">
        <f t="shared" si="4"/>
        <v>C</v>
      </c>
    </row>
    <row r="51" spans="2:13" ht="15" outlineLevel="1" thickBot="1">
      <c r="B51" s="182" t="s">
        <v>217</v>
      </c>
      <c r="C51" s="171">
        <f>'Юнит 14'!AO98</f>
        <v>73.132482173174949</v>
      </c>
      <c r="D51" s="172">
        <f t="shared" si="0"/>
        <v>5.5973821750204545E-5</v>
      </c>
      <c r="E51" s="172">
        <f t="shared" si="5"/>
        <v>1.017004188998655</v>
      </c>
      <c r="F51" s="173" t="str">
        <f t="shared" si="3"/>
        <v>C</v>
      </c>
      <c r="G51" s="173" t="str">
        <f t="shared" si="1"/>
        <v>C</v>
      </c>
      <c r="I51" s="182" t="s">
        <v>189</v>
      </c>
      <c r="J51" s="171">
        <f>'Юнит 14'!U70</f>
        <v>2</v>
      </c>
      <c r="K51" s="172">
        <f t="shared" si="2"/>
        <v>6.8329347454731807E-4</v>
      </c>
      <c r="L51" s="172">
        <f t="shared" si="6"/>
        <v>0.98872565766996956</v>
      </c>
      <c r="M51" s="173" t="str">
        <f t="shared" si="4"/>
        <v>C</v>
      </c>
    </row>
    <row r="52" spans="2:13" ht="15" outlineLevel="1" thickBot="1">
      <c r="B52" s="182" t="s">
        <v>171</v>
      </c>
      <c r="C52" s="171">
        <f>'Юнит 14'!AO52</f>
        <v>60.788195641200389</v>
      </c>
      <c r="D52" s="172">
        <f t="shared" si="0"/>
        <v>4.6525805308782047E-5</v>
      </c>
      <c r="E52" s="172">
        <f t="shared" si="5"/>
        <v>1.0170507148039638</v>
      </c>
      <c r="F52" s="173" t="str">
        <f t="shared" si="3"/>
        <v>C</v>
      </c>
      <c r="G52" s="173" t="str">
        <f t="shared" si="1"/>
        <v>C</v>
      </c>
      <c r="I52" s="182" t="s">
        <v>192</v>
      </c>
      <c r="J52" s="171">
        <f>'Юнит 14'!U73</f>
        <v>2</v>
      </c>
      <c r="K52" s="172">
        <f t="shared" si="2"/>
        <v>6.8329347454731807E-4</v>
      </c>
      <c r="L52" s="172">
        <f t="shared" si="6"/>
        <v>0.98940895114451688</v>
      </c>
      <c r="M52" s="173" t="str">
        <f t="shared" si="4"/>
        <v>C</v>
      </c>
    </row>
    <row r="53" spans="2:13" ht="26.5" outlineLevel="1" thickBot="1">
      <c r="B53" s="182" t="s">
        <v>190</v>
      </c>
      <c r="C53" s="171">
        <f>'Юнит 14'!AO71</f>
        <v>30.529999999999898</v>
      </c>
      <c r="D53" s="172">
        <f t="shared" si="0"/>
        <v>2.3366918874532032E-5</v>
      </c>
      <c r="E53" s="172">
        <f t="shared" si="5"/>
        <v>1.0170740817228383</v>
      </c>
      <c r="F53" s="173" t="str">
        <f t="shared" si="3"/>
        <v>C</v>
      </c>
      <c r="G53" s="173" t="str">
        <f t="shared" si="1"/>
        <v>C</v>
      </c>
      <c r="I53" s="182" t="s">
        <v>201</v>
      </c>
      <c r="J53" s="171">
        <f>'Юнит 14'!U82</f>
        <v>2</v>
      </c>
      <c r="K53" s="172">
        <f t="shared" si="2"/>
        <v>6.8329347454731807E-4</v>
      </c>
      <c r="L53" s="172">
        <f t="shared" si="6"/>
        <v>0.9900922446190642</v>
      </c>
      <c r="M53" s="173" t="str">
        <f t="shared" si="4"/>
        <v>C</v>
      </c>
    </row>
    <row r="54" spans="2:13" ht="26.5" outlineLevel="1" thickBot="1">
      <c r="B54" s="182" t="s">
        <v>138</v>
      </c>
      <c r="C54" s="171">
        <f>'Юнит 14'!AO19</f>
        <v>0</v>
      </c>
      <c r="D54" s="172">
        <f t="shared" si="0"/>
        <v>0</v>
      </c>
      <c r="E54" s="172">
        <f t="shared" si="5"/>
        <v>1.0170740817228383</v>
      </c>
      <c r="F54" s="173" t="str">
        <f t="shared" si="3"/>
        <v>C</v>
      </c>
      <c r="G54" s="173" t="str">
        <f t="shared" si="1"/>
        <v>C</v>
      </c>
      <c r="I54" s="182" t="s">
        <v>209</v>
      </c>
      <c r="J54" s="171">
        <f>'Юнит 14'!U90</f>
        <v>2</v>
      </c>
      <c r="K54" s="172">
        <f t="shared" si="2"/>
        <v>6.8329347454731807E-4</v>
      </c>
      <c r="L54" s="172">
        <f t="shared" si="6"/>
        <v>0.99077553809361152</v>
      </c>
      <c r="M54" s="173" t="str">
        <f t="shared" si="4"/>
        <v>C</v>
      </c>
    </row>
    <row r="55" spans="2:13" ht="15" outlineLevel="1" thickBot="1">
      <c r="B55" s="182" t="s">
        <v>142</v>
      </c>
      <c r="C55" s="171">
        <f>'Юнит 14'!AO23</f>
        <v>0</v>
      </c>
      <c r="D55" s="172">
        <f t="shared" si="0"/>
        <v>0</v>
      </c>
      <c r="E55" s="172">
        <f t="shared" si="5"/>
        <v>1.0170740817228383</v>
      </c>
      <c r="F55" s="173" t="str">
        <f t="shared" si="3"/>
        <v>C</v>
      </c>
      <c r="G55" s="173" t="str">
        <f t="shared" si="1"/>
        <v>C</v>
      </c>
      <c r="I55" s="182" t="s">
        <v>153</v>
      </c>
      <c r="J55" s="171">
        <f>'Юнит 14'!U34</f>
        <v>1</v>
      </c>
      <c r="K55" s="172">
        <f t="shared" si="2"/>
        <v>3.4164673727365904E-4</v>
      </c>
      <c r="L55" s="172">
        <f t="shared" si="6"/>
        <v>0.99111718483088518</v>
      </c>
      <c r="M55" s="173" t="str">
        <f t="shared" si="4"/>
        <v>C</v>
      </c>
    </row>
    <row r="56" spans="2:13" ht="15" outlineLevel="1" thickBot="1">
      <c r="B56" s="182" t="s">
        <v>143</v>
      </c>
      <c r="C56" s="171">
        <f>'Юнит 14'!AO24</f>
        <v>0</v>
      </c>
      <c r="D56" s="172">
        <f t="shared" si="0"/>
        <v>0</v>
      </c>
      <c r="E56" s="172">
        <f t="shared" si="5"/>
        <v>1.0170740817228383</v>
      </c>
      <c r="F56" s="173" t="str">
        <f t="shared" si="3"/>
        <v>C</v>
      </c>
      <c r="G56" s="173" t="str">
        <f t="shared" si="1"/>
        <v>C</v>
      </c>
      <c r="I56" s="182" t="s">
        <v>157</v>
      </c>
      <c r="J56" s="171">
        <f>'Юнит 14'!U38</f>
        <v>1</v>
      </c>
      <c r="K56" s="172">
        <f t="shared" si="2"/>
        <v>3.4164673727365904E-4</v>
      </c>
      <c r="L56" s="172">
        <f t="shared" si="6"/>
        <v>0.99145883156815884</v>
      </c>
      <c r="M56" s="173" t="str">
        <f t="shared" si="4"/>
        <v>C</v>
      </c>
    </row>
    <row r="57" spans="2:13" ht="15" outlineLevel="1" thickBot="1">
      <c r="B57" s="182" t="s">
        <v>144</v>
      </c>
      <c r="C57" s="171">
        <f>'Юнит 14'!AO25</f>
        <v>0</v>
      </c>
      <c r="D57" s="172">
        <f t="shared" si="0"/>
        <v>0</v>
      </c>
      <c r="E57" s="172">
        <f t="shared" si="5"/>
        <v>1.0170740817228383</v>
      </c>
      <c r="F57" s="173" t="str">
        <f t="shared" si="3"/>
        <v>C</v>
      </c>
      <c r="G57" s="173" t="str">
        <f t="shared" si="1"/>
        <v>C</v>
      </c>
      <c r="I57" s="182" t="s">
        <v>158</v>
      </c>
      <c r="J57" s="171">
        <f>'Юнит 14'!U39</f>
        <v>1</v>
      </c>
      <c r="K57" s="172">
        <f t="shared" si="2"/>
        <v>3.4164673727365904E-4</v>
      </c>
      <c r="L57" s="172">
        <f t="shared" si="6"/>
        <v>0.9918004783054325</v>
      </c>
      <c r="M57" s="173" t="str">
        <f t="shared" si="4"/>
        <v>C</v>
      </c>
    </row>
    <row r="58" spans="2:13" ht="26.5" outlineLevel="1" thickBot="1">
      <c r="B58" s="182" t="s">
        <v>148</v>
      </c>
      <c r="C58" s="171">
        <f>'Юнит 14'!AO29</f>
        <v>0</v>
      </c>
      <c r="D58" s="172">
        <f t="shared" si="0"/>
        <v>0</v>
      </c>
      <c r="E58" s="172">
        <f t="shared" si="5"/>
        <v>1.0170740817228383</v>
      </c>
      <c r="F58" s="173" t="str">
        <f t="shared" si="3"/>
        <v>C</v>
      </c>
      <c r="G58" s="173" t="str">
        <f t="shared" si="1"/>
        <v>C</v>
      </c>
      <c r="I58" s="182" t="s">
        <v>172</v>
      </c>
      <c r="J58" s="171">
        <f>'Юнит 14'!U53</f>
        <v>1</v>
      </c>
      <c r="K58" s="172">
        <f t="shared" si="2"/>
        <v>3.4164673727365904E-4</v>
      </c>
      <c r="L58" s="172">
        <f t="shared" si="6"/>
        <v>0.99214212504270616</v>
      </c>
      <c r="M58" s="173" t="str">
        <f t="shared" si="4"/>
        <v>C</v>
      </c>
    </row>
    <row r="59" spans="2:13" ht="15" outlineLevel="1" thickBot="1">
      <c r="B59" s="182" t="s">
        <v>149</v>
      </c>
      <c r="C59" s="171">
        <f>'Юнит 14'!AO30</f>
        <v>0</v>
      </c>
      <c r="D59" s="172">
        <f t="shared" si="0"/>
        <v>0</v>
      </c>
      <c r="E59" s="172">
        <f t="shared" si="5"/>
        <v>1.0170740817228383</v>
      </c>
      <c r="F59" s="173" t="str">
        <f t="shared" si="3"/>
        <v>C</v>
      </c>
      <c r="G59" s="173" t="str">
        <f t="shared" si="1"/>
        <v>C</v>
      </c>
      <c r="I59" s="182" t="s">
        <v>177</v>
      </c>
      <c r="J59" s="171">
        <f>'Юнит 14'!U58</f>
        <v>1</v>
      </c>
      <c r="K59" s="172">
        <f t="shared" si="2"/>
        <v>3.4164673727365904E-4</v>
      </c>
      <c r="L59" s="172">
        <f t="shared" si="6"/>
        <v>0.99248377177997982</v>
      </c>
      <c r="M59" s="173" t="str">
        <f t="shared" si="4"/>
        <v>C</v>
      </c>
    </row>
    <row r="60" spans="2:13" ht="15" outlineLevel="1" thickBot="1">
      <c r="B60" s="182" t="s">
        <v>150</v>
      </c>
      <c r="C60" s="171">
        <f>'Юнит 14'!AO31</f>
        <v>0</v>
      </c>
      <c r="D60" s="172">
        <f t="shared" si="0"/>
        <v>0</v>
      </c>
      <c r="E60" s="172">
        <f t="shared" si="5"/>
        <v>1.0170740817228383</v>
      </c>
      <c r="F60" s="173" t="str">
        <f t="shared" si="3"/>
        <v>C</v>
      </c>
      <c r="G60" s="173" t="str">
        <f t="shared" si="1"/>
        <v>C</v>
      </c>
      <c r="I60" s="182" t="s">
        <v>190</v>
      </c>
      <c r="J60" s="171">
        <f>'Юнит 14'!U71</f>
        <v>1</v>
      </c>
      <c r="K60" s="172">
        <f t="shared" si="2"/>
        <v>3.4164673727365904E-4</v>
      </c>
      <c r="L60" s="172">
        <f t="shared" si="6"/>
        <v>0.99282541851725348</v>
      </c>
      <c r="M60" s="173" t="str">
        <f t="shared" si="4"/>
        <v>C</v>
      </c>
    </row>
    <row r="61" spans="2:13" ht="15" outlineLevel="1" thickBot="1">
      <c r="B61" s="182" t="s">
        <v>151</v>
      </c>
      <c r="C61" s="171">
        <f>'Юнит 14'!AO32</f>
        <v>0</v>
      </c>
      <c r="D61" s="172">
        <f t="shared" si="0"/>
        <v>0</v>
      </c>
      <c r="E61" s="172">
        <f t="shared" si="5"/>
        <v>1.0170740817228383</v>
      </c>
      <c r="F61" s="173" t="str">
        <f t="shared" si="3"/>
        <v>C</v>
      </c>
      <c r="G61" s="173" t="str">
        <f t="shared" si="1"/>
        <v>C</v>
      </c>
      <c r="I61" s="182" t="s">
        <v>191</v>
      </c>
      <c r="J61" s="171">
        <f>'Юнит 14'!U72</f>
        <v>1</v>
      </c>
      <c r="K61" s="172">
        <f t="shared" si="2"/>
        <v>3.4164673727365904E-4</v>
      </c>
      <c r="L61" s="172">
        <f t="shared" si="6"/>
        <v>0.99316706525452714</v>
      </c>
      <c r="M61" s="173" t="str">
        <f t="shared" si="4"/>
        <v>C</v>
      </c>
    </row>
    <row r="62" spans="2:13" ht="26.5" outlineLevel="1" thickBot="1">
      <c r="B62" s="182" t="s">
        <v>154</v>
      </c>
      <c r="C62" s="171">
        <f>'Юнит 14'!AO35</f>
        <v>0</v>
      </c>
      <c r="D62" s="172">
        <f t="shared" si="0"/>
        <v>0</v>
      </c>
      <c r="E62" s="172">
        <f t="shared" si="5"/>
        <v>1.0170740817228383</v>
      </c>
      <c r="F62" s="173" t="str">
        <f t="shared" si="3"/>
        <v>C</v>
      </c>
      <c r="G62" s="173" t="str">
        <f t="shared" si="1"/>
        <v>C</v>
      </c>
      <c r="I62" s="182" t="s">
        <v>200</v>
      </c>
      <c r="J62" s="171">
        <f>'Юнит 14'!U81</f>
        <v>1</v>
      </c>
      <c r="K62" s="172">
        <f t="shared" si="2"/>
        <v>3.4164673727365904E-4</v>
      </c>
      <c r="L62" s="172">
        <f t="shared" si="6"/>
        <v>0.9935087119918008</v>
      </c>
      <c r="M62" s="173" t="str">
        <f t="shared" si="4"/>
        <v>C</v>
      </c>
    </row>
    <row r="63" spans="2:13" ht="15" outlineLevel="1" thickBot="1">
      <c r="B63" s="182" t="s">
        <v>155</v>
      </c>
      <c r="C63" s="171">
        <f>'Юнит 14'!AO36</f>
        <v>0</v>
      </c>
      <c r="D63" s="172">
        <f t="shared" si="0"/>
        <v>0</v>
      </c>
      <c r="E63" s="172">
        <f t="shared" si="5"/>
        <v>1.0170740817228383</v>
      </c>
      <c r="F63" s="173" t="str">
        <f t="shared" si="3"/>
        <v>C</v>
      </c>
      <c r="G63" s="173" t="str">
        <f t="shared" si="1"/>
        <v>C</v>
      </c>
      <c r="I63" s="182" t="s">
        <v>202</v>
      </c>
      <c r="J63" s="171">
        <f>'Юнит 14'!U83</f>
        <v>1</v>
      </c>
      <c r="K63" s="172">
        <f t="shared" si="2"/>
        <v>3.4164673727365904E-4</v>
      </c>
      <c r="L63" s="172">
        <f t="shared" si="6"/>
        <v>0.99385035872907446</v>
      </c>
      <c r="M63" s="173" t="str">
        <f t="shared" si="4"/>
        <v>C</v>
      </c>
    </row>
    <row r="64" spans="2:13" ht="26.5" outlineLevel="1" thickBot="1">
      <c r="B64" s="182" t="s">
        <v>165</v>
      </c>
      <c r="C64" s="171">
        <f>'Юнит 14'!AO46</f>
        <v>0</v>
      </c>
      <c r="D64" s="172">
        <f t="shared" si="0"/>
        <v>0</v>
      </c>
      <c r="E64" s="172">
        <f t="shared" si="5"/>
        <v>1.0170740817228383</v>
      </c>
      <c r="F64" s="173" t="str">
        <f t="shared" si="3"/>
        <v>C</v>
      </c>
      <c r="G64" s="173" t="str">
        <f t="shared" si="1"/>
        <v>C</v>
      </c>
      <c r="I64" s="182" t="s">
        <v>205</v>
      </c>
      <c r="J64" s="171">
        <f>'Юнит 14'!U86</f>
        <v>1</v>
      </c>
      <c r="K64" s="172">
        <f t="shared" si="2"/>
        <v>3.4164673727365904E-4</v>
      </c>
      <c r="L64" s="172">
        <f t="shared" si="6"/>
        <v>0.99419200546634812</v>
      </c>
      <c r="M64" s="173" t="str">
        <f t="shared" si="4"/>
        <v>C</v>
      </c>
    </row>
    <row r="65" spans="2:13" ht="26.5" outlineLevel="1" thickBot="1">
      <c r="B65" s="182" t="s">
        <v>170</v>
      </c>
      <c r="C65" s="171">
        <f>'Юнит 14'!AO51</f>
        <v>0</v>
      </c>
      <c r="D65" s="172">
        <f t="shared" si="0"/>
        <v>0</v>
      </c>
      <c r="E65" s="172">
        <f t="shared" si="5"/>
        <v>1.0170740817228383</v>
      </c>
      <c r="F65" s="173" t="str">
        <f t="shared" si="3"/>
        <v>C</v>
      </c>
      <c r="G65" s="173" t="str">
        <f t="shared" si="1"/>
        <v>C</v>
      </c>
      <c r="I65" s="182" t="s">
        <v>206</v>
      </c>
      <c r="J65" s="171">
        <f>'Юнит 14'!U87</f>
        <v>1</v>
      </c>
      <c r="K65" s="172">
        <f t="shared" si="2"/>
        <v>3.4164673727365904E-4</v>
      </c>
      <c r="L65" s="172">
        <f t="shared" si="6"/>
        <v>0.99453365220362178</v>
      </c>
      <c r="M65" s="173" t="str">
        <f t="shared" si="4"/>
        <v>C</v>
      </c>
    </row>
    <row r="66" spans="2:13" ht="15" outlineLevel="1" thickBot="1">
      <c r="B66" s="182" t="s">
        <v>175</v>
      </c>
      <c r="C66" s="171">
        <f>'Юнит 14'!AO56</f>
        <v>0</v>
      </c>
      <c r="D66" s="172">
        <f t="shared" si="0"/>
        <v>0</v>
      </c>
      <c r="E66" s="172">
        <f t="shared" si="5"/>
        <v>1.0170740817228383</v>
      </c>
      <c r="F66" s="173" t="str">
        <f t="shared" si="3"/>
        <v>C</v>
      </c>
      <c r="G66" s="173" t="str">
        <f t="shared" si="1"/>
        <v>C</v>
      </c>
      <c r="I66" s="182" t="s">
        <v>210</v>
      </c>
      <c r="J66" s="171">
        <f>'Юнит 14'!U91</f>
        <v>1</v>
      </c>
      <c r="K66" s="172">
        <f t="shared" si="2"/>
        <v>3.4164673727365904E-4</v>
      </c>
      <c r="L66" s="172">
        <f t="shared" si="6"/>
        <v>0.99487529894089544</v>
      </c>
      <c r="M66" s="173" t="str">
        <f t="shared" si="4"/>
        <v>C</v>
      </c>
    </row>
    <row r="67" spans="2:13" ht="15" outlineLevel="1" thickBot="1">
      <c r="B67" s="182" t="s">
        <v>176</v>
      </c>
      <c r="C67" s="171">
        <f>'Юнит 14'!AO57</f>
        <v>0</v>
      </c>
      <c r="D67" s="172">
        <f t="shared" si="0"/>
        <v>0</v>
      </c>
      <c r="E67" s="172">
        <f t="shared" si="5"/>
        <v>1.0170740817228383</v>
      </c>
      <c r="F67" s="173" t="str">
        <f t="shared" si="3"/>
        <v>C</v>
      </c>
      <c r="G67" s="173" t="str">
        <f t="shared" si="1"/>
        <v>C</v>
      </c>
      <c r="I67" s="182" t="s">
        <v>211</v>
      </c>
      <c r="J67" s="171">
        <f>'Юнит 14'!U92</f>
        <v>1</v>
      </c>
      <c r="K67" s="172">
        <f t="shared" si="2"/>
        <v>3.4164673727365904E-4</v>
      </c>
      <c r="L67" s="172">
        <f t="shared" si="6"/>
        <v>0.9952169456781691</v>
      </c>
      <c r="M67" s="173" t="str">
        <f t="shared" si="4"/>
        <v>C</v>
      </c>
    </row>
    <row r="68" spans="2:13" ht="15" outlineLevel="1" thickBot="1">
      <c r="B68" s="182" t="s">
        <v>178</v>
      </c>
      <c r="C68" s="171">
        <f>'Юнит 14'!AO59</f>
        <v>0</v>
      </c>
      <c r="D68" s="172">
        <f t="shared" ref="D68:D104" si="7">C68/C$105</f>
        <v>0</v>
      </c>
      <c r="E68" s="172">
        <f t="shared" si="5"/>
        <v>1.0170740817228383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217</v>
      </c>
      <c r="J68" s="171">
        <f>'Юнит 14'!U98</f>
        <v>1</v>
      </c>
      <c r="K68" s="172">
        <f t="shared" ref="K68:K104" si="9">J68/J$105</f>
        <v>3.4164673727365904E-4</v>
      </c>
      <c r="L68" s="172">
        <f t="shared" si="6"/>
        <v>0.99555859241544276</v>
      </c>
      <c r="M68" s="173" t="str">
        <f t="shared" si="4"/>
        <v>C</v>
      </c>
    </row>
    <row r="69" spans="2:13" ht="26.5" outlineLevel="1" thickBot="1">
      <c r="B69" s="182" t="s">
        <v>181</v>
      </c>
      <c r="C69" s="171">
        <f>'Юнит 14'!AO62</f>
        <v>0</v>
      </c>
      <c r="D69" s="172">
        <f t="shared" si="7"/>
        <v>0</v>
      </c>
      <c r="E69" s="172">
        <f t="shared" si="5"/>
        <v>1.0170740817228383</v>
      </c>
      <c r="F69" s="173" t="str">
        <f t="shared" si="3"/>
        <v>C</v>
      </c>
      <c r="G69" s="173" t="str">
        <f t="shared" si="8"/>
        <v>C</v>
      </c>
      <c r="I69" s="182" t="s">
        <v>138</v>
      </c>
      <c r="J69" s="171">
        <f>'Юнит 14'!U19</f>
        <v>0</v>
      </c>
      <c r="K69" s="172">
        <f t="shared" si="9"/>
        <v>0</v>
      </c>
      <c r="L69" s="172">
        <f t="shared" si="6"/>
        <v>0.99555859241544276</v>
      </c>
      <c r="M69" s="173" t="str">
        <f t="shared" si="4"/>
        <v>C</v>
      </c>
    </row>
    <row r="70" spans="2:13" ht="15" outlineLevel="1" thickBot="1">
      <c r="B70" s="182" t="s">
        <v>182</v>
      </c>
      <c r="C70" s="171">
        <f>'Юнит 14'!AO63</f>
        <v>0</v>
      </c>
      <c r="D70" s="172">
        <f t="shared" si="7"/>
        <v>0</v>
      </c>
      <c r="E70" s="172">
        <f t="shared" ref="E70:E75" si="10">E69+D70</f>
        <v>1.0170740817228383</v>
      </c>
      <c r="F70" s="173" t="str">
        <f t="shared" si="3"/>
        <v>C</v>
      </c>
      <c r="G70" s="173" t="str">
        <f t="shared" si="8"/>
        <v>C</v>
      </c>
      <c r="I70" s="182" t="s">
        <v>142</v>
      </c>
      <c r="J70" s="171">
        <f>'Юнит 14'!U23</f>
        <v>0</v>
      </c>
      <c r="K70" s="172">
        <f t="shared" si="9"/>
        <v>0</v>
      </c>
      <c r="L70" s="172">
        <f t="shared" ref="L70:L75" si="11">L69+K70</f>
        <v>0.99555859241544276</v>
      </c>
      <c r="M70" s="173" t="str">
        <f t="shared" si="4"/>
        <v>C</v>
      </c>
    </row>
    <row r="71" spans="2:13" ht="15" outlineLevel="1" thickBot="1">
      <c r="B71" s="182" t="s">
        <v>183</v>
      </c>
      <c r="C71" s="171">
        <f>'Юнит 14'!AO64</f>
        <v>0</v>
      </c>
      <c r="D71" s="172">
        <f t="shared" si="7"/>
        <v>0</v>
      </c>
      <c r="E71" s="172">
        <f t="shared" si="10"/>
        <v>1.0170740817228383</v>
      </c>
      <c r="F71" s="173" t="str">
        <f t="shared" si="3"/>
        <v>C</v>
      </c>
      <c r="G71" s="173" t="str">
        <f t="shared" si="8"/>
        <v>C</v>
      </c>
      <c r="I71" s="182" t="s">
        <v>143</v>
      </c>
      <c r="J71" s="171">
        <f>'Юнит 14'!U24</f>
        <v>0</v>
      </c>
      <c r="K71" s="172">
        <f t="shared" si="9"/>
        <v>0</v>
      </c>
      <c r="L71" s="172">
        <f t="shared" si="11"/>
        <v>0.99555859241544276</v>
      </c>
      <c r="M71" s="173" t="str">
        <f t="shared" si="4"/>
        <v>C</v>
      </c>
    </row>
    <row r="72" spans="2:13" ht="15" outlineLevel="1" thickBot="1">
      <c r="B72" s="182" t="s">
        <v>186</v>
      </c>
      <c r="C72" s="171">
        <f>'Юнит 14'!AO67</f>
        <v>0</v>
      </c>
      <c r="D72" s="172">
        <f t="shared" si="7"/>
        <v>0</v>
      </c>
      <c r="E72" s="172">
        <f t="shared" si="10"/>
        <v>1.0170740817228383</v>
      </c>
      <c r="F72" s="173" t="str">
        <f t="shared" si="3"/>
        <v>C</v>
      </c>
      <c r="G72" s="173" t="str">
        <f t="shared" si="8"/>
        <v>C</v>
      </c>
      <c r="I72" s="182" t="s">
        <v>144</v>
      </c>
      <c r="J72" s="171">
        <f>'Юнит 14'!U25</f>
        <v>0</v>
      </c>
      <c r="K72" s="172">
        <f t="shared" si="9"/>
        <v>0</v>
      </c>
      <c r="L72" s="172">
        <f t="shared" si="11"/>
        <v>0.99555859241544276</v>
      </c>
      <c r="M72" s="173" t="str">
        <f t="shared" si="4"/>
        <v>C</v>
      </c>
    </row>
    <row r="73" spans="2:13" ht="15" outlineLevel="1" thickBot="1">
      <c r="B73" s="182" t="s">
        <v>187</v>
      </c>
      <c r="C73" s="171">
        <f>'Юнит 14'!AO68</f>
        <v>0</v>
      </c>
      <c r="D73" s="172">
        <f t="shared" si="7"/>
        <v>0</v>
      </c>
      <c r="E73" s="172">
        <f t="shared" si="10"/>
        <v>1.0170740817228383</v>
      </c>
      <c r="F73" s="173" t="str">
        <f t="shared" si="3"/>
        <v>C</v>
      </c>
      <c r="G73" s="173" t="str">
        <f t="shared" si="8"/>
        <v>C</v>
      </c>
      <c r="I73" s="182" t="s">
        <v>148</v>
      </c>
      <c r="J73" s="171">
        <f>'Юнит 14'!U29</f>
        <v>0</v>
      </c>
      <c r="K73" s="172">
        <f t="shared" si="9"/>
        <v>0</v>
      </c>
      <c r="L73" s="172">
        <f t="shared" si="11"/>
        <v>0.99555859241544276</v>
      </c>
      <c r="M73" s="173" t="str">
        <f t="shared" si="4"/>
        <v>C</v>
      </c>
    </row>
    <row r="74" spans="2:13" ht="15" outlineLevel="1" thickBot="1">
      <c r="B74" s="182" t="s">
        <v>193</v>
      </c>
      <c r="C74" s="171">
        <f>'Юнит 14'!AO74</f>
        <v>0</v>
      </c>
      <c r="D74" s="172">
        <f t="shared" si="7"/>
        <v>0</v>
      </c>
      <c r="E74" s="172">
        <f t="shared" si="10"/>
        <v>1.0170740817228383</v>
      </c>
      <c r="F74" s="173" t="str">
        <f t="shared" si="3"/>
        <v>C</v>
      </c>
      <c r="G74" s="173" t="str">
        <f t="shared" si="8"/>
        <v>C</v>
      </c>
      <c r="I74" s="182" t="s">
        <v>149</v>
      </c>
      <c r="J74" s="171">
        <f>'Юнит 14'!U30</f>
        <v>0</v>
      </c>
      <c r="K74" s="172">
        <f t="shared" si="9"/>
        <v>0</v>
      </c>
      <c r="L74" s="172">
        <f t="shared" si="11"/>
        <v>0.99555859241544276</v>
      </c>
      <c r="M74" s="173" t="str">
        <f t="shared" si="4"/>
        <v>C</v>
      </c>
    </row>
    <row r="75" spans="2:13" ht="26.5" outlineLevel="1" thickBot="1">
      <c r="B75" s="182" t="s">
        <v>213</v>
      </c>
      <c r="C75" s="171">
        <f>'Юнит 14'!AO94</f>
        <v>0</v>
      </c>
      <c r="D75" s="172">
        <f t="shared" si="7"/>
        <v>0</v>
      </c>
      <c r="E75" s="172">
        <f t="shared" si="10"/>
        <v>1.0170740817228383</v>
      </c>
      <c r="F75" s="173" t="str">
        <f t="shared" si="3"/>
        <v>C</v>
      </c>
      <c r="G75" s="173" t="str">
        <f t="shared" si="8"/>
        <v>C</v>
      </c>
      <c r="I75" s="182" t="s">
        <v>150</v>
      </c>
      <c r="J75" s="171">
        <f>'Юнит 14'!U31</f>
        <v>0</v>
      </c>
      <c r="K75" s="172">
        <f t="shared" si="9"/>
        <v>0</v>
      </c>
      <c r="L75" s="172">
        <f t="shared" si="11"/>
        <v>0.99555859241544276</v>
      </c>
      <c r="M75" s="173" t="str">
        <f t="shared" si="4"/>
        <v>C</v>
      </c>
    </row>
    <row r="76" spans="2:13" ht="26.5" outlineLevel="1" thickBot="1">
      <c r="B76" s="182" t="s">
        <v>214</v>
      </c>
      <c r="C76" s="171">
        <f>'Юнит 14'!AO95</f>
        <v>0</v>
      </c>
      <c r="D76" s="172">
        <f t="shared" si="7"/>
        <v>0</v>
      </c>
      <c r="E76" s="172">
        <f>E49+D76</f>
        <v>1.0168469947713898</v>
      </c>
      <c r="F76" s="173" t="str">
        <f t="shared" si="3"/>
        <v>C</v>
      </c>
      <c r="G76" s="173" t="str">
        <f t="shared" si="8"/>
        <v>C</v>
      </c>
      <c r="I76" s="182" t="s">
        <v>151</v>
      </c>
      <c r="J76" s="171">
        <f>'Юнит 14'!U32</f>
        <v>0</v>
      </c>
      <c r="K76" s="172">
        <f t="shared" si="9"/>
        <v>0</v>
      </c>
      <c r="L76" s="172">
        <f>L49+K76</f>
        <v>0.98735907072087492</v>
      </c>
      <c r="M76" s="173" t="str">
        <f t="shared" si="4"/>
        <v>C</v>
      </c>
    </row>
    <row r="77" spans="2:13" ht="15" outlineLevel="1" thickBot="1">
      <c r="B77" s="182" t="s">
        <v>215</v>
      </c>
      <c r="C77" s="171">
        <f>'Юнит 14'!AO96</f>
        <v>0</v>
      </c>
      <c r="D77" s="172">
        <f t="shared" si="7"/>
        <v>0</v>
      </c>
      <c r="E77" s="172">
        <f t="shared" ref="E77:E93" si="12">E76+D77</f>
        <v>1.0168469947713898</v>
      </c>
      <c r="F77" s="173" t="str">
        <f t="shared" si="3"/>
        <v>C</v>
      </c>
      <c r="G77" s="173" t="str">
        <f t="shared" si="8"/>
        <v>C</v>
      </c>
      <c r="I77" s="182" t="s">
        <v>154</v>
      </c>
      <c r="J77" s="171">
        <f>'Юнит 14'!U35</f>
        <v>0</v>
      </c>
      <c r="K77" s="172">
        <f t="shared" si="9"/>
        <v>0</v>
      </c>
      <c r="L77" s="172">
        <f t="shared" ref="L77:L94" si="13">L76+K77</f>
        <v>0.98735907072087492</v>
      </c>
      <c r="M77" s="173" t="str">
        <f t="shared" si="4"/>
        <v>C</v>
      </c>
    </row>
    <row r="78" spans="2:13" ht="15" outlineLevel="1" thickBot="1">
      <c r="B78" s="182" t="s">
        <v>256</v>
      </c>
      <c r="C78" s="171">
        <f>'Юнит 14'!AO99</f>
        <v>0</v>
      </c>
      <c r="D78" s="172">
        <f t="shared" si="7"/>
        <v>0</v>
      </c>
      <c r="E78" s="172">
        <f t="shared" si="12"/>
        <v>1.0168469947713898</v>
      </c>
      <c r="F78" s="173" t="str">
        <f t="shared" si="3"/>
        <v>C</v>
      </c>
      <c r="G78" s="173" t="str">
        <f t="shared" si="8"/>
        <v>C</v>
      </c>
      <c r="I78" s="182" t="s">
        <v>155</v>
      </c>
      <c r="J78" s="171">
        <f>'Юнит 14'!U36</f>
        <v>0</v>
      </c>
      <c r="K78" s="172">
        <f t="shared" si="9"/>
        <v>0</v>
      </c>
      <c r="L78" s="172">
        <f t="shared" si="13"/>
        <v>0.98735907072087492</v>
      </c>
      <c r="M78" s="173" t="str">
        <f t="shared" si="4"/>
        <v>C</v>
      </c>
    </row>
    <row r="79" spans="2:13" ht="15" outlineLevel="1" thickBot="1">
      <c r="B79" s="182" t="s">
        <v>258</v>
      </c>
      <c r="C79" s="171">
        <f>'Юнит 14'!AO101</f>
        <v>0</v>
      </c>
      <c r="D79" s="172">
        <f t="shared" si="7"/>
        <v>0</v>
      </c>
      <c r="E79" s="172">
        <f t="shared" si="12"/>
        <v>1.0168469947713898</v>
      </c>
      <c r="F79" s="173" t="str">
        <f t="shared" si="3"/>
        <v>C</v>
      </c>
      <c r="G79" s="173" t="str">
        <f t="shared" si="8"/>
        <v>C</v>
      </c>
      <c r="I79" s="182" t="s">
        <v>156</v>
      </c>
      <c r="J79" s="171">
        <f>'Юнит 14'!U37</f>
        <v>0</v>
      </c>
      <c r="K79" s="172">
        <f t="shared" si="9"/>
        <v>0</v>
      </c>
      <c r="L79" s="172">
        <f t="shared" si="13"/>
        <v>0.98735907072087492</v>
      </c>
      <c r="M79" s="173" t="str">
        <f t="shared" si="4"/>
        <v>C</v>
      </c>
    </row>
    <row r="80" spans="2:13" ht="26.5" outlineLevel="1" thickBot="1">
      <c r="B80" s="182" t="s">
        <v>260</v>
      </c>
      <c r="C80" s="171">
        <f>'Юнит 14'!AO103</f>
        <v>0</v>
      </c>
      <c r="D80" s="172">
        <f t="shared" si="7"/>
        <v>0</v>
      </c>
      <c r="E80" s="172">
        <f t="shared" si="12"/>
        <v>1.0168469947713898</v>
      </c>
      <c r="F80" s="173" t="str">
        <f t="shared" si="3"/>
        <v>C</v>
      </c>
      <c r="G80" s="173" t="str">
        <f t="shared" si="8"/>
        <v>C</v>
      </c>
      <c r="I80" s="182" t="s">
        <v>160</v>
      </c>
      <c r="J80" s="171">
        <f>'Юнит 14'!U41</f>
        <v>0</v>
      </c>
      <c r="K80" s="172">
        <f t="shared" si="9"/>
        <v>0</v>
      </c>
      <c r="L80" s="172">
        <f t="shared" si="13"/>
        <v>0.98735907072087492</v>
      </c>
      <c r="M80" s="173" t="str">
        <f t="shared" si="4"/>
        <v>C</v>
      </c>
    </row>
    <row r="81" spans="2:13" ht="26.5" outlineLevel="1" thickBot="1">
      <c r="B81" s="182" t="s">
        <v>184</v>
      </c>
      <c r="C81" s="171">
        <f>'Юнит 14'!AO65</f>
        <v>-0.96616864742501418</v>
      </c>
      <c r="D81" s="172">
        <f t="shared" si="7"/>
        <v>-7.3948196539458636E-7</v>
      </c>
      <c r="E81" s="172">
        <f t="shared" si="12"/>
        <v>1.0168462552894244</v>
      </c>
      <c r="F81" s="173" t="str">
        <f t="shared" si="3"/>
        <v>C</v>
      </c>
      <c r="G81" s="173" t="str">
        <f t="shared" si="8"/>
        <v>C</v>
      </c>
      <c r="I81" s="182" t="s">
        <v>165</v>
      </c>
      <c r="J81" s="171">
        <f>'Юнит 14'!U46</f>
        <v>0</v>
      </c>
      <c r="K81" s="172">
        <f t="shared" si="9"/>
        <v>0</v>
      </c>
      <c r="L81" s="172">
        <f t="shared" si="13"/>
        <v>0.98735907072087492</v>
      </c>
      <c r="M81" s="173" t="str">
        <f t="shared" si="4"/>
        <v>C</v>
      </c>
    </row>
    <row r="82" spans="2:13" ht="15" outlineLevel="1" thickBot="1">
      <c r="B82" s="182" t="s">
        <v>185</v>
      </c>
      <c r="C82" s="171">
        <f>'Юнит 14'!AO66</f>
        <v>-1.9323372948500284</v>
      </c>
      <c r="D82" s="172">
        <f t="shared" si="7"/>
        <v>-1.4789639307891727E-6</v>
      </c>
      <c r="E82" s="172">
        <f t="shared" si="12"/>
        <v>1.0168447763254935</v>
      </c>
      <c r="F82" s="173" t="str">
        <f t="shared" si="3"/>
        <v>C</v>
      </c>
      <c r="G82" s="173" t="str">
        <f t="shared" si="8"/>
        <v>C</v>
      </c>
      <c r="I82" s="182" t="s">
        <v>170</v>
      </c>
      <c r="J82" s="171">
        <f>'Юнит 14'!U51</f>
        <v>0</v>
      </c>
      <c r="K82" s="172">
        <f t="shared" si="9"/>
        <v>0</v>
      </c>
      <c r="L82" s="172">
        <f t="shared" si="13"/>
        <v>0.98735907072087492</v>
      </c>
      <c r="M82" s="173" t="str">
        <f t="shared" si="4"/>
        <v>C</v>
      </c>
    </row>
    <row r="83" spans="2:13" ht="15" outlineLevel="1" thickBot="1">
      <c r="B83" s="182" t="s">
        <v>179</v>
      </c>
      <c r="C83" s="171">
        <f>'Юнит 14'!AO60</f>
        <v>-20.289541595925296</v>
      </c>
      <c r="D83" s="172">
        <f t="shared" si="7"/>
        <v>-1.5529121273286315E-5</v>
      </c>
      <c r="E83" s="172">
        <f t="shared" si="12"/>
        <v>1.0168292472042202</v>
      </c>
      <c r="F83" s="173" t="str">
        <f t="shared" si="3"/>
        <v>C</v>
      </c>
      <c r="G83" s="173" t="str">
        <f t="shared" si="8"/>
        <v>C</v>
      </c>
      <c r="I83" s="182" t="s">
        <v>174</v>
      </c>
      <c r="J83" s="171">
        <f>'Юнит 14'!U55</f>
        <v>0</v>
      </c>
      <c r="K83" s="172">
        <f t="shared" si="9"/>
        <v>0</v>
      </c>
      <c r="L83" s="172">
        <f t="shared" si="13"/>
        <v>0.98735907072087492</v>
      </c>
      <c r="M83" s="173" t="str">
        <f t="shared" si="4"/>
        <v>C</v>
      </c>
    </row>
    <row r="84" spans="2:13" ht="15" outlineLevel="1" thickBot="1">
      <c r="B84" s="182" t="s">
        <v>146</v>
      </c>
      <c r="C84" s="171">
        <f>'Юнит 14'!AO27</f>
        <v>-51.53156864742504</v>
      </c>
      <c r="D84" s="172">
        <f t="shared" si="7"/>
        <v>-3.9441008321708588E-5</v>
      </c>
      <c r="E84" s="172">
        <f t="shared" si="12"/>
        <v>1.0167898061958984</v>
      </c>
      <c r="F84" s="173" t="str">
        <f t="shared" si="3"/>
        <v>C</v>
      </c>
      <c r="G84" s="173" t="str">
        <f t="shared" si="8"/>
        <v>C</v>
      </c>
      <c r="I84" s="182" t="s">
        <v>175</v>
      </c>
      <c r="J84" s="171">
        <f>'Юнит 14'!U56</f>
        <v>0</v>
      </c>
      <c r="K84" s="172">
        <f t="shared" si="9"/>
        <v>0</v>
      </c>
      <c r="L84" s="172">
        <f t="shared" si="13"/>
        <v>0.98735907072087492</v>
      </c>
      <c r="M84" s="173" t="str">
        <f t="shared" si="4"/>
        <v>C</v>
      </c>
    </row>
    <row r="85" spans="2:13" ht="15" outlineLevel="1" thickBot="1">
      <c r="B85" s="182" t="s">
        <v>174</v>
      </c>
      <c r="C85" s="171">
        <f>'Юнит 14'!AO55</f>
        <v>-94.37</v>
      </c>
      <c r="D85" s="172">
        <f t="shared" si="7"/>
        <v>-7.2228500956095495E-5</v>
      </c>
      <c r="E85" s="172">
        <f t="shared" si="12"/>
        <v>1.0167175776949424</v>
      </c>
      <c r="F85" s="173" t="str">
        <f t="shared" si="3"/>
        <v>C</v>
      </c>
      <c r="G85" s="173" t="str">
        <f t="shared" si="8"/>
        <v>C</v>
      </c>
      <c r="I85" s="182" t="s">
        <v>176</v>
      </c>
      <c r="J85" s="171">
        <f>'Юнит 14'!U57</f>
        <v>0</v>
      </c>
      <c r="K85" s="172">
        <f t="shared" si="9"/>
        <v>0</v>
      </c>
      <c r="L85" s="172">
        <f t="shared" si="13"/>
        <v>0.98735907072087492</v>
      </c>
      <c r="M85" s="173" t="str">
        <f t="shared" si="4"/>
        <v>C</v>
      </c>
    </row>
    <row r="86" spans="2:13" ht="15" outlineLevel="1" thickBot="1">
      <c r="B86" s="182" t="s">
        <v>156</v>
      </c>
      <c r="C86" s="171">
        <f>'Юнит 14'!AO37</f>
        <v>-94.396168647425014</v>
      </c>
      <c r="D86" s="172">
        <f t="shared" si="7"/>
        <v>-7.2248529801868057E-5</v>
      </c>
      <c r="E86" s="172">
        <f t="shared" si="12"/>
        <v>1.0166453291651405</v>
      </c>
      <c r="F86" s="173" t="str">
        <f t="shared" si="3"/>
        <v>C</v>
      </c>
      <c r="G86" s="173" t="str">
        <f t="shared" si="8"/>
        <v>C</v>
      </c>
      <c r="I86" s="182" t="s">
        <v>178</v>
      </c>
      <c r="J86" s="171">
        <f>'Юнит 14'!U59</f>
        <v>0</v>
      </c>
      <c r="K86" s="172">
        <f t="shared" si="9"/>
        <v>0</v>
      </c>
      <c r="L86" s="172">
        <f t="shared" si="13"/>
        <v>0.98735907072087492</v>
      </c>
      <c r="M86" s="173" t="str">
        <f t="shared" si="4"/>
        <v>C</v>
      </c>
    </row>
    <row r="87" spans="2:13" ht="15" outlineLevel="1" thickBot="1">
      <c r="B87" s="182" t="s">
        <v>158</v>
      </c>
      <c r="C87" s="171">
        <f>'Юнит 14'!AO39</f>
        <v>-155.90920594227498</v>
      </c>
      <c r="D87" s="172">
        <f t="shared" si="7"/>
        <v>-1.1932911126910773E-4</v>
      </c>
      <c r="E87" s="172">
        <f t="shared" si="12"/>
        <v>1.0165260000538714</v>
      </c>
      <c r="F87" s="173" t="str">
        <f t="shared" si="3"/>
        <v>C</v>
      </c>
      <c r="G87" s="173" t="str">
        <f t="shared" si="8"/>
        <v>C</v>
      </c>
      <c r="I87" s="182" t="s">
        <v>179</v>
      </c>
      <c r="J87" s="171">
        <f>'Юнит 14'!U60</f>
        <v>0</v>
      </c>
      <c r="K87" s="172">
        <f t="shared" si="9"/>
        <v>0</v>
      </c>
      <c r="L87" s="172">
        <f t="shared" si="13"/>
        <v>0.98735907072087492</v>
      </c>
      <c r="M87" s="173" t="str">
        <f t="shared" si="4"/>
        <v>C</v>
      </c>
    </row>
    <row r="88" spans="2:13" ht="26.5" outlineLevel="1" thickBot="1">
      <c r="B88" s="182" t="s">
        <v>207</v>
      </c>
      <c r="C88" s="171">
        <f>'Юнит 14'!AO88</f>
        <v>-165.86616864742501</v>
      </c>
      <c r="D88" s="172">
        <f t="shared" si="7"/>
        <v>-1.2694992816291654E-4</v>
      </c>
      <c r="E88" s="172">
        <f t="shared" si="12"/>
        <v>1.0163990501257085</v>
      </c>
      <c r="F88" s="173" t="str">
        <f t="shared" si="3"/>
        <v>C</v>
      </c>
      <c r="G88" s="173" t="str">
        <f t="shared" si="8"/>
        <v>C</v>
      </c>
      <c r="I88" s="182" t="s">
        <v>181</v>
      </c>
      <c r="J88" s="171">
        <f>'Юнит 14'!U62</f>
        <v>0</v>
      </c>
      <c r="K88" s="172">
        <f t="shared" si="9"/>
        <v>0</v>
      </c>
      <c r="L88" s="172">
        <f t="shared" si="13"/>
        <v>0.98735907072087492</v>
      </c>
      <c r="M88" s="173" t="str">
        <f t="shared" si="4"/>
        <v>C</v>
      </c>
    </row>
    <row r="89" spans="2:13" ht="15" outlineLevel="1" thickBot="1">
      <c r="B89" s="182" t="s">
        <v>216</v>
      </c>
      <c r="C89" s="171">
        <f>'Юнит 14'!AO97</f>
        <v>-165.86616864742501</v>
      </c>
      <c r="D89" s="172">
        <f t="shared" si="7"/>
        <v>-1.2694992816291654E-4</v>
      </c>
      <c r="E89" s="172">
        <f t="shared" si="12"/>
        <v>1.0162721001975457</v>
      </c>
      <c r="F89" s="173" t="str">
        <f t="shared" si="3"/>
        <v>C</v>
      </c>
      <c r="G89" s="173" t="str">
        <f t="shared" si="8"/>
        <v>C</v>
      </c>
      <c r="I89" s="182" t="s">
        <v>182</v>
      </c>
      <c r="J89" s="171">
        <f>'Юнит 14'!U63</f>
        <v>0</v>
      </c>
      <c r="K89" s="172">
        <f t="shared" si="9"/>
        <v>0</v>
      </c>
      <c r="L89" s="172">
        <f t="shared" si="13"/>
        <v>0.98735907072087492</v>
      </c>
      <c r="M89" s="173" t="str">
        <f t="shared" si="4"/>
        <v>C</v>
      </c>
    </row>
    <row r="90" spans="2:13" ht="15" outlineLevel="1" thickBot="1">
      <c r="B90" s="182" t="s">
        <v>160</v>
      </c>
      <c r="C90" s="171">
        <f>'Юнит 14'!AO41</f>
        <v>-224.63291454442557</v>
      </c>
      <c r="D90" s="172">
        <f t="shared" si="7"/>
        <v>-1.7192856504124782E-4</v>
      </c>
      <c r="E90" s="172">
        <f t="shared" si="12"/>
        <v>1.0161001716325044</v>
      </c>
      <c r="F90" s="173" t="str">
        <f t="shared" si="3"/>
        <v>C</v>
      </c>
      <c r="G90" s="173" t="str">
        <f t="shared" si="8"/>
        <v>C</v>
      </c>
      <c r="I90" s="182" t="s">
        <v>183</v>
      </c>
      <c r="J90" s="171">
        <f>'Юнит 14'!U64</f>
        <v>0</v>
      </c>
      <c r="K90" s="172">
        <f t="shared" si="9"/>
        <v>0</v>
      </c>
      <c r="L90" s="172">
        <f t="shared" si="13"/>
        <v>0.98735907072087492</v>
      </c>
      <c r="M90" s="173" t="str">
        <f t="shared" si="4"/>
        <v>C</v>
      </c>
    </row>
    <row r="91" spans="2:13" ht="15" outlineLevel="1" thickBot="1">
      <c r="B91" s="182" t="s">
        <v>177</v>
      </c>
      <c r="C91" s="171">
        <f>'Юнит 14'!AO58</f>
        <v>-250.60689241652511</v>
      </c>
      <c r="D91" s="172">
        <f t="shared" si="7"/>
        <v>-1.9180841547643428E-4</v>
      </c>
      <c r="E91" s="172">
        <f t="shared" si="12"/>
        <v>1.015908363217028</v>
      </c>
      <c r="F91" s="173" t="str">
        <f t="shared" si="3"/>
        <v>C</v>
      </c>
      <c r="G91" s="173" t="str">
        <f t="shared" si="8"/>
        <v>C</v>
      </c>
      <c r="I91" s="182" t="s">
        <v>184</v>
      </c>
      <c r="J91" s="171">
        <f>'Юнит 14'!U65</f>
        <v>0</v>
      </c>
      <c r="K91" s="172">
        <f t="shared" si="9"/>
        <v>0</v>
      </c>
      <c r="L91" s="172">
        <f t="shared" si="13"/>
        <v>0.98735907072087492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'Юнит 14'!AO91</f>
        <v>-413.02934159592547</v>
      </c>
      <c r="D92" s="172">
        <f t="shared" si="7"/>
        <v>-3.1612260458150677E-4</v>
      </c>
      <c r="E92" s="172">
        <f t="shared" si="12"/>
        <v>1.0155922406124465</v>
      </c>
      <c r="F92" s="173" t="str">
        <f t="shared" si="3"/>
        <v>C</v>
      </c>
      <c r="G92" s="173" t="str">
        <f t="shared" si="8"/>
        <v>C</v>
      </c>
      <c r="I92" s="182" t="s">
        <v>185</v>
      </c>
      <c r="J92" s="171">
        <f>'Юнит 14'!U66</f>
        <v>0</v>
      </c>
      <c r="K92" s="172">
        <f t="shared" si="9"/>
        <v>0</v>
      </c>
      <c r="L92" s="172">
        <f t="shared" si="13"/>
        <v>0.98735907072087492</v>
      </c>
      <c r="M92" s="173" t="str">
        <f t="shared" si="4"/>
        <v>C</v>
      </c>
    </row>
    <row r="93" spans="2:13" ht="26.5" outlineLevel="1" thickBot="1">
      <c r="B93" s="182" t="s">
        <v>206</v>
      </c>
      <c r="C93" s="171">
        <f>'Юнит 14'!AO87</f>
        <v>-534.5898745897</v>
      </c>
      <c r="D93" s="172">
        <f t="shared" si="7"/>
        <v>-4.0916207765096018E-4</v>
      </c>
      <c r="E93" s="172">
        <f t="shared" si="12"/>
        <v>1.0151830785347955</v>
      </c>
      <c r="F93" s="173" t="str">
        <f t="shared" si="3"/>
        <v>C</v>
      </c>
      <c r="G93" s="173" t="str">
        <f t="shared" si="8"/>
        <v>C</v>
      </c>
      <c r="I93" s="182" t="s">
        <v>186</v>
      </c>
      <c r="J93" s="171">
        <f>'Юнит 14'!U67</f>
        <v>0</v>
      </c>
      <c r="K93" s="172">
        <f t="shared" si="9"/>
        <v>0</v>
      </c>
      <c r="L93" s="172">
        <f t="shared" si="13"/>
        <v>0.98735907072087492</v>
      </c>
      <c r="M93" s="173" t="str">
        <f t="shared" si="4"/>
        <v>C</v>
      </c>
    </row>
    <row r="94" spans="2:13" ht="26.5" outlineLevel="1" thickBot="1">
      <c r="B94" s="182" t="s">
        <v>205</v>
      </c>
      <c r="C94" s="171">
        <f>'Юнит 14'!AO86</f>
        <v>-684.40437130730049</v>
      </c>
      <c r="D94" s="172">
        <f t="shared" si="7"/>
        <v>-5.2382644682976885E-4</v>
      </c>
      <c r="E94" s="172">
        <f>E93+D94</f>
        <v>1.0146592520879658</v>
      </c>
      <c r="F94" s="173" t="str">
        <f t="shared" si="3"/>
        <v>C</v>
      </c>
      <c r="G94" s="173" t="str">
        <f t="shared" si="8"/>
        <v>C</v>
      </c>
      <c r="I94" s="182" t="s">
        <v>187</v>
      </c>
      <c r="J94" s="171">
        <f>'Юнит 14'!U68</f>
        <v>0</v>
      </c>
      <c r="K94" s="172">
        <f t="shared" si="9"/>
        <v>0</v>
      </c>
      <c r="L94" s="172">
        <f t="shared" si="13"/>
        <v>0.98735907072087492</v>
      </c>
      <c r="M94" s="173" t="str">
        <f t="shared" si="4"/>
        <v>C</v>
      </c>
    </row>
    <row r="95" spans="2:13" ht="26.5" outlineLevel="1" thickBot="1">
      <c r="B95" s="182" t="s">
        <v>198</v>
      </c>
      <c r="C95" s="171">
        <f>'Юнит 14'!AO79</f>
        <v>-1011.6983967176004</v>
      </c>
      <c r="D95" s="172">
        <f t="shared" si="7"/>
        <v>-7.7432932727135187E-4</v>
      </c>
      <c r="E95" s="172">
        <f>E94+D95</f>
        <v>1.0138849227606945</v>
      </c>
      <c r="F95" s="173" t="str">
        <f t="shared" si="3"/>
        <v>C</v>
      </c>
      <c r="G95" s="173" t="str">
        <f t="shared" si="8"/>
        <v>C</v>
      </c>
      <c r="I95" s="182" t="s">
        <v>193</v>
      </c>
      <c r="J95" s="171">
        <f>'Юнит 14'!U74</f>
        <v>0</v>
      </c>
      <c r="K95" s="172">
        <f t="shared" si="9"/>
        <v>0</v>
      </c>
      <c r="L95" s="172">
        <f>L94+K95</f>
        <v>0.98735907072087492</v>
      </c>
      <c r="M95" s="173" t="str">
        <f t="shared" si="4"/>
        <v>C</v>
      </c>
    </row>
    <row r="96" spans="2:13" ht="26.5" outlineLevel="1" thickBot="1">
      <c r="B96" s="182" t="s">
        <v>197</v>
      </c>
      <c r="C96" s="171">
        <f>'Юнит 14'!AO78</f>
        <v>-1512.7525118845501</v>
      </c>
      <c r="D96" s="172">
        <f t="shared" si="7"/>
        <v>-1.1578239509482788E-3</v>
      </c>
      <c r="E96" s="172">
        <f t="shared" ref="E96:E98" si="14">E95+D96</f>
        <v>1.0127270988097463</v>
      </c>
      <c r="F96" s="173" t="str">
        <f t="shared" si="3"/>
        <v>C</v>
      </c>
      <c r="G96" s="173" t="str">
        <f t="shared" si="8"/>
        <v>C</v>
      </c>
      <c r="I96" s="182" t="s">
        <v>204</v>
      </c>
      <c r="J96" s="171">
        <f>'Юнит 14'!U85</f>
        <v>0</v>
      </c>
      <c r="K96" s="172">
        <f t="shared" si="9"/>
        <v>0</v>
      </c>
      <c r="L96" s="172">
        <f t="shared" ref="L96:L98" si="15">L95+K96</f>
        <v>0.98735907072087492</v>
      </c>
      <c r="M96" s="173" t="str">
        <f t="shared" si="4"/>
        <v>C</v>
      </c>
    </row>
    <row r="97" spans="2:13" ht="26.5" outlineLevel="1" thickBot="1">
      <c r="B97" s="182" t="s">
        <v>203</v>
      </c>
      <c r="C97" s="171">
        <f>'Юнит 14'!AO84</f>
        <v>-1635.3330907753248</v>
      </c>
      <c r="D97" s="172">
        <f t="shared" si="7"/>
        <v>-1.2516441423185349E-3</v>
      </c>
      <c r="E97" s="172">
        <f t="shared" si="14"/>
        <v>1.0114754546674278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207</v>
      </c>
      <c r="J97" s="171">
        <f>'Юнит 14'!U88</f>
        <v>0</v>
      </c>
      <c r="K97" s="172">
        <f t="shared" si="9"/>
        <v>0</v>
      </c>
      <c r="L97" s="172">
        <f t="shared" si="15"/>
        <v>0.98735907072087492</v>
      </c>
      <c r="M97" s="173" t="str">
        <f t="shared" si="4"/>
        <v>C</v>
      </c>
    </row>
    <row r="98" spans="2:13" ht="26.5" outlineLevel="1" thickBot="1">
      <c r="B98" s="182" t="s">
        <v>259</v>
      </c>
      <c r="C98" s="171">
        <f>'Юнит 14'!AO102</f>
        <v>-1847.0889392682489</v>
      </c>
      <c r="D98" s="172">
        <f t="shared" si="7"/>
        <v>-1.4137169144424087E-3</v>
      </c>
      <c r="E98" s="172">
        <f t="shared" si="14"/>
        <v>1.0100617377529855</v>
      </c>
      <c r="F98" s="173" t="str">
        <f t="shared" si="16"/>
        <v>C</v>
      </c>
      <c r="G98" s="173" t="str">
        <f t="shared" si="8"/>
        <v>B</v>
      </c>
      <c r="I98" s="182" t="s">
        <v>213</v>
      </c>
      <c r="J98" s="171">
        <f>'Юнит 14'!U94</f>
        <v>0</v>
      </c>
      <c r="K98" s="172">
        <f t="shared" si="9"/>
        <v>0</v>
      </c>
      <c r="L98" s="172">
        <f t="shared" si="15"/>
        <v>0.98735907072087492</v>
      </c>
      <c r="M98" s="173" t="str">
        <f t="shared" si="4"/>
        <v>C</v>
      </c>
    </row>
    <row r="99" spans="2:13" ht="26.5" outlineLevel="1" thickBot="1">
      <c r="B99" s="182" t="s">
        <v>211</v>
      </c>
      <c r="C99" s="171">
        <f>'Юнит 14'!AO92</f>
        <v>-2055.5002458970002</v>
      </c>
      <c r="D99" s="172">
        <f t="shared" si="7"/>
        <v>-1.5732298556323618E-3</v>
      </c>
      <c r="E99" s="172">
        <f>E93+D99</f>
        <v>1.0136098486791632</v>
      </c>
      <c r="F99" s="173" t="str">
        <f t="shared" si="16"/>
        <v>C</v>
      </c>
      <c r="G99" s="173" t="str">
        <f t="shared" si="8"/>
        <v>C</v>
      </c>
      <c r="I99" s="182" t="s">
        <v>214</v>
      </c>
      <c r="J99" s="171">
        <f>'Юнит 14'!U95</f>
        <v>0</v>
      </c>
      <c r="K99" s="172">
        <f t="shared" si="9"/>
        <v>0</v>
      </c>
      <c r="L99" s="172">
        <f>L93+K99</f>
        <v>0.98735907072087492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139</v>
      </c>
      <c r="C100" s="171">
        <f>'Юнит 14'!AO20</f>
        <v>-2062.8663020373515</v>
      </c>
      <c r="D100" s="172">
        <f t="shared" si="7"/>
        <v>-1.5788676557062838E-3</v>
      </c>
      <c r="E100" s="172">
        <f t="shared" ref="E100:E104" si="18">E94+D100</f>
        <v>1.0130803844322596</v>
      </c>
      <c r="F100" s="173" t="str">
        <f t="shared" si="16"/>
        <v>C</v>
      </c>
      <c r="G100" s="173" t="str">
        <f t="shared" si="8"/>
        <v>C</v>
      </c>
      <c r="I100" s="182" t="s">
        <v>215</v>
      </c>
      <c r="J100" s="171">
        <f>'Юнит 14'!U96</f>
        <v>0</v>
      </c>
      <c r="K100" s="172">
        <f t="shared" si="9"/>
        <v>0</v>
      </c>
      <c r="L100" s="172">
        <f t="shared" ref="L100:L104" si="19">L94+K100</f>
        <v>0.98735907072087492</v>
      </c>
      <c r="M100" s="173" t="str">
        <f t="shared" si="17"/>
        <v>C</v>
      </c>
    </row>
    <row r="101" spans="2:13" ht="26.5" outlineLevel="1" thickBot="1">
      <c r="B101" s="182" t="s">
        <v>195</v>
      </c>
      <c r="C101" s="171">
        <f>'Юнит 14'!AO76</f>
        <v>-2264.1320811856249</v>
      </c>
      <c r="D101" s="172">
        <f t="shared" si="7"/>
        <v>-1.7329115840907319E-3</v>
      </c>
      <c r="E101" s="172">
        <f t="shared" si="18"/>
        <v>1.0121520111766038</v>
      </c>
      <c r="F101" s="173" t="str">
        <f t="shared" si="16"/>
        <v>C</v>
      </c>
      <c r="G101" s="173" t="str">
        <f t="shared" si="8"/>
        <v>C</v>
      </c>
      <c r="I101" s="182" t="s">
        <v>216</v>
      </c>
      <c r="J101" s="171">
        <f>'Юнит 14'!U97</f>
        <v>0</v>
      </c>
      <c r="K101" s="172">
        <f t="shared" si="9"/>
        <v>0</v>
      </c>
      <c r="L101" s="172">
        <f t="shared" si="19"/>
        <v>0.98735907072087492</v>
      </c>
      <c r="M101" s="173" t="str">
        <f t="shared" si="17"/>
        <v>C</v>
      </c>
    </row>
    <row r="102" spans="2:13" ht="26.5" outlineLevel="1" thickBot="1">
      <c r="B102" s="182" t="s">
        <v>204</v>
      </c>
      <c r="C102" s="171">
        <f>'Юнит 14'!AO85</f>
        <v>-2321.4450594227505</v>
      </c>
      <c r="D102" s="172">
        <f t="shared" si="7"/>
        <v>-1.7767775425881029E-3</v>
      </c>
      <c r="E102" s="172">
        <f t="shared" si="18"/>
        <v>1.0109503212671582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'Юнит 14'!U99</f>
        <v>0</v>
      </c>
      <c r="K102" s="172">
        <f t="shared" si="9"/>
        <v>0</v>
      </c>
      <c r="L102" s="172">
        <f t="shared" si="19"/>
        <v>0.98735907072087492</v>
      </c>
      <c r="M102" s="173" t="str">
        <f t="shared" si="17"/>
        <v>C</v>
      </c>
    </row>
    <row r="103" spans="2:13" ht="15" outlineLevel="1" thickBot="1">
      <c r="B103" s="182" t="s">
        <v>140</v>
      </c>
      <c r="C103" s="171">
        <f>'Юнит 14'!AO21</f>
        <v>-2976.6906409734015</v>
      </c>
      <c r="D103" s="172">
        <f t="shared" si="7"/>
        <v>-2.2782865614872079E-3</v>
      </c>
      <c r="E103" s="172">
        <f t="shared" si="18"/>
        <v>1.0091971681059406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'Юнит 14'!U101</f>
        <v>0</v>
      </c>
      <c r="K103" s="172">
        <f t="shared" si="9"/>
        <v>0</v>
      </c>
      <c r="L103" s="172">
        <f t="shared" si="19"/>
        <v>0.98735907072087492</v>
      </c>
      <c r="M103" s="173" t="str">
        <f t="shared" si="17"/>
        <v>C</v>
      </c>
    </row>
    <row r="104" spans="2:13" ht="26.5" outlineLevel="1" thickBot="1">
      <c r="B104" s="182" t="s">
        <v>172</v>
      </c>
      <c r="C104" s="171">
        <f>'Юнит 14'!AO53</f>
        <v>-3897.4683788907751</v>
      </c>
      <c r="D104" s="172">
        <f t="shared" si="7"/>
        <v>-2.983027429596951E-3</v>
      </c>
      <c r="E104" s="172">
        <f t="shared" si="18"/>
        <v>1.0070787103233885</v>
      </c>
      <c r="F104" s="173" t="str">
        <f t="shared" si="16"/>
        <v>C</v>
      </c>
      <c r="G104" s="173" t="str">
        <f t="shared" si="8"/>
        <v>C</v>
      </c>
      <c r="I104" s="182" t="s">
        <v>260</v>
      </c>
      <c r="J104" s="171">
        <f>'Юнит 14'!U103</f>
        <v>0</v>
      </c>
      <c r="K104" s="172">
        <f t="shared" si="9"/>
        <v>0</v>
      </c>
      <c r="L104" s="172">
        <f t="shared" si="19"/>
        <v>0.98735907072087492</v>
      </c>
      <c r="M104" s="173" t="str">
        <f t="shared" si="17"/>
        <v>C</v>
      </c>
    </row>
    <row r="105" spans="2:13" outlineLevel="1">
      <c r="C105" s="178">
        <f>SUM(C4:C104)</f>
        <v>1306547.9519970012</v>
      </c>
      <c r="D105" s="179">
        <f>SUM(D4:D104)</f>
        <v>1.0000000000000002</v>
      </c>
      <c r="J105" s="178">
        <f>SUM(J4:J104)</f>
        <v>2927</v>
      </c>
      <c r="K105" s="179">
        <f>SUM(K4:K104)</f>
        <v>1.0000000000000002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96" priority="4" operator="equal">
      <formula>"C"</formula>
    </cfRule>
    <cfRule type="cellIs" dxfId="195" priority="5" operator="equal">
      <formula>"B"</formula>
    </cfRule>
    <cfRule type="cellIs" dxfId="194" priority="6" operator="equal">
      <formula>"A"</formula>
    </cfRule>
  </conditionalFormatting>
  <conditionalFormatting sqref="F99:G104 D99:D104 M99:M104 K99:K104">
    <cfRule type="cellIs" dxfId="193" priority="1" operator="equal">
      <formula>"C"</formula>
    </cfRule>
    <cfRule type="cellIs" dxfId="192" priority="2" operator="equal">
      <formula>"B"</formula>
    </cfRule>
    <cfRule type="cellIs" dxfId="191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B9AF-8FF5-44AA-8D6E-D56CB8BBF743}">
  <dimension ref="B1:Q105"/>
  <sheetViews>
    <sheetView zoomScale="80" zoomScaleNormal="80" workbookViewId="0">
      <selection activeCell="I10" sqref="I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9" t="s">
        <v>86</v>
      </c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1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МАРТ!AO4</f>
        <v>1357078.7927572371</v>
      </c>
      <c r="D4" s="172">
        <f t="shared" ref="D4:D67" si="0">C4/C$105</f>
        <v>0.25024681999563375</v>
      </c>
      <c r="E4" s="172">
        <f>D4</f>
        <v>0.25024681999563375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МАРТ!U4</f>
        <v>2570</v>
      </c>
      <c r="K4" s="172">
        <f t="shared" ref="K4:K67" si="2">J4/J$105</f>
        <v>0.19908590905569756</v>
      </c>
      <c r="L4" s="172">
        <f>K4</f>
        <v>0.19908590905569756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128</v>
      </c>
      <c r="C5" s="171">
        <f>МАРТ!AO9</f>
        <v>431383.39777029079</v>
      </c>
      <c r="D5" s="172">
        <f t="shared" si="0"/>
        <v>7.9547572379047582E-2</v>
      </c>
      <c r="E5" s="172">
        <f>E4+D5</f>
        <v>0.32979439237468133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128</v>
      </c>
      <c r="J5" s="171">
        <f>МАРТ!U9</f>
        <v>943</v>
      </c>
      <c r="K5" s="172">
        <f t="shared" si="2"/>
        <v>7.3049810209931051E-2</v>
      </c>
      <c r="L5" s="172">
        <f>L4+K5</f>
        <v>0.27213571926562863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МАРТ!AO13</f>
        <v>418587.00884009624</v>
      </c>
      <c r="D6" s="172">
        <f t="shared" si="0"/>
        <v>7.7187904204805202E-2</v>
      </c>
      <c r="E6" s="172">
        <f t="shared" ref="E6:E69" si="5">E5+D6</f>
        <v>0.40698229657948654</v>
      </c>
      <c r="F6" s="173" t="str">
        <f t="shared" si="3"/>
        <v>A</v>
      </c>
      <c r="G6" s="173" t="str">
        <f t="shared" si="1"/>
        <v>A</v>
      </c>
      <c r="I6" s="182" t="s">
        <v>132</v>
      </c>
      <c r="J6" s="171">
        <f>МАРТ!U13</f>
        <v>929</v>
      </c>
      <c r="K6" s="172">
        <f t="shared" si="2"/>
        <v>7.1965295530250217E-2</v>
      </c>
      <c r="L6" s="172">
        <f t="shared" ref="L6:L69" si="6">L5+K6</f>
        <v>0.34410101479587885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126</v>
      </c>
      <c r="C7" s="171">
        <f>МАРТ!AO7</f>
        <v>397787.67118443077</v>
      </c>
      <c r="D7" s="172">
        <f t="shared" si="0"/>
        <v>7.3352483495171567E-2</v>
      </c>
      <c r="E7" s="172">
        <f t="shared" si="5"/>
        <v>0.48033478007465813</v>
      </c>
      <c r="F7" s="173" t="str">
        <f t="shared" si="3"/>
        <v>A</v>
      </c>
      <c r="G7" s="173" t="str">
        <f t="shared" si="1"/>
        <v>A</v>
      </c>
      <c r="I7" s="182" t="s">
        <v>126</v>
      </c>
      <c r="J7" s="171">
        <f>МАРТ!U7</f>
        <v>887</v>
      </c>
      <c r="K7" s="172">
        <f t="shared" si="2"/>
        <v>6.8711751491207687E-2</v>
      </c>
      <c r="L7" s="172">
        <f t="shared" si="6"/>
        <v>0.41281276628708652</v>
      </c>
      <c r="M7" s="173" t="str">
        <f t="shared" si="4"/>
        <v>A</v>
      </c>
    </row>
    <row r="8" spans="2:17" ht="15" outlineLevel="1" thickBot="1">
      <c r="B8" s="182" t="s">
        <v>135</v>
      </c>
      <c r="C8" s="171">
        <f>МАРТ!AO16</f>
        <v>358795.48154443718</v>
      </c>
      <c r="D8" s="172">
        <f t="shared" si="0"/>
        <v>6.6162280896654796E-2</v>
      </c>
      <c r="E8" s="172">
        <f t="shared" si="5"/>
        <v>0.5464970609713129</v>
      </c>
      <c r="F8" s="173" t="str">
        <f t="shared" si="3"/>
        <v>A</v>
      </c>
      <c r="G8" s="173" t="str">
        <f t="shared" si="1"/>
        <v>A</v>
      </c>
      <c r="I8" s="182" t="s">
        <v>135</v>
      </c>
      <c r="J8" s="171">
        <f>МАРТ!U16</f>
        <v>821</v>
      </c>
      <c r="K8" s="172">
        <f t="shared" si="2"/>
        <v>6.3599039429855134E-2</v>
      </c>
      <c r="L8" s="172">
        <f t="shared" si="6"/>
        <v>0.47641180571694164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МАРТ!AO5</f>
        <v>350301.1346967073</v>
      </c>
      <c r="D9" s="172">
        <f t="shared" si="0"/>
        <v>6.4595914007768776E-2</v>
      </c>
      <c r="E9" s="172">
        <f t="shared" si="5"/>
        <v>0.61109297497908166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МАРТ!U10</f>
        <v>783</v>
      </c>
      <c r="K9" s="172">
        <f t="shared" si="2"/>
        <v>6.0655356727864283E-2</v>
      </c>
      <c r="L9" s="172">
        <f t="shared" si="6"/>
        <v>0.5370671624448059</v>
      </c>
      <c r="M9" s="173" t="str">
        <f t="shared" si="4"/>
        <v>A</v>
      </c>
    </row>
    <row r="10" spans="2:17" ht="26.5" outlineLevel="1" thickBot="1">
      <c r="B10" s="182" t="s">
        <v>122</v>
      </c>
      <c r="C10" s="171">
        <f>МАРТ!AO3</f>
        <v>331555.12585347245</v>
      </c>
      <c r="D10" s="172">
        <f t="shared" si="0"/>
        <v>6.1139129386517443E-2</v>
      </c>
      <c r="E10" s="172">
        <f t="shared" si="5"/>
        <v>0.6722321043655991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МАРТ!U5</f>
        <v>747</v>
      </c>
      <c r="K10" s="172">
        <f t="shared" si="2"/>
        <v>5.7866604694399255E-2</v>
      </c>
      <c r="L10" s="172">
        <f t="shared" si="6"/>
        <v>0.59493376713920521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МАРТ!AO10</f>
        <v>276776.73615990614</v>
      </c>
      <c r="D11" s="172">
        <f t="shared" si="0"/>
        <v>5.103793415860796E-2</v>
      </c>
      <c r="E11" s="172">
        <f t="shared" si="5"/>
        <v>0.72327003852420702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МАРТ!U3</f>
        <v>676</v>
      </c>
      <c r="K11" s="172">
        <f t="shared" si="2"/>
        <v>5.2366565961732128E-2</v>
      </c>
      <c r="L11" s="172">
        <f t="shared" si="6"/>
        <v>0.64730033310093738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МАРТ!AO12</f>
        <v>245091.87939251351</v>
      </c>
      <c r="D12" s="172">
        <f t="shared" si="0"/>
        <v>4.5195211768150903E-2</v>
      </c>
      <c r="E12" s="172">
        <f t="shared" si="5"/>
        <v>0.7684652502923579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МАРТ!U12</f>
        <v>587</v>
      </c>
      <c r="K12" s="172">
        <f t="shared" si="2"/>
        <v>4.547215121233248E-2</v>
      </c>
      <c r="L12" s="172">
        <f t="shared" si="6"/>
        <v>0.69277248431326988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МАРТ!AO28</f>
        <v>189672.27815222015</v>
      </c>
      <c r="D13" s="172">
        <f t="shared" si="0"/>
        <v>3.4975776426720145E-2</v>
      </c>
      <c r="E13" s="172">
        <f t="shared" si="5"/>
        <v>0.80344102671907802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МАРТ!U28</f>
        <v>553</v>
      </c>
      <c r="K13" s="172">
        <f t="shared" si="2"/>
        <v>4.2838329847393289E-2</v>
      </c>
      <c r="L13" s="172">
        <f t="shared" si="6"/>
        <v>0.73561081416066321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МАРТ!AO6</f>
        <v>161939.23687170411</v>
      </c>
      <c r="D14" s="172">
        <f t="shared" si="0"/>
        <v>2.986177315270519E-2</v>
      </c>
      <c r="E14" s="172">
        <f t="shared" si="5"/>
        <v>0.83330279987178324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МАРТ!U6</f>
        <v>407</v>
      </c>
      <c r="K14" s="172">
        <f t="shared" si="2"/>
        <v>3.1528391045007362E-2</v>
      </c>
      <c r="L14" s="172">
        <f t="shared" si="6"/>
        <v>0.76713920520567058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МАРТ!AO11</f>
        <v>145329.18111353053</v>
      </c>
      <c r="D15" s="172">
        <f t="shared" si="0"/>
        <v>2.6798860626463489E-2</v>
      </c>
      <c r="E15" s="172">
        <f t="shared" si="5"/>
        <v>0.86010166049824677</v>
      </c>
      <c r="F15" s="173" t="str">
        <f t="shared" si="3"/>
        <v>B</v>
      </c>
      <c r="G15" s="173" t="str">
        <f t="shared" si="1"/>
        <v>A</v>
      </c>
      <c r="I15" s="182" t="s">
        <v>130</v>
      </c>
      <c r="J15" s="171">
        <f>МАРТ!U11</f>
        <v>381</v>
      </c>
      <c r="K15" s="172">
        <f t="shared" si="2"/>
        <v>2.9514292354171509E-2</v>
      </c>
      <c r="L15" s="172">
        <f t="shared" si="6"/>
        <v>0.79665349755984205</v>
      </c>
      <c r="M15" s="173" t="str">
        <f t="shared" si="4"/>
        <v>A</v>
      </c>
    </row>
    <row r="16" spans="2:17" ht="26.5" outlineLevel="1" thickBot="1">
      <c r="B16" s="182" t="s">
        <v>137</v>
      </c>
      <c r="C16" s="171">
        <f>МАРТ!AO18</f>
        <v>113513.28687015163</v>
      </c>
      <c r="D16" s="172">
        <f t="shared" si="0"/>
        <v>2.0931974781503403E-2</v>
      </c>
      <c r="E16" s="172">
        <f t="shared" si="5"/>
        <v>0.8810336352797502</v>
      </c>
      <c r="F16" s="173" t="str">
        <f t="shared" si="3"/>
        <v>B</v>
      </c>
      <c r="G16" s="173" t="str">
        <f t="shared" si="1"/>
        <v>B</v>
      </c>
      <c r="I16" s="182" t="s">
        <v>137</v>
      </c>
      <c r="J16" s="171">
        <f>МАРТ!U18</f>
        <v>290</v>
      </c>
      <c r="K16" s="172">
        <f t="shared" si="2"/>
        <v>2.2464946936246032E-2</v>
      </c>
      <c r="L16" s="172">
        <f t="shared" si="6"/>
        <v>0.81911844449608806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МАРТ!AO14</f>
        <v>112391.29140489899</v>
      </c>
      <c r="D17" s="172">
        <f t="shared" si="0"/>
        <v>2.0725077585314423E-2</v>
      </c>
      <c r="E17" s="172">
        <f t="shared" si="5"/>
        <v>0.90175871286506459</v>
      </c>
      <c r="F17" s="173" t="str">
        <f t="shared" si="3"/>
        <v>B</v>
      </c>
      <c r="G17" s="173" t="str">
        <f t="shared" si="1"/>
        <v>B</v>
      </c>
      <c r="I17" s="182" t="s">
        <v>133</v>
      </c>
      <c r="J17" s="171">
        <f>МАРТ!U14</f>
        <v>274</v>
      </c>
      <c r="K17" s="172">
        <f t="shared" si="2"/>
        <v>2.1225501588039354E-2</v>
      </c>
      <c r="L17" s="172">
        <f t="shared" si="6"/>
        <v>0.84034394608412744</v>
      </c>
      <c r="M17" s="173" t="str">
        <f t="shared" si="4"/>
        <v>B</v>
      </c>
    </row>
    <row r="18" spans="2:13" ht="15" outlineLevel="1" thickBot="1">
      <c r="B18" s="182" t="s">
        <v>134</v>
      </c>
      <c r="C18" s="171">
        <f>МАРТ!AO15</f>
        <v>98646.900240499759</v>
      </c>
      <c r="D18" s="172">
        <f t="shared" si="0"/>
        <v>1.819059675780195E-2</v>
      </c>
      <c r="E18" s="172">
        <f t="shared" si="5"/>
        <v>0.91994930962286658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МАРТ!U15</f>
        <v>222</v>
      </c>
      <c r="K18" s="172">
        <f t="shared" si="2"/>
        <v>1.7197304206367652E-2</v>
      </c>
      <c r="L18" s="172">
        <f t="shared" si="6"/>
        <v>0.85754125029049511</v>
      </c>
      <c r="M18" s="173" t="str">
        <f t="shared" si="4"/>
        <v>B</v>
      </c>
    </row>
    <row r="19" spans="2:13" ht="26.5" outlineLevel="1" thickBot="1">
      <c r="B19" s="182" t="s">
        <v>167</v>
      </c>
      <c r="C19" s="171">
        <f>МАРТ!AO48</f>
        <v>73606.128767306189</v>
      </c>
      <c r="D19" s="172">
        <f t="shared" si="0"/>
        <v>1.3573050993438186E-2</v>
      </c>
      <c r="E19" s="172">
        <f t="shared" si="5"/>
        <v>0.93352236061630478</v>
      </c>
      <c r="F19" s="173" t="str">
        <f t="shared" si="3"/>
        <v>B</v>
      </c>
      <c r="G19" s="173" t="str">
        <f t="shared" si="1"/>
        <v>B</v>
      </c>
      <c r="I19" s="182" t="s">
        <v>167</v>
      </c>
      <c r="J19" s="171">
        <f>МАРТ!U48</f>
        <v>209</v>
      </c>
      <c r="K19" s="172">
        <f t="shared" si="2"/>
        <v>1.6190254860949726E-2</v>
      </c>
      <c r="L19" s="172">
        <f t="shared" si="6"/>
        <v>0.87373150515144482</v>
      </c>
      <c r="M19" s="173" t="str">
        <f t="shared" si="4"/>
        <v>B</v>
      </c>
    </row>
    <row r="20" spans="2:13" ht="15" outlineLevel="1" thickBot="1">
      <c r="B20" s="182" t="s">
        <v>164</v>
      </c>
      <c r="C20" s="171">
        <f>МАРТ!AO45</f>
        <v>70020.12133312838</v>
      </c>
      <c r="D20" s="172">
        <f t="shared" si="0"/>
        <v>1.2911787283716189E-2</v>
      </c>
      <c r="E20" s="172">
        <f t="shared" si="5"/>
        <v>0.94643414790002101</v>
      </c>
      <c r="F20" s="173" t="str">
        <f t="shared" si="3"/>
        <v>B</v>
      </c>
      <c r="G20" s="173" t="str">
        <f t="shared" si="1"/>
        <v>B</v>
      </c>
      <c r="I20" s="182" t="s">
        <v>168</v>
      </c>
      <c r="J20" s="171">
        <f>МАРТ!U49</f>
        <v>205</v>
      </c>
      <c r="K20" s="172">
        <f t="shared" si="2"/>
        <v>1.5880393523898056E-2</v>
      </c>
      <c r="L20" s="172">
        <f t="shared" si="6"/>
        <v>0.88961189867534285</v>
      </c>
      <c r="M20" s="173" t="str">
        <f t="shared" si="4"/>
        <v>B</v>
      </c>
    </row>
    <row r="21" spans="2:13" ht="15" outlineLevel="1" thickBot="1">
      <c r="B21" s="182" t="s">
        <v>168</v>
      </c>
      <c r="C21" s="171">
        <f>МАРТ!AO49</f>
        <v>69694.704497517989</v>
      </c>
      <c r="D21" s="172">
        <f t="shared" si="0"/>
        <v>1.2851780061792774E-2</v>
      </c>
      <c r="E21" s="172">
        <f t="shared" si="5"/>
        <v>0.95928592796181378</v>
      </c>
      <c r="F21" s="173" t="str">
        <f t="shared" si="3"/>
        <v>C</v>
      </c>
      <c r="G21" s="173" t="str">
        <f t="shared" si="1"/>
        <v>B</v>
      </c>
      <c r="I21" s="182" t="s">
        <v>164</v>
      </c>
      <c r="J21" s="171">
        <f>МАРТ!U45</f>
        <v>176</v>
      </c>
      <c r="K21" s="172">
        <f t="shared" si="2"/>
        <v>1.3633898830273453E-2</v>
      </c>
      <c r="L21" s="172">
        <f t="shared" si="6"/>
        <v>0.90324579750561629</v>
      </c>
      <c r="M21" s="173" t="str">
        <f t="shared" si="4"/>
        <v>B</v>
      </c>
    </row>
    <row r="22" spans="2:13" ht="15" outlineLevel="1" thickBot="1">
      <c r="B22" s="182" t="s">
        <v>127</v>
      </c>
      <c r="C22" s="171">
        <f>МАРТ!AO8</f>
        <v>64341.2703947349</v>
      </c>
      <c r="D22" s="172">
        <f t="shared" si="0"/>
        <v>1.1864600933043912E-2</v>
      </c>
      <c r="E22" s="172">
        <f t="shared" si="5"/>
        <v>0.97115052889485765</v>
      </c>
      <c r="F22" s="173" t="str">
        <f t="shared" si="3"/>
        <v>C</v>
      </c>
      <c r="G22" s="173" t="str">
        <f t="shared" si="1"/>
        <v>B</v>
      </c>
      <c r="I22" s="182" t="s">
        <v>127</v>
      </c>
      <c r="J22" s="171">
        <f>МАРТ!U8</f>
        <v>169</v>
      </c>
      <c r="K22" s="172">
        <f t="shared" si="2"/>
        <v>1.3091641490433032E-2</v>
      </c>
      <c r="L22" s="172">
        <f t="shared" si="6"/>
        <v>0.91633743899604936</v>
      </c>
      <c r="M22" s="173" t="str">
        <f t="shared" si="4"/>
        <v>B</v>
      </c>
    </row>
    <row r="23" spans="2:13" ht="15" outlineLevel="1" thickBot="1">
      <c r="B23" s="182" t="s">
        <v>169</v>
      </c>
      <c r="C23" s="171">
        <f>МАРТ!AO50</f>
        <v>55895.966117222219</v>
      </c>
      <c r="D23" s="172">
        <f t="shared" si="0"/>
        <v>1.0307277547974163E-2</v>
      </c>
      <c r="E23" s="172">
        <f t="shared" si="5"/>
        <v>0.98145780644283176</v>
      </c>
      <c r="F23" s="173" t="str">
        <f t="shared" si="3"/>
        <v>C</v>
      </c>
      <c r="G23" s="173" t="str">
        <f t="shared" si="1"/>
        <v>B</v>
      </c>
      <c r="I23" s="182" t="s">
        <v>163</v>
      </c>
      <c r="J23" s="171">
        <f>МАРТ!U44</f>
        <v>155</v>
      </c>
      <c r="K23" s="172">
        <f t="shared" si="2"/>
        <v>1.2007126810752189E-2</v>
      </c>
      <c r="L23" s="172">
        <f t="shared" si="6"/>
        <v>0.92834456580680158</v>
      </c>
      <c r="M23" s="173" t="str">
        <f t="shared" si="4"/>
        <v>B</v>
      </c>
    </row>
    <row r="24" spans="2:13" ht="15" outlineLevel="1" thickBot="1">
      <c r="B24" s="182" t="s">
        <v>163</v>
      </c>
      <c r="C24" s="171">
        <f>МАРТ!AO44</f>
        <v>46000.878410937672</v>
      </c>
      <c r="D24" s="172">
        <f t="shared" si="0"/>
        <v>8.4826125062011908E-3</v>
      </c>
      <c r="E24" s="172">
        <f t="shared" si="5"/>
        <v>0.98994041894903295</v>
      </c>
      <c r="F24" s="173" t="str">
        <f t="shared" si="3"/>
        <v>C</v>
      </c>
      <c r="G24" s="173" t="str">
        <f t="shared" si="1"/>
        <v>B</v>
      </c>
      <c r="I24" s="182" t="s">
        <v>169</v>
      </c>
      <c r="J24" s="171">
        <f>МАРТ!U50</f>
        <v>150</v>
      </c>
      <c r="K24" s="172">
        <f t="shared" si="2"/>
        <v>1.1619800139437602E-2</v>
      </c>
      <c r="L24" s="172">
        <f t="shared" si="6"/>
        <v>0.93996436594623922</v>
      </c>
      <c r="M24" s="173" t="str">
        <f t="shared" si="4"/>
        <v>B</v>
      </c>
    </row>
    <row r="25" spans="2:13" ht="26.5" outlineLevel="1" thickBot="1">
      <c r="B25" s="182" t="s">
        <v>136</v>
      </c>
      <c r="C25" s="171">
        <f>МАРТ!AO17</f>
        <v>43957.110845066054</v>
      </c>
      <c r="D25" s="172">
        <f t="shared" si="0"/>
        <v>8.1057395221864146E-3</v>
      </c>
      <c r="E25" s="172">
        <f t="shared" si="5"/>
        <v>0.99804615847121936</v>
      </c>
      <c r="F25" s="173" t="str">
        <f t="shared" si="3"/>
        <v>C</v>
      </c>
      <c r="G25" s="173" t="str">
        <f t="shared" si="1"/>
        <v>C</v>
      </c>
      <c r="I25" s="182" t="s">
        <v>145</v>
      </c>
      <c r="J25" s="171">
        <f>МАРТ!U26</f>
        <v>142</v>
      </c>
      <c r="K25" s="172">
        <f t="shared" si="2"/>
        <v>1.1000077465334263E-2</v>
      </c>
      <c r="L25" s="172">
        <f t="shared" si="6"/>
        <v>0.95096444341157349</v>
      </c>
      <c r="M25" s="173" t="str">
        <f t="shared" si="4"/>
        <v>C</v>
      </c>
    </row>
    <row r="26" spans="2:13" ht="26.5" outlineLevel="1" thickBot="1">
      <c r="B26" s="182" t="s">
        <v>166</v>
      </c>
      <c r="C26" s="171">
        <f>МАРТ!AO47</f>
        <v>24845.243331434667</v>
      </c>
      <c r="D26" s="172">
        <f t="shared" si="0"/>
        <v>4.5814901602559098E-3</v>
      </c>
      <c r="E26" s="172">
        <f t="shared" si="5"/>
        <v>1.0026276486314754</v>
      </c>
      <c r="F26" s="173" t="str">
        <f t="shared" si="3"/>
        <v>C</v>
      </c>
      <c r="G26" s="173" t="str">
        <f t="shared" si="1"/>
        <v>C</v>
      </c>
      <c r="I26" s="182" t="s">
        <v>136</v>
      </c>
      <c r="J26" s="171">
        <f>МАРТ!U17</f>
        <v>115</v>
      </c>
      <c r="K26" s="172">
        <f t="shared" si="2"/>
        <v>8.9085134402354955E-3</v>
      </c>
      <c r="L26" s="172">
        <f t="shared" si="6"/>
        <v>0.95987295685180896</v>
      </c>
      <c r="M26" s="173" t="str">
        <f t="shared" si="4"/>
        <v>C</v>
      </c>
    </row>
    <row r="27" spans="2:13" ht="15" outlineLevel="1" thickBot="1">
      <c r="B27" s="182" t="s">
        <v>162</v>
      </c>
      <c r="C27" s="171">
        <f>МАРТ!AO43</f>
        <v>8993.3249530237135</v>
      </c>
      <c r="D27" s="172">
        <f t="shared" si="0"/>
        <v>1.6583789995782208E-3</v>
      </c>
      <c r="E27" s="172">
        <f>E26+D27</f>
        <v>1.0042860276310537</v>
      </c>
      <c r="F27" s="173" t="str">
        <f t="shared" si="3"/>
        <v>C</v>
      </c>
      <c r="G27" s="173" t="str">
        <f t="shared" si="1"/>
        <v>C</v>
      </c>
      <c r="I27" s="182" t="s">
        <v>166</v>
      </c>
      <c r="J27" s="171">
        <f>МАРТ!U47</f>
        <v>74</v>
      </c>
      <c r="K27" s="172">
        <f t="shared" si="2"/>
        <v>5.7324347354558835E-3</v>
      </c>
      <c r="L27" s="172">
        <f>L26+K27</f>
        <v>0.96560539158726488</v>
      </c>
      <c r="M27" s="173" t="str">
        <f t="shared" si="4"/>
        <v>C</v>
      </c>
    </row>
    <row r="28" spans="2:13" ht="15" outlineLevel="1" thickBot="1">
      <c r="B28" s="182" t="s">
        <v>208</v>
      </c>
      <c r="C28" s="171">
        <f>МАРТ!AO89</f>
        <v>8819.1501079465106</v>
      </c>
      <c r="D28" s="172">
        <f t="shared" si="0"/>
        <v>1.6262609668328668E-3</v>
      </c>
      <c r="E28" s="172">
        <f>E27+D28</f>
        <v>1.0059122885978866</v>
      </c>
      <c r="F28" s="173" t="str">
        <f t="shared" si="3"/>
        <v>C</v>
      </c>
      <c r="G28" s="173" t="str">
        <f t="shared" si="1"/>
        <v>C</v>
      </c>
      <c r="I28" s="182" t="s">
        <v>259</v>
      </c>
      <c r="J28" s="171">
        <f>МАРТ!U102</f>
        <v>44</v>
      </c>
      <c r="K28" s="172">
        <f t="shared" si="2"/>
        <v>3.4084747075683632E-3</v>
      </c>
      <c r="L28" s="172">
        <f t="shared" si="6"/>
        <v>0.96901386629483321</v>
      </c>
      <c r="M28" s="173" t="str">
        <f t="shared" si="4"/>
        <v>C</v>
      </c>
    </row>
    <row r="29" spans="2:13" ht="15" outlineLevel="1" thickBot="1">
      <c r="B29" s="182" t="s">
        <v>161</v>
      </c>
      <c r="C29" s="171">
        <f>МАРТ!AO42</f>
        <v>5019.8063696138934</v>
      </c>
      <c r="D29" s="172">
        <f t="shared" si="0"/>
        <v>9.2565780829677953E-4</v>
      </c>
      <c r="E29" s="172">
        <f t="shared" si="5"/>
        <v>1.0068379464061834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МАРТ!U27</f>
        <v>39</v>
      </c>
      <c r="K29" s="172">
        <f t="shared" si="2"/>
        <v>3.0211480362537764E-3</v>
      </c>
      <c r="L29" s="172">
        <f t="shared" si="6"/>
        <v>0.97203501433108697</v>
      </c>
      <c r="M29" s="173" t="str">
        <f t="shared" si="4"/>
        <v>C</v>
      </c>
    </row>
    <row r="30" spans="2:13" ht="15" outlineLevel="1" thickBot="1">
      <c r="B30" s="182" t="s">
        <v>159</v>
      </c>
      <c r="C30" s="171">
        <f>МАРТ!AO40</f>
        <v>4493.4671284311016</v>
      </c>
      <c r="D30" s="172">
        <f t="shared" si="0"/>
        <v>8.2860027409325859E-4</v>
      </c>
      <c r="E30" s="172">
        <f t="shared" si="5"/>
        <v>1.0076665466802766</v>
      </c>
      <c r="F30" s="173" t="str">
        <f t="shared" si="3"/>
        <v>C</v>
      </c>
      <c r="G30" s="173" t="str">
        <f t="shared" si="1"/>
        <v>C</v>
      </c>
      <c r="I30" s="182" t="s">
        <v>162</v>
      </c>
      <c r="J30" s="171">
        <f>МАРТ!U43</f>
        <v>34</v>
      </c>
      <c r="K30" s="172">
        <f t="shared" si="2"/>
        <v>2.6338213649391897E-3</v>
      </c>
      <c r="L30" s="172">
        <f t="shared" si="6"/>
        <v>0.97466883569602614</v>
      </c>
      <c r="M30" s="173" t="str">
        <f t="shared" si="4"/>
        <v>C</v>
      </c>
    </row>
    <row r="31" spans="2:13" ht="26.5" outlineLevel="1" thickBot="1">
      <c r="B31" s="182" t="s">
        <v>173</v>
      </c>
      <c r="C31" s="171">
        <f>МАРТ!AO54</f>
        <v>4222.4288283296646</v>
      </c>
      <c r="D31" s="172">
        <f t="shared" si="0"/>
        <v>7.7862051384691299E-4</v>
      </c>
      <c r="E31" s="172">
        <f t="shared" si="5"/>
        <v>1.0084451671941235</v>
      </c>
      <c r="F31" s="173" t="str">
        <f t="shared" si="3"/>
        <v>C</v>
      </c>
      <c r="G31" s="173" t="str">
        <f t="shared" si="1"/>
        <v>C</v>
      </c>
      <c r="I31" s="182" t="s">
        <v>206</v>
      </c>
      <c r="J31" s="171">
        <f>МАРТ!U87</f>
        <v>28</v>
      </c>
      <c r="K31" s="172">
        <f t="shared" si="2"/>
        <v>2.1690293593616856E-3</v>
      </c>
      <c r="L31" s="172">
        <f t="shared" si="6"/>
        <v>0.97683786505538783</v>
      </c>
      <c r="M31" s="173" t="str">
        <f t="shared" si="4"/>
        <v>C</v>
      </c>
    </row>
    <row r="32" spans="2:13" ht="15" outlineLevel="1" thickBot="1">
      <c r="B32" s="182" t="s">
        <v>158</v>
      </c>
      <c r="C32" s="171">
        <f>МАРТ!AO39</f>
        <v>3013.1005703687888</v>
      </c>
      <c r="D32" s="172">
        <f t="shared" si="0"/>
        <v>5.5561905475646415E-4</v>
      </c>
      <c r="E32" s="172">
        <f t="shared" si="5"/>
        <v>1.0090007862488799</v>
      </c>
      <c r="F32" s="173" t="str">
        <f t="shared" si="3"/>
        <v>C</v>
      </c>
      <c r="G32" s="173" t="str">
        <f t="shared" si="1"/>
        <v>C</v>
      </c>
      <c r="I32" s="182" t="s">
        <v>158</v>
      </c>
      <c r="J32" s="171">
        <f>МАРТ!U39</f>
        <v>25</v>
      </c>
      <c r="K32" s="172">
        <f t="shared" si="2"/>
        <v>1.9366333565729336E-3</v>
      </c>
      <c r="L32" s="172">
        <f t="shared" si="6"/>
        <v>0.97877449841196074</v>
      </c>
      <c r="M32" s="173" t="str">
        <f t="shared" si="4"/>
        <v>C</v>
      </c>
    </row>
    <row r="33" spans="2:13" ht="26.5" outlineLevel="1" thickBot="1">
      <c r="B33" s="182" t="s">
        <v>207</v>
      </c>
      <c r="C33" s="171">
        <f>МАРТ!AO88</f>
        <v>2776.4825054905505</v>
      </c>
      <c r="D33" s="172">
        <f t="shared" si="0"/>
        <v>5.1198642369235754E-4</v>
      </c>
      <c r="E33" s="172">
        <f t="shared" si="5"/>
        <v>1.0095127726725723</v>
      </c>
      <c r="F33" s="173" t="str">
        <f t="shared" si="3"/>
        <v>C</v>
      </c>
      <c r="G33" s="173" t="str">
        <f t="shared" si="1"/>
        <v>C</v>
      </c>
      <c r="I33" s="182" t="s">
        <v>200</v>
      </c>
      <c r="J33" s="171">
        <f>МАРТ!U81</f>
        <v>18</v>
      </c>
      <c r="K33" s="172">
        <f t="shared" si="2"/>
        <v>1.3943760167325122E-3</v>
      </c>
      <c r="L33" s="172">
        <f t="shared" si="6"/>
        <v>0.98016887442869327</v>
      </c>
      <c r="M33" s="173" t="str">
        <f t="shared" si="4"/>
        <v>C</v>
      </c>
    </row>
    <row r="34" spans="2:13" ht="15" outlineLevel="1" thickBot="1">
      <c r="B34" s="182" t="s">
        <v>259</v>
      </c>
      <c r="C34" s="171">
        <f>МАРТ!AO102</f>
        <v>2480.8153058312373</v>
      </c>
      <c r="D34" s="172">
        <f t="shared" si="0"/>
        <v>4.5746506731523157E-4</v>
      </c>
      <c r="E34" s="172">
        <f t="shared" si="5"/>
        <v>1.0099702377398876</v>
      </c>
      <c r="F34" s="173" t="str">
        <f t="shared" si="3"/>
        <v>C</v>
      </c>
      <c r="G34" s="173" t="str">
        <f t="shared" si="1"/>
        <v>C</v>
      </c>
      <c r="I34" s="182" t="s">
        <v>171</v>
      </c>
      <c r="J34" s="171">
        <f>МАРТ!U52</f>
        <v>17</v>
      </c>
      <c r="K34" s="172">
        <f t="shared" si="2"/>
        <v>1.3169106824695949E-3</v>
      </c>
      <c r="L34" s="172">
        <f t="shared" si="6"/>
        <v>0.98148578511116291</v>
      </c>
      <c r="M34" s="173" t="str">
        <f t="shared" si="4"/>
        <v>C</v>
      </c>
    </row>
    <row r="35" spans="2:13" ht="26.5" outlineLevel="1" thickBot="1">
      <c r="B35" s="182" t="s">
        <v>212</v>
      </c>
      <c r="C35" s="171">
        <f>МАРТ!AO93</f>
        <v>2172.9908222466429</v>
      </c>
      <c r="D35" s="172">
        <f t="shared" si="0"/>
        <v>4.0070189442876022E-4</v>
      </c>
      <c r="E35" s="172">
        <f t="shared" si="5"/>
        <v>1.0103709396343163</v>
      </c>
      <c r="F35" s="173" t="str">
        <f t="shared" si="3"/>
        <v>C</v>
      </c>
      <c r="G35" s="173" t="str">
        <f t="shared" si="1"/>
        <v>C</v>
      </c>
      <c r="I35" s="182" t="s">
        <v>208</v>
      </c>
      <c r="J35" s="171">
        <f>МАРТ!U89</f>
        <v>17</v>
      </c>
      <c r="K35" s="172">
        <f t="shared" si="2"/>
        <v>1.3169106824695949E-3</v>
      </c>
      <c r="L35" s="172">
        <f t="shared" si="6"/>
        <v>0.98280269579363255</v>
      </c>
      <c r="M35" s="173" t="str">
        <f t="shared" si="4"/>
        <v>C</v>
      </c>
    </row>
    <row r="36" spans="2:13" ht="15" outlineLevel="1" thickBot="1">
      <c r="B36" s="182" t="s">
        <v>156</v>
      </c>
      <c r="C36" s="171">
        <f>МАРТ!AO37</f>
        <v>1559.4488310106274</v>
      </c>
      <c r="D36" s="172">
        <f t="shared" si="0"/>
        <v>2.8756407733219054E-4</v>
      </c>
      <c r="E36" s="172">
        <f t="shared" si="5"/>
        <v>1.0106585037116484</v>
      </c>
      <c r="F36" s="173" t="str">
        <f t="shared" si="3"/>
        <v>C</v>
      </c>
      <c r="G36" s="173" t="str">
        <f t="shared" si="1"/>
        <v>C</v>
      </c>
      <c r="I36" s="182" t="s">
        <v>173</v>
      </c>
      <c r="J36" s="171">
        <f>МАРТ!U54</f>
        <v>16</v>
      </c>
      <c r="K36" s="172">
        <f t="shared" si="2"/>
        <v>1.2394453482066775E-3</v>
      </c>
      <c r="L36" s="172">
        <f t="shared" si="6"/>
        <v>0.98404214114183919</v>
      </c>
      <c r="M36" s="173" t="str">
        <f t="shared" si="4"/>
        <v>C</v>
      </c>
    </row>
    <row r="37" spans="2:13" ht="15" outlineLevel="1" thickBot="1">
      <c r="B37" s="182" t="s">
        <v>191</v>
      </c>
      <c r="C37" s="171">
        <f>МАРТ!AO72</f>
        <v>1401.1397157170061</v>
      </c>
      <c r="D37" s="172">
        <f t="shared" si="0"/>
        <v>2.5837170258579827E-4</v>
      </c>
      <c r="E37" s="172">
        <f t="shared" si="5"/>
        <v>1.0109168754142341</v>
      </c>
      <c r="F37" s="173" t="str">
        <f t="shared" si="3"/>
        <v>C</v>
      </c>
      <c r="G37" s="173" t="str">
        <f t="shared" si="1"/>
        <v>C</v>
      </c>
      <c r="I37" s="182" t="s">
        <v>177</v>
      </c>
      <c r="J37" s="171">
        <f>МАРТ!U58</f>
        <v>15</v>
      </c>
      <c r="K37" s="172">
        <f t="shared" si="2"/>
        <v>1.1619800139437602E-3</v>
      </c>
      <c r="L37" s="172">
        <f t="shared" si="6"/>
        <v>0.98520412115578293</v>
      </c>
      <c r="M37" s="173" t="str">
        <f t="shared" si="4"/>
        <v>C</v>
      </c>
    </row>
    <row r="38" spans="2:13" ht="15" outlineLevel="1" thickBot="1">
      <c r="B38" s="182" t="s">
        <v>160</v>
      </c>
      <c r="C38" s="171">
        <f>МАРТ!AO41</f>
        <v>1059.9055047521515</v>
      </c>
      <c r="D38" s="172">
        <f t="shared" si="0"/>
        <v>1.9544773927326445E-4</v>
      </c>
      <c r="E38" s="172">
        <f t="shared" si="5"/>
        <v>1.0111123231535073</v>
      </c>
      <c r="F38" s="173" t="str">
        <f t="shared" si="3"/>
        <v>C</v>
      </c>
      <c r="G38" s="173" t="str">
        <f t="shared" si="1"/>
        <v>C</v>
      </c>
      <c r="I38" s="182" t="s">
        <v>161</v>
      </c>
      <c r="J38" s="171">
        <f>МАРТ!U42</f>
        <v>14</v>
      </c>
      <c r="K38" s="172">
        <f t="shared" si="2"/>
        <v>1.0845146796808428E-3</v>
      </c>
      <c r="L38" s="172">
        <f t="shared" si="6"/>
        <v>0.98628863583546378</v>
      </c>
      <c r="M38" s="173" t="str">
        <f t="shared" si="4"/>
        <v>C</v>
      </c>
    </row>
    <row r="39" spans="2:13" ht="15" outlineLevel="1" thickBot="1">
      <c r="B39" s="182" t="s">
        <v>189</v>
      </c>
      <c r="C39" s="171">
        <f>МАРТ!AO70</f>
        <v>1012.7371084811311</v>
      </c>
      <c r="D39" s="172">
        <f t="shared" si="0"/>
        <v>1.8674983519126597E-4</v>
      </c>
      <c r="E39" s="172">
        <f>E35+D39</f>
        <v>1.0105576894695076</v>
      </c>
      <c r="F39" s="173" t="str">
        <f t="shared" si="3"/>
        <v>C</v>
      </c>
      <c r="G39" s="173" t="str">
        <f t="shared" si="1"/>
        <v>C</v>
      </c>
      <c r="I39" s="182" t="s">
        <v>159</v>
      </c>
      <c r="J39" s="171">
        <f>МАРТ!U40</f>
        <v>13</v>
      </c>
      <c r="K39" s="172">
        <f t="shared" si="2"/>
        <v>1.0070493454179255E-3</v>
      </c>
      <c r="L39" s="172">
        <f>L35+K39</f>
        <v>0.98380974513905051</v>
      </c>
      <c r="M39" s="173" t="str">
        <f t="shared" si="4"/>
        <v>C</v>
      </c>
    </row>
    <row r="40" spans="2:13" ht="26.5" outlineLevel="1" thickBot="1">
      <c r="B40" s="182" t="s">
        <v>201</v>
      </c>
      <c r="C40" s="171">
        <f>МАРТ!AO82</f>
        <v>867.00722703838608</v>
      </c>
      <c r="D40" s="172">
        <f t="shared" si="0"/>
        <v>1.5987708498396729E-4</v>
      </c>
      <c r="E40" s="172">
        <f t="shared" si="5"/>
        <v>1.0107175665544916</v>
      </c>
      <c r="F40" s="173" t="str">
        <f t="shared" si="3"/>
        <v>C</v>
      </c>
      <c r="G40" s="173" t="str">
        <f t="shared" si="1"/>
        <v>C</v>
      </c>
      <c r="I40" s="182" t="s">
        <v>190</v>
      </c>
      <c r="J40" s="171">
        <f>МАРТ!U71</f>
        <v>11</v>
      </c>
      <c r="K40" s="172">
        <f t="shared" si="2"/>
        <v>8.5211867689209079E-4</v>
      </c>
      <c r="L40" s="172">
        <f t="shared" si="6"/>
        <v>0.98466186381594256</v>
      </c>
      <c r="M40" s="173" t="str">
        <f t="shared" si="4"/>
        <v>C</v>
      </c>
    </row>
    <row r="41" spans="2:13" ht="15" outlineLevel="1" thickBot="1">
      <c r="B41" s="182" t="s">
        <v>170</v>
      </c>
      <c r="C41" s="171">
        <f>МАРТ!AO51</f>
        <v>845.60225097032628</v>
      </c>
      <c r="D41" s="172">
        <f t="shared" si="0"/>
        <v>1.5592998388585678E-4</v>
      </c>
      <c r="E41" s="172">
        <f t="shared" si="5"/>
        <v>1.0108734965383774</v>
      </c>
      <c r="F41" s="173" t="str">
        <f t="shared" si="3"/>
        <v>C</v>
      </c>
      <c r="G41" s="173" t="str">
        <f t="shared" si="1"/>
        <v>C</v>
      </c>
      <c r="I41" s="182" t="s">
        <v>194</v>
      </c>
      <c r="J41" s="171">
        <f>МАРТ!U75</f>
        <v>11</v>
      </c>
      <c r="K41" s="172">
        <f t="shared" si="2"/>
        <v>8.5211867689209079E-4</v>
      </c>
      <c r="L41" s="172">
        <f t="shared" si="6"/>
        <v>0.98551398249283462</v>
      </c>
      <c r="M41" s="173" t="str">
        <f t="shared" si="4"/>
        <v>C</v>
      </c>
    </row>
    <row r="42" spans="2:13" ht="26.5" outlineLevel="1" thickBot="1">
      <c r="B42" s="182" t="s">
        <v>188</v>
      </c>
      <c r="C42" s="171">
        <f>МАРТ!AO69</f>
        <v>769.34993709669175</v>
      </c>
      <c r="D42" s="172">
        <f t="shared" si="0"/>
        <v>1.4186897345225001E-4</v>
      </c>
      <c r="E42" s="172">
        <f t="shared" si="5"/>
        <v>1.0110153655118297</v>
      </c>
      <c r="F42" s="173" t="str">
        <f t="shared" si="3"/>
        <v>C</v>
      </c>
      <c r="G42" s="173" t="str">
        <f t="shared" si="1"/>
        <v>C</v>
      </c>
      <c r="I42" s="182" t="s">
        <v>199</v>
      </c>
      <c r="J42" s="171">
        <f>МАРТ!U80</f>
        <v>11</v>
      </c>
      <c r="K42" s="172">
        <f t="shared" si="2"/>
        <v>8.5211867689209079E-4</v>
      </c>
      <c r="L42" s="172">
        <f t="shared" si="6"/>
        <v>0.98636610116972667</v>
      </c>
      <c r="M42" s="173" t="str">
        <f t="shared" si="4"/>
        <v>C</v>
      </c>
    </row>
    <row r="43" spans="2:13" ht="15" outlineLevel="1" thickBot="1">
      <c r="B43" s="182" t="s">
        <v>186</v>
      </c>
      <c r="C43" s="171">
        <f>МАРТ!AO67</f>
        <v>691.0487609458653</v>
      </c>
      <c r="D43" s="172">
        <f t="shared" si="0"/>
        <v>1.2743015056426499E-4</v>
      </c>
      <c r="E43" s="172">
        <f t="shared" si="5"/>
        <v>1.011142795662394</v>
      </c>
      <c r="F43" s="173" t="str">
        <f t="shared" si="3"/>
        <v>C</v>
      </c>
      <c r="G43" s="173" t="str">
        <f t="shared" si="1"/>
        <v>C</v>
      </c>
      <c r="I43" s="182" t="s">
        <v>152</v>
      </c>
      <c r="J43" s="171">
        <f>МАРТ!U33</f>
        <v>9</v>
      </c>
      <c r="K43" s="172">
        <f t="shared" si="2"/>
        <v>6.971880083662561E-4</v>
      </c>
      <c r="L43" s="172">
        <f t="shared" si="6"/>
        <v>0.98706328917809294</v>
      </c>
      <c r="M43" s="173" t="str">
        <f t="shared" si="4"/>
        <v>C</v>
      </c>
    </row>
    <row r="44" spans="2:13" ht="26.5" outlineLevel="1" thickBot="1">
      <c r="B44" s="182" t="s">
        <v>216</v>
      </c>
      <c r="C44" s="171">
        <f>МАРТ!AO97</f>
        <v>539.93161382471635</v>
      </c>
      <c r="D44" s="172">
        <f t="shared" si="0"/>
        <v>9.9563982648512482E-5</v>
      </c>
      <c r="E44" s="172">
        <f t="shared" si="5"/>
        <v>1.0112423596450424</v>
      </c>
      <c r="F44" s="173" t="str">
        <f t="shared" si="3"/>
        <v>C</v>
      </c>
      <c r="G44" s="173" t="str">
        <f t="shared" si="1"/>
        <v>C</v>
      </c>
      <c r="I44" s="182" t="s">
        <v>207</v>
      </c>
      <c r="J44" s="171">
        <f>МАРТ!U88</f>
        <v>9</v>
      </c>
      <c r="K44" s="172">
        <f t="shared" si="2"/>
        <v>6.971880083662561E-4</v>
      </c>
      <c r="L44" s="172">
        <f t="shared" si="6"/>
        <v>0.98776047718645921</v>
      </c>
      <c r="M44" s="173" t="str">
        <f t="shared" si="4"/>
        <v>C</v>
      </c>
    </row>
    <row r="45" spans="2:13" ht="15" outlineLevel="1" thickBot="1">
      <c r="B45" s="182" t="s">
        <v>179</v>
      </c>
      <c r="C45" s="171">
        <f>МАРТ!AO60</f>
        <v>518.83640491823451</v>
      </c>
      <c r="D45" s="172">
        <f t="shared" si="0"/>
        <v>9.5674002955244223E-5</v>
      </c>
      <c r="E45" s="172">
        <f t="shared" si="5"/>
        <v>1.0113380336479976</v>
      </c>
      <c r="F45" s="173" t="str">
        <f t="shared" si="3"/>
        <v>C</v>
      </c>
      <c r="G45" s="173" t="str">
        <f t="shared" si="1"/>
        <v>C</v>
      </c>
      <c r="I45" s="182" t="s">
        <v>257</v>
      </c>
      <c r="J45" s="171">
        <f>МАРТ!U100</f>
        <v>9</v>
      </c>
      <c r="K45" s="172">
        <f t="shared" si="2"/>
        <v>6.971880083662561E-4</v>
      </c>
      <c r="L45" s="172">
        <f t="shared" si="6"/>
        <v>0.98845766519482547</v>
      </c>
      <c r="M45" s="173" t="str">
        <f t="shared" si="4"/>
        <v>C</v>
      </c>
    </row>
    <row r="46" spans="2:13" ht="26.5" outlineLevel="1" thickBot="1">
      <c r="B46" s="182" t="s">
        <v>257</v>
      </c>
      <c r="C46" s="171">
        <f>МАРТ!AO100</f>
        <v>484.09433441822603</v>
      </c>
      <c r="D46" s="172">
        <f t="shared" si="0"/>
        <v>8.9267526994458581E-5</v>
      </c>
      <c r="E46" s="172">
        <f t="shared" si="5"/>
        <v>1.0114273011749921</v>
      </c>
      <c r="F46" s="173" t="str">
        <f t="shared" si="3"/>
        <v>C</v>
      </c>
      <c r="G46" s="173" t="str">
        <f t="shared" si="1"/>
        <v>C</v>
      </c>
      <c r="I46" s="182" t="s">
        <v>204</v>
      </c>
      <c r="J46" s="171">
        <f>МАРТ!U85</f>
        <v>8</v>
      </c>
      <c r="K46" s="172">
        <f t="shared" si="2"/>
        <v>6.1972267410333876E-4</v>
      </c>
      <c r="L46" s="172">
        <f t="shared" si="6"/>
        <v>0.98907738786892885</v>
      </c>
      <c r="M46" s="173" t="str">
        <f t="shared" si="4"/>
        <v>C</v>
      </c>
    </row>
    <row r="47" spans="2:13" ht="26.5" outlineLevel="1" thickBot="1">
      <c r="B47" s="182" t="s">
        <v>143</v>
      </c>
      <c r="C47" s="171">
        <f>МАРТ!AO24</f>
        <v>346.75456769480007</v>
      </c>
      <c r="D47" s="172">
        <f t="shared" si="0"/>
        <v>6.3941923157078724E-5</v>
      </c>
      <c r="E47" s="172">
        <f t="shared" si="5"/>
        <v>1.0114912430981493</v>
      </c>
      <c r="F47" s="173" t="str">
        <f t="shared" si="3"/>
        <v>C</v>
      </c>
      <c r="G47" s="173" t="str">
        <f t="shared" si="1"/>
        <v>C</v>
      </c>
      <c r="I47" s="182" t="s">
        <v>172</v>
      </c>
      <c r="J47" s="171">
        <f>МАРТ!U53</f>
        <v>7</v>
      </c>
      <c r="K47" s="172">
        <f t="shared" si="2"/>
        <v>5.4225733984042141E-4</v>
      </c>
      <c r="L47" s="172">
        <f t="shared" si="6"/>
        <v>0.98961964520876922</v>
      </c>
      <c r="M47" s="173" t="str">
        <f t="shared" si="4"/>
        <v>C</v>
      </c>
    </row>
    <row r="48" spans="2:13" ht="26.5" outlineLevel="1" thickBot="1">
      <c r="B48" s="182" t="s">
        <v>213</v>
      </c>
      <c r="C48" s="171">
        <f>МАРТ!AO94</f>
        <v>312.88563244677749</v>
      </c>
      <c r="D48" s="172">
        <f t="shared" si="0"/>
        <v>5.7696454295808381E-5</v>
      </c>
      <c r="E48" s="172">
        <f t="shared" si="5"/>
        <v>1.0115489395524451</v>
      </c>
      <c r="F48" s="173" t="str">
        <f t="shared" si="3"/>
        <v>C</v>
      </c>
      <c r="G48" s="173" t="str">
        <f t="shared" si="1"/>
        <v>C</v>
      </c>
      <c r="I48" s="182" t="s">
        <v>195</v>
      </c>
      <c r="J48" s="171">
        <f>МАРТ!U76</f>
        <v>7</v>
      </c>
      <c r="K48" s="172">
        <f t="shared" si="2"/>
        <v>5.4225733984042141E-4</v>
      </c>
      <c r="L48" s="172">
        <f t="shared" si="6"/>
        <v>0.99016190254860958</v>
      </c>
      <c r="M48" s="173" t="str">
        <f t="shared" si="4"/>
        <v>C</v>
      </c>
    </row>
    <row r="49" spans="2:13" ht="15" outlineLevel="1" thickBot="1">
      <c r="B49" s="182" t="s">
        <v>202</v>
      </c>
      <c r="C49" s="171">
        <f>МАРТ!AO83</f>
        <v>181.91669901369752</v>
      </c>
      <c r="D49" s="172">
        <f t="shared" si="0"/>
        <v>3.3545639114872148E-5</v>
      </c>
      <c r="E49" s="172">
        <f t="shared" si="5"/>
        <v>1.01158248519156</v>
      </c>
      <c r="F49" s="173" t="str">
        <f t="shared" si="3"/>
        <v>C</v>
      </c>
      <c r="G49" s="173" t="str">
        <f t="shared" si="1"/>
        <v>C</v>
      </c>
      <c r="I49" s="182" t="s">
        <v>156</v>
      </c>
      <c r="J49" s="171">
        <f>МАРТ!U37</f>
        <v>6</v>
      </c>
      <c r="K49" s="172">
        <f t="shared" si="2"/>
        <v>4.6479200557750407E-4</v>
      </c>
      <c r="L49" s="172">
        <f t="shared" si="6"/>
        <v>0.99062669455418706</v>
      </c>
      <c r="M49" s="173" t="str">
        <f t="shared" si="4"/>
        <v>C</v>
      </c>
    </row>
    <row r="50" spans="2:13" ht="15" outlineLevel="1" thickBot="1">
      <c r="B50" s="182" t="s">
        <v>150</v>
      </c>
      <c r="C50" s="171">
        <f>МАРТ!AO31</f>
        <v>164.9655023686135</v>
      </c>
      <c r="D50" s="172">
        <f t="shared" si="0"/>
        <v>3.0419819834376054E-5</v>
      </c>
      <c r="E50" s="172">
        <f t="shared" si="5"/>
        <v>1.0116129050113944</v>
      </c>
      <c r="F50" s="173" t="str">
        <f t="shared" si="3"/>
        <v>C</v>
      </c>
      <c r="G50" s="173" t="str">
        <f t="shared" si="1"/>
        <v>C</v>
      </c>
      <c r="I50" s="182" t="s">
        <v>191</v>
      </c>
      <c r="J50" s="171">
        <f>МАРТ!U72</f>
        <v>6</v>
      </c>
      <c r="K50" s="172">
        <f t="shared" si="2"/>
        <v>4.6479200557750407E-4</v>
      </c>
      <c r="L50" s="172">
        <f t="shared" si="6"/>
        <v>0.99109148655976453</v>
      </c>
      <c r="M50" s="173" t="str">
        <f t="shared" si="4"/>
        <v>C</v>
      </c>
    </row>
    <row r="51" spans="2:13" ht="26.5" outlineLevel="1" thickBot="1">
      <c r="B51" s="182" t="s">
        <v>190</v>
      </c>
      <c r="C51" s="171">
        <f>МАРТ!AO71</f>
        <v>96.834932590779374</v>
      </c>
      <c r="D51" s="172">
        <f t="shared" si="0"/>
        <v>1.7856467932933781E-5</v>
      </c>
      <c r="E51" s="172">
        <f t="shared" si="5"/>
        <v>1.0116307614793274</v>
      </c>
      <c r="F51" s="173" t="str">
        <f t="shared" si="3"/>
        <v>C</v>
      </c>
      <c r="G51" s="173" t="str">
        <f t="shared" si="1"/>
        <v>C</v>
      </c>
      <c r="I51" s="182" t="s">
        <v>212</v>
      </c>
      <c r="J51" s="171">
        <f>МАРТ!U93</f>
        <v>6</v>
      </c>
      <c r="K51" s="172">
        <f t="shared" si="2"/>
        <v>4.6479200557750407E-4</v>
      </c>
      <c r="L51" s="172">
        <f t="shared" si="6"/>
        <v>0.99155627856534201</v>
      </c>
      <c r="M51" s="173" t="str">
        <f t="shared" si="4"/>
        <v>C</v>
      </c>
    </row>
    <row r="52" spans="2:13" ht="15" outlineLevel="1" thickBot="1">
      <c r="B52" s="182" t="s">
        <v>149</v>
      </c>
      <c r="C52" s="171">
        <f>МАРТ!AO30</f>
        <v>53.878275665590849</v>
      </c>
      <c r="D52" s="172">
        <f t="shared" si="0"/>
        <v>9.9352132124683112E-6</v>
      </c>
      <c r="E52" s="172">
        <f t="shared" si="5"/>
        <v>1.01164069669254</v>
      </c>
      <c r="F52" s="173" t="str">
        <f t="shared" si="3"/>
        <v>C</v>
      </c>
      <c r="G52" s="173" t="str">
        <f t="shared" si="1"/>
        <v>C</v>
      </c>
      <c r="I52" s="182" t="s">
        <v>179</v>
      </c>
      <c r="J52" s="171">
        <f>МАРТ!U60</f>
        <v>5</v>
      </c>
      <c r="K52" s="172">
        <f t="shared" si="2"/>
        <v>3.8732667131458672E-4</v>
      </c>
      <c r="L52" s="172">
        <f t="shared" si="6"/>
        <v>0.99194360523665659</v>
      </c>
      <c r="M52" s="173" t="str">
        <f t="shared" si="4"/>
        <v>C</v>
      </c>
    </row>
    <row r="53" spans="2:13" ht="26.5" outlineLevel="1" thickBot="1">
      <c r="B53" s="182" t="s">
        <v>200</v>
      </c>
      <c r="C53" s="171">
        <f>МАРТ!AO81</f>
        <v>59.409766016931144</v>
      </c>
      <c r="D53" s="172">
        <f t="shared" si="0"/>
        <v>1.0955226109027561E-5</v>
      </c>
      <c r="E53" s="172">
        <f t="shared" si="5"/>
        <v>1.0116516519186489</v>
      </c>
      <c r="F53" s="173" t="str">
        <f t="shared" si="3"/>
        <v>C</v>
      </c>
      <c r="G53" s="173" t="str">
        <f t="shared" si="1"/>
        <v>C</v>
      </c>
      <c r="I53" s="182" t="s">
        <v>210</v>
      </c>
      <c r="J53" s="171">
        <f>МАРТ!U91</f>
        <v>5</v>
      </c>
      <c r="K53" s="172">
        <f t="shared" si="2"/>
        <v>3.8732667131458672E-4</v>
      </c>
      <c r="L53" s="172">
        <f t="shared" si="6"/>
        <v>0.99233093190797117</v>
      </c>
      <c r="M53" s="173" t="str">
        <f t="shared" si="4"/>
        <v>C</v>
      </c>
    </row>
    <row r="54" spans="2:13" ht="15" outlineLevel="1" thickBot="1">
      <c r="B54" s="182" t="s">
        <v>153</v>
      </c>
      <c r="C54" s="171">
        <f>МАРТ!AO34</f>
        <v>4.3366228287709614</v>
      </c>
      <c r="D54" s="172">
        <f t="shared" si="0"/>
        <v>7.9967801295862923E-7</v>
      </c>
      <c r="E54" s="172">
        <f t="shared" si="5"/>
        <v>1.0116524515966618</v>
      </c>
      <c r="F54" s="173" t="str">
        <f t="shared" si="3"/>
        <v>C</v>
      </c>
      <c r="G54" s="173" t="str">
        <f t="shared" si="1"/>
        <v>C</v>
      </c>
      <c r="I54" s="182" t="s">
        <v>189</v>
      </c>
      <c r="J54" s="171">
        <f>МАРТ!U70</f>
        <v>4</v>
      </c>
      <c r="K54" s="172">
        <f t="shared" si="2"/>
        <v>3.0986133705166938E-4</v>
      </c>
      <c r="L54" s="172">
        <f t="shared" si="6"/>
        <v>0.99264079324502286</v>
      </c>
      <c r="M54" s="173" t="str">
        <f t="shared" si="4"/>
        <v>C</v>
      </c>
    </row>
    <row r="55" spans="2:13" ht="26.5" outlineLevel="1" thickBot="1">
      <c r="B55" s="182" t="s">
        <v>138</v>
      </c>
      <c r="C55" s="171">
        <f>МАРТ!AO19</f>
        <v>0</v>
      </c>
      <c r="D55" s="172">
        <f t="shared" si="0"/>
        <v>0</v>
      </c>
      <c r="E55" s="172">
        <f t="shared" si="5"/>
        <v>1.0116524515966618</v>
      </c>
      <c r="F55" s="173" t="str">
        <f t="shared" si="3"/>
        <v>C</v>
      </c>
      <c r="G55" s="173" t="str">
        <f t="shared" si="1"/>
        <v>C</v>
      </c>
      <c r="I55" s="182" t="s">
        <v>197</v>
      </c>
      <c r="J55" s="171">
        <f>МАРТ!U78</f>
        <v>4</v>
      </c>
      <c r="K55" s="172">
        <f t="shared" si="2"/>
        <v>3.0986133705166938E-4</v>
      </c>
      <c r="L55" s="172">
        <f t="shared" si="6"/>
        <v>0.99295065458207454</v>
      </c>
      <c r="M55" s="173" t="str">
        <f t="shared" si="4"/>
        <v>C</v>
      </c>
    </row>
    <row r="56" spans="2:13" ht="15" outlineLevel="1" thickBot="1">
      <c r="B56" s="182" t="s">
        <v>142</v>
      </c>
      <c r="C56" s="171">
        <f>МАРТ!AO23</f>
        <v>0</v>
      </c>
      <c r="D56" s="172">
        <f t="shared" si="0"/>
        <v>0</v>
      </c>
      <c r="E56" s="172">
        <f t="shared" si="5"/>
        <v>1.0116524515966618</v>
      </c>
      <c r="F56" s="173" t="str">
        <f t="shared" si="3"/>
        <v>C</v>
      </c>
      <c r="G56" s="173" t="str">
        <f t="shared" si="1"/>
        <v>C</v>
      </c>
      <c r="I56" s="182" t="s">
        <v>157</v>
      </c>
      <c r="J56" s="171">
        <f>МАРТ!U38</f>
        <v>3</v>
      </c>
      <c r="K56" s="172">
        <f t="shared" si="2"/>
        <v>2.3239600278875203E-4</v>
      </c>
      <c r="L56" s="172">
        <f t="shared" si="6"/>
        <v>0.99318305058486334</v>
      </c>
      <c r="M56" s="173" t="str">
        <f t="shared" si="4"/>
        <v>C</v>
      </c>
    </row>
    <row r="57" spans="2:13" ht="15" outlineLevel="1" thickBot="1">
      <c r="B57" s="182" t="s">
        <v>144</v>
      </c>
      <c r="C57" s="171">
        <f>МАРТ!AO25</f>
        <v>0</v>
      </c>
      <c r="D57" s="172">
        <f t="shared" si="0"/>
        <v>0</v>
      </c>
      <c r="E57" s="172">
        <f t="shared" si="5"/>
        <v>1.0116524515966618</v>
      </c>
      <c r="F57" s="173" t="str">
        <f t="shared" si="3"/>
        <v>C</v>
      </c>
      <c r="G57" s="173" t="str">
        <f t="shared" si="1"/>
        <v>C</v>
      </c>
      <c r="I57" s="182" t="s">
        <v>160</v>
      </c>
      <c r="J57" s="171">
        <f>МАРТ!U41</f>
        <v>3</v>
      </c>
      <c r="K57" s="172">
        <f t="shared" si="2"/>
        <v>2.3239600278875203E-4</v>
      </c>
      <c r="L57" s="172">
        <f t="shared" si="6"/>
        <v>0.99341544658765213</v>
      </c>
      <c r="M57" s="173" t="str">
        <f t="shared" si="4"/>
        <v>C</v>
      </c>
    </row>
    <row r="58" spans="2:13" ht="15" outlineLevel="1" thickBot="1">
      <c r="B58" s="182" t="s">
        <v>148</v>
      </c>
      <c r="C58" s="171">
        <f>МАРТ!AO29</f>
        <v>0</v>
      </c>
      <c r="D58" s="172">
        <f t="shared" si="0"/>
        <v>0</v>
      </c>
      <c r="E58" s="172">
        <f t="shared" si="5"/>
        <v>1.0116524515966618</v>
      </c>
      <c r="F58" s="173" t="str">
        <f t="shared" si="3"/>
        <v>C</v>
      </c>
      <c r="G58" s="173" t="str">
        <f t="shared" si="1"/>
        <v>C</v>
      </c>
      <c r="I58" s="182" t="s">
        <v>170</v>
      </c>
      <c r="J58" s="171">
        <f>МАРТ!U51</f>
        <v>3</v>
      </c>
      <c r="K58" s="172">
        <f t="shared" si="2"/>
        <v>2.3239600278875203E-4</v>
      </c>
      <c r="L58" s="172">
        <f t="shared" si="6"/>
        <v>0.99364784259044092</v>
      </c>
      <c r="M58" s="173" t="str">
        <f t="shared" si="4"/>
        <v>C</v>
      </c>
    </row>
    <row r="59" spans="2:13" ht="15" outlineLevel="1" thickBot="1">
      <c r="B59" s="182" t="s">
        <v>151</v>
      </c>
      <c r="C59" s="171">
        <f>МАРТ!AO32</f>
        <v>0</v>
      </c>
      <c r="D59" s="172">
        <f t="shared" si="0"/>
        <v>0</v>
      </c>
      <c r="E59" s="172">
        <f t="shared" si="5"/>
        <v>1.0116524515966618</v>
      </c>
      <c r="F59" s="173" t="str">
        <f t="shared" si="3"/>
        <v>C</v>
      </c>
      <c r="G59" s="173" t="str">
        <f t="shared" si="1"/>
        <v>C</v>
      </c>
      <c r="I59" s="182" t="s">
        <v>188</v>
      </c>
      <c r="J59" s="171">
        <f>МАРТ!U69</f>
        <v>3</v>
      </c>
      <c r="K59" s="172">
        <f t="shared" si="2"/>
        <v>2.3239600278875203E-4</v>
      </c>
      <c r="L59" s="172">
        <f t="shared" si="6"/>
        <v>0.99388023859322971</v>
      </c>
      <c r="M59" s="173" t="str">
        <f t="shared" si="4"/>
        <v>C</v>
      </c>
    </row>
    <row r="60" spans="2:13" ht="15" outlineLevel="1" thickBot="1">
      <c r="B60" s="182" t="s">
        <v>154</v>
      </c>
      <c r="C60" s="171">
        <f>МАРТ!AO35</f>
        <v>0</v>
      </c>
      <c r="D60" s="172">
        <f t="shared" si="0"/>
        <v>0</v>
      </c>
      <c r="E60" s="172">
        <f t="shared" si="5"/>
        <v>1.0116524515966618</v>
      </c>
      <c r="F60" s="173" t="str">
        <f t="shared" si="3"/>
        <v>C</v>
      </c>
      <c r="G60" s="173" t="str">
        <f t="shared" si="1"/>
        <v>C</v>
      </c>
      <c r="I60" s="182" t="s">
        <v>192</v>
      </c>
      <c r="J60" s="171">
        <f>МАРТ!U73</f>
        <v>3</v>
      </c>
      <c r="K60" s="172">
        <f t="shared" si="2"/>
        <v>2.3239600278875203E-4</v>
      </c>
      <c r="L60" s="172">
        <f t="shared" si="6"/>
        <v>0.99411263459601851</v>
      </c>
      <c r="M60" s="173" t="str">
        <f t="shared" si="4"/>
        <v>C</v>
      </c>
    </row>
    <row r="61" spans="2:13" ht="26.5" outlineLevel="1" thickBot="1">
      <c r="B61" s="182" t="s">
        <v>155</v>
      </c>
      <c r="C61" s="171">
        <f>МАРТ!AO36</f>
        <v>0</v>
      </c>
      <c r="D61" s="172">
        <f t="shared" si="0"/>
        <v>0</v>
      </c>
      <c r="E61" s="172">
        <f t="shared" si="5"/>
        <v>1.0116524515966618</v>
      </c>
      <c r="F61" s="173" t="str">
        <f t="shared" si="3"/>
        <v>C</v>
      </c>
      <c r="G61" s="173" t="str">
        <f t="shared" si="1"/>
        <v>C</v>
      </c>
      <c r="I61" s="182" t="s">
        <v>196</v>
      </c>
      <c r="J61" s="171">
        <f>МАРТ!U77</f>
        <v>3</v>
      </c>
      <c r="K61" s="172">
        <f t="shared" si="2"/>
        <v>2.3239600278875203E-4</v>
      </c>
      <c r="L61" s="172">
        <f t="shared" si="6"/>
        <v>0.9943450305988073</v>
      </c>
      <c r="M61" s="173" t="str">
        <f t="shared" si="4"/>
        <v>C</v>
      </c>
    </row>
    <row r="62" spans="2:13" ht="26.5" outlineLevel="1" thickBot="1">
      <c r="B62" s="182" t="s">
        <v>165</v>
      </c>
      <c r="C62" s="171">
        <f>МАРТ!AO46</f>
        <v>0</v>
      </c>
      <c r="D62" s="172">
        <f t="shared" si="0"/>
        <v>0</v>
      </c>
      <c r="E62" s="172">
        <f t="shared" si="5"/>
        <v>1.0116524515966618</v>
      </c>
      <c r="F62" s="173" t="str">
        <f t="shared" si="3"/>
        <v>C</v>
      </c>
      <c r="G62" s="173" t="str">
        <f t="shared" si="1"/>
        <v>C</v>
      </c>
      <c r="I62" s="182" t="s">
        <v>198</v>
      </c>
      <c r="J62" s="171">
        <f>МАРТ!U79</f>
        <v>3</v>
      </c>
      <c r="K62" s="172">
        <f t="shared" si="2"/>
        <v>2.3239600278875203E-4</v>
      </c>
      <c r="L62" s="172">
        <f t="shared" si="6"/>
        <v>0.99457742660159609</v>
      </c>
      <c r="M62" s="173" t="str">
        <f t="shared" si="4"/>
        <v>C</v>
      </c>
    </row>
    <row r="63" spans="2:13" ht="26.5" outlineLevel="1" thickBot="1">
      <c r="B63" s="182" t="s">
        <v>174</v>
      </c>
      <c r="C63" s="171">
        <f>МАРТ!AO55</f>
        <v>0</v>
      </c>
      <c r="D63" s="172">
        <f t="shared" si="0"/>
        <v>0</v>
      </c>
      <c r="E63" s="172">
        <f t="shared" si="5"/>
        <v>1.0116524515966618</v>
      </c>
      <c r="F63" s="173" t="str">
        <f t="shared" si="3"/>
        <v>C</v>
      </c>
      <c r="G63" s="173" t="str">
        <f t="shared" si="1"/>
        <v>C</v>
      </c>
      <c r="I63" s="182" t="s">
        <v>201</v>
      </c>
      <c r="J63" s="171">
        <f>МАРТ!U82</f>
        <v>3</v>
      </c>
      <c r="K63" s="172">
        <f t="shared" si="2"/>
        <v>2.3239600278875203E-4</v>
      </c>
      <c r="L63" s="172">
        <f t="shared" si="6"/>
        <v>0.99480982260438489</v>
      </c>
      <c r="M63" s="173" t="str">
        <f t="shared" si="4"/>
        <v>C</v>
      </c>
    </row>
    <row r="64" spans="2:13" ht="15" outlineLevel="1" thickBot="1">
      <c r="B64" s="182" t="s">
        <v>175</v>
      </c>
      <c r="C64" s="171">
        <f>МАРТ!AO56</f>
        <v>0</v>
      </c>
      <c r="D64" s="172">
        <f t="shared" si="0"/>
        <v>0</v>
      </c>
      <c r="E64" s="172">
        <f t="shared" si="5"/>
        <v>1.0116524515966618</v>
      </c>
      <c r="F64" s="173" t="str">
        <f t="shared" si="3"/>
        <v>C</v>
      </c>
      <c r="G64" s="173" t="str">
        <f t="shared" si="1"/>
        <v>C</v>
      </c>
      <c r="I64" s="182" t="s">
        <v>202</v>
      </c>
      <c r="J64" s="171">
        <f>МАРТ!U83</f>
        <v>3</v>
      </c>
      <c r="K64" s="172">
        <f t="shared" si="2"/>
        <v>2.3239600278875203E-4</v>
      </c>
      <c r="L64" s="172">
        <f t="shared" si="6"/>
        <v>0.99504221860717368</v>
      </c>
      <c r="M64" s="173" t="str">
        <f t="shared" si="4"/>
        <v>C</v>
      </c>
    </row>
    <row r="65" spans="2:13" ht="26.5" outlineLevel="1" thickBot="1">
      <c r="B65" s="182" t="s">
        <v>176</v>
      </c>
      <c r="C65" s="171">
        <f>МАРТ!AO57</f>
        <v>0</v>
      </c>
      <c r="D65" s="172">
        <f t="shared" si="0"/>
        <v>0</v>
      </c>
      <c r="E65" s="172">
        <f t="shared" si="5"/>
        <v>1.0116524515966618</v>
      </c>
      <c r="F65" s="173" t="str">
        <f t="shared" si="3"/>
        <v>C</v>
      </c>
      <c r="G65" s="173" t="str">
        <f t="shared" si="1"/>
        <v>C</v>
      </c>
      <c r="I65" s="182" t="s">
        <v>205</v>
      </c>
      <c r="J65" s="171">
        <f>МАРТ!U86</f>
        <v>3</v>
      </c>
      <c r="K65" s="172">
        <f t="shared" si="2"/>
        <v>2.3239600278875203E-4</v>
      </c>
      <c r="L65" s="172">
        <f t="shared" si="6"/>
        <v>0.99527461460996247</v>
      </c>
      <c r="M65" s="173" t="str">
        <f t="shared" si="4"/>
        <v>C</v>
      </c>
    </row>
    <row r="66" spans="2:13" ht="15" outlineLevel="1" thickBot="1">
      <c r="B66" s="182" t="s">
        <v>178</v>
      </c>
      <c r="C66" s="171">
        <f>МАРТ!AO59</f>
        <v>0</v>
      </c>
      <c r="D66" s="172">
        <f t="shared" si="0"/>
        <v>0</v>
      </c>
      <c r="E66" s="172">
        <f t="shared" si="5"/>
        <v>1.0116524515966618</v>
      </c>
      <c r="F66" s="173" t="str">
        <f t="shared" si="3"/>
        <v>C</v>
      </c>
      <c r="G66" s="173" t="str">
        <f t="shared" si="1"/>
        <v>C</v>
      </c>
      <c r="I66" s="182" t="s">
        <v>139</v>
      </c>
      <c r="J66" s="171">
        <f>МАРТ!U20</f>
        <v>2</v>
      </c>
      <c r="K66" s="172">
        <f t="shared" si="2"/>
        <v>1.5493066852583469E-4</v>
      </c>
      <c r="L66" s="172">
        <f t="shared" si="6"/>
        <v>0.99542954527848826</v>
      </c>
      <c r="M66" s="173" t="str">
        <f t="shared" si="4"/>
        <v>C</v>
      </c>
    </row>
    <row r="67" spans="2:13" ht="15" outlineLevel="1" thickBot="1">
      <c r="B67" s="182" t="s">
        <v>181</v>
      </c>
      <c r="C67" s="171">
        <f>МАРТ!AO62</f>
        <v>0</v>
      </c>
      <c r="D67" s="172">
        <f t="shared" si="0"/>
        <v>0</v>
      </c>
      <c r="E67" s="172">
        <f t="shared" si="5"/>
        <v>1.0116524515966618</v>
      </c>
      <c r="F67" s="173" t="str">
        <f t="shared" si="3"/>
        <v>C</v>
      </c>
      <c r="G67" s="173" t="str">
        <f t="shared" si="1"/>
        <v>C</v>
      </c>
      <c r="I67" s="182" t="s">
        <v>141</v>
      </c>
      <c r="J67" s="171">
        <f>МАРТ!U22</f>
        <v>2</v>
      </c>
      <c r="K67" s="172">
        <f t="shared" si="2"/>
        <v>1.5493066852583469E-4</v>
      </c>
      <c r="L67" s="172">
        <f t="shared" si="6"/>
        <v>0.99558447594701405</v>
      </c>
      <c r="M67" s="173" t="str">
        <f t="shared" si="4"/>
        <v>C</v>
      </c>
    </row>
    <row r="68" spans="2:13" ht="15" outlineLevel="1" thickBot="1">
      <c r="B68" s="182" t="s">
        <v>182</v>
      </c>
      <c r="C68" s="171">
        <f>МАРТ!AO63</f>
        <v>0</v>
      </c>
      <c r="D68" s="172">
        <f t="shared" ref="D68:D104" si="7">C68/C$105</f>
        <v>0</v>
      </c>
      <c r="E68" s="172">
        <f t="shared" si="5"/>
        <v>1.0116524515966618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180</v>
      </c>
      <c r="J68" s="171">
        <f>МАРТ!U61</f>
        <v>2</v>
      </c>
      <c r="K68" s="172">
        <f t="shared" ref="K68:K104" si="9">J68/J$105</f>
        <v>1.5493066852583469E-4</v>
      </c>
      <c r="L68" s="172">
        <f t="shared" si="6"/>
        <v>0.99573940661553983</v>
      </c>
      <c r="M68" s="173" t="str">
        <f t="shared" si="4"/>
        <v>C</v>
      </c>
    </row>
    <row r="69" spans="2:13" ht="15" outlineLevel="1" thickBot="1">
      <c r="B69" s="182" t="s">
        <v>183</v>
      </c>
      <c r="C69" s="171">
        <f>МАРТ!AO64</f>
        <v>0</v>
      </c>
      <c r="D69" s="172">
        <f t="shared" si="7"/>
        <v>0</v>
      </c>
      <c r="E69" s="172">
        <f t="shared" si="5"/>
        <v>1.0116524515966618</v>
      </c>
      <c r="F69" s="173" t="str">
        <f t="shared" si="3"/>
        <v>C</v>
      </c>
      <c r="G69" s="173" t="str">
        <f t="shared" si="8"/>
        <v>C</v>
      </c>
      <c r="I69" s="182" t="s">
        <v>186</v>
      </c>
      <c r="J69" s="171">
        <f>МАРТ!U67</f>
        <v>2</v>
      </c>
      <c r="K69" s="172">
        <f t="shared" si="9"/>
        <v>1.5493066852583469E-4</v>
      </c>
      <c r="L69" s="172">
        <f t="shared" si="6"/>
        <v>0.99589433728406562</v>
      </c>
      <c r="M69" s="173" t="str">
        <f t="shared" si="4"/>
        <v>C</v>
      </c>
    </row>
    <row r="70" spans="2:13" ht="26.5" outlineLevel="1" thickBot="1">
      <c r="B70" s="182" t="s">
        <v>187</v>
      </c>
      <c r="C70" s="171">
        <f>МАРТ!AO68</f>
        <v>0</v>
      </c>
      <c r="D70" s="172">
        <f t="shared" si="7"/>
        <v>0</v>
      </c>
      <c r="E70" s="172">
        <f t="shared" ref="E70:E75" si="10">E69+D70</f>
        <v>1.0116524515966618</v>
      </c>
      <c r="F70" s="173" t="str">
        <f t="shared" si="3"/>
        <v>C</v>
      </c>
      <c r="G70" s="173" t="str">
        <f t="shared" si="8"/>
        <v>C</v>
      </c>
      <c r="I70" s="182" t="s">
        <v>216</v>
      </c>
      <c r="J70" s="171">
        <f>МАРТ!U97</f>
        <v>2</v>
      </c>
      <c r="K70" s="172">
        <f t="shared" si="9"/>
        <v>1.5493066852583469E-4</v>
      </c>
      <c r="L70" s="172">
        <f t="shared" ref="L70:L75" si="11">L69+K70</f>
        <v>0.99604926795259141</v>
      </c>
      <c r="M70" s="173" t="str">
        <f t="shared" si="4"/>
        <v>C</v>
      </c>
    </row>
    <row r="71" spans="2:13" ht="26.5" outlineLevel="1" thickBot="1">
      <c r="B71" s="182" t="s">
        <v>214</v>
      </c>
      <c r="C71" s="171">
        <f>МАРТ!AO95</f>
        <v>0</v>
      </c>
      <c r="D71" s="172">
        <f t="shared" si="7"/>
        <v>0</v>
      </c>
      <c r="E71" s="172">
        <f t="shared" si="10"/>
        <v>1.0116524515966618</v>
      </c>
      <c r="F71" s="173" t="str">
        <f t="shared" si="3"/>
        <v>C</v>
      </c>
      <c r="G71" s="173" t="str">
        <f t="shared" si="8"/>
        <v>C</v>
      </c>
      <c r="I71" s="182" t="s">
        <v>143</v>
      </c>
      <c r="J71" s="171">
        <f>МАРТ!U24</f>
        <v>1</v>
      </c>
      <c r="K71" s="172">
        <f t="shared" si="9"/>
        <v>7.7465334262917344E-5</v>
      </c>
      <c r="L71" s="172">
        <f t="shared" si="11"/>
        <v>0.9961267332868543</v>
      </c>
      <c r="M71" s="173" t="str">
        <f t="shared" si="4"/>
        <v>C</v>
      </c>
    </row>
    <row r="72" spans="2:13" ht="15" outlineLevel="1" thickBot="1">
      <c r="B72" s="182" t="s">
        <v>215</v>
      </c>
      <c r="C72" s="171">
        <f>МАРТ!AO96</f>
        <v>0</v>
      </c>
      <c r="D72" s="172">
        <f t="shared" si="7"/>
        <v>0</v>
      </c>
      <c r="E72" s="172">
        <f t="shared" si="10"/>
        <v>1.0116524515966618</v>
      </c>
      <c r="F72" s="173" t="str">
        <f t="shared" si="3"/>
        <v>C</v>
      </c>
      <c r="G72" s="173" t="str">
        <f t="shared" si="8"/>
        <v>C</v>
      </c>
      <c r="I72" s="182" t="s">
        <v>149</v>
      </c>
      <c r="J72" s="171">
        <f>МАРТ!U30</f>
        <v>1</v>
      </c>
      <c r="K72" s="172">
        <f t="shared" si="9"/>
        <v>7.7465334262917344E-5</v>
      </c>
      <c r="L72" s="172">
        <f t="shared" si="11"/>
        <v>0.9962041986211172</v>
      </c>
      <c r="M72" s="173" t="str">
        <f t="shared" si="4"/>
        <v>C</v>
      </c>
    </row>
    <row r="73" spans="2:13" ht="15" outlineLevel="1" thickBot="1">
      <c r="B73" s="182" t="s">
        <v>256</v>
      </c>
      <c r="C73" s="171">
        <f>МАРТ!AO99</f>
        <v>0</v>
      </c>
      <c r="D73" s="172">
        <f t="shared" si="7"/>
        <v>0</v>
      </c>
      <c r="E73" s="172">
        <f t="shared" si="10"/>
        <v>1.0116524515966618</v>
      </c>
      <c r="F73" s="173" t="str">
        <f t="shared" si="3"/>
        <v>C</v>
      </c>
      <c r="G73" s="173" t="str">
        <f t="shared" si="8"/>
        <v>C</v>
      </c>
      <c r="I73" s="182" t="s">
        <v>150</v>
      </c>
      <c r="J73" s="171">
        <f>МАРТ!U31</f>
        <v>1</v>
      </c>
      <c r="K73" s="172">
        <f t="shared" si="9"/>
        <v>7.7465334262917344E-5</v>
      </c>
      <c r="L73" s="172">
        <f t="shared" si="11"/>
        <v>0.99628166395538009</v>
      </c>
      <c r="M73" s="173" t="str">
        <f t="shared" si="4"/>
        <v>C</v>
      </c>
    </row>
    <row r="74" spans="2:13" ht="15" outlineLevel="1" thickBot="1">
      <c r="B74" s="182" t="s">
        <v>258</v>
      </c>
      <c r="C74" s="171">
        <f>МАРТ!AO101</f>
        <v>0</v>
      </c>
      <c r="D74" s="172">
        <f t="shared" si="7"/>
        <v>0</v>
      </c>
      <c r="E74" s="172">
        <f t="shared" si="10"/>
        <v>1.0116524515966618</v>
      </c>
      <c r="F74" s="173" t="str">
        <f t="shared" si="3"/>
        <v>C</v>
      </c>
      <c r="G74" s="173" t="str">
        <f t="shared" si="8"/>
        <v>C</v>
      </c>
      <c r="I74" s="182" t="s">
        <v>203</v>
      </c>
      <c r="J74" s="171">
        <f>МАРТ!U84</f>
        <v>1</v>
      </c>
      <c r="K74" s="172">
        <f t="shared" si="9"/>
        <v>7.7465334262917344E-5</v>
      </c>
      <c r="L74" s="172">
        <f t="shared" si="11"/>
        <v>0.99635912928964299</v>
      </c>
      <c r="M74" s="173" t="str">
        <f t="shared" si="4"/>
        <v>C</v>
      </c>
    </row>
    <row r="75" spans="2:13" ht="26.5" outlineLevel="1" thickBot="1">
      <c r="B75" s="182" t="s">
        <v>260</v>
      </c>
      <c r="C75" s="171">
        <f>МАРТ!AO103</f>
        <v>0</v>
      </c>
      <c r="D75" s="172">
        <f t="shared" si="7"/>
        <v>0</v>
      </c>
      <c r="E75" s="172">
        <f t="shared" si="10"/>
        <v>1.0116524515966618</v>
      </c>
      <c r="F75" s="173" t="str">
        <f t="shared" si="3"/>
        <v>C</v>
      </c>
      <c r="G75" s="173" t="str">
        <f t="shared" si="8"/>
        <v>C</v>
      </c>
      <c r="I75" s="182" t="s">
        <v>213</v>
      </c>
      <c r="J75" s="171">
        <f>МАРТ!U94</f>
        <v>1</v>
      </c>
      <c r="K75" s="172">
        <f t="shared" si="9"/>
        <v>7.7465334262917344E-5</v>
      </c>
      <c r="L75" s="172">
        <f t="shared" si="11"/>
        <v>0.99643659462390588</v>
      </c>
      <c r="M75" s="173" t="str">
        <f t="shared" si="4"/>
        <v>C</v>
      </c>
    </row>
    <row r="76" spans="2:13" ht="15" outlineLevel="1" thickBot="1">
      <c r="B76" s="182" t="s">
        <v>185</v>
      </c>
      <c r="C76" s="171">
        <f>МАРТ!AO66</f>
        <v>-6.9109071588401365</v>
      </c>
      <c r="D76" s="172">
        <f t="shared" si="7"/>
        <v>-1.2743788710094272E-6</v>
      </c>
      <c r="E76" s="172">
        <f>E49+D76</f>
        <v>1.0115812108126889</v>
      </c>
      <c r="F76" s="173" t="str">
        <f t="shared" si="3"/>
        <v>C</v>
      </c>
      <c r="G76" s="173" t="str">
        <f t="shared" si="8"/>
        <v>C</v>
      </c>
      <c r="I76" s="182" t="s">
        <v>217</v>
      </c>
      <c r="J76" s="171">
        <f>МАРТ!U98</f>
        <v>1</v>
      </c>
      <c r="K76" s="172">
        <f t="shared" si="9"/>
        <v>7.7465334262917344E-5</v>
      </c>
      <c r="L76" s="172">
        <f>L49+K76</f>
        <v>0.99070415988844995</v>
      </c>
      <c r="M76" s="173" t="str">
        <f t="shared" si="4"/>
        <v>C</v>
      </c>
    </row>
    <row r="77" spans="2:13" ht="26.5" outlineLevel="1" thickBot="1">
      <c r="B77" s="182" t="s">
        <v>184</v>
      </c>
      <c r="C77" s="171">
        <f>МАРТ!AO65</f>
        <v>-177.25716111607446</v>
      </c>
      <c r="D77" s="172">
        <f t="shared" si="7"/>
        <v>-3.2686415208528263E-5</v>
      </c>
      <c r="E77" s="172">
        <f t="shared" ref="E77:E93" si="12">E76+D77</f>
        <v>1.0115485243974804</v>
      </c>
      <c r="F77" s="173" t="str">
        <f t="shared" si="3"/>
        <v>C</v>
      </c>
      <c r="G77" s="173" t="str">
        <f t="shared" si="8"/>
        <v>C</v>
      </c>
      <c r="I77" s="182" t="s">
        <v>138</v>
      </c>
      <c r="J77" s="171">
        <f>МАРТ!U19</f>
        <v>0</v>
      </c>
      <c r="K77" s="172">
        <f t="shared" si="9"/>
        <v>0</v>
      </c>
      <c r="L77" s="172">
        <f t="shared" ref="L77:L94" si="13">L76+K77</f>
        <v>0.99070415988844995</v>
      </c>
      <c r="M77" s="173" t="str">
        <f t="shared" si="4"/>
        <v>C</v>
      </c>
    </row>
    <row r="78" spans="2:13" ht="15" outlineLevel="1" thickBot="1">
      <c r="B78" s="182" t="s">
        <v>139</v>
      </c>
      <c r="C78" s="171">
        <f>МАРТ!AO20</f>
        <v>-180.24091855909955</v>
      </c>
      <c r="D78" s="172">
        <f t="shared" si="7"/>
        <v>-3.3236623358372148E-5</v>
      </c>
      <c r="E78" s="172">
        <f t="shared" si="12"/>
        <v>1.011515287774122</v>
      </c>
      <c r="F78" s="173" t="str">
        <f t="shared" si="3"/>
        <v>C</v>
      </c>
      <c r="G78" s="173" t="str">
        <f t="shared" si="8"/>
        <v>C</v>
      </c>
      <c r="I78" s="182" t="s">
        <v>140</v>
      </c>
      <c r="J78" s="171">
        <f>МАРТ!U21</f>
        <v>0</v>
      </c>
      <c r="K78" s="172">
        <f t="shared" si="9"/>
        <v>0</v>
      </c>
      <c r="L78" s="172">
        <f t="shared" si="13"/>
        <v>0.99070415988844995</v>
      </c>
      <c r="M78" s="173" t="str">
        <f t="shared" si="4"/>
        <v>C</v>
      </c>
    </row>
    <row r="79" spans="2:13" ht="26.5" outlineLevel="1" thickBot="1">
      <c r="B79" s="182" t="s">
        <v>209</v>
      </c>
      <c r="C79" s="171">
        <f>МАРТ!AO90</f>
        <v>-197.0113947176074</v>
      </c>
      <c r="D79" s="172">
        <f t="shared" si="7"/>
        <v>-3.6329117582640765E-5</v>
      </c>
      <c r="E79" s="172">
        <f t="shared" si="12"/>
        <v>1.0114789586565394</v>
      </c>
      <c r="F79" s="173" t="str">
        <f t="shared" si="3"/>
        <v>C</v>
      </c>
      <c r="G79" s="173" t="str">
        <f t="shared" si="8"/>
        <v>C</v>
      </c>
      <c r="I79" s="182" t="s">
        <v>142</v>
      </c>
      <c r="J79" s="171">
        <f>МАРТ!U23</f>
        <v>0</v>
      </c>
      <c r="K79" s="172">
        <f t="shared" si="9"/>
        <v>0</v>
      </c>
      <c r="L79" s="172">
        <f t="shared" si="13"/>
        <v>0.99070415988844995</v>
      </c>
      <c r="M79" s="173" t="str">
        <f t="shared" si="4"/>
        <v>C</v>
      </c>
    </row>
    <row r="80" spans="2:13" ht="15" outlineLevel="1" thickBot="1">
      <c r="B80" s="182" t="s">
        <v>171</v>
      </c>
      <c r="C80" s="171">
        <f>МАРТ!AO52</f>
        <v>-182.68802607544706</v>
      </c>
      <c r="D80" s="172">
        <f t="shared" si="7"/>
        <v>-3.3687872672282051E-5</v>
      </c>
      <c r="E80" s="172">
        <f t="shared" si="12"/>
        <v>1.011445270783867</v>
      </c>
      <c r="F80" s="173" t="str">
        <f t="shared" si="3"/>
        <v>C</v>
      </c>
      <c r="G80" s="173" t="str">
        <f t="shared" si="8"/>
        <v>C</v>
      </c>
      <c r="I80" s="182" t="s">
        <v>144</v>
      </c>
      <c r="J80" s="171">
        <f>МАРТ!U25</f>
        <v>0</v>
      </c>
      <c r="K80" s="172">
        <f t="shared" si="9"/>
        <v>0</v>
      </c>
      <c r="L80" s="172">
        <f t="shared" si="13"/>
        <v>0.99070415988844995</v>
      </c>
      <c r="M80" s="173" t="str">
        <f t="shared" si="4"/>
        <v>C</v>
      </c>
    </row>
    <row r="81" spans="2:13" ht="15" outlineLevel="1" thickBot="1">
      <c r="B81" s="182" t="s">
        <v>193</v>
      </c>
      <c r="C81" s="171">
        <f>МАРТ!AO74</f>
        <v>-204.83</v>
      </c>
      <c r="D81" s="172">
        <f t="shared" si="7"/>
        <v>-3.7770876984646117E-5</v>
      </c>
      <c r="E81" s="172">
        <f t="shared" si="12"/>
        <v>1.0114074999068823</v>
      </c>
      <c r="F81" s="173" t="str">
        <f t="shared" si="3"/>
        <v>C</v>
      </c>
      <c r="G81" s="173" t="str">
        <f t="shared" si="8"/>
        <v>C</v>
      </c>
      <c r="I81" s="182" t="s">
        <v>148</v>
      </c>
      <c r="J81" s="171">
        <f>МАРТ!U29</f>
        <v>0</v>
      </c>
      <c r="K81" s="172">
        <f t="shared" si="9"/>
        <v>0</v>
      </c>
      <c r="L81" s="172">
        <f t="shared" si="13"/>
        <v>0.99070415988844995</v>
      </c>
      <c r="M81" s="173" t="str">
        <f t="shared" si="4"/>
        <v>C</v>
      </c>
    </row>
    <row r="82" spans="2:13" ht="15" outlineLevel="1" thickBot="1">
      <c r="B82" s="182" t="s">
        <v>217</v>
      </c>
      <c r="C82" s="171">
        <f>МАРТ!AO98</f>
        <v>-260.99101731833474</v>
      </c>
      <c r="D82" s="172">
        <f t="shared" si="7"/>
        <v>-4.8127030265236852E-5</v>
      </c>
      <c r="E82" s="172">
        <f t="shared" si="12"/>
        <v>1.011359372876617</v>
      </c>
      <c r="F82" s="173" t="str">
        <f t="shared" si="3"/>
        <v>C</v>
      </c>
      <c r="G82" s="173" t="str">
        <f t="shared" si="8"/>
        <v>C</v>
      </c>
      <c r="I82" s="182" t="s">
        <v>151</v>
      </c>
      <c r="J82" s="171">
        <f>МАРТ!U32</f>
        <v>0</v>
      </c>
      <c r="K82" s="172">
        <f t="shared" si="9"/>
        <v>0</v>
      </c>
      <c r="L82" s="172">
        <f t="shared" si="13"/>
        <v>0.99070415988844995</v>
      </c>
      <c r="M82" s="173" t="str">
        <f t="shared" si="4"/>
        <v>C</v>
      </c>
    </row>
    <row r="83" spans="2:13" ht="15" outlineLevel="1" thickBot="1">
      <c r="B83" s="182" t="s">
        <v>180</v>
      </c>
      <c r="C83" s="171">
        <f>МАРТ!AO61</f>
        <v>-531.51114382248875</v>
      </c>
      <c r="D83" s="172">
        <f t="shared" si="7"/>
        <v>-9.8011238731083195E-5</v>
      </c>
      <c r="E83" s="172">
        <f t="shared" si="12"/>
        <v>1.011261361637886</v>
      </c>
      <c r="F83" s="173" t="str">
        <f t="shared" si="3"/>
        <v>C</v>
      </c>
      <c r="G83" s="173" t="str">
        <f t="shared" si="8"/>
        <v>C</v>
      </c>
      <c r="I83" s="182" t="s">
        <v>153</v>
      </c>
      <c r="J83" s="171">
        <f>МАРТ!U34</f>
        <v>0</v>
      </c>
      <c r="K83" s="172">
        <f t="shared" si="9"/>
        <v>0</v>
      </c>
      <c r="L83" s="172">
        <f t="shared" si="13"/>
        <v>0.99070415988844995</v>
      </c>
      <c r="M83" s="173" t="str">
        <f t="shared" si="4"/>
        <v>C</v>
      </c>
    </row>
    <row r="84" spans="2:13" ht="15" outlineLevel="1" thickBot="1">
      <c r="B84" s="182" t="s">
        <v>157</v>
      </c>
      <c r="C84" s="171">
        <f>МАРТ!AO38</f>
        <v>-630.7495493161714</v>
      </c>
      <c r="D84" s="172">
        <f t="shared" si="7"/>
        <v>-1.1631090970727963E-4</v>
      </c>
      <c r="E84" s="172">
        <f t="shared" si="12"/>
        <v>1.0111450507281787</v>
      </c>
      <c r="F84" s="173" t="str">
        <f t="shared" si="3"/>
        <v>C</v>
      </c>
      <c r="G84" s="173" t="str">
        <f t="shared" si="8"/>
        <v>C</v>
      </c>
      <c r="I84" s="182" t="s">
        <v>154</v>
      </c>
      <c r="J84" s="171">
        <f>МАРТ!U35</f>
        <v>0</v>
      </c>
      <c r="K84" s="172">
        <f t="shared" si="9"/>
        <v>0</v>
      </c>
      <c r="L84" s="172">
        <f t="shared" si="13"/>
        <v>0.99070415988844995</v>
      </c>
      <c r="M84" s="173" t="str">
        <f t="shared" si="4"/>
        <v>C</v>
      </c>
    </row>
    <row r="85" spans="2:13" ht="15" outlineLevel="1" thickBot="1">
      <c r="B85" s="182" t="s">
        <v>211</v>
      </c>
      <c r="C85" s="171">
        <f>МАРТ!AO92</f>
        <v>-729.07805716151574</v>
      </c>
      <c r="D85" s="172">
        <f t="shared" si="7"/>
        <v>-1.3444279455769367E-4</v>
      </c>
      <c r="E85" s="172">
        <f t="shared" si="12"/>
        <v>1.011010607933621</v>
      </c>
      <c r="F85" s="173" t="str">
        <f t="shared" si="3"/>
        <v>C</v>
      </c>
      <c r="G85" s="173" t="str">
        <f t="shared" si="8"/>
        <v>C</v>
      </c>
      <c r="I85" s="182" t="s">
        <v>155</v>
      </c>
      <c r="J85" s="171">
        <f>МАРТ!U36</f>
        <v>0</v>
      </c>
      <c r="K85" s="172">
        <f t="shared" si="9"/>
        <v>0</v>
      </c>
      <c r="L85" s="172">
        <f t="shared" si="13"/>
        <v>0.99070415988844995</v>
      </c>
      <c r="M85" s="173" t="str">
        <f t="shared" si="4"/>
        <v>C</v>
      </c>
    </row>
    <row r="86" spans="2:13" ht="26.5" outlineLevel="1" thickBot="1">
      <c r="B86" s="182" t="s">
        <v>146</v>
      </c>
      <c r="C86" s="171">
        <f>МАРТ!AO27</f>
        <v>-818.91176731667372</v>
      </c>
      <c r="D86" s="172">
        <f t="shared" si="7"/>
        <v>-1.5100822938337756E-4</v>
      </c>
      <c r="E86" s="172">
        <f t="shared" si="12"/>
        <v>1.0108595997042376</v>
      </c>
      <c r="F86" s="173" t="str">
        <f t="shared" si="3"/>
        <v>C</v>
      </c>
      <c r="G86" s="173" t="str">
        <f t="shared" si="8"/>
        <v>C</v>
      </c>
      <c r="I86" s="182" t="s">
        <v>165</v>
      </c>
      <c r="J86" s="171">
        <f>МАРТ!U46</f>
        <v>0</v>
      </c>
      <c r="K86" s="172">
        <f t="shared" si="9"/>
        <v>0</v>
      </c>
      <c r="L86" s="172">
        <f t="shared" si="13"/>
        <v>0.99070415988844995</v>
      </c>
      <c r="M86" s="173" t="str">
        <f t="shared" si="4"/>
        <v>C</v>
      </c>
    </row>
    <row r="87" spans="2:13" ht="26.5" outlineLevel="1" thickBot="1">
      <c r="B87" s="182" t="s">
        <v>199</v>
      </c>
      <c r="C87" s="171">
        <f>МАРТ!AO80</f>
        <v>-873.20803262669028</v>
      </c>
      <c r="D87" s="172">
        <f t="shared" si="7"/>
        <v>-1.6102052034539652E-4</v>
      </c>
      <c r="E87" s="172">
        <f t="shared" si="12"/>
        <v>1.0106985791838921</v>
      </c>
      <c r="F87" s="173" t="str">
        <f t="shared" si="3"/>
        <v>C</v>
      </c>
      <c r="G87" s="173" t="str">
        <f t="shared" si="8"/>
        <v>C</v>
      </c>
      <c r="I87" s="182" t="s">
        <v>174</v>
      </c>
      <c r="J87" s="171">
        <f>МАРТ!U55</f>
        <v>0</v>
      </c>
      <c r="K87" s="172">
        <f t="shared" si="9"/>
        <v>0</v>
      </c>
      <c r="L87" s="172">
        <f t="shared" si="13"/>
        <v>0.99070415988844995</v>
      </c>
      <c r="M87" s="173" t="str">
        <f t="shared" si="4"/>
        <v>C</v>
      </c>
    </row>
    <row r="88" spans="2:13" ht="15" outlineLevel="1" thickBot="1">
      <c r="B88" s="182" t="s">
        <v>192</v>
      </c>
      <c r="C88" s="171">
        <f>МАРТ!AO73</f>
        <v>-912.76149477297724</v>
      </c>
      <c r="D88" s="172">
        <f t="shared" si="7"/>
        <v>-1.6831422221057378E-4</v>
      </c>
      <c r="E88" s="172">
        <f t="shared" si="12"/>
        <v>1.0105302649616814</v>
      </c>
      <c r="F88" s="173" t="str">
        <f t="shared" si="3"/>
        <v>C</v>
      </c>
      <c r="G88" s="173" t="str">
        <f t="shared" si="8"/>
        <v>C</v>
      </c>
      <c r="I88" s="182" t="s">
        <v>175</v>
      </c>
      <c r="J88" s="171">
        <f>МАРТ!U56</f>
        <v>0</v>
      </c>
      <c r="K88" s="172">
        <f t="shared" si="9"/>
        <v>0</v>
      </c>
      <c r="L88" s="172">
        <f t="shared" si="13"/>
        <v>0.99070415988844995</v>
      </c>
      <c r="M88" s="173" t="str">
        <f t="shared" si="4"/>
        <v>C</v>
      </c>
    </row>
    <row r="89" spans="2:13" ht="15" outlineLevel="1" thickBot="1">
      <c r="B89" s="182" t="s">
        <v>141</v>
      </c>
      <c r="C89" s="171">
        <f>МАРТ!AO22</f>
        <v>-1169.4581496982107</v>
      </c>
      <c r="D89" s="172">
        <f t="shared" si="7"/>
        <v>-2.1564936733360824E-4</v>
      </c>
      <c r="E89" s="172">
        <f t="shared" si="12"/>
        <v>1.0103146155943479</v>
      </c>
      <c r="F89" s="173" t="str">
        <f t="shared" si="3"/>
        <v>C</v>
      </c>
      <c r="G89" s="173" t="str">
        <f t="shared" si="8"/>
        <v>C</v>
      </c>
      <c r="I89" s="182" t="s">
        <v>176</v>
      </c>
      <c r="J89" s="171">
        <f>МАРТ!U57</f>
        <v>0</v>
      </c>
      <c r="K89" s="172">
        <f t="shared" si="9"/>
        <v>0</v>
      </c>
      <c r="L89" s="172">
        <f t="shared" si="13"/>
        <v>0.99070415988844995</v>
      </c>
      <c r="M89" s="173" t="str">
        <f t="shared" si="4"/>
        <v>C</v>
      </c>
    </row>
    <row r="90" spans="2:13" ht="15" outlineLevel="1" thickBot="1">
      <c r="B90" s="182" t="s">
        <v>194</v>
      </c>
      <c r="C90" s="171">
        <f>МАРТ!AO75</f>
        <v>-1370.9455606484014</v>
      </c>
      <c r="D90" s="172">
        <f t="shared" si="7"/>
        <v>-2.528038672259799E-4</v>
      </c>
      <c r="E90" s="172">
        <f t="shared" si="12"/>
        <v>1.0100618117271218</v>
      </c>
      <c r="F90" s="173" t="str">
        <f t="shared" si="3"/>
        <v>C</v>
      </c>
      <c r="G90" s="173" t="str">
        <f t="shared" si="8"/>
        <v>C</v>
      </c>
      <c r="I90" s="182" t="s">
        <v>178</v>
      </c>
      <c r="J90" s="171">
        <f>МАРТ!U59</f>
        <v>0</v>
      </c>
      <c r="K90" s="172">
        <f t="shared" si="9"/>
        <v>0</v>
      </c>
      <c r="L90" s="172">
        <f t="shared" si="13"/>
        <v>0.99070415988844995</v>
      </c>
      <c r="M90" s="173" t="str">
        <f t="shared" si="4"/>
        <v>C</v>
      </c>
    </row>
    <row r="91" spans="2:13" ht="26.5" outlineLevel="1" thickBot="1">
      <c r="B91" s="182" t="s">
        <v>196</v>
      </c>
      <c r="C91" s="171">
        <f>МАРТ!AO77</f>
        <v>-1489.1612706864582</v>
      </c>
      <c r="D91" s="172">
        <f t="shared" si="7"/>
        <v>-2.7460297400477227E-4</v>
      </c>
      <c r="E91" s="172">
        <f t="shared" si="12"/>
        <v>1.009787208753117</v>
      </c>
      <c r="F91" s="173" t="str">
        <f t="shared" si="3"/>
        <v>C</v>
      </c>
      <c r="G91" s="173" t="str">
        <f t="shared" si="8"/>
        <v>C</v>
      </c>
      <c r="I91" s="182" t="s">
        <v>181</v>
      </c>
      <c r="J91" s="171">
        <f>МАРТ!U62</f>
        <v>0</v>
      </c>
      <c r="K91" s="172">
        <f t="shared" si="9"/>
        <v>0</v>
      </c>
      <c r="L91" s="172">
        <f t="shared" si="13"/>
        <v>0.99070415988844995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МАРТ!AO91</f>
        <v>-1703.8773806113918</v>
      </c>
      <c r="D92" s="172">
        <f t="shared" si="7"/>
        <v>-3.1419686051844907E-4</v>
      </c>
      <c r="E92" s="172">
        <f t="shared" si="12"/>
        <v>1.0094730118925985</v>
      </c>
      <c r="F92" s="173" t="str">
        <f t="shared" si="3"/>
        <v>C</v>
      </c>
      <c r="G92" s="173" t="str">
        <f t="shared" si="8"/>
        <v>C</v>
      </c>
      <c r="I92" s="182" t="s">
        <v>182</v>
      </c>
      <c r="J92" s="171">
        <f>МАРТ!U63</f>
        <v>0</v>
      </c>
      <c r="K92" s="172">
        <f t="shared" si="9"/>
        <v>0</v>
      </c>
      <c r="L92" s="172">
        <f t="shared" si="13"/>
        <v>0.99070415988844995</v>
      </c>
      <c r="M92" s="173" t="str">
        <f t="shared" si="4"/>
        <v>C</v>
      </c>
    </row>
    <row r="93" spans="2:13" ht="26.5" outlineLevel="1" thickBot="1">
      <c r="B93" s="182" t="s">
        <v>198</v>
      </c>
      <c r="C93" s="171">
        <f>МАРТ!AO79</f>
        <v>-1901.737457103301</v>
      </c>
      <c r="D93" s="172">
        <f t="shared" si="7"/>
        <v>-3.5068247595246055E-4</v>
      </c>
      <c r="E93" s="172">
        <f t="shared" si="12"/>
        <v>1.009122329416646</v>
      </c>
      <c r="F93" s="173" t="str">
        <f t="shared" si="3"/>
        <v>C</v>
      </c>
      <c r="G93" s="173" t="str">
        <f t="shared" si="8"/>
        <v>C</v>
      </c>
      <c r="I93" s="182" t="s">
        <v>183</v>
      </c>
      <c r="J93" s="171">
        <f>МАРТ!U64</f>
        <v>0</v>
      </c>
      <c r="K93" s="172">
        <f t="shared" si="9"/>
        <v>0</v>
      </c>
      <c r="L93" s="172">
        <f t="shared" si="13"/>
        <v>0.99070415988844995</v>
      </c>
      <c r="M93" s="173" t="str">
        <f t="shared" si="4"/>
        <v>C</v>
      </c>
    </row>
    <row r="94" spans="2:13" ht="26.5" outlineLevel="1" thickBot="1">
      <c r="B94" s="182" t="s">
        <v>205</v>
      </c>
      <c r="C94" s="171">
        <f>МАРТ!AO86</f>
        <v>-1943.4317065982964</v>
      </c>
      <c r="D94" s="172">
        <f t="shared" si="7"/>
        <v>-3.5837094135617395E-4</v>
      </c>
      <c r="E94" s="172">
        <f>E93+D94</f>
        <v>1.0087639584752899</v>
      </c>
      <c r="F94" s="173" t="str">
        <f t="shared" si="3"/>
        <v>C</v>
      </c>
      <c r="G94" s="173" t="str">
        <f t="shared" si="8"/>
        <v>C</v>
      </c>
      <c r="I94" s="182" t="s">
        <v>184</v>
      </c>
      <c r="J94" s="171">
        <f>МАРТ!U65</f>
        <v>0</v>
      </c>
      <c r="K94" s="172">
        <f t="shared" si="9"/>
        <v>0</v>
      </c>
      <c r="L94" s="172">
        <f t="shared" si="13"/>
        <v>0.99070415988844995</v>
      </c>
      <c r="M94" s="173" t="str">
        <f t="shared" si="4"/>
        <v>C</v>
      </c>
    </row>
    <row r="95" spans="2:13" ht="15" outlineLevel="1" thickBot="1">
      <c r="B95" s="182" t="s">
        <v>140</v>
      </c>
      <c r="C95" s="171">
        <f>МАРТ!AO21</f>
        <v>-2040.6397321335146</v>
      </c>
      <c r="D95" s="172">
        <f t="shared" si="7"/>
        <v>-3.7629620803786637E-4</v>
      </c>
      <c r="E95" s="172">
        <f>E94+D95</f>
        <v>1.0083876622672521</v>
      </c>
      <c r="F95" s="173" t="str">
        <f t="shared" si="3"/>
        <v>C</v>
      </c>
      <c r="G95" s="173" t="str">
        <f t="shared" si="8"/>
        <v>C</v>
      </c>
      <c r="I95" s="182" t="s">
        <v>185</v>
      </c>
      <c r="J95" s="171">
        <f>МАРТ!U66</f>
        <v>0</v>
      </c>
      <c r="K95" s="172">
        <f t="shared" si="9"/>
        <v>0</v>
      </c>
      <c r="L95" s="172">
        <f>L94+K95</f>
        <v>0.99070415988844995</v>
      </c>
      <c r="M95" s="173" t="str">
        <f t="shared" si="4"/>
        <v>C</v>
      </c>
    </row>
    <row r="96" spans="2:13" ht="26.5" outlineLevel="1" thickBot="1">
      <c r="B96" s="182" t="s">
        <v>172</v>
      </c>
      <c r="C96" s="171">
        <f>МАРТ!AO53</f>
        <v>-2111.329031416105</v>
      </c>
      <c r="D96" s="172">
        <f t="shared" si="7"/>
        <v>-3.8933139247048637E-4</v>
      </c>
      <c r="E96" s="172">
        <f t="shared" ref="E96:E98" si="14">E95+D96</f>
        <v>1.0079983308747815</v>
      </c>
      <c r="F96" s="173" t="str">
        <f t="shared" si="3"/>
        <v>C</v>
      </c>
      <c r="G96" s="173" t="str">
        <f t="shared" si="8"/>
        <v>C</v>
      </c>
      <c r="I96" s="182" t="s">
        <v>187</v>
      </c>
      <c r="J96" s="171">
        <f>МАРТ!U68</f>
        <v>0</v>
      </c>
      <c r="K96" s="172">
        <f t="shared" si="9"/>
        <v>0</v>
      </c>
      <c r="L96" s="172">
        <f t="shared" ref="L96:L98" si="15">L95+K96</f>
        <v>0.99070415988844995</v>
      </c>
      <c r="M96" s="173" t="str">
        <f t="shared" si="4"/>
        <v>C</v>
      </c>
    </row>
    <row r="97" spans="2:13" ht="15" outlineLevel="1" thickBot="1">
      <c r="B97" s="182" t="s">
        <v>177</v>
      </c>
      <c r="C97" s="171">
        <f>МАРТ!AO58</f>
        <v>-2655.2179110913066</v>
      </c>
      <c r="D97" s="172">
        <f t="shared" si="7"/>
        <v>-4.8962509928847711E-4</v>
      </c>
      <c r="E97" s="172">
        <f t="shared" si="14"/>
        <v>1.007508705775493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193</v>
      </c>
      <c r="J97" s="171">
        <f>МАРТ!U74</f>
        <v>0</v>
      </c>
      <c r="K97" s="172">
        <f t="shared" si="9"/>
        <v>0</v>
      </c>
      <c r="L97" s="172">
        <f t="shared" si="15"/>
        <v>0.99070415988844995</v>
      </c>
      <c r="M97" s="173" t="str">
        <f t="shared" si="4"/>
        <v>C</v>
      </c>
    </row>
    <row r="98" spans="2:13" ht="26.5" outlineLevel="1" thickBot="1">
      <c r="B98" s="182" t="s">
        <v>204</v>
      </c>
      <c r="C98" s="171">
        <f>МАРТ!AO85</f>
        <v>-2691.3915713805504</v>
      </c>
      <c r="D98" s="172">
        <f t="shared" si="7"/>
        <v>-4.9629556197885159E-4</v>
      </c>
      <c r="E98" s="172">
        <f t="shared" si="14"/>
        <v>1.0070124102135141</v>
      </c>
      <c r="F98" s="173" t="str">
        <f t="shared" si="16"/>
        <v>C</v>
      </c>
      <c r="G98" s="173" t="str">
        <f t="shared" si="8"/>
        <v>C</v>
      </c>
      <c r="I98" s="182" t="s">
        <v>209</v>
      </c>
      <c r="J98" s="171">
        <f>МАРТ!U90</f>
        <v>0</v>
      </c>
      <c r="K98" s="172">
        <f t="shared" si="9"/>
        <v>0</v>
      </c>
      <c r="L98" s="172">
        <f t="shared" si="15"/>
        <v>0.99070415988844995</v>
      </c>
      <c r="M98" s="173" t="str">
        <f t="shared" si="4"/>
        <v>C</v>
      </c>
    </row>
    <row r="99" spans="2:13" ht="15" outlineLevel="1" thickBot="1">
      <c r="B99" s="182" t="s">
        <v>197</v>
      </c>
      <c r="C99" s="171">
        <f>МАРТ!AO78</f>
        <v>-3027.6349780846417</v>
      </c>
      <c r="D99" s="172">
        <f t="shared" si="7"/>
        <v>-5.5829921550381645E-4</v>
      </c>
      <c r="E99" s="172">
        <f>E93+D99</f>
        <v>1.0085640302011423</v>
      </c>
      <c r="F99" s="173" t="str">
        <f t="shared" si="16"/>
        <v>C</v>
      </c>
      <c r="G99" s="173" t="str">
        <f t="shared" si="8"/>
        <v>C</v>
      </c>
      <c r="I99" s="182" t="s">
        <v>211</v>
      </c>
      <c r="J99" s="171">
        <f>МАРТ!U92</f>
        <v>0</v>
      </c>
      <c r="K99" s="172">
        <f t="shared" si="9"/>
        <v>0</v>
      </c>
      <c r="L99" s="172">
        <f>L93+K99</f>
        <v>0.99070415988844995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206</v>
      </c>
      <c r="C100" s="171">
        <f>МАРТ!AO87</f>
        <v>-3646.2653903329206</v>
      </c>
      <c r="D100" s="172">
        <f t="shared" si="7"/>
        <v>-6.7237534302415358E-4</v>
      </c>
      <c r="E100" s="172">
        <f t="shared" ref="E100:E104" si="18">E94+D100</f>
        <v>1.0080915831322657</v>
      </c>
      <c r="F100" s="173" t="str">
        <f t="shared" si="16"/>
        <v>C</v>
      </c>
      <c r="G100" s="173" t="str">
        <f t="shared" si="8"/>
        <v>C</v>
      </c>
      <c r="I100" s="182" t="s">
        <v>214</v>
      </c>
      <c r="J100" s="171">
        <f>МАРТ!U95</f>
        <v>0</v>
      </c>
      <c r="K100" s="172">
        <f t="shared" si="9"/>
        <v>0</v>
      </c>
      <c r="L100" s="172">
        <f t="shared" ref="L100:L104" si="19">L94+K100</f>
        <v>0.99070415988844995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МАРТ!AO76</f>
        <v>-4003.1300903230954</v>
      </c>
      <c r="D101" s="172">
        <f t="shared" si="7"/>
        <v>-7.3818158568143789E-4</v>
      </c>
      <c r="E101" s="172">
        <f t="shared" si="18"/>
        <v>1.0076494806815706</v>
      </c>
      <c r="F101" s="173" t="str">
        <f t="shared" si="16"/>
        <v>C</v>
      </c>
      <c r="G101" s="173" t="str">
        <f t="shared" si="8"/>
        <v>C</v>
      </c>
      <c r="I101" s="182" t="s">
        <v>215</v>
      </c>
      <c r="J101" s="171">
        <f>МАРТ!U96</f>
        <v>0</v>
      </c>
      <c r="K101" s="172">
        <f t="shared" si="9"/>
        <v>0</v>
      </c>
      <c r="L101" s="172">
        <f t="shared" si="19"/>
        <v>0.99070415988844995</v>
      </c>
      <c r="M101" s="173" t="str">
        <f t="shared" si="17"/>
        <v>C</v>
      </c>
    </row>
    <row r="102" spans="2:13" ht="15" outlineLevel="1" thickBot="1">
      <c r="B102" s="182" t="s">
        <v>203</v>
      </c>
      <c r="C102" s="171">
        <f>МАРТ!AO84</f>
        <v>-5479.3933604908343</v>
      </c>
      <c r="D102" s="172">
        <f t="shared" si="7"/>
        <v>-1.0104061542234339E-3</v>
      </c>
      <c r="E102" s="172">
        <f t="shared" si="18"/>
        <v>1.006987924720558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МАРТ!U99</f>
        <v>0</v>
      </c>
      <c r="K102" s="172">
        <f t="shared" si="9"/>
        <v>0</v>
      </c>
      <c r="L102" s="172">
        <f t="shared" si="19"/>
        <v>0.99070415988844995</v>
      </c>
      <c r="M102" s="173" t="str">
        <f t="shared" si="17"/>
        <v>C</v>
      </c>
    </row>
    <row r="103" spans="2:13" ht="15" outlineLevel="1" thickBot="1">
      <c r="B103" s="182" t="s">
        <v>152</v>
      </c>
      <c r="C103" s="171">
        <f>МАРТ!AO33</f>
        <v>-7977.2283206943621</v>
      </c>
      <c r="D103" s="172">
        <f t="shared" si="7"/>
        <v>-1.4710096644992522E-3</v>
      </c>
      <c r="E103" s="172">
        <f t="shared" si="18"/>
        <v>1.0060376961109938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МАРТ!U101</f>
        <v>0</v>
      </c>
      <c r="K103" s="172">
        <f t="shared" si="9"/>
        <v>0</v>
      </c>
      <c r="L103" s="172">
        <f t="shared" si="19"/>
        <v>0.99070415988844995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МАРТ!AO26</f>
        <v>-18294.29544726972</v>
      </c>
      <c r="D104" s="172">
        <f t="shared" si="7"/>
        <v>-3.3734881748747549E-3</v>
      </c>
      <c r="E104" s="172">
        <f t="shared" si="18"/>
        <v>1.0036389220386392</v>
      </c>
      <c r="F104" s="173" t="str">
        <f t="shared" si="16"/>
        <v>C</v>
      </c>
      <c r="G104" s="173" t="str">
        <f t="shared" si="8"/>
        <v>C</v>
      </c>
      <c r="I104" s="182" t="s">
        <v>260</v>
      </c>
      <c r="J104" s="171">
        <f>МАРТ!U103</f>
        <v>0</v>
      </c>
      <c r="K104" s="172">
        <f t="shared" si="9"/>
        <v>0</v>
      </c>
      <c r="L104" s="172">
        <f t="shared" si="19"/>
        <v>0.99070415988844995</v>
      </c>
      <c r="M104" s="173" t="str">
        <f t="shared" si="17"/>
        <v>C</v>
      </c>
    </row>
    <row r="105" spans="2:13" outlineLevel="1">
      <c r="C105" s="178">
        <f>SUM(C4:C104)</f>
        <v>5422961.1899999976</v>
      </c>
      <c r="D105" s="179">
        <f>SUM(D4:D104)</f>
        <v>0.99999999999999989</v>
      </c>
      <c r="J105" s="178">
        <f>SUM(J4:J104)</f>
        <v>12909</v>
      </c>
      <c r="K105" s="179">
        <f>SUM(K4:K104)</f>
        <v>1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90" priority="4" operator="equal">
      <formula>"C"</formula>
    </cfRule>
    <cfRule type="cellIs" dxfId="189" priority="5" operator="equal">
      <formula>"B"</formula>
    </cfRule>
    <cfRule type="cellIs" dxfId="188" priority="6" operator="equal">
      <formula>"A"</formula>
    </cfRule>
  </conditionalFormatting>
  <conditionalFormatting sqref="F99:G104 D99:D104 M99:M104 K99:K104">
    <cfRule type="cellIs" dxfId="187" priority="1" operator="equal">
      <formula>"C"</formula>
    </cfRule>
    <cfRule type="cellIs" dxfId="186" priority="2" operator="equal">
      <formula>"B"</formula>
    </cfRule>
    <cfRule type="cellIs" dxfId="185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9A8A-3157-47F0-8B7A-104FA2AA7A67}">
  <dimension ref="B1:Q105"/>
  <sheetViews>
    <sheetView zoomScale="80" zoomScaleNormal="80" workbookViewId="0">
      <selection activeCell="F11" sqref="F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9" t="s">
        <v>86</v>
      </c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1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13'!AO4</f>
        <v>348338.2669919593</v>
      </c>
      <c r="D4" s="172">
        <f t="shared" ref="D4:D67" si="0">C4/C$105</f>
        <v>0.21713153057609846</v>
      </c>
      <c r="E4" s="172">
        <f>D4</f>
        <v>0.21713153057609846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13'!U4</f>
        <v>589</v>
      </c>
      <c r="K4" s="172">
        <f t="shared" ref="K4:K67" si="2">J4/J$105</f>
        <v>0.16983852364475202</v>
      </c>
      <c r="L4" s="172">
        <f>K4</f>
        <v>0.16983852364475202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'Юнит 13'!AO13</f>
        <v>160493.44580216962</v>
      </c>
      <c r="D5" s="172">
        <f t="shared" si="0"/>
        <v>0.10004122669434304</v>
      </c>
      <c r="E5" s="172">
        <f>E4+D5</f>
        <v>0.31717275727044147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13'!U13</f>
        <v>304</v>
      </c>
      <c r="K5" s="172">
        <f t="shared" si="2"/>
        <v>8.7658592848904274E-2</v>
      </c>
      <c r="L5" s="172">
        <f>L4+K5</f>
        <v>0.25749711649365631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13'!AO9</f>
        <v>152158.84712731515</v>
      </c>
      <c r="D6" s="172">
        <f t="shared" si="0"/>
        <v>9.4845977310357196E-2</v>
      </c>
      <c r="E6" s="172">
        <f t="shared" ref="E6:E69" si="5">E5+D6</f>
        <v>0.41201873458079868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13'!U9</f>
        <v>301</v>
      </c>
      <c r="K6" s="172">
        <f t="shared" si="2"/>
        <v>8.6793540945790087E-2</v>
      </c>
      <c r="L6" s="172">
        <f t="shared" ref="L6:L69" si="6">L5+K6</f>
        <v>0.34429065743944642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135</v>
      </c>
      <c r="C7" s="171">
        <f>'Юнит 13'!AO16</f>
        <v>125466.6502038481</v>
      </c>
      <c r="D7" s="172">
        <f t="shared" si="0"/>
        <v>7.8207789314305623E-2</v>
      </c>
      <c r="E7" s="172">
        <f t="shared" si="5"/>
        <v>0.49022652389510429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13'!U16</f>
        <v>264</v>
      </c>
      <c r="K7" s="172">
        <f t="shared" si="2"/>
        <v>7.6124567474048443E-2</v>
      </c>
      <c r="L7" s="172">
        <f t="shared" si="6"/>
        <v>0.42041522491349487</v>
      </c>
      <c r="M7" s="173" t="str">
        <f t="shared" si="4"/>
        <v>A</v>
      </c>
    </row>
    <row r="8" spans="2:17" ht="15" outlineLevel="1" thickBot="1">
      <c r="B8" s="182" t="s">
        <v>126</v>
      </c>
      <c r="C8" s="171">
        <f>'Юнит 13'!AO7</f>
        <v>106957.9996136618</v>
      </c>
      <c r="D8" s="172">
        <f t="shared" si="0"/>
        <v>6.6670694448876647E-2</v>
      </c>
      <c r="E8" s="172">
        <f t="shared" si="5"/>
        <v>0.55689721834398098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13'!U7</f>
        <v>245</v>
      </c>
      <c r="K8" s="172">
        <f t="shared" si="2"/>
        <v>7.0645905420991931E-2</v>
      </c>
      <c r="L8" s="172">
        <f t="shared" si="6"/>
        <v>0.49106113033448678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'Юнит 13'!AO5</f>
        <v>105309.99598427325</v>
      </c>
      <c r="D9" s="172">
        <f t="shared" si="0"/>
        <v>6.5643435648015822E-2</v>
      </c>
      <c r="E9" s="172">
        <f t="shared" si="5"/>
        <v>0.62254065399199676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13'!U10</f>
        <v>211</v>
      </c>
      <c r="K9" s="172">
        <f t="shared" si="2"/>
        <v>6.0841983852364473E-2</v>
      </c>
      <c r="L9" s="172">
        <f t="shared" si="6"/>
        <v>0.55190311418685123</v>
      </c>
      <c r="M9" s="173" t="str">
        <f t="shared" si="4"/>
        <v>A</v>
      </c>
    </row>
    <row r="10" spans="2:17" ht="15" outlineLevel="1" thickBot="1">
      <c r="B10" s="182" t="s">
        <v>131</v>
      </c>
      <c r="C10" s="171">
        <f>'Юнит 13'!AO12</f>
        <v>93641.878707437834</v>
      </c>
      <c r="D10" s="172">
        <f t="shared" si="0"/>
        <v>5.8370286518755289E-2</v>
      </c>
      <c r="E10" s="172">
        <f t="shared" si="5"/>
        <v>0.68091094051075207</v>
      </c>
      <c r="F10" s="173" t="str">
        <f t="shared" si="3"/>
        <v>A</v>
      </c>
      <c r="G10" s="173" t="str">
        <f t="shared" si="1"/>
        <v>A</v>
      </c>
      <c r="I10" s="182" t="s">
        <v>131</v>
      </c>
      <c r="J10" s="171">
        <f>'Юнит 13'!U12</f>
        <v>201</v>
      </c>
      <c r="K10" s="172">
        <f t="shared" si="2"/>
        <v>5.7958477508650519E-2</v>
      </c>
      <c r="L10" s="172">
        <f t="shared" si="6"/>
        <v>0.60986159169550169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13'!AO3</f>
        <v>88818.696456851132</v>
      </c>
      <c r="D11" s="172">
        <f t="shared" si="0"/>
        <v>5.5363826868597081E-2</v>
      </c>
      <c r="E11" s="172">
        <f t="shared" si="5"/>
        <v>0.73627476737934916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13'!U5</f>
        <v>190</v>
      </c>
      <c r="K11" s="172">
        <f t="shared" si="2"/>
        <v>5.4786620530565169E-2</v>
      </c>
      <c r="L11" s="172">
        <f t="shared" si="6"/>
        <v>0.66464821222606685</v>
      </c>
      <c r="M11" s="173" t="str">
        <f>_xlfn.IFS(L11&lt;80%,"A",L11&lt;=95%,"B",L11&gt;95%,"C")</f>
        <v>A</v>
      </c>
      <c r="P11" s="271"/>
    </row>
    <row r="12" spans="2:17" ht="26.5" outlineLevel="1" thickBot="1">
      <c r="B12" s="182" t="s">
        <v>129</v>
      </c>
      <c r="C12" s="171">
        <f>'Юнит 13'!AO10</f>
        <v>77988.707204847698</v>
      </c>
      <c r="D12" s="172">
        <f t="shared" si="0"/>
        <v>4.8613112504893585E-2</v>
      </c>
      <c r="E12" s="172">
        <f t="shared" si="5"/>
        <v>0.78488787988424269</v>
      </c>
      <c r="F12" s="173" t="str">
        <f t="shared" si="3"/>
        <v>A</v>
      </c>
      <c r="G12" s="173" t="str">
        <f t="shared" si="1"/>
        <v>A</v>
      </c>
      <c r="I12" s="182" t="s">
        <v>122</v>
      </c>
      <c r="J12" s="171">
        <f>'Юнит 13'!U3</f>
        <v>173</v>
      </c>
      <c r="K12" s="172">
        <f t="shared" si="2"/>
        <v>4.988465974625144E-2</v>
      </c>
      <c r="L12" s="172">
        <f t="shared" si="6"/>
        <v>0.7145328719723183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'Юнит 13'!AO11</f>
        <v>42145.96721937121</v>
      </c>
      <c r="D13" s="172">
        <f t="shared" si="0"/>
        <v>2.6271068203262839E-2</v>
      </c>
      <c r="E13" s="172">
        <f t="shared" si="5"/>
        <v>0.81115894808750555</v>
      </c>
      <c r="F13" s="173" t="str">
        <f t="shared" si="3"/>
        <v>B</v>
      </c>
      <c r="G13" s="173" t="str">
        <f t="shared" si="1"/>
        <v>A</v>
      </c>
      <c r="I13" s="182" t="s">
        <v>130</v>
      </c>
      <c r="J13" s="171">
        <f>'Юнит 13'!U11</f>
        <v>109</v>
      </c>
      <c r="K13" s="172">
        <f t="shared" si="2"/>
        <v>3.143021914648212E-2</v>
      </c>
      <c r="L13" s="172">
        <f t="shared" si="6"/>
        <v>0.74596309111880044</v>
      </c>
      <c r="M13" s="173" t="str">
        <f t="shared" si="4"/>
        <v>A</v>
      </c>
    </row>
    <row r="14" spans="2:17" ht="15" outlineLevel="1" thickBot="1">
      <c r="B14" s="182" t="s">
        <v>133</v>
      </c>
      <c r="C14" s="171">
        <f>'Юнит 13'!AO14</f>
        <v>41306.469192021337</v>
      </c>
      <c r="D14" s="172">
        <f t="shared" si="0"/>
        <v>2.5747779466805121E-2</v>
      </c>
      <c r="E14" s="172">
        <f t="shared" si="5"/>
        <v>0.83690672755431073</v>
      </c>
      <c r="F14" s="173" t="str">
        <f t="shared" si="3"/>
        <v>B</v>
      </c>
      <c r="G14" s="173" t="str">
        <f t="shared" si="1"/>
        <v>A</v>
      </c>
      <c r="I14" s="182" t="s">
        <v>147</v>
      </c>
      <c r="J14" s="171">
        <f>'Юнит 13'!U28</f>
        <v>92</v>
      </c>
      <c r="K14" s="172">
        <f t="shared" si="2"/>
        <v>2.6528258362168398E-2</v>
      </c>
      <c r="L14" s="172">
        <f t="shared" si="6"/>
        <v>0.77249134948096887</v>
      </c>
      <c r="M14" s="173" t="str">
        <f t="shared" si="4"/>
        <v>A</v>
      </c>
    </row>
    <row r="15" spans="2:17" ht="15" outlineLevel="1" thickBot="1">
      <c r="B15" s="182" t="s">
        <v>125</v>
      </c>
      <c r="C15" s="171">
        <f>'Юнит 13'!AO6</f>
        <v>38847.498216453947</v>
      </c>
      <c r="D15" s="172">
        <f t="shared" si="0"/>
        <v>2.4215016109572614E-2</v>
      </c>
      <c r="E15" s="172">
        <f t="shared" si="5"/>
        <v>0.86112174366388339</v>
      </c>
      <c r="F15" s="173" t="str">
        <f t="shared" si="3"/>
        <v>B</v>
      </c>
      <c r="G15" s="173" t="str">
        <f t="shared" si="1"/>
        <v>B</v>
      </c>
      <c r="I15" s="182" t="s">
        <v>133</v>
      </c>
      <c r="J15" s="171">
        <f>'Юнит 13'!U14</f>
        <v>89</v>
      </c>
      <c r="K15" s="172">
        <f t="shared" si="2"/>
        <v>2.5663206459054209E-2</v>
      </c>
      <c r="L15" s="172">
        <f t="shared" si="6"/>
        <v>0.79815455594002305</v>
      </c>
      <c r="M15" s="173" t="str">
        <f t="shared" si="4"/>
        <v>A</v>
      </c>
    </row>
    <row r="16" spans="2:17" ht="15" outlineLevel="1" thickBot="1">
      <c r="B16" s="182" t="s">
        <v>147</v>
      </c>
      <c r="C16" s="171">
        <f>'Юнит 13'!AO28</f>
        <v>36184.930525780976</v>
      </c>
      <c r="D16" s="172">
        <f t="shared" si="0"/>
        <v>2.2555343737281585E-2</v>
      </c>
      <c r="E16" s="172">
        <f t="shared" si="5"/>
        <v>0.88367708740116502</v>
      </c>
      <c r="F16" s="173" t="str">
        <f t="shared" si="3"/>
        <v>B</v>
      </c>
      <c r="G16" s="173" t="str">
        <f t="shared" si="1"/>
        <v>A</v>
      </c>
      <c r="I16" s="182" t="s">
        <v>125</v>
      </c>
      <c r="J16" s="171">
        <f>'Юнит 13'!U6</f>
        <v>83</v>
      </c>
      <c r="K16" s="172">
        <f t="shared" si="2"/>
        <v>2.3933102652825836E-2</v>
      </c>
      <c r="L16" s="172">
        <f t="shared" si="6"/>
        <v>0.82208765859284894</v>
      </c>
      <c r="M16" s="173" t="str">
        <f t="shared" si="4"/>
        <v>B</v>
      </c>
    </row>
    <row r="17" spans="2:13" ht="15" outlineLevel="1" thickBot="1">
      <c r="B17" s="182" t="s">
        <v>134</v>
      </c>
      <c r="C17" s="171">
        <f>'Юнит 13'!AO15</f>
        <v>36032.316100476623</v>
      </c>
      <c r="D17" s="172">
        <f t="shared" si="0"/>
        <v>2.2460213782021485E-2</v>
      </c>
      <c r="E17" s="172">
        <f t="shared" si="5"/>
        <v>0.90613730118318647</v>
      </c>
      <c r="F17" s="173" t="str">
        <f t="shared" si="3"/>
        <v>B</v>
      </c>
      <c r="G17" s="173" t="str">
        <f t="shared" si="1"/>
        <v>B</v>
      </c>
      <c r="I17" s="182" t="s">
        <v>134</v>
      </c>
      <c r="J17" s="171">
        <f>'Юнит 13'!U15</f>
        <v>72</v>
      </c>
      <c r="K17" s="172">
        <f t="shared" si="2"/>
        <v>2.0761245674740483E-2</v>
      </c>
      <c r="L17" s="172">
        <f t="shared" si="6"/>
        <v>0.8428489042675894</v>
      </c>
      <c r="M17" s="173" t="str">
        <f t="shared" si="4"/>
        <v>B</v>
      </c>
    </row>
    <row r="18" spans="2:13" ht="26.5" outlineLevel="1" thickBot="1">
      <c r="B18" s="182" t="s">
        <v>137</v>
      </c>
      <c r="C18" s="171">
        <f>'Юнит 13'!AO18</f>
        <v>30112.707796729635</v>
      </c>
      <c r="D18" s="172">
        <f t="shared" si="0"/>
        <v>1.8770313092950096E-2</v>
      </c>
      <c r="E18" s="172">
        <f t="shared" si="5"/>
        <v>0.92490761427613655</v>
      </c>
      <c r="F18" s="173" t="str">
        <f t="shared" si="3"/>
        <v>B</v>
      </c>
      <c r="G18" s="173" t="str">
        <f t="shared" si="1"/>
        <v>B</v>
      </c>
      <c r="I18" s="182" t="s">
        <v>168</v>
      </c>
      <c r="J18" s="171">
        <f>'Юнит 13'!U49</f>
        <v>70</v>
      </c>
      <c r="K18" s="172">
        <f t="shared" si="2"/>
        <v>2.0184544405997693E-2</v>
      </c>
      <c r="L18" s="172">
        <f t="shared" si="6"/>
        <v>0.86303344867358711</v>
      </c>
      <c r="M18" s="173" t="str">
        <f t="shared" si="4"/>
        <v>B</v>
      </c>
    </row>
    <row r="19" spans="2:13" ht="26.5" outlineLevel="1" thickBot="1">
      <c r="B19" s="182" t="s">
        <v>168</v>
      </c>
      <c r="C19" s="171">
        <f>'Юнит 13'!AO49</f>
        <v>29434.324931943876</v>
      </c>
      <c r="D19" s="172">
        <f t="shared" si="0"/>
        <v>1.8347453121177512E-2</v>
      </c>
      <c r="E19" s="172">
        <f t="shared" si="5"/>
        <v>0.94325506739731402</v>
      </c>
      <c r="F19" s="173" t="str">
        <f t="shared" si="3"/>
        <v>B</v>
      </c>
      <c r="G19" s="173" t="str">
        <f t="shared" si="1"/>
        <v>B</v>
      </c>
      <c r="I19" s="182" t="s">
        <v>137</v>
      </c>
      <c r="J19" s="171">
        <f>'Юнит 13'!U18</f>
        <v>66</v>
      </c>
      <c r="K19" s="172">
        <f t="shared" si="2"/>
        <v>1.9031141868512111E-2</v>
      </c>
      <c r="L19" s="172">
        <f t="shared" si="6"/>
        <v>0.88206459054209918</v>
      </c>
      <c r="M19" s="173" t="str">
        <f t="shared" si="4"/>
        <v>B</v>
      </c>
    </row>
    <row r="20" spans="2:13" ht="15" outlineLevel="1" thickBot="1">
      <c r="B20" s="182" t="s">
        <v>127</v>
      </c>
      <c r="C20" s="171">
        <f>'Юнит 13'!AO8</f>
        <v>21235.19663259948</v>
      </c>
      <c r="D20" s="172">
        <f t="shared" si="0"/>
        <v>1.3236647201403138E-2</v>
      </c>
      <c r="E20" s="172">
        <f t="shared" si="5"/>
        <v>0.95649171459871718</v>
      </c>
      <c r="F20" s="173" t="str">
        <f t="shared" si="3"/>
        <v>C</v>
      </c>
      <c r="G20" s="173" t="str">
        <f t="shared" si="1"/>
        <v>B</v>
      </c>
      <c r="I20" s="182" t="s">
        <v>127</v>
      </c>
      <c r="J20" s="171">
        <f>'Юнит 13'!U8</f>
        <v>57</v>
      </c>
      <c r="K20" s="172">
        <f t="shared" si="2"/>
        <v>1.6435986159169549E-2</v>
      </c>
      <c r="L20" s="172">
        <f t="shared" si="6"/>
        <v>0.89850057670126871</v>
      </c>
      <c r="M20" s="173" t="str">
        <f t="shared" si="4"/>
        <v>B</v>
      </c>
    </row>
    <row r="21" spans="2:13" ht="26.5" outlineLevel="1" thickBot="1">
      <c r="B21" s="182" t="s">
        <v>169</v>
      </c>
      <c r="C21" s="171">
        <f>'Юнит 13'!AO50</f>
        <v>20080.235049441249</v>
      </c>
      <c r="D21" s="172">
        <f t="shared" si="0"/>
        <v>1.251671890161192E-2</v>
      </c>
      <c r="E21" s="172">
        <f t="shared" si="5"/>
        <v>0.96900843350032906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13'!U48</f>
        <v>57</v>
      </c>
      <c r="K21" s="172">
        <f t="shared" si="2"/>
        <v>1.6435986159169549E-2</v>
      </c>
      <c r="L21" s="172">
        <f t="shared" si="6"/>
        <v>0.91493656286043823</v>
      </c>
      <c r="M21" s="173" t="str">
        <f t="shared" si="4"/>
        <v>B</v>
      </c>
    </row>
    <row r="22" spans="2:13" ht="15" outlineLevel="1" thickBot="1">
      <c r="B22" s="182" t="s">
        <v>163</v>
      </c>
      <c r="C22" s="171">
        <f>'Юнит 13'!AO44</f>
        <v>15977.062010460599</v>
      </c>
      <c r="D22" s="172">
        <f t="shared" si="0"/>
        <v>9.959066393703522E-3</v>
      </c>
      <c r="E22" s="172">
        <f t="shared" si="5"/>
        <v>0.97896749989403253</v>
      </c>
      <c r="F22" s="173" t="str">
        <f t="shared" si="3"/>
        <v>C</v>
      </c>
      <c r="G22" s="173" t="str">
        <f t="shared" si="1"/>
        <v>B</v>
      </c>
      <c r="I22" s="182" t="s">
        <v>163</v>
      </c>
      <c r="J22" s="171">
        <f>'Юнит 13'!U44</f>
        <v>52</v>
      </c>
      <c r="K22" s="172">
        <f t="shared" si="2"/>
        <v>1.4994232987312572E-2</v>
      </c>
      <c r="L22" s="172">
        <f t="shared" si="6"/>
        <v>0.92993079584775085</v>
      </c>
      <c r="M22" s="173" t="str">
        <f t="shared" si="4"/>
        <v>B</v>
      </c>
    </row>
    <row r="23" spans="2:13" ht="15" outlineLevel="1" thickBot="1">
      <c r="B23" s="182" t="s">
        <v>167</v>
      </c>
      <c r="C23" s="171">
        <f>'Юнит 13'!AO48</f>
        <v>15402.7919600881</v>
      </c>
      <c r="D23" s="172">
        <f t="shared" si="0"/>
        <v>9.6011036120712875E-3</v>
      </c>
      <c r="E23" s="172">
        <f t="shared" si="5"/>
        <v>0.98856860350610387</v>
      </c>
      <c r="F23" s="173" t="str">
        <f t="shared" si="3"/>
        <v>C</v>
      </c>
      <c r="G23" s="173" t="str">
        <f t="shared" si="1"/>
        <v>B</v>
      </c>
      <c r="I23" s="182" t="s">
        <v>169</v>
      </c>
      <c r="J23" s="171">
        <f>'Юнит 13'!U50</f>
        <v>44</v>
      </c>
      <c r="K23" s="172">
        <f t="shared" si="2"/>
        <v>1.2687427912341407E-2</v>
      </c>
      <c r="L23" s="172">
        <f t="shared" si="6"/>
        <v>0.9426182237600923</v>
      </c>
      <c r="M23" s="173" t="str">
        <f t="shared" si="4"/>
        <v>B</v>
      </c>
    </row>
    <row r="24" spans="2:13" ht="26.5" outlineLevel="1" thickBot="1">
      <c r="B24" s="182" t="s">
        <v>136</v>
      </c>
      <c r="C24" s="171">
        <f>'Юнит 13'!AO17</f>
        <v>13744.003933077433</v>
      </c>
      <c r="D24" s="172">
        <f t="shared" si="0"/>
        <v>8.5671225157180498E-3</v>
      </c>
      <c r="E24" s="172">
        <f t="shared" si="5"/>
        <v>0.99713572602182188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13'!U17</f>
        <v>35</v>
      </c>
      <c r="K24" s="172">
        <f t="shared" si="2"/>
        <v>1.0092272202998846E-2</v>
      </c>
      <c r="L24" s="172">
        <f t="shared" si="6"/>
        <v>0.9527104959630911</v>
      </c>
      <c r="M24" s="173" t="str">
        <f t="shared" si="4"/>
        <v>C</v>
      </c>
    </row>
    <row r="25" spans="2:13" ht="15" outlineLevel="1" thickBot="1">
      <c r="B25" s="182" t="s">
        <v>164</v>
      </c>
      <c r="C25" s="171">
        <f>'Юнит 13'!AO45</f>
        <v>12318.776040374492</v>
      </c>
      <c r="D25" s="172">
        <f t="shared" si="0"/>
        <v>7.6787276906686384E-3</v>
      </c>
      <c r="E25" s="172">
        <f t="shared" si="5"/>
        <v>1.0048144537124906</v>
      </c>
      <c r="F25" s="173" t="str">
        <f t="shared" si="3"/>
        <v>C</v>
      </c>
      <c r="G25" s="173" t="str">
        <f t="shared" si="1"/>
        <v>C</v>
      </c>
      <c r="I25" s="182" t="s">
        <v>164</v>
      </c>
      <c r="J25" s="171">
        <f>'Юнит 13'!U45</f>
        <v>20</v>
      </c>
      <c r="K25" s="172">
        <f t="shared" si="2"/>
        <v>5.7670126874279125E-3</v>
      </c>
      <c r="L25" s="172">
        <f t="shared" si="6"/>
        <v>0.95847750865051906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'Юнит 13'!AO89</f>
        <v>5131.1743226555418</v>
      </c>
      <c r="D26" s="172">
        <f t="shared" si="0"/>
        <v>3.1984419740960896E-3</v>
      </c>
      <c r="E26" s="172">
        <f t="shared" si="5"/>
        <v>1.0080128956865866</v>
      </c>
      <c r="F26" s="173" t="str">
        <f t="shared" si="3"/>
        <v>C</v>
      </c>
      <c r="G26" s="173" t="str">
        <f t="shared" si="1"/>
        <v>C</v>
      </c>
      <c r="I26" s="182" t="s">
        <v>145</v>
      </c>
      <c r="J26" s="171">
        <f>'Юнит 13'!U26</f>
        <v>15</v>
      </c>
      <c r="K26" s="172">
        <f t="shared" si="2"/>
        <v>4.3252595155709346E-3</v>
      </c>
      <c r="L26" s="172">
        <f t="shared" si="6"/>
        <v>0.96280276816609001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13'!AO47</f>
        <v>4167.78480633044</v>
      </c>
      <c r="D27" s="172">
        <f t="shared" si="0"/>
        <v>2.5979273018867767E-3</v>
      </c>
      <c r="E27" s="172">
        <f>E26+D27</f>
        <v>1.0106108229884734</v>
      </c>
      <c r="F27" s="173" t="str">
        <f t="shared" si="3"/>
        <v>C</v>
      </c>
      <c r="G27" s="173" t="str">
        <f t="shared" si="1"/>
        <v>C</v>
      </c>
      <c r="I27" s="182" t="s">
        <v>259</v>
      </c>
      <c r="J27" s="171">
        <f>'Юнит 13'!U102</f>
        <v>12</v>
      </c>
      <c r="K27" s="172">
        <f t="shared" si="2"/>
        <v>3.4602076124567475E-3</v>
      </c>
      <c r="L27" s="172">
        <f>L26+K27</f>
        <v>0.96626297577854681</v>
      </c>
      <c r="M27" s="173" t="str">
        <f t="shared" si="4"/>
        <v>C</v>
      </c>
    </row>
    <row r="28" spans="2:13" ht="15" outlineLevel="1" thickBot="1">
      <c r="B28" s="182" t="s">
        <v>159</v>
      </c>
      <c r="C28" s="171">
        <f>'Юнит 13'!AO40</f>
        <v>2833.6174285026686</v>
      </c>
      <c r="D28" s="172">
        <f t="shared" si="0"/>
        <v>1.7662937082135019E-3</v>
      </c>
      <c r="E28" s="172">
        <f>E27+D28</f>
        <v>1.0123771166966868</v>
      </c>
      <c r="F28" s="173" t="str">
        <f t="shared" si="3"/>
        <v>C</v>
      </c>
      <c r="G28" s="173" t="str">
        <f t="shared" si="1"/>
        <v>C</v>
      </c>
      <c r="I28" s="182" t="s">
        <v>208</v>
      </c>
      <c r="J28" s="171">
        <f>'Юнит 13'!U89</f>
        <v>10</v>
      </c>
      <c r="K28" s="172">
        <f t="shared" si="2"/>
        <v>2.8835063437139563E-3</v>
      </c>
      <c r="L28" s="172">
        <f t="shared" si="6"/>
        <v>0.96914648212226073</v>
      </c>
      <c r="M28" s="173" t="str">
        <f t="shared" si="4"/>
        <v>C</v>
      </c>
    </row>
    <row r="29" spans="2:13" ht="15" outlineLevel="1" thickBot="1">
      <c r="B29" s="182" t="s">
        <v>257</v>
      </c>
      <c r="C29" s="171">
        <f>'Юнит 13'!AO100</f>
        <v>2676.0157008998654</v>
      </c>
      <c r="D29" s="172">
        <f t="shared" si="0"/>
        <v>1.6680549914875444E-3</v>
      </c>
      <c r="E29" s="172">
        <f t="shared" si="5"/>
        <v>1.0140451716881744</v>
      </c>
      <c r="F29" s="173" t="str">
        <f t="shared" si="3"/>
        <v>C</v>
      </c>
      <c r="G29" s="173" t="str">
        <f t="shared" si="1"/>
        <v>C</v>
      </c>
      <c r="I29" s="182" t="s">
        <v>166</v>
      </c>
      <c r="J29" s="171">
        <f>'Юнит 13'!U47</f>
        <v>8</v>
      </c>
      <c r="K29" s="172">
        <f t="shared" si="2"/>
        <v>2.306805074971165E-3</v>
      </c>
      <c r="L29" s="172">
        <f t="shared" si="6"/>
        <v>0.9714532871972319</v>
      </c>
      <c r="M29" s="173" t="str">
        <f t="shared" si="4"/>
        <v>C</v>
      </c>
    </row>
    <row r="30" spans="2:13" ht="15" outlineLevel="1" thickBot="1">
      <c r="B30" s="182" t="s">
        <v>161</v>
      </c>
      <c r="C30" s="171">
        <f>'Юнит 13'!AO42</f>
        <v>2493.1363934499323</v>
      </c>
      <c r="D30" s="172">
        <f t="shared" si="0"/>
        <v>1.5540598674944133E-3</v>
      </c>
      <c r="E30" s="172">
        <f t="shared" si="5"/>
        <v>1.0155992315556688</v>
      </c>
      <c r="F30" s="173" t="str">
        <f t="shared" si="3"/>
        <v>C</v>
      </c>
      <c r="G30" s="173" t="str">
        <f t="shared" si="1"/>
        <v>C</v>
      </c>
      <c r="I30" s="182" t="s">
        <v>159</v>
      </c>
      <c r="J30" s="171">
        <f>'Юнит 13'!U40</f>
        <v>7</v>
      </c>
      <c r="K30" s="172">
        <f t="shared" si="2"/>
        <v>2.0184544405997692E-3</v>
      </c>
      <c r="L30" s="172">
        <f t="shared" si="6"/>
        <v>0.97347174163783168</v>
      </c>
      <c r="M30" s="173" t="str">
        <f t="shared" si="4"/>
        <v>C</v>
      </c>
    </row>
    <row r="31" spans="2:13" ht="15" outlineLevel="1" thickBot="1">
      <c r="B31" s="182" t="s">
        <v>162</v>
      </c>
      <c r="C31" s="171">
        <f>'Юнит 13'!AO43</f>
        <v>2083.2305770000007</v>
      </c>
      <c r="D31" s="172">
        <f t="shared" si="0"/>
        <v>1.2985511113465468E-3</v>
      </c>
      <c r="E31" s="172">
        <f t="shared" si="5"/>
        <v>1.0168977826670154</v>
      </c>
      <c r="F31" s="173" t="str">
        <f t="shared" si="3"/>
        <v>C</v>
      </c>
      <c r="G31" s="173" t="str">
        <f t="shared" si="1"/>
        <v>C</v>
      </c>
      <c r="I31" s="182" t="s">
        <v>161</v>
      </c>
      <c r="J31" s="171">
        <f>'Юнит 13'!U42</f>
        <v>7</v>
      </c>
      <c r="K31" s="172">
        <f t="shared" si="2"/>
        <v>2.0184544405997692E-3</v>
      </c>
      <c r="L31" s="172">
        <f t="shared" si="6"/>
        <v>0.97549019607843146</v>
      </c>
      <c r="M31" s="173" t="str">
        <f t="shared" si="4"/>
        <v>C</v>
      </c>
    </row>
    <row r="32" spans="2:13" ht="26.5" outlineLevel="1" thickBot="1">
      <c r="B32" s="182" t="s">
        <v>206</v>
      </c>
      <c r="C32" s="171">
        <f>'Юнит 13'!AO87</f>
        <v>1585.7614389138855</v>
      </c>
      <c r="D32" s="172">
        <f t="shared" si="0"/>
        <v>9.8846104774321601E-4</v>
      </c>
      <c r="E32" s="172">
        <f t="shared" si="5"/>
        <v>1.0178862437147587</v>
      </c>
      <c r="F32" s="173" t="str">
        <f t="shared" si="3"/>
        <v>C</v>
      </c>
      <c r="G32" s="173" t="str">
        <f t="shared" si="1"/>
        <v>C</v>
      </c>
      <c r="I32" s="182" t="s">
        <v>206</v>
      </c>
      <c r="J32" s="171">
        <f>'Юнит 13'!U87</f>
        <v>7</v>
      </c>
      <c r="K32" s="172">
        <f t="shared" si="2"/>
        <v>2.0184544405997692E-3</v>
      </c>
      <c r="L32" s="172">
        <f t="shared" si="6"/>
        <v>0.97750865051903124</v>
      </c>
      <c r="M32" s="173" t="str">
        <f t="shared" si="4"/>
        <v>C</v>
      </c>
    </row>
    <row r="33" spans="2:13" ht="15" outlineLevel="1" thickBot="1">
      <c r="B33" s="182" t="s">
        <v>158</v>
      </c>
      <c r="C33" s="171">
        <f>'Юнит 13'!AO39</f>
        <v>1012.7331538277705</v>
      </c>
      <c r="D33" s="172">
        <f t="shared" si="0"/>
        <v>6.3127230222127459E-4</v>
      </c>
      <c r="E33" s="172">
        <f t="shared" si="5"/>
        <v>1.0185175160169799</v>
      </c>
      <c r="F33" s="173" t="str">
        <f t="shared" si="3"/>
        <v>C</v>
      </c>
      <c r="G33" s="173" t="str">
        <f t="shared" si="1"/>
        <v>C</v>
      </c>
      <c r="I33" s="182" t="s">
        <v>171</v>
      </c>
      <c r="J33" s="171">
        <f>'Юнит 13'!U52</f>
        <v>6</v>
      </c>
      <c r="K33" s="172">
        <f t="shared" si="2"/>
        <v>1.7301038062283738E-3</v>
      </c>
      <c r="L33" s="172">
        <f t="shared" si="6"/>
        <v>0.97923875432525964</v>
      </c>
      <c r="M33" s="173" t="str">
        <f t="shared" si="4"/>
        <v>C</v>
      </c>
    </row>
    <row r="34" spans="2:13" ht="15" outlineLevel="1" thickBot="1">
      <c r="B34" s="182" t="s">
        <v>202</v>
      </c>
      <c r="C34" s="171">
        <f>'Юнит 13'!AO83</f>
        <v>833.08077872763442</v>
      </c>
      <c r="D34" s="172">
        <f t="shared" si="0"/>
        <v>5.1928863900225673E-4</v>
      </c>
      <c r="E34" s="172">
        <f t="shared" si="5"/>
        <v>1.0190368046559821</v>
      </c>
      <c r="F34" s="173" t="str">
        <f t="shared" si="3"/>
        <v>C</v>
      </c>
      <c r="G34" s="173" t="str">
        <f t="shared" si="1"/>
        <v>C</v>
      </c>
      <c r="I34" s="182" t="s">
        <v>162</v>
      </c>
      <c r="J34" s="171">
        <f>'Юнит 13'!U43</f>
        <v>5</v>
      </c>
      <c r="K34" s="172">
        <f t="shared" si="2"/>
        <v>1.4417531718569781E-3</v>
      </c>
      <c r="L34" s="172">
        <f t="shared" si="6"/>
        <v>0.98068050749711666</v>
      </c>
      <c r="M34" s="173" t="str">
        <f t="shared" si="4"/>
        <v>C</v>
      </c>
    </row>
    <row r="35" spans="2:13" ht="26.5" outlineLevel="1" thickBot="1">
      <c r="B35" s="182" t="s">
        <v>190</v>
      </c>
      <c r="C35" s="171">
        <f>'Юнит 13'!AO71</f>
        <v>805.1078119999994</v>
      </c>
      <c r="D35" s="172">
        <f t="shared" si="0"/>
        <v>5.0185210200396626E-4</v>
      </c>
      <c r="E35" s="172">
        <f t="shared" si="5"/>
        <v>1.0195386567579861</v>
      </c>
      <c r="F35" s="173" t="str">
        <f t="shared" si="3"/>
        <v>C</v>
      </c>
      <c r="G35" s="173" t="str">
        <f t="shared" si="1"/>
        <v>C</v>
      </c>
      <c r="I35" s="182" t="s">
        <v>172</v>
      </c>
      <c r="J35" s="171">
        <f>'Юнит 13'!U53</f>
        <v>5</v>
      </c>
      <c r="K35" s="172">
        <f t="shared" si="2"/>
        <v>1.4417531718569781E-3</v>
      </c>
      <c r="L35" s="172">
        <f t="shared" si="6"/>
        <v>0.98212226066897368</v>
      </c>
      <c r="M35" s="173" t="str">
        <f t="shared" si="4"/>
        <v>C</v>
      </c>
    </row>
    <row r="36" spans="2:13" ht="15" outlineLevel="1" thickBot="1">
      <c r="B36" s="182" t="s">
        <v>189</v>
      </c>
      <c r="C36" s="171">
        <f>'Юнит 13'!AO70</f>
        <v>795.58479999999975</v>
      </c>
      <c r="D36" s="172">
        <f t="shared" si="0"/>
        <v>4.9591607266929029E-4</v>
      </c>
      <c r="E36" s="172">
        <f t="shared" si="5"/>
        <v>1.0200345728306552</v>
      </c>
      <c r="F36" s="173" t="str">
        <f t="shared" si="3"/>
        <v>C</v>
      </c>
      <c r="G36" s="173" t="str">
        <f t="shared" si="1"/>
        <v>C</v>
      </c>
      <c r="I36" s="182" t="s">
        <v>190</v>
      </c>
      <c r="J36" s="171">
        <f>'Юнит 13'!U71</f>
        <v>5</v>
      </c>
      <c r="K36" s="172">
        <f t="shared" si="2"/>
        <v>1.4417531718569781E-3</v>
      </c>
      <c r="L36" s="172">
        <f t="shared" si="6"/>
        <v>0.9835640138408307</v>
      </c>
      <c r="M36" s="173" t="str">
        <f t="shared" si="4"/>
        <v>C</v>
      </c>
    </row>
    <row r="37" spans="2:13" ht="15" outlineLevel="1" thickBot="1">
      <c r="B37" s="182" t="s">
        <v>173</v>
      </c>
      <c r="C37" s="171">
        <f>'Юнит 13'!AO54</f>
        <v>767.04556153604665</v>
      </c>
      <c r="D37" s="172">
        <f t="shared" si="0"/>
        <v>4.7812655852068412E-4</v>
      </c>
      <c r="E37" s="172">
        <f t="shared" si="5"/>
        <v>1.020512699389176</v>
      </c>
      <c r="F37" s="173" t="str">
        <f t="shared" si="3"/>
        <v>C</v>
      </c>
      <c r="G37" s="173" t="str">
        <f t="shared" si="1"/>
        <v>C</v>
      </c>
      <c r="I37" s="182" t="s">
        <v>257</v>
      </c>
      <c r="J37" s="171">
        <f>'Юнит 13'!U100</f>
        <v>5</v>
      </c>
      <c r="K37" s="172">
        <f t="shared" si="2"/>
        <v>1.4417531718569781E-3</v>
      </c>
      <c r="L37" s="172">
        <f t="shared" si="6"/>
        <v>0.98500576701268772</v>
      </c>
      <c r="M37" s="173" t="str">
        <f t="shared" si="4"/>
        <v>C</v>
      </c>
    </row>
    <row r="38" spans="2:13" ht="26.5" outlineLevel="1" thickBot="1">
      <c r="B38" s="182" t="s">
        <v>201</v>
      </c>
      <c r="C38" s="171">
        <f>'Юнит 13'!AO82</f>
        <v>701.61289546928958</v>
      </c>
      <c r="D38" s="172">
        <f t="shared" si="0"/>
        <v>4.3734006941216003E-4</v>
      </c>
      <c r="E38" s="172">
        <f t="shared" si="5"/>
        <v>1.0209500394585882</v>
      </c>
      <c r="F38" s="173" t="str">
        <f t="shared" si="3"/>
        <v>C</v>
      </c>
      <c r="G38" s="173" t="str">
        <f t="shared" si="1"/>
        <v>C</v>
      </c>
      <c r="I38" s="182" t="s">
        <v>146</v>
      </c>
      <c r="J38" s="171">
        <f>'Юнит 13'!U27</f>
        <v>4</v>
      </c>
      <c r="K38" s="172">
        <f t="shared" si="2"/>
        <v>1.1534025374855825E-3</v>
      </c>
      <c r="L38" s="172">
        <f t="shared" si="6"/>
        <v>0.98615916955017335</v>
      </c>
      <c r="M38" s="173" t="str">
        <f t="shared" si="4"/>
        <v>C</v>
      </c>
    </row>
    <row r="39" spans="2:13" ht="15" outlineLevel="1" thickBot="1">
      <c r="B39" s="182" t="s">
        <v>171</v>
      </c>
      <c r="C39" s="171">
        <f>'Юнит 13'!AO52</f>
        <v>647.65235565554099</v>
      </c>
      <c r="D39" s="172">
        <f t="shared" si="0"/>
        <v>4.0370456131352735E-4</v>
      </c>
      <c r="E39" s="172">
        <f>E35+D39</f>
        <v>1.0199423613192995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13'!U39</f>
        <v>4</v>
      </c>
      <c r="K39" s="172">
        <f t="shared" si="2"/>
        <v>1.1534025374855825E-3</v>
      </c>
      <c r="L39" s="172">
        <f>L35+K39</f>
        <v>0.98327566320645932</v>
      </c>
      <c r="M39" s="173" t="str">
        <f t="shared" si="4"/>
        <v>C</v>
      </c>
    </row>
    <row r="40" spans="2:13" ht="26.5" outlineLevel="1" thickBot="1">
      <c r="B40" s="182" t="s">
        <v>200</v>
      </c>
      <c r="C40" s="171">
        <f>'Юнит 13'!AO81</f>
        <v>635.16915565554041</v>
      </c>
      <c r="D40" s="172">
        <f t="shared" si="0"/>
        <v>3.9592334236823631E-4</v>
      </c>
      <c r="E40" s="172">
        <f t="shared" si="5"/>
        <v>1.0203382846616678</v>
      </c>
      <c r="F40" s="173" t="str">
        <f t="shared" si="3"/>
        <v>C</v>
      </c>
      <c r="G40" s="173" t="str">
        <f t="shared" si="1"/>
        <v>C</v>
      </c>
      <c r="I40" s="182" t="s">
        <v>173</v>
      </c>
      <c r="J40" s="171">
        <f>'Юнит 13'!U54</f>
        <v>4</v>
      </c>
      <c r="K40" s="172">
        <f t="shared" si="2"/>
        <v>1.1534025374855825E-3</v>
      </c>
      <c r="L40" s="172">
        <f t="shared" si="6"/>
        <v>0.98442906574394495</v>
      </c>
      <c r="M40" s="173" t="str">
        <f t="shared" si="4"/>
        <v>C</v>
      </c>
    </row>
    <row r="41" spans="2:13" ht="15" outlineLevel="1" thickBot="1">
      <c r="B41" s="182" t="s">
        <v>186</v>
      </c>
      <c r="C41" s="171">
        <f>'Юнит 13'!AO67</f>
        <v>377.1783999999999</v>
      </c>
      <c r="D41" s="172">
        <f t="shared" si="0"/>
        <v>2.3510860290906343E-4</v>
      </c>
      <c r="E41" s="172">
        <f t="shared" si="5"/>
        <v>1.0205733932645769</v>
      </c>
      <c r="F41" s="173" t="str">
        <f t="shared" si="3"/>
        <v>C</v>
      </c>
      <c r="G41" s="173" t="str">
        <f t="shared" si="1"/>
        <v>C</v>
      </c>
      <c r="I41" s="182" t="s">
        <v>195</v>
      </c>
      <c r="J41" s="171">
        <f>'Юнит 13'!U76</f>
        <v>4</v>
      </c>
      <c r="K41" s="172">
        <f t="shared" si="2"/>
        <v>1.1534025374855825E-3</v>
      </c>
      <c r="L41" s="172">
        <f t="shared" si="6"/>
        <v>0.98558246828143059</v>
      </c>
      <c r="M41" s="173" t="str">
        <f t="shared" si="4"/>
        <v>C</v>
      </c>
    </row>
    <row r="42" spans="2:13" ht="15" outlineLevel="1" thickBot="1">
      <c r="B42" s="182" t="s">
        <v>157</v>
      </c>
      <c r="C42" s="171">
        <f>'Юнит 13'!AO38</f>
        <v>365.11095655540436</v>
      </c>
      <c r="D42" s="172">
        <f t="shared" si="0"/>
        <v>2.2758653969191472E-4</v>
      </c>
      <c r="E42" s="172">
        <f t="shared" si="5"/>
        <v>1.0208009798042688</v>
      </c>
      <c r="F42" s="173" t="str">
        <f t="shared" si="3"/>
        <v>C</v>
      </c>
      <c r="G42" s="173" t="str">
        <f t="shared" si="1"/>
        <v>C</v>
      </c>
      <c r="I42" s="182" t="s">
        <v>152</v>
      </c>
      <c r="J42" s="171">
        <f>'Юнит 13'!U33</f>
        <v>3</v>
      </c>
      <c r="K42" s="172">
        <f t="shared" si="2"/>
        <v>8.6505190311418688E-4</v>
      </c>
      <c r="L42" s="172">
        <f t="shared" si="6"/>
        <v>0.98644752018454473</v>
      </c>
      <c r="M42" s="173" t="str">
        <f t="shared" si="4"/>
        <v>C</v>
      </c>
    </row>
    <row r="43" spans="2:13" ht="15" outlineLevel="1" thickBot="1">
      <c r="B43" s="182" t="s">
        <v>143</v>
      </c>
      <c r="C43" s="171">
        <f>'Юнит 13'!AO24</f>
        <v>346.00909999999993</v>
      </c>
      <c r="D43" s="172">
        <f t="shared" si="0"/>
        <v>2.1567967862110455E-4</v>
      </c>
      <c r="E43" s="172">
        <f t="shared" si="5"/>
        <v>1.0210166594828898</v>
      </c>
      <c r="F43" s="173" t="str">
        <f t="shared" si="3"/>
        <v>C</v>
      </c>
      <c r="G43" s="173" t="str">
        <f t="shared" si="1"/>
        <v>C</v>
      </c>
      <c r="I43" s="182" t="s">
        <v>177</v>
      </c>
      <c r="J43" s="171">
        <f>'Юнит 13'!U58</f>
        <v>3</v>
      </c>
      <c r="K43" s="172">
        <f t="shared" si="2"/>
        <v>8.6505190311418688E-4</v>
      </c>
      <c r="L43" s="172">
        <f t="shared" si="6"/>
        <v>0.98731257208765888</v>
      </c>
      <c r="M43" s="173" t="str">
        <f t="shared" si="4"/>
        <v>C</v>
      </c>
    </row>
    <row r="44" spans="2:13" ht="26.5" outlineLevel="1" thickBot="1">
      <c r="B44" s="182" t="s">
        <v>153</v>
      </c>
      <c r="C44" s="171">
        <f>'Юнит 13'!AO34</f>
        <v>328.99</v>
      </c>
      <c r="D44" s="172">
        <f t="shared" si="0"/>
        <v>2.050710731872578E-4</v>
      </c>
      <c r="E44" s="172">
        <f t="shared" si="5"/>
        <v>1.0212217305560771</v>
      </c>
      <c r="F44" s="173" t="str">
        <f t="shared" si="3"/>
        <v>C</v>
      </c>
      <c r="G44" s="173" t="str">
        <f t="shared" si="1"/>
        <v>C</v>
      </c>
      <c r="I44" s="182" t="s">
        <v>200</v>
      </c>
      <c r="J44" s="171">
        <f>'Юнит 13'!U81</f>
        <v>3</v>
      </c>
      <c r="K44" s="172">
        <f t="shared" si="2"/>
        <v>8.6505190311418688E-4</v>
      </c>
      <c r="L44" s="172">
        <f t="shared" si="6"/>
        <v>0.98817762399077302</v>
      </c>
      <c r="M44" s="173" t="str">
        <f t="shared" si="4"/>
        <v>C</v>
      </c>
    </row>
    <row r="45" spans="2:13" ht="15" outlineLevel="1" thickBot="1">
      <c r="B45" s="182" t="s">
        <v>170</v>
      </c>
      <c r="C45" s="171">
        <f>'Юнит 13'!AO51</f>
        <v>290.24899999999997</v>
      </c>
      <c r="D45" s="172">
        <f t="shared" si="0"/>
        <v>1.8092244117307024E-4</v>
      </c>
      <c r="E45" s="172">
        <f t="shared" si="5"/>
        <v>1.0214026529972502</v>
      </c>
      <c r="F45" s="173" t="str">
        <f t="shared" si="3"/>
        <v>C</v>
      </c>
      <c r="G45" s="173" t="str">
        <f t="shared" si="1"/>
        <v>C</v>
      </c>
      <c r="I45" s="182" t="s">
        <v>139</v>
      </c>
      <c r="J45" s="171">
        <f>'Юнит 13'!U20</f>
        <v>2</v>
      </c>
      <c r="K45" s="172">
        <f t="shared" si="2"/>
        <v>5.7670126874279125E-4</v>
      </c>
      <c r="L45" s="172">
        <f t="shared" si="6"/>
        <v>0.98875432525951579</v>
      </c>
      <c r="M45" s="173" t="str">
        <f t="shared" si="4"/>
        <v>C</v>
      </c>
    </row>
    <row r="46" spans="2:13" ht="15" outlineLevel="1" thickBot="1">
      <c r="B46" s="182" t="s">
        <v>177</v>
      </c>
      <c r="C46" s="171">
        <f>'Юнит 13'!AO58</f>
        <v>260.32428370827631</v>
      </c>
      <c r="D46" s="172">
        <f t="shared" si="0"/>
        <v>1.6226930981719928E-4</v>
      </c>
      <c r="E46" s="172">
        <f t="shared" si="5"/>
        <v>1.0215649223070673</v>
      </c>
      <c r="F46" s="173" t="str">
        <f t="shared" si="3"/>
        <v>C</v>
      </c>
      <c r="G46" s="173" t="str">
        <f t="shared" si="1"/>
        <v>C</v>
      </c>
      <c r="I46" s="182" t="s">
        <v>157</v>
      </c>
      <c r="J46" s="171">
        <f>'Юнит 13'!U38</f>
        <v>2</v>
      </c>
      <c r="K46" s="172">
        <f t="shared" si="2"/>
        <v>5.7670126874279125E-4</v>
      </c>
      <c r="L46" s="172">
        <f t="shared" si="6"/>
        <v>0.98933102652825855</v>
      </c>
      <c r="M46" s="173" t="str">
        <f t="shared" si="4"/>
        <v>C</v>
      </c>
    </row>
    <row r="47" spans="2:13" ht="26.5" outlineLevel="1" thickBot="1">
      <c r="B47" s="182" t="s">
        <v>207</v>
      </c>
      <c r="C47" s="171">
        <f>'Юнит 13'!AO88</f>
        <v>140.04123891388508</v>
      </c>
      <c r="D47" s="172">
        <f t="shared" si="0"/>
        <v>8.7292644623069337E-5</v>
      </c>
      <c r="E47" s="172">
        <f t="shared" si="5"/>
        <v>1.0216522149516905</v>
      </c>
      <c r="F47" s="173" t="str">
        <f t="shared" si="3"/>
        <v>C</v>
      </c>
      <c r="G47" s="173" t="str">
        <f t="shared" si="1"/>
        <v>C</v>
      </c>
      <c r="I47" s="182" t="s">
        <v>189</v>
      </c>
      <c r="J47" s="171">
        <f>'Юнит 13'!U70</f>
        <v>2</v>
      </c>
      <c r="K47" s="172">
        <f t="shared" si="2"/>
        <v>5.7670126874279125E-4</v>
      </c>
      <c r="L47" s="172">
        <f t="shared" si="6"/>
        <v>0.98990772779700131</v>
      </c>
      <c r="M47" s="173" t="str">
        <f t="shared" si="4"/>
        <v>C</v>
      </c>
    </row>
    <row r="48" spans="2:13" ht="26.5" outlineLevel="1" thickBot="1">
      <c r="B48" s="182" t="s">
        <v>179</v>
      </c>
      <c r="C48" s="171">
        <f>'Юнит 13'!AO60</f>
        <v>134.91041719158727</v>
      </c>
      <c r="D48" s="172">
        <f t="shared" si="0"/>
        <v>8.4094422437215347E-5</v>
      </c>
      <c r="E48" s="172">
        <f t="shared" si="5"/>
        <v>1.0217363093741276</v>
      </c>
      <c r="F48" s="173" t="str">
        <f t="shared" si="3"/>
        <v>C</v>
      </c>
      <c r="G48" s="173" t="str">
        <f t="shared" si="1"/>
        <v>C</v>
      </c>
      <c r="I48" s="182" t="s">
        <v>198</v>
      </c>
      <c r="J48" s="171">
        <f>'Юнит 13'!U79</f>
        <v>2</v>
      </c>
      <c r="K48" s="172">
        <f t="shared" si="2"/>
        <v>5.7670126874279125E-4</v>
      </c>
      <c r="L48" s="172">
        <f t="shared" si="6"/>
        <v>0.99048442906574408</v>
      </c>
      <c r="M48" s="173" t="str">
        <f t="shared" si="4"/>
        <v>C</v>
      </c>
    </row>
    <row r="49" spans="2:13" ht="26.5" outlineLevel="1" thickBot="1">
      <c r="B49" s="182" t="s">
        <v>192</v>
      </c>
      <c r="C49" s="171">
        <f>'Юнит 13'!AO73</f>
        <v>115.45079999999992</v>
      </c>
      <c r="D49" s="172">
        <f t="shared" si="0"/>
        <v>7.1964556540707756E-5</v>
      </c>
      <c r="E49" s="172">
        <f t="shared" si="5"/>
        <v>1.0218082739306684</v>
      </c>
      <c r="F49" s="173" t="str">
        <f t="shared" si="3"/>
        <v>C</v>
      </c>
      <c r="G49" s="173" t="str">
        <f t="shared" si="1"/>
        <v>C</v>
      </c>
      <c r="I49" s="182" t="s">
        <v>199</v>
      </c>
      <c r="J49" s="171">
        <f>'Юнит 13'!U80</f>
        <v>2</v>
      </c>
      <c r="K49" s="172">
        <f t="shared" si="2"/>
        <v>5.7670126874279125E-4</v>
      </c>
      <c r="L49" s="172">
        <f t="shared" si="6"/>
        <v>0.99106113033448684</v>
      </c>
      <c r="M49" s="173" t="str">
        <f t="shared" si="4"/>
        <v>C</v>
      </c>
    </row>
    <row r="50" spans="2:13" ht="26.5" outlineLevel="1" thickBot="1">
      <c r="B50" s="182" t="s">
        <v>138</v>
      </c>
      <c r="C50" s="171">
        <f>'Юнит 13'!AO19</f>
        <v>0</v>
      </c>
      <c r="D50" s="172">
        <f t="shared" si="0"/>
        <v>0</v>
      </c>
      <c r="E50" s="172">
        <f t="shared" si="5"/>
        <v>1.0218082739306684</v>
      </c>
      <c r="F50" s="173" t="str">
        <f t="shared" si="3"/>
        <v>C</v>
      </c>
      <c r="G50" s="173" t="str">
        <f t="shared" si="1"/>
        <v>C</v>
      </c>
      <c r="I50" s="182" t="s">
        <v>201</v>
      </c>
      <c r="J50" s="171">
        <f>'Юнит 13'!U82</f>
        <v>2</v>
      </c>
      <c r="K50" s="172">
        <f t="shared" si="2"/>
        <v>5.7670126874279125E-4</v>
      </c>
      <c r="L50" s="172">
        <f t="shared" si="6"/>
        <v>0.9916378316032296</v>
      </c>
      <c r="M50" s="173" t="str">
        <f t="shared" si="4"/>
        <v>C</v>
      </c>
    </row>
    <row r="51" spans="2:13" ht="15" outlineLevel="1" thickBot="1">
      <c r="B51" s="182" t="s">
        <v>142</v>
      </c>
      <c r="C51" s="171">
        <f>'Юнит 13'!AO23</f>
        <v>0</v>
      </c>
      <c r="D51" s="172">
        <f t="shared" si="0"/>
        <v>0</v>
      </c>
      <c r="E51" s="172">
        <f t="shared" si="5"/>
        <v>1.0218082739306684</v>
      </c>
      <c r="F51" s="173" t="str">
        <f t="shared" si="3"/>
        <v>C</v>
      </c>
      <c r="G51" s="173" t="str">
        <f t="shared" si="1"/>
        <v>C</v>
      </c>
      <c r="I51" s="182" t="s">
        <v>202</v>
      </c>
      <c r="J51" s="171">
        <f>'Юнит 13'!U83</f>
        <v>2</v>
      </c>
      <c r="K51" s="172">
        <f t="shared" si="2"/>
        <v>5.7670126874279125E-4</v>
      </c>
      <c r="L51" s="172">
        <f t="shared" si="6"/>
        <v>0.99221453287197237</v>
      </c>
      <c r="M51" s="173" t="str">
        <f t="shared" si="4"/>
        <v>C</v>
      </c>
    </row>
    <row r="52" spans="2:13" ht="26.5" outlineLevel="1" thickBot="1">
      <c r="B52" s="182" t="s">
        <v>144</v>
      </c>
      <c r="C52" s="171">
        <f>'Юнит 13'!AO25</f>
        <v>0</v>
      </c>
      <c r="D52" s="172">
        <f t="shared" si="0"/>
        <v>0</v>
      </c>
      <c r="E52" s="172">
        <f t="shared" si="5"/>
        <v>1.0218082739306684</v>
      </c>
      <c r="F52" s="173" t="str">
        <f t="shared" si="3"/>
        <v>C</v>
      </c>
      <c r="G52" s="173" t="str">
        <f t="shared" si="1"/>
        <v>C</v>
      </c>
      <c r="I52" s="182" t="s">
        <v>204</v>
      </c>
      <c r="J52" s="171">
        <f>'Юнит 13'!U85</f>
        <v>2</v>
      </c>
      <c r="K52" s="172">
        <f t="shared" si="2"/>
        <v>5.7670126874279125E-4</v>
      </c>
      <c r="L52" s="172">
        <f t="shared" si="6"/>
        <v>0.99279123414071513</v>
      </c>
      <c r="M52" s="173" t="str">
        <f t="shared" si="4"/>
        <v>C</v>
      </c>
    </row>
    <row r="53" spans="2:13" ht="15" outlineLevel="1" thickBot="1">
      <c r="B53" s="182" t="s">
        <v>148</v>
      </c>
      <c r="C53" s="171">
        <f>'Юнит 13'!AO29</f>
        <v>0</v>
      </c>
      <c r="D53" s="172">
        <f t="shared" si="0"/>
        <v>0</v>
      </c>
      <c r="E53" s="172">
        <f t="shared" si="5"/>
        <v>1.0218082739306684</v>
      </c>
      <c r="F53" s="173" t="str">
        <f t="shared" si="3"/>
        <v>C</v>
      </c>
      <c r="G53" s="173" t="str">
        <f t="shared" si="1"/>
        <v>C</v>
      </c>
      <c r="I53" s="182" t="s">
        <v>141</v>
      </c>
      <c r="J53" s="171">
        <f>'Юнит 13'!U22</f>
        <v>1</v>
      </c>
      <c r="K53" s="172">
        <f t="shared" si="2"/>
        <v>2.8835063437139563E-4</v>
      </c>
      <c r="L53" s="172">
        <f t="shared" si="6"/>
        <v>0.99307958477508651</v>
      </c>
      <c r="M53" s="173" t="str">
        <f t="shared" si="4"/>
        <v>C</v>
      </c>
    </row>
    <row r="54" spans="2:13" ht="15" outlineLevel="1" thickBot="1">
      <c r="B54" s="182" t="s">
        <v>149</v>
      </c>
      <c r="C54" s="171">
        <f>'Юнит 13'!AO30</f>
        <v>0</v>
      </c>
      <c r="D54" s="172">
        <f t="shared" si="0"/>
        <v>0</v>
      </c>
      <c r="E54" s="172">
        <f t="shared" si="5"/>
        <v>1.0218082739306684</v>
      </c>
      <c r="F54" s="173" t="str">
        <f t="shared" si="3"/>
        <v>C</v>
      </c>
      <c r="G54" s="173" t="str">
        <f t="shared" si="1"/>
        <v>C</v>
      </c>
      <c r="I54" s="182" t="s">
        <v>143</v>
      </c>
      <c r="J54" s="171">
        <f>'Юнит 13'!U24</f>
        <v>1</v>
      </c>
      <c r="K54" s="172">
        <f t="shared" si="2"/>
        <v>2.8835063437139563E-4</v>
      </c>
      <c r="L54" s="172">
        <f t="shared" si="6"/>
        <v>0.99336793540945789</v>
      </c>
      <c r="M54" s="173" t="str">
        <f t="shared" si="4"/>
        <v>C</v>
      </c>
    </row>
    <row r="55" spans="2:13" ht="15" outlineLevel="1" thickBot="1">
      <c r="B55" s="182" t="s">
        <v>150</v>
      </c>
      <c r="C55" s="171">
        <f>'Юнит 13'!AO31</f>
        <v>0</v>
      </c>
      <c r="D55" s="172">
        <f t="shared" si="0"/>
        <v>0</v>
      </c>
      <c r="E55" s="172">
        <f t="shared" si="5"/>
        <v>1.0218082739306684</v>
      </c>
      <c r="F55" s="173" t="str">
        <f t="shared" si="3"/>
        <v>C</v>
      </c>
      <c r="G55" s="173" t="str">
        <f t="shared" si="1"/>
        <v>C</v>
      </c>
      <c r="I55" s="182" t="s">
        <v>153</v>
      </c>
      <c r="J55" s="171">
        <f>'Юнит 13'!U34</f>
        <v>1</v>
      </c>
      <c r="K55" s="172">
        <f t="shared" si="2"/>
        <v>2.8835063437139563E-4</v>
      </c>
      <c r="L55" s="172">
        <f t="shared" si="6"/>
        <v>0.99365628604382927</v>
      </c>
      <c r="M55" s="173" t="str">
        <f t="shared" si="4"/>
        <v>C</v>
      </c>
    </row>
    <row r="56" spans="2:13" ht="15" outlineLevel="1" thickBot="1">
      <c r="B56" s="182" t="s">
        <v>151</v>
      </c>
      <c r="C56" s="171">
        <f>'Юнит 13'!AO32</f>
        <v>0</v>
      </c>
      <c r="D56" s="172">
        <f t="shared" si="0"/>
        <v>0</v>
      </c>
      <c r="E56" s="172">
        <f t="shared" si="5"/>
        <v>1.0218082739306684</v>
      </c>
      <c r="F56" s="173" t="str">
        <f t="shared" si="3"/>
        <v>C</v>
      </c>
      <c r="G56" s="173" t="str">
        <f t="shared" si="1"/>
        <v>C</v>
      </c>
      <c r="I56" s="182" t="s">
        <v>170</v>
      </c>
      <c r="J56" s="171">
        <f>'Юнит 13'!U51</f>
        <v>1</v>
      </c>
      <c r="K56" s="172">
        <f t="shared" si="2"/>
        <v>2.8835063437139563E-4</v>
      </c>
      <c r="L56" s="172">
        <f t="shared" si="6"/>
        <v>0.99394463667820065</v>
      </c>
      <c r="M56" s="173" t="str">
        <f t="shared" si="4"/>
        <v>C</v>
      </c>
    </row>
    <row r="57" spans="2:13" ht="15" outlineLevel="1" thickBot="1">
      <c r="B57" s="182" t="s">
        <v>154</v>
      </c>
      <c r="C57" s="171">
        <f>'Юнит 13'!AO35</f>
        <v>0</v>
      </c>
      <c r="D57" s="172">
        <f t="shared" si="0"/>
        <v>0</v>
      </c>
      <c r="E57" s="172">
        <f t="shared" si="5"/>
        <v>1.0218082739306684</v>
      </c>
      <c r="F57" s="173" t="str">
        <f t="shared" si="3"/>
        <v>C</v>
      </c>
      <c r="G57" s="173" t="str">
        <f t="shared" si="1"/>
        <v>C</v>
      </c>
      <c r="I57" s="182" t="s">
        <v>179</v>
      </c>
      <c r="J57" s="171">
        <f>'Юнит 13'!U60</f>
        <v>1</v>
      </c>
      <c r="K57" s="172">
        <f t="shared" si="2"/>
        <v>2.8835063437139563E-4</v>
      </c>
      <c r="L57" s="172">
        <f t="shared" si="6"/>
        <v>0.99423298731257204</v>
      </c>
      <c r="M57" s="173" t="str">
        <f t="shared" si="4"/>
        <v>C</v>
      </c>
    </row>
    <row r="58" spans="2:13" ht="15" outlineLevel="1" thickBot="1">
      <c r="B58" s="182" t="s">
        <v>155</v>
      </c>
      <c r="C58" s="171">
        <f>'Юнит 13'!AO36</f>
        <v>0</v>
      </c>
      <c r="D58" s="172">
        <f t="shared" si="0"/>
        <v>0</v>
      </c>
      <c r="E58" s="172">
        <f t="shared" si="5"/>
        <v>1.0218082739306684</v>
      </c>
      <c r="F58" s="173" t="str">
        <f t="shared" si="3"/>
        <v>C</v>
      </c>
      <c r="G58" s="173" t="str">
        <f t="shared" si="1"/>
        <v>C</v>
      </c>
      <c r="I58" s="182" t="s">
        <v>186</v>
      </c>
      <c r="J58" s="171">
        <f>'Юнит 13'!U67</f>
        <v>1</v>
      </c>
      <c r="K58" s="172">
        <f t="shared" si="2"/>
        <v>2.8835063437139563E-4</v>
      </c>
      <c r="L58" s="172">
        <f t="shared" si="6"/>
        <v>0.99452133794694342</v>
      </c>
      <c r="M58" s="173" t="str">
        <f t="shared" si="4"/>
        <v>C</v>
      </c>
    </row>
    <row r="59" spans="2:13" ht="26.5" outlineLevel="1" thickBot="1">
      <c r="B59" s="182" t="s">
        <v>165</v>
      </c>
      <c r="C59" s="171">
        <f>'Юнит 13'!AO46</f>
        <v>0</v>
      </c>
      <c r="D59" s="172">
        <f t="shared" si="0"/>
        <v>0</v>
      </c>
      <c r="E59" s="172">
        <f t="shared" si="5"/>
        <v>1.0218082739306684</v>
      </c>
      <c r="F59" s="173" t="str">
        <f t="shared" si="3"/>
        <v>C</v>
      </c>
      <c r="G59" s="173" t="str">
        <f t="shared" si="1"/>
        <v>C</v>
      </c>
      <c r="I59" s="182" t="s">
        <v>192</v>
      </c>
      <c r="J59" s="171">
        <f>'Юнит 13'!U73</f>
        <v>1</v>
      </c>
      <c r="K59" s="172">
        <f t="shared" si="2"/>
        <v>2.8835063437139563E-4</v>
      </c>
      <c r="L59" s="172">
        <f t="shared" si="6"/>
        <v>0.9948096885813148</v>
      </c>
      <c r="M59" s="173" t="str">
        <f t="shared" si="4"/>
        <v>C</v>
      </c>
    </row>
    <row r="60" spans="2:13" ht="15" outlineLevel="1" thickBot="1">
      <c r="B60" s="182" t="s">
        <v>174</v>
      </c>
      <c r="C60" s="171">
        <f>'Юнит 13'!AO55</f>
        <v>0</v>
      </c>
      <c r="D60" s="172">
        <f t="shared" si="0"/>
        <v>0</v>
      </c>
      <c r="E60" s="172">
        <f t="shared" si="5"/>
        <v>1.0218082739306684</v>
      </c>
      <c r="F60" s="173" t="str">
        <f t="shared" si="3"/>
        <v>C</v>
      </c>
      <c r="G60" s="173" t="str">
        <f t="shared" si="1"/>
        <v>C</v>
      </c>
      <c r="I60" s="182" t="s">
        <v>194</v>
      </c>
      <c r="J60" s="171">
        <f>'Юнит 13'!U75</f>
        <v>1</v>
      </c>
      <c r="K60" s="172">
        <f t="shared" si="2"/>
        <v>2.8835063437139563E-4</v>
      </c>
      <c r="L60" s="172">
        <f t="shared" si="6"/>
        <v>0.99509803921568618</v>
      </c>
      <c r="M60" s="173" t="str">
        <f t="shared" si="4"/>
        <v>C</v>
      </c>
    </row>
    <row r="61" spans="2:13" ht="26.5" outlineLevel="1" thickBot="1">
      <c r="B61" s="182" t="s">
        <v>175</v>
      </c>
      <c r="C61" s="171">
        <f>'Юнит 13'!AO56</f>
        <v>0</v>
      </c>
      <c r="D61" s="172">
        <f t="shared" si="0"/>
        <v>0</v>
      </c>
      <c r="E61" s="172">
        <f t="shared" si="5"/>
        <v>1.0218082739306684</v>
      </c>
      <c r="F61" s="173" t="str">
        <f t="shared" si="3"/>
        <v>C</v>
      </c>
      <c r="G61" s="173" t="str">
        <f t="shared" si="1"/>
        <v>C</v>
      </c>
      <c r="I61" s="182" t="s">
        <v>196</v>
      </c>
      <c r="J61" s="171">
        <f>'Юнит 13'!U77</f>
        <v>1</v>
      </c>
      <c r="K61" s="172">
        <f t="shared" si="2"/>
        <v>2.8835063437139563E-4</v>
      </c>
      <c r="L61" s="172">
        <f t="shared" si="6"/>
        <v>0.99538638985005756</v>
      </c>
      <c r="M61" s="173" t="str">
        <f t="shared" si="4"/>
        <v>C</v>
      </c>
    </row>
    <row r="62" spans="2:13" ht="15" outlineLevel="1" thickBot="1">
      <c r="B62" s="182" t="s">
        <v>176</v>
      </c>
      <c r="C62" s="171">
        <f>'Юнит 13'!AO57</f>
        <v>0</v>
      </c>
      <c r="D62" s="172">
        <f t="shared" si="0"/>
        <v>0</v>
      </c>
      <c r="E62" s="172">
        <f t="shared" si="5"/>
        <v>1.0218082739306684</v>
      </c>
      <c r="F62" s="173" t="str">
        <f t="shared" si="3"/>
        <v>C</v>
      </c>
      <c r="G62" s="173" t="str">
        <f t="shared" si="1"/>
        <v>C</v>
      </c>
      <c r="I62" s="182" t="s">
        <v>203</v>
      </c>
      <c r="J62" s="171">
        <f>'Юнит 13'!U84</f>
        <v>1</v>
      </c>
      <c r="K62" s="172">
        <f t="shared" si="2"/>
        <v>2.8835063437139563E-4</v>
      </c>
      <c r="L62" s="172">
        <f t="shared" si="6"/>
        <v>0.99567474048442894</v>
      </c>
      <c r="M62" s="173" t="str">
        <f t="shared" si="4"/>
        <v>C</v>
      </c>
    </row>
    <row r="63" spans="2:13" ht="26.5" outlineLevel="1" thickBot="1">
      <c r="B63" s="182" t="s">
        <v>178</v>
      </c>
      <c r="C63" s="171">
        <f>'Юнит 13'!AO59</f>
        <v>0</v>
      </c>
      <c r="D63" s="172">
        <f t="shared" si="0"/>
        <v>0</v>
      </c>
      <c r="E63" s="172">
        <f t="shared" si="5"/>
        <v>1.0218082739306684</v>
      </c>
      <c r="F63" s="173" t="str">
        <f t="shared" si="3"/>
        <v>C</v>
      </c>
      <c r="G63" s="173" t="str">
        <f t="shared" si="1"/>
        <v>C</v>
      </c>
      <c r="I63" s="182" t="s">
        <v>207</v>
      </c>
      <c r="J63" s="171">
        <f>'Юнит 13'!U88</f>
        <v>1</v>
      </c>
      <c r="K63" s="172">
        <f t="shared" si="2"/>
        <v>2.8835063437139563E-4</v>
      </c>
      <c r="L63" s="172">
        <f t="shared" si="6"/>
        <v>0.99596309111880033</v>
      </c>
      <c r="M63" s="173" t="str">
        <f t="shared" si="4"/>
        <v>C</v>
      </c>
    </row>
    <row r="64" spans="2:13" ht="15" outlineLevel="1" thickBot="1">
      <c r="B64" s="182" t="s">
        <v>181</v>
      </c>
      <c r="C64" s="171">
        <f>'Юнит 13'!AO62</f>
        <v>0</v>
      </c>
      <c r="D64" s="172">
        <f t="shared" si="0"/>
        <v>0</v>
      </c>
      <c r="E64" s="172">
        <f t="shared" si="5"/>
        <v>1.0218082739306684</v>
      </c>
      <c r="F64" s="173" t="str">
        <f t="shared" si="3"/>
        <v>C</v>
      </c>
      <c r="G64" s="173" t="str">
        <f t="shared" si="1"/>
        <v>C</v>
      </c>
      <c r="I64" s="182" t="s">
        <v>210</v>
      </c>
      <c r="J64" s="171">
        <f>'Юнит 13'!U91</f>
        <v>1</v>
      </c>
      <c r="K64" s="172">
        <f t="shared" si="2"/>
        <v>2.8835063437139563E-4</v>
      </c>
      <c r="L64" s="172">
        <f t="shared" si="6"/>
        <v>0.99625144175317171</v>
      </c>
      <c r="M64" s="173" t="str">
        <f t="shared" si="4"/>
        <v>C</v>
      </c>
    </row>
    <row r="65" spans="2:13" ht="26.5" outlineLevel="1" thickBot="1">
      <c r="B65" s="182" t="s">
        <v>182</v>
      </c>
      <c r="C65" s="171">
        <f>'Юнит 13'!AO63</f>
        <v>0</v>
      </c>
      <c r="D65" s="172">
        <f t="shared" si="0"/>
        <v>0</v>
      </c>
      <c r="E65" s="172">
        <f t="shared" si="5"/>
        <v>1.0218082739306684</v>
      </c>
      <c r="F65" s="173" t="str">
        <f t="shared" si="3"/>
        <v>C</v>
      </c>
      <c r="G65" s="173" t="str">
        <f t="shared" si="1"/>
        <v>C</v>
      </c>
      <c r="I65" s="182" t="s">
        <v>138</v>
      </c>
      <c r="J65" s="171">
        <f>'Юнит 13'!U19</f>
        <v>0</v>
      </c>
      <c r="K65" s="172">
        <f t="shared" si="2"/>
        <v>0</v>
      </c>
      <c r="L65" s="172">
        <f t="shared" si="6"/>
        <v>0.99625144175317171</v>
      </c>
      <c r="M65" s="173" t="str">
        <f t="shared" si="4"/>
        <v>C</v>
      </c>
    </row>
    <row r="66" spans="2:13" ht="15" outlineLevel="1" thickBot="1">
      <c r="B66" s="182" t="s">
        <v>183</v>
      </c>
      <c r="C66" s="171">
        <f>'Юнит 13'!AO64</f>
        <v>0</v>
      </c>
      <c r="D66" s="172">
        <f t="shared" si="0"/>
        <v>0</v>
      </c>
      <c r="E66" s="172">
        <f t="shared" si="5"/>
        <v>1.0218082739306684</v>
      </c>
      <c r="F66" s="173" t="str">
        <f t="shared" si="3"/>
        <v>C</v>
      </c>
      <c r="G66" s="173" t="str">
        <f t="shared" si="1"/>
        <v>C</v>
      </c>
      <c r="I66" s="182" t="s">
        <v>140</v>
      </c>
      <c r="J66" s="171">
        <f>'Юнит 13'!U21</f>
        <v>0</v>
      </c>
      <c r="K66" s="172">
        <f t="shared" si="2"/>
        <v>0</v>
      </c>
      <c r="L66" s="172">
        <f t="shared" si="6"/>
        <v>0.99625144175317171</v>
      </c>
      <c r="M66" s="173" t="str">
        <f t="shared" si="4"/>
        <v>C</v>
      </c>
    </row>
    <row r="67" spans="2:13" ht="15" outlineLevel="1" thickBot="1">
      <c r="B67" s="182" t="s">
        <v>187</v>
      </c>
      <c r="C67" s="171">
        <f>'Юнит 13'!AO68</f>
        <v>0</v>
      </c>
      <c r="D67" s="172">
        <f t="shared" si="0"/>
        <v>0</v>
      </c>
      <c r="E67" s="172">
        <f t="shared" si="5"/>
        <v>1.0218082739306684</v>
      </c>
      <c r="F67" s="173" t="str">
        <f t="shared" si="3"/>
        <v>C</v>
      </c>
      <c r="G67" s="173" t="str">
        <f t="shared" si="1"/>
        <v>C</v>
      </c>
      <c r="I67" s="182" t="s">
        <v>142</v>
      </c>
      <c r="J67" s="171">
        <f>'Юнит 13'!U23</f>
        <v>0</v>
      </c>
      <c r="K67" s="172">
        <f t="shared" si="2"/>
        <v>0</v>
      </c>
      <c r="L67" s="172">
        <f t="shared" si="6"/>
        <v>0.99625144175317171</v>
      </c>
      <c r="M67" s="173" t="str">
        <f t="shared" si="4"/>
        <v>C</v>
      </c>
    </row>
    <row r="68" spans="2:13" ht="15" outlineLevel="1" thickBot="1">
      <c r="B68" s="182" t="s">
        <v>193</v>
      </c>
      <c r="C68" s="171">
        <f>'Юнит 13'!AO74</f>
        <v>0</v>
      </c>
      <c r="D68" s="172">
        <f t="shared" ref="D68:D104" si="7">C68/C$105</f>
        <v>0</v>
      </c>
      <c r="E68" s="172">
        <f t="shared" si="5"/>
        <v>1.0218082739306684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144</v>
      </c>
      <c r="J68" s="171">
        <f>'Юнит 13'!U25</f>
        <v>0</v>
      </c>
      <c r="K68" s="172">
        <f t="shared" ref="K68:K104" si="9">J68/J$105</f>
        <v>0</v>
      </c>
      <c r="L68" s="172">
        <f t="shared" si="6"/>
        <v>0.99625144175317171</v>
      </c>
      <c r="M68" s="173" t="str">
        <f t="shared" si="4"/>
        <v>C</v>
      </c>
    </row>
    <row r="69" spans="2:13" ht="26.5" outlineLevel="1" thickBot="1">
      <c r="B69" s="182" t="s">
        <v>213</v>
      </c>
      <c r="C69" s="171">
        <f>'Юнит 13'!AO94</f>
        <v>0</v>
      </c>
      <c r="D69" s="172">
        <f t="shared" si="7"/>
        <v>0</v>
      </c>
      <c r="E69" s="172">
        <f t="shared" si="5"/>
        <v>1.0218082739306684</v>
      </c>
      <c r="F69" s="173" t="str">
        <f t="shared" si="3"/>
        <v>C</v>
      </c>
      <c r="G69" s="173" t="str">
        <f t="shared" si="8"/>
        <v>C</v>
      </c>
      <c r="I69" s="182" t="s">
        <v>148</v>
      </c>
      <c r="J69" s="171">
        <f>'Юнит 13'!U29</f>
        <v>0</v>
      </c>
      <c r="K69" s="172">
        <f t="shared" si="9"/>
        <v>0</v>
      </c>
      <c r="L69" s="172">
        <f t="shared" si="6"/>
        <v>0.99625144175317171</v>
      </c>
      <c r="M69" s="173" t="str">
        <f t="shared" si="4"/>
        <v>C</v>
      </c>
    </row>
    <row r="70" spans="2:13" ht="26.5" outlineLevel="1" thickBot="1">
      <c r="B70" s="182" t="s">
        <v>214</v>
      </c>
      <c r="C70" s="171">
        <f>'Юнит 13'!AO95</f>
        <v>0</v>
      </c>
      <c r="D70" s="172">
        <f t="shared" si="7"/>
        <v>0</v>
      </c>
      <c r="E70" s="172">
        <f t="shared" ref="E70:E75" si="10">E69+D70</f>
        <v>1.0218082739306684</v>
      </c>
      <c r="F70" s="173" t="str">
        <f t="shared" si="3"/>
        <v>C</v>
      </c>
      <c r="G70" s="173" t="str">
        <f t="shared" si="8"/>
        <v>C</v>
      </c>
      <c r="I70" s="182" t="s">
        <v>149</v>
      </c>
      <c r="J70" s="171">
        <f>'Юнит 13'!U30</f>
        <v>0</v>
      </c>
      <c r="K70" s="172">
        <f t="shared" si="9"/>
        <v>0</v>
      </c>
      <c r="L70" s="172">
        <f t="shared" ref="L70:L75" si="11">L69+K70</f>
        <v>0.99625144175317171</v>
      </c>
      <c r="M70" s="173" t="str">
        <f t="shared" si="4"/>
        <v>C</v>
      </c>
    </row>
    <row r="71" spans="2:13" ht="15" outlineLevel="1" thickBot="1">
      <c r="B71" s="182" t="s">
        <v>215</v>
      </c>
      <c r="C71" s="171">
        <f>'Юнит 13'!AO96</f>
        <v>0</v>
      </c>
      <c r="D71" s="172">
        <f t="shared" si="7"/>
        <v>0</v>
      </c>
      <c r="E71" s="172">
        <f t="shared" si="10"/>
        <v>1.0218082739306684</v>
      </c>
      <c r="F71" s="173" t="str">
        <f t="shared" si="3"/>
        <v>C</v>
      </c>
      <c r="G71" s="173" t="str">
        <f t="shared" si="8"/>
        <v>C</v>
      </c>
      <c r="I71" s="182" t="s">
        <v>150</v>
      </c>
      <c r="J71" s="171">
        <f>'Юнит 13'!U31</f>
        <v>0</v>
      </c>
      <c r="K71" s="172">
        <f t="shared" si="9"/>
        <v>0</v>
      </c>
      <c r="L71" s="172">
        <f t="shared" si="11"/>
        <v>0.99625144175317171</v>
      </c>
      <c r="M71" s="173" t="str">
        <f t="shared" si="4"/>
        <v>C</v>
      </c>
    </row>
    <row r="72" spans="2:13" ht="15" outlineLevel="1" thickBot="1">
      <c r="B72" s="182" t="s">
        <v>256</v>
      </c>
      <c r="C72" s="171">
        <f>'Юнит 13'!AO99</f>
        <v>0</v>
      </c>
      <c r="D72" s="172">
        <f t="shared" si="7"/>
        <v>0</v>
      </c>
      <c r="E72" s="172">
        <f t="shared" si="10"/>
        <v>1.0218082739306684</v>
      </c>
      <c r="F72" s="173" t="str">
        <f t="shared" si="3"/>
        <v>C</v>
      </c>
      <c r="G72" s="173" t="str">
        <f t="shared" si="8"/>
        <v>C</v>
      </c>
      <c r="I72" s="182" t="s">
        <v>151</v>
      </c>
      <c r="J72" s="171">
        <f>'Юнит 13'!U32</f>
        <v>0</v>
      </c>
      <c r="K72" s="172">
        <f t="shared" si="9"/>
        <v>0</v>
      </c>
      <c r="L72" s="172">
        <f t="shared" si="11"/>
        <v>0.99625144175317171</v>
      </c>
      <c r="M72" s="173" t="str">
        <f t="shared" si="4"/>
        <v>C</v>
      </c>
    </row>
    <row r="73" spans="2:13" ht="15" outlineLevel="1" thickBot="1">
      <c r="B73" s="182" t="s">
        <v>258</v>
      </c>
      <c r="C73" s="171">
        <f>'Юнит 13'!AO101</f>
        <v>0</v>
      </c>
      <c r="D73" s="172">
        <f t="shared" si="7"/>
        <v>0</v>
      </c>
      <c r="E73" s="172">
        <f t="shared" si="10"/>
        <v>1.0218082739306684</v>
      </c>
      <c r="F73" s="173" t="str">
        <f t="shared" si="3"/>
        <v>C</v>
      </c>
      <c r="G73" s="173" t="str">
        <f t="shared" si="8"/>
        <v>C</v>
      </c>
      <c r="I73" s="182" t="s">
        <v>154</v>
      </c>
      <c r="J73" s="171">
        <f>'Юнит 13'!U35</f>
        <v>0</v>
      </c>
      <c r="K73" s="172">
        <f t="shared" si="9"/>
        <v>0</v>
      </c>
      <c r="L73" s="172">
        <f t="shared" si="11"/>
        <v>0.99625144175317171</v>
      </c>
      <c r="M73" s="173" t="str">
        <f t="shared" si="4"/>
        <v>C</v>
      </c>
    </row>
    <row r="74" spans="2:13" ht="26.5" outlineLevel="1" thickBot="1">
      <c r="B74" s="182" t="s">
        <v>260</v>
      </c>
      <c r="C74" s="171">
        <f>'Юнит 13'!AO103</f>
        <v>0</v>
      </c>
      <c r="D74" s="172">
        <f t="shared" si="7"/>
        <v>0</v>
      </c>
      <c r="E74" s="172">
        <f t="shared" si="10"/>
        <v>1.0218082739306684</v>
      </c>
      <c r="F74" s="173" t="str">
        <f t="shared" si="3"/>
        <v>C</v>
      </c>
      <c r="G74" s="173" t="str">
        <f t="shared" si="8"/>
        <v>C</v>
      </c>
      <c r="I74" s="182" t="s">
        <v>155</v>
      </c>
      <c r="J74" s="171">
        <f>'Юнит 13'!U36</f>
        <v>0</v>
      </c>
      <c r="K74" s="172">
        <f t="shared" si="9"/>
        <v>0</v>
      </c>
      <c r="L74" s="172">
        <f t="shared" si="11"/>
        <v>0.99625144175317171</v>
      </c>
      <c r="M74" s="173" t="str">
        <f t="shared" si="4"/>
        <v>C</v>
      </c>
    </row>
    <row r="75" spans="2:13" ht="15" outlineLevel="1" thickBot="1">
      <c r="B75" s="182" t="s">
        <v>185</v>
      </c>
      <c r="C75" s="171">
        <f>'Юнит 13'!AO66</f>
        <v>-1.6933221722297793</v>
      </c>
      <c r="D75" s="172">
        <f t="shared" si="7"/>
        <v>-1.0555074473720765E-6</v>
      </c>
      <c r="E75" s="172">
        <f t="shared" si="10"/>
        <v>1.021807218423221</v>
      </c>
      <c r="F75" s="173" t="str">
        <f t="shared" si="3"/>
        <v>C</v>
      </c>
      <c r="G75" s="173" t="str">
        <f t="shared" si="8"/>
        <v>C</v>
      </c>
      <c r="I75" s="182" t="s">
        <v>156</v>
      </c>
      <c r="J75" s="171">
        <f>'Юнит 13'!U37</f>
        <v>0</v>
      </c>
      <c r="K75" s="172">
        <f t="shared" si="9"/>
        <v>0</v>
      </c>
      <c r="L75" s="172">
        <f t="shared" si="11"/>
        <v>0.99625144175317171</v>
      </c>
      <c r="M75" s="173" t="str">
        <f t="shared" si="4"/>
        <v>C</v>
      </c>
    </row>
    <row r="76" spans="2:13" ht="26.5" outlineLevel="1" thickBot="1">
      <c r="B76" s="182" t="s">
        <v>209</v>
      </c>
      <c r="C76" s="171">
        <f>'Юнит 13'!AO90</f>
        <v>-41.486393219629591</v>
      </c>
      <c r="D76" s="172">
        <f t="shared" si="7"/>
        <v>-2.585993246061587E-5</v>
      </c>
      <c r="E76" s="172">
        <f>E49+D76</f>
        <v>1.0217824139982079</v>
      </c>
      <c r="F76" s="173" t="str">
        <f t="shared" si="3"/>
        <v>C</v>
      </c>
      <c r="G76" s="173" t="str">
        <f t="shared" si="8"/>
        <v>C</v>
      </c>
      <c r="I76" s="182" t="s">
        <v>160</v>
      </c>
      <c r="J76" s="171">
        <f>'Юнит 13'!U41</f>
        <v>0</v>
      </c>
      <c r="K76" s="172">
        <f t="shared" si="9"/>
        <v>0</v>
      </c>
      <c r="L76" s="172">
        <f>L49+K76</f>
        <v>0.99106113033448684</v>
      </c>
      <c r="M76" s="173" t="str">
        <f t="shared" si="4"/>
        <v>C</v>
      </c>
    </row>
    <row r="77" spans="2:13" ht="26.5" outlineLevel="1" thickBot="1">
      <c r="B77" s="182" t="s">
        <v>184</v>
      </c>
      <c r="C77" s="171">
        <f>'Юнит 13'!AO65</f>
        <v>-64.986661086114893</v>
      </c>
      <c r="D77" s="172">
        <f t="shared" si="7"/>
        <v>-4.0508478469820316E-5</v>
      </c>
      <c r="E77" s="172">
        <f t="shared" ref="E77:E93" si="12">E76+D77</f>
        <v>1.0217419055197381</v>
      </c>
      <c r="F77" s="173" t="str">
        <f t="shared" si="3"/>
        <v>C</v>
      </c>
      <c r="G77" s="173" t="str">
        <f t="shared" si="8"/>
        <v>C</v>
      </c>
      <c r="I77" s="182" t="s">
        <v>165</v>
      </c>
      <c r="J77" s="171">
        <f>'Юнит 13'!U46</f>
        <v>0</v>
      </c>
      <c r="K77" s="172">
        <f t="shared" si="9"/>
        <v>0</v>
      </c>
      <c r="L77" s="172">
        <f t="shared" ref="L77:L94" si="13">L76+K77</f>
        <v>0.99106113033448684</v>
      </c>
      <c r="M77" s="173" t="str">
        <f t="shared" si="4"/>
        <v>C</v>
      </c>
    </row>
    <row r="78" spans="2:13" ht="15" outlineLevel="1" thickBot="1">
      <c r="B78" s="182" t="s">
        <v>188</v>
      </c>
      <c r="C78" s="171">
        <f>'Юнит 13'!AO69</f>
        <v>-80.093305430574446</v>
      </c>
      <c r="D78" s="172">
        <f t="shared" si="7"/>
        <v>-4.9924982825504498E-5</v>
      </c>
      <c r="E78" s="172">
        <f t="shared" si="12"/>
        <v>1.0216919805369127</v>
      </c>
      <c r="F78" s="173" t="str">
        <f t="shared" si="3"/>
        <v>C</v>
      </c>
      <c r="G78" s="173" t="str">
        <f t="shared" si="8"/>
        <v>C</v>
      </c>
      <c r="I78" s="182" t="s">
        <v>174</v>
      </c>
      <c r="J78" s="171">
        <f>'Юнит 13'!U55</f>
        <v>0</v>
      </c>
      <c r="K78" s="172">
        <f t="shared" si="9"/>
        <v>0</v>
      </c>
      <c r="L78" s="172">
        <f t="shared" si="13"/>
        <v>0.99106113033448684</v>
      </c>
      <c r="M78" s="173" t="str">
        <f t="shared" si="4"/>
        <v>C</v>
      </c>
    </row>
    <row r="79" spans="2:13" ht="15" outlineLevel="1" thickBot="1">
      <c r="B79" s="182" t="s">
        <v>217</v>
      </c>
      <c r="C79" s="171">
        <f>'Юнит 13'!AO98</f>
        <v>-85.173271947263785</v>
      </c>
      <c r="D79" s="172">
        <f t="shared" si="7"/>
        <v>-5.3091505167620724E-5</v>
      </c>
      <c r="E79" s="172">
        <f t="shared" si="12"/>
        <v>1.0216388890317452</v>
      </c>
      <c r="F79" s="173" t="str">
        <f t="shared" si="3"/>
        <v>C</v>
      </c>
      <c r="G79" s="173" t="str">
        <f t="shared" si="8"/>
        <v>C</v>
      </c>
      <c r="I79" s="182" t="s">
        <v>175</v>
      </c>
      <c r="J79" s="171">
        <f>'Юнит 13'!U56</f>
        <v>0</v>
      </c>
      <c r="K79" s="172">
        <f t="shared" si="9"/>
        <v>0</v>
      </c>
      <c r="L79" s="172">
        <f t="shared" si="13"/>
        <v>0.99106113033448684</v>
      </c>
      <c r="M79" s="173" t="str">
        <f t="shared" si="4"/>
        <v>C</v>
      </c>
    </row>
    <row r="80" spans="2:13" ht="15" outlineLevel="1" thickBot="1">
      <c r="B80" s="182" t="s">
        <v>191</v>
      </c>
      <c r="C80" s="171">
        <f>'Юнит 13'!AO72</f>
        <v>-86.11</v>
      </c>
      <c r="D80" s="172">
        <f t="shared" si="7"/>
        <v>-5.3675400809005652E-5</v>
      </c>
      <c r="E80" s="172">
        <f t="shared" si="12"/>
        <v>1.0215852136309362</v>
      </c>
      <c r="F80" s="173" t="str">
        <f t="shared" si="3"/>
        <v>C</v>
      </c>
      <c r="G80" s="173" t="str">
        <f t="shared" si="8"/>
        <v>C</v>
      </c>
      <c r="I80" s="182" t="s">
        <v>176</v>
      </c>
      <c r="J80" s="171">
        <f>'Юнит 13'!U57</f>
        <v>0</v>
      </c>
      <c r="K80" s="172">
        <f t="shared" si="9"/>
        <v>0</v>
      </c>
      <c r="L80" s="172">
        <f t="shared" si="13"/>
        <v>0.99106113033448684</v>
      </c>
      <c r="M80" s="173" t="str">
        <f t="shared" si="4"/>
        <v>C</v>
      </c>
    </row>
    <row r="81" spans="2:13" ht="15" outlineLevel="1" thickBot="1">
      <c r="B81" s="182" t="s">
        <v>156</v>
      </c>
      <c r="C81" s="171">
        <f>'Юнит 13'!AO37</f>
        <v>-94.9</v>
      </c>
      <c r="D81" s="172">
        <f t="shared" si="7"/>
        <v>-5.9154517904710677E-5</v>
      </c>
      <c r="E81" s="172">
        <f t="shared" si="12"/>
        <v>1.0215260591130315</v>
      </c>
      <c r="F81" s="173" t="str">
        <f t="shared" si="3"/>
        <v>C</v>
      </c>
      <c r="G81" s="173" t="str">
        <f t="shared" si="8"/>
        <v>C</v>
      </c>
      <c r="I81" s="182" t="s">
        <v>178</v>
      </c>
      <c r="J81" s="171">
        <f>'Юнит 13'!U59</f>
        <v>0</v>
      </c>
      <c r="K81" s="172">
        <f t="shared" si="9"/>
        <v>0</v>
      </c>
      <c r="L81" s="172">
        <f t="shared" si="13"/>
        <v>0.99106113033448684</v>
      </c>
      <c r="M81" s="173" t="str">
        <f t="shared" si="4"/>
        <v>C</v>
      </c>
    </row>
    <row r="82" spans="2:13" ht="15" outlineLevel="1" thickBot="1">
      <c r="B82" s="182" t="s">
        <v>216</v>
      </c>
      <c r="C82" s="171">
        <f>'Юнит 13'!AO97</f>
        <v>-149.29</v>
      </c>
      <c r="D82" s="172">
        <f t="shared" si="7"/>
        <v>-9.3057723688032203E-5</v>
      </c>
      <c r="E82" s="172">
        <f t="shared" si="12"/>
        <v>1.0214330013893436</v>
      </c>
      <c r="F82" s="173" t="str">
        <f t="shared" si="3"/>
        <v>C</v>
      </c>
      <c r="G82" s="173" t="str">
        <f t="shared" si="8"/>
        <v>C</v>
      </c>
      <c r="I82" s="182" t="s">
        <v>180</v>
      </c>
      <c r="J82" s="171">
        <f>'Юнит 13'!U61</f>
        <v>0</v>
      </c>
      <c r="K82" s="172">
        <f t="shared" si="9"/>
        <v>0</v>
      </c>
      <c r="L82" s="172">
        <f t="shared" si="13"/>
        <v>0.99106113033448684</v>
      </c>
      <c r="M82" s="173" t="str">
        <f t="shared" si="4"/>
        <v>C</v>
      </c>
    </row>
    <row r="83" spans="2:13" ht="15" outlineLevel="1" thickBot="1">
      <c r="B83" s="182" t="s">
        <v>139</v>
      </c>
      <c r="C83" s="171">
        <f>'Юнит 13'!AO20</f>
        <v>-182.53010951135286</v>
      </c>
      <c r="D83" s="172">
        <f t="shared" si="7"/>
        <v>-1.1377745659892648E-4</v>
      </c>
      <c r="E83" s="172">
        <f t="shared" si="12"/>
        <v>1.0213192239327447</v>
      </c>
      <c r="F83" s="173" t="str">
        <f t="shared" si="3"/>
        <v>C</v>
      </c>
      <c r="G83" s="173" t="str">
        <f t="shared" si="8"/>
        <v>C</v>
      </c>
      <c r="I83" s="182" t="s">
        <v>181</v>
      </c>
      <c r="J83" s="171">
        <f>'Юнит 13'!U62</f>
        <v>0</v>
      </c>
      <c r="K83" s="172">
        <f t="shared" si="9"/>
        <v>0</v>
      </c>
      <c r="L83" s="172">
        <f t="shared" si="13"/>
        <v>0.99106113033448684</v>
      </c>
      <c r="M83" s="173" t="str">
        <f t="shared" si="4"/>
        <v>C</v>
      </c>
    </row>
    <row r="84" spans="2:13" ht="15" outlineLevel="1" thickBot="1">
      <c r="B84" s="182" t="s">
        <v>146</v>
      </c>
      <c r="C84" s="171">
        <f>'Юнит 13'!AO27</f>
        <v>-214.17611808611497</v>
      </c>
      <c r="D84" s="172">
        <f t="shared" si="7"/>
        <v>-1.3350353015897278E-4</v>
      </c>
      <c r="E84" s="172">
        <f t="shared" si="12"/>
        <v>1.0211857204025856</v>
      </c>
      <c r="F84" s="173" t="str">
        <f t="shared" si="3"/>
        <v>C</v>
      </c>
      <c r="G84" s="173" t="str">
        <f t="shared" si="8"/>
        <v>C</v>
      </c>
      <c r="I84" s="182" t="s">
        <v>182</v>
      </c>
      <c r="J84" s="171">
        <f>'Юнит 13'!U63</f>
        <v>0</v>
      </c>
      <c r="K84" s="172">
        <f t="shared" si="9"/>
        <v>0</v>
      </c>
      <c r="L84" s="172">
        <f t="shared" si="13"/>
        <v>0.99106113033448684</v>
      </c>
      <c r="M84" s="173" t="str">
        <f t="shared" si="4"/>
        <v>C</v>
      </c>
    </row>
    <row r="85" spans="2:13" ht="15" outlineLevel="1" thickBot="1">
      <c r="B85" s="182" t="s">
        <v>160</v>
      </c>
      <c r="C85" s="171">
        <f>'Юнит 13'!AO41</f>
        <v>-301.78644344459559</v>
      </c>
      <c r="D85" s="172">
        <f t="shared" si="7"/>
        <v>-1.8811413669275328E-4</v>
      </c>
      <c r="E85" s="172">
        <f t="shared" si="12"/>
        <v>1.0209976062658928</v>
      </c>
      <c r="F85" s="173" t="str">
        <f t="shared" si="3"/>
        <v>C</v>
      </c>
      <c r="G85" s="173" t="str">
        <f t="shared" si="8"/>
        <v>C</v>
      </c>
      <c r="I85" s="182" t="s">
        <v>183</v>
      </c>
      <c r="J85" s="171">
        <f>'Юнит 13'!U64</f>
        <v>0</v>
      </c>
      <c r="K85" s="172">
        <f t="shared" si="9"/>
        <v>0</v>
      </c>
      <c r="L85" s="172">
        <f t="shared" si="13"/>
        <v>0.99106113033448684</v>
      </c>
      <c r="M85" s="173" t="str">
        <f t="shared" si="4"/>
        <v>C</v>
      </c>
    </row>
    <row r="86" spans="2:13" ht="26.5" outlineLevel="1" thickBot="1">
      <c r="B86" s="182" t="s">
        <v>199</v>
      </c>
      <c r="C86" s="171">
        <f>'Юнит 13'!AO80</f>
        <v>-328.99870498064223</v>
      </c>
      <c r="D86" s="172">
        <f t="shared" si="7"/>
        <v>-2.0507649930878846E-4</v>
      </c>
      <c r="E86" s="172">
        <f t="shared" si="12"/>
        <v>1.0207925297665839</v>
      </c>
      <c r="F86" s="173" t="str">
        <f t="shared" si="3"/>
        <v>C</v>
      </c>
      <c r="G86" s="173" t="str">
        <f t="shared" si="8"/>
        <v>C</v>
      </c>
      <c r="I86" s="182" t="s">
        <v>184</v>
      </c>
      <c r="J86" s="171">
        <f>'Юнит 13'!U65</f>
        <v>0</v>
      </c>
      <c r="K86" s="172">
        <f t="shared" si="9"/>
        <v>0</v>
      </c>
      <c r="L86" s="172">
        <f t="shared" si="13"/>
        <v>0.99106113033448684</v>
      </c>
      <c r="M86" s="173" t="str">
        <f t="shared" si="4"/>
        <v>C</v>
      </c>
    </row>
    <row r="87" spans="2:13" ht="15" outlineLevel="1" thickBot="1">
      <c r="B87" s="182" t="s">
        <v>210</v>
      </c>
      <c r="C87" s="171">
        <f>'Юнит 13'!AO91</f>
        <v>-354.38209411949367</v>
      </c>
      <c r="D87" s="172">
        <f t="shared" si="7"/>
        <v>-2.2089886124025766E-4</v>
      </c>
      <c r="E87" s="172">
        <f t="shared" si="12"/>
        <v>1.0205716309053436</v>
      </c>
      <c r="F87" s="173" t="str">
        <f t="shared" si="3"/>
        <v>C</v>
      </c>
      <c r="G87" s="173" t="str">
        <f t="shared" si="8"/>
        <v>C</v>
      </c>
      <c r="I87" s="182" t="s">
        <v>185</v>
      </c>
      <c r="J87" s="171">
        <f>'Юнит 13'!U66</f>
        <v>0</v>
      </c>
      <c r="K87" s="172">
        <f t="shared" si="9"/>
        <v>0</v>
      </c>
      <c r="L87" s="172">
        <f t="shared" si="13"/>
        <v>0.99106113033448684</v>
      </c>
      <c r="M87" s="173" t="str">
        <f t="shared" si="4"/>
        <v>C</v>
      </c>
    </row>
    <row r="88" spans="2:13" ht="15" outlineLevel="1" thickBot="1">
      <c r="B88" s="182" t="s">
        <v>211</v>
      </c>
      <c r="C88" s="171">
        <f>'Юнит 13'!AO92</f>
        <v>-365.82640996128492</v>
      </c>
      <c r="D88" s="172">
        <f t="shared" si="7"/>
        <v>-2.2803250703973504E-4</v>
      </c>
      <c r="E88" s="172">
        <f t="shared" si="12"/>
        <v>1.0203435983983038</v>
      </c>
      <c r="F88" s="173" t="str">
        <f t="shared" si="3"/>
        <v>C</v>
      </c>
      <c r="G88" s="173" t="str">
        <f t="shared" si="8"/>
        <v>C</v>
      </c>
      <c r="I88" s="182" t="s">
        <v>187</v>
      </c>
      <c r="J88" s="171">
        <f>'Юнит 13'!U68</f>
        <v>0</v>
      </c>
      <c r="K88" s="172">
        <f t="shared" si="9"/>
        <v>0</v>
      </c>
      <c r="L88" s="172">
        <f t="shared" si="13"/>
        <v>0.99106113033448684</v>
      </c>
      <c r="M88" s="173" t="str">
        <f t="shared" si="4"/>
        <v>C</v>
      </c>
    </row>
    <row r="89" spans="2:13" ht="15" outlineLevel="1" thickBot="1">
      <c r="B89" s="182" t="s">
        <v>197</v>
      </c>
      <c r="C89" s="171">
        <f>'Юнит 13'!AO78</f>
        <v>-500.10991629172332</v>
      </c>
      <c r="D89" s="172">
        <f t="shared" si="7"/>
        <v>-3.1173615382088622E-4</v>
      </c>
      <c r="E89" s="172">
        <f t="shared" si="12"/>
        <v>1.0200318622444828</v>
      </c>
      <c r="F89" s="173" t="str">
        <f t="shared" si="3"/>
        <v>C</v>
      </c>
      <c r="G89" s="173" t="str">
        <f t="shared" si="8"/>
        <v>C</v>
      </c>
      <c r="I89" s="182" t="s">
        <v>188</v>
      </c>
      <c r="J89" s="171">
        <f>'Юнит 13'!U69</f>
        <v>0</v>
      </c>
      <c r="K89" s="172">
        <f t="shared" si="9"/>
        <v>0</v>
      </c>
      <c r="L89" s="172">
        <f t="shared" si="13"/>
        <v>0.99106113033448684</v>
      </c>
      <c r="M89" s="173" t="str">
        <f t="shared" si="4"/>
        <v>C</v>
      </c>
    </row>
    <row r="90" spans="2:13" ht="15" outlineLevel="1" thickBot="1">
      <c r="B90" s="182" t="s">
        <v>180</v>
      </c>
      <c r="C90" s="171">
        <f>'Юнит 13'!AO61</f>
        <v>-509.68580726169301</v>
      </c>
      <c r="D90" s="172">
        <f t="shared" si="7"/>
        <v>-3.1770514448302141E-4</v>
      </c>
      <c r="E90" s="172">
        <f t="shared" si="12"/>
        <v>1.0197141570999999</v>
      </c>
      <c r="F90" s="173" t="str">
        <f t="shared" si="3"/>
        <v>C</v>
      </c>
      <c r="G90" s="173" t="str">
        <f t="shared" si="8"/>
        <v>C</v>
      </c>
      <c r="I90" s="182" t="s">
        <v>191</v>
      </c>
      <c r="J90" s="171">
        <f>'Юнит 13'!U72</f>
        <v>0</v>
      </c>
      <c r="K90" s="172">
        <f t="shared" si="9"/>
        <v>0</v>
      </c>
      <c r="L90" s="172">
        <f t="shared" si="13"/>
        <v>0.99106113033448684</v>
      </c>
      <c r="M90" s="173" t="str">
        <f t="shared" si="4"/>
        <v>C</v>
      </c>
    </row>
    <row r="91" spans="2:13" ht="26.5" outlineLevel="1" thickBot="1">
      <c r="B91" s="182" t="s">
        <v>205</v>
      </c>
      <c r="C91" s="171">
        <f>'Юнит 13'!AO86</f>
        <v>-819.52647692790629</v>
      </c>
      <c r="D91" s="172">
        <f t="shared" si="7"/>
        <v>-5.1083976451861217E-4</v>
      </c>
      <c r="E91" s="172">
        <f t="shared" si="12"/>
        <v>1.0192033173354813</v>
      </c>
      <c r="F91" s="173" t="str">
        <f t="shared" si="3"/>
        <v>C</v>
      </c>
      <c r="G91" s="173" t="str">
        <f t="shared" si="8"/>
        <v>C</v>
      </c>
      <c r="I91" s="182" t="s">
        <v>193</v>
      </c>
      <c r="J91" s="171">
        <f>'Юнит 13'!U74</f>
        <v>0</v>
      </c>
      <c r="K91" s="172">
        <f t="shared" si="9"/>
        <v>0</v>
      </c>
      <c r="L91" s="172">
        <f t="shared" si="13"/>
        <v>0.99106113033448684</v>
      </c>
      <c r="M91" s="173" t="str">
        <f t="shared" si="4"/>
        <v>C</v>
      </c>
    </row>
    <row r="92" spans="2:13" ht="15" outlineLevel="1" thickBot="1">
      <c r="B92" s="182" t="s">
        <v>194</v>
      </c>
      <c r="C92" s="171">
        <f>'Юнит 13'!AO75</f>
        <v>-835.88230543057432</v>
      </c>
      <c r="D92" s="172">
        <f t="shared" si="7"/>
        <v>-5.2103492942912272E-4</v>
      </c>
      <c r="E92" s="172">
        <f t="shared" si="12"/>
        <v>1.0186822824060522</v>
      </c>
      <c r="F92" s="173" t="str">
        <f t="shared" si="3"/>
        <v>C</v>
      </c>
      <c r="G92" s="173" t="str">
        <f t="shared" si="8"/>
        <v>C</v>
      </c>
      <c r="I92" s="182" t="s">
        <v>197</v>
      </c>
      <c r="J92" s="171">
        <f>'Юнит 13'!U78</f>
        <v>0</v>
      </c>
      <c r="K92" s="172">
        <f t="shared" si="9"/>
        <v>0</v>
      </c>
      <c r="L92" s="172">
        <f t="shared" si="13"/>
        <v>0.99106113033448684</v>
      </c>
      <c r="M92" s="173" t="str">
        <f t="shared" si="4"/>
        <v>C</v>
      </c>
    </row>
    <row r="93" spans="2:13" ht="26.5" outlineLevel="1" thickBot="1">
      <c r="B93" s="182" t="s">
        <v>212</v>
      </c>
      <c r="C93" s="171">
        <f>'Юнит 13'!AO93</f>
        <v>-1039.4460991001358</v>
      </c>
      <c r="D93" s="172">
        <f t="shared" si="7"/>
        <v>-6.4792342339515965E-4</v>
      </c>
      <c r="E93" s="172">
        <f t="shared" si="12"/>
        <v>1.018034358982657</v>
      </c>
      <c r="F93" s="173" t="str">
        <f t="shared" si="3"/>
        <v>C</v>
      </c>
      <c r="G93" s="173" t="str">
        <f t="shared" si="8"/>
        <v>C</v>
      </c>
      <c r="I93" s="182" t="s">
        <v>205</v>
      </c>
      <c r="J93" s="171">
        <f>'Юнит 13'!U86</f>
        <v>0</v>
      </c>
      <c r="K93" s="172">
        <f t="shared" si="9"/>
        <v>0</v>
      </c>
      <c r="L93" s="172">
        <f t="shared" si="13"/>
        <v>0.99106113033448684</v>
      </c>
      <c r="M93" s="173" t="str">
        <f t="shared" si="4"/>
        <v>C</v>
      </c>
    </row>
    <row r="94" spans="2:13" ht="26.5" outlineLevel="1" thickBot="1">
      <c r="B94" s="182" t="s">
        <v>141</v>
      </c>
      <c r="C94" s="171">
        <f>'Юнит 13'!AO22</f>
        <v>-1478.5543375640891</v>
      </c>
      <c r="D94" s="172">
        <f t="shared" si="7"/>
        <v>-9.2163507939433656E-4</v>
      </c>
      <c r="E94" s="172">
        <f>E93+D94</f>
        <v>1.0171127239032627</v>
      </c>
      <c r="F94" s="173" t="str">
        <f t="shared" si="3"/>
        <v>C</v>
      </c>
      <c r="G94" s="173" t="str">
        <f t="shared" si="8"/>
        <v>C</v>
      </c>
      <c r="I94" s="182" t="s">
        <v>209</v>
      </c>
      <c r="J94" s="171">
        <f>'Юнит 13'!U90</f>
        <v>0</v>
      </c>
      <c r="K94" s="172">
        <f t="shared" si="9"/>
        <v>0</v>
      </c>
      <c r="L94" s="172">
        <f t="shared" si="13"/>
        <v>0.99106113033448684</v>
      </c>
      <c r="M94" s="173" t="str">
        <f t="shared" si="4"/>
        <v>C</v>
      </c>
    </row>
    <row r="95" spans="2:13" ht="26.5" outlineLevel="1" thickBot="1">
      <c r="B95" s="182" t="s">
        <v>198</v>
      </c>
      <c r="C95" s="171">
        <f>'Юнит 13'!AO79</f>
        <v>-1503.3933158417913</v>
      </c>
      <c r="D95" s="172">
        <f t="shared" si="7"/>
        <v>-9.3711809083019593E-4</v>
      </c>
      <c r="E95" s="172">
        <f>E94+D95</f>
        <v>1.0161756058124325</v>
      </c>
      <c r="F95" s="173" t="str">
        <f t="shared" si="3"/>
        <v>C</v>
      </c>
      <c r="G95" s="173" t="str">
        <f t="shared" si="8"/>
        <v>C</v>
      </c>
      <c r="I95" s="182" t="s">
        <v>211</v>
      </c>
      <c r="J95" s="171">
        <f>'Юнит 13'!U92</f>
        <v>0</v>
      </c>
      <c r="K95" s="172">
        <f t="shared" si="9"/>
        <v>0</v>
      </c>
      <c r="L95" s="172">
        <f>L94+K95</f>
        <v>0.99106113033448684</v>
      </c>
      <c r="M95" s="173" t="str">
        <f t="shared" si="4"/>
        <v>C</v>
      </c>
    </row>
    <row r="96" spans="2:13" ht="26.5" outlineLevel="1" thickBot="1">
      <c r="B96" s="182" t="s">
        <v>196</v>
      </c>
      <c r="C96" s="171">
        <f>'Юнит 13'!AO77</f>
        <v>-1856.3618828084125</v>
      </c>
      <c r="D96" s="172">
        <f t="shared" si="7"/>
        <v>-1.1571358507293219E-3</v>
      </c>
      <c r="E96" s="172">
        <f t="shared" ref="E96:E98" si="14">E95+D96</f>
        <v>1.0150184699617031</v>
      </c>
      <c r="F96" s="173" t="str">
        <f t="shared" si="3"/>
        <v>C</v>
      </c>
      <c r="G96" s="173" t="str">
        <f t="shared" si="8"/>
        <v>C</v>
      </c>
      <c r="I96" s="182" t="s">
        <v>213</v>
      </c>
      <c r="J96" s="171">
        <f>'Юнит 13'!U94</f>
        <v>0</v>
      </c>
      <c r="K96" s="172">
        <f t="shared" si="9"/>
        <v>0</v>
      </c>
      <c r="L96" s="172">
        <f t="shared" ref="L96:L98" si="15">L95+K96</f>
        <v>0.99106113033448684</v>
      </c>
      <c r="M96" s="173" t="str">
        <f t="shared" si="4"/>
        <v>C</v>
      </c>
    </row>
    <row r="97" spans="2:13" ht="26.5" outlineLevel="1" thickBot="1">
      <c r="B97" s="182" t="s">
        <v>140</v>
      </c>
      <c r="C97" s="171">
        <f>'Юнит 13'!AO21</f>
        <v>-2040.6397321335146</v>
      </c>
      <c r="D97" s="172">
        <f t="shared" si="7"/>
        <v>-1.2720027352113381E-3</v>
      </c>
      <c r="E97" s="172">
        <f t="shared" si="14"/>
        <v>1.0137464672264918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214</v>
      </c>
      <c r="J97" s="171">
        <f>'Юнит 13'!U95</f>
        <v>0</v>
      </c>
      <c r="K97" s="172">
        <f t="shared" si="9"/>
        <v>0</v>
      </c>
      <c r="L97" s="172">
        <f t="shared" si="15"/>
        <v>0.99106113033448684</v>
      </c>
      <c r="M97" s="173" t="str">
        <f t="shared" si="4"/>
        <v>C</v>
      </c>
    </row>
    <row r="98" spans="2:13" ht="26.5" outlineLevel="1" thickBot="1">
      <c r="B98" s="182" t="s">
        <v>172</v>
      </c>
      <c r="C98" s="171">
        <f>'Юнит 13'!AO53</f>
        <v>-2484.1292217222967</v>
      </c>
      <c r="D98" s="172">
        <f t="shared" si="7"/>
        <v>-1.5484453795994372E-3</v>
      </c>
      <c r="E98" s="172">
        <f t="shared" si="14"/>
        <v>1.0121980218468922</v>
      </c>
      <c r="F98" s="173" t="str">
        <f t="shared" si="16"/>
        <v>C</v>
      </c>
      <c r="G98" s="173" t="str">
        <f t="shared" si="8"/>
        <v>C</v>
      </c>
      <c r="I98" s="182" t="s">
        <v>215</v>
      </c>
      <c r="J98" s="171">
        <f>'Юнит 13'!U96</f>
        <v>0</v>
      </c>
      <c r="K98" s="172">
        <f t="shared" si="9"/>
        <v>0</v>
      </c>
      <c r="L98" s="172">
        <f t="shared" si="15"/>
        <v>0.99106113033448684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13'!AO85</f>
        <v>-2777.1505660667572</v>
      </c>
      <c r="D99" s="172">
        <f t="shared" si="7"/>
        <v>-1.7310959208058311E-3</v>
      </c>
      <c r="E99" s="172">
        <f>E93+D99</f>
        <v>1.0163032630618511</v>
      </c>
      <c r="F99" s="173" t="str">
        <f t="shared" si="16"/>
        <v>C</v>
      </c>
      <c r="G99" s="173" t="str">
        <f t="shared" si="8"/>
        <v>C</v>
      </c>
      <c r="I99" s="182" t="s">
        <v>216</v>
      </c>
      <c r="J99" s="171">
        <f>'Юнит 13'!U97</f>
        <v>0</v>
      </c>
      <c r="K99" s="172">
        <f t="shared" si="9"/>
        <v>0</v>
      </c>
      <c r="L99" s="172">
        <f>L93+K99</f>
        <v>0.99106113033448684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145</v>
      </c>
      <c r="C100" s="171">
        <f>'Юнит 13'!AO26</f>
        <v>-2790.7907144179153</v>
      </c>
      <c r="D100" s="172">
        <f t="shared" si="7"/>
        <v>-1.7395983064734969E-3</v>
      </c>
      <c r="E100" s="172">
        <f t="shared" ref="E100:E104" si="18">E94+D100</f>
        <v>1.0153731255967893</v>
      </c>
      <c r="F100" s="173" t="str">
        <f t="shared" si="16"/>
        <v>C</v>
      </c>
      <c r="G100" s="173" t="str">
        <f t="shared" si="8"/>
        <v>C</v>
      </c>
      <c r="I100" s="182" t="s">
        <v>217</v>
      </c>
      <c r="J100" s="171">
        <f>'Юнит 13'!U98</f>
        <v>0</v>
      </c>
      <c r="K100" s="172">
        <f t="shared" si="9"/>
        <v>0</v>
      </c>
      <c r="L100" s="172">
        <f t="shared" ref="L100:L104" si="19">L94+K100</f>
        <v>0.99106113033448684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'Юнит 13'!AO76</f>
        <v>-3835.8007384639523</v>
      </c>
      <c r="D101" s="172">
        <f t="shared" si="7"/>
        <v>-2.3909899205729009E-3</v>
      </c>
      <c r="E101" s="172">
        <f t="shared" si="18"/>
        <v>1.0137846158918595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13'!U99</f>
        <v>0</v>
      </c>
      <c r="K101" s="172">
        <f t="shared" si="9"/>
        <v>0</v>
      </c>
      <c r="L101" s="172">
        <f t="shared" si="19"/>
        <v>0.99106113033448684</v>
      </c>
      <c r="M101" s="173" t="str">
        <f t="shared" si="17"/>
        <v>C</v>
      </c>
    </row>
    <row r="102" spans="2:13" ht="15" outlineLevel="1" thickBot="1">
      <c r="B102" s="182" t="s">
        <v>259</v>
      </c>
      <c r="C102" s="171">
        <f>'Юнит 13'!AO102</f>
        <v>-4064.2851722142923</v>
      </c>
      <c r="D102" s="172">
        <f t="shared" si="7"/>
        <v>-2.5334123286575392E-3</v>
      </c>
      <c r="E102" s="172">
        <f t="shared" si="18"/>
        <v>1.0124850576330455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13'!U101</f>
        <v>0</v>
      </c>
      <c r="K102" s="172">
        <f t="shared" si="9"/>
        <v>0</v>
      </c>
      <c r="L102" s="172">
        <f t="shared" si="19"/>
        <v>0.99106113033448684</v>
      </c>
      <c r="M102" s="173" t="str">
        <f t="shared" si="17"/>
        <v>C</v>
      </c>
    </row>
    <row r="103" spans="2:13" ht="26.5" outlineLevel="1" thickBot="1">
      <c r="B103" s="182" t="s">
        <v>203</v>
      </c>
      <c r="C103" s="171">
        <f>'Юнит 13'!AO84</f>
        <v>-4082.0578714973317</v>
      </c>
      <c r="D103" s="172">
        <f t="shared" si="7"/>
        <v>-2.5444906791101587E-3</v>
      </c>
      <c r="E103" s="172">
        <f t="shared" si="18"/>
        <v>1.0112019765473816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13'!U103</f>
        <v>0</v>
      </c>
      <c r="K103" s="172">
        <f t="shared" si="9"/>
        <v>0</v>
      </c>
      <c r="L103" s="172">
        <f t="shared" si="19"/>
        <v>0.99106113033448684</v>
      </c>
      <c r="M103" s="173" t="str">
        <f t="shared" si="17"/>
        <v>C</v>
      </c>
    </row>
    <row r="104" spans="2:13" ht="26.5" outlineLevel="1" thickBot="1">
      <c r="B104" s="182" t="s">
        <v>152</v>
      </c>
      <c r="C104" s="171">
        <f>'Юнит 13'!AO33</f>
        <v>-4281.4228194726384</v>
      </c>
      <c r="D104" s="172">
        <f t="shared" si="7"/>
        <v>-2.6687618844270923E-3</v>
      </c>
      <c r="E104" s="172">
        <f t="shared" si="18"/>
        <v>1.0095292599624652</v>
      </c>
      <c r="F104" s="173" t="str">
        <f t="shared" si="16"/>
        <v>C</v>
      </c>
      <c r="G104" s="173" t="str">
        <f t="shared" si="8"/>
        <v>C</v>
      </c>
      <c r="I104" s="182" t="s">
        <v>212</v>
      </c>
      <c r="J104" s="171">
        <f>'Юнит 13'!U93</f>
        <v>-1</v>
      </c>
      <c r="K104" s="172">
        <f t="shared" si="9"/>
        <v>-2.8835063437139563E-4</v>
      </c>
      <c r="L104" s="172">
        <f t="shared" si="19"/>
        <v>0.99077277970011546</v>
      </c>
      <c r="M104" s="173" t="str">
        <f t="shared" si="17"/>
        <v>C</v>
      </c>
    </row>
    <row r="105" spans="2:13" outlineLevel="1">
      <c r="C105" s="178">
        <f>SUM(C4:C104)</f>
        <v>1604273.0692670017</v>
      </c>
      <c r="D105" s="179">
        <f>SUM(D4:D104)</f>
        <v>0.99999999999999989</v>
      </c>
      <c r="J105" s="178">
        <f>SUM(J4:J104)</f>
        <v>3468</v>
      </c>
      <c r="K105" s="179">
        <f>SUM(K4:K104)</f>
        <v>1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84" priority="4" operator="equal">
      <formula>"C"</formula>
    </cfRule>
    <cfRule type="cellIs" dxfId="183" priority="5" operator="equal">
      <formula>"B"</formula>
    </cfRule>
    <cfRule type="cellIs" dxfId="182" priority="6" operator="equal">
      <formula>"A"</formula>
    </cfRule>
  </conditionalFormatting>
  <conditionalFormatting sqref="F99:G104 D99:D104 M99:M104 K99:K104">
    <cfRule type="cellIs" dxfId="181" priority="1" operator="equal">
      <formula>"C"</formula>
    </cfRule>
    <cfRule type="cellIs" dxfId="180" priority="2" operator="equal">
      <formula>"B"</formula>
    </cfRule>
    <cfRule type="cellIs" dxfId="179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9A1A-C408-4F1E-A450-706EF1A7318F}">
  <dimension ref="B1:Q105"/>
  <sheetViews>
    <sheetView zoomScale="80" zoomScaleNormal="80" workbookViewId="0">
      <selection activeCell="J11" sqref="J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9" t="s">
        <v>86</v>
      </c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1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12'!AO4</f>
        <v>452246.81779784028</v>
      </c>
      <c r="D4" s="172">
        <f t="shared" ref="D4:D67" si="0">C4/C$105</f>
        <v>0.24956728174502268</v>
      </c>
      <c r="E4" s="172">
        <f>D4</f>
        <v>0.24956728174502268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12'!U4</f>
        <v>796</v>
      </c>
      <c r="K4" s="172">
        <f t="shared" ref="K4:K67" si="2">J4/J$105</f>
        <v>0.20010055304172952</v>
      </c>
      <c r="L4" s="172">
        <f>K4</f>
        <v>0.20010055304172952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12'!AO7</f>
        <v>142766.56902043711</v>
      </c>
      <c r="D5" s="172">
        <f t="shared" si="0"/>
        <v>7.8784113347638032E-2</v>
      </c>
      <c r="E5" s="172">
        <f>E4+D5</f>
        <v>0.3283513950926607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128</v>
      </c>
      <c r="J5" s="171">
        <f>'Юнит 12'!U9</f>
        <v>298</v>
      </c>
      <c r="K5" s="172">
        <f t="shared" si="2"/>
        <v>7.4912016088486674E-2</v>
      </c>
      <c r="L5" s="172">
        <f>L4+K5</f>
        <v>0.27501256913021621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12'!AO9</f>
        <v>138362.10139187792</v>
      </c>
      <c r="D6" s="172">
        <f t="shared" si="0"/>
        <v>7.6353557796255855E-2</v>
      </c>
      <c r="E6" s="172">
        <f t="shared" ref="E6:E69" si="5">E5+D6</f>
        <v>0.40470495288891656</v>
      </c>
      <c r="F6" s="173" t="str">
        <f t="shared" si="3"/>
        <v>A</v>
      </c>
      <c r="G6" s="173" t="str">
        <f t="shared" si="1"/>
        <v>A</v>
      </c>
      <c r="I6" s="182" t="s">
        <v>126</v>
      </c>
      <c r="J6" s="171">
        <f>'Юнит 12'!U7</f>
        <v>291</v>
      </c>
      <c r="K6" s="172">
        <f t="shared" si="2"/>
        <v>7.3152337858220215E-2</v>
      </c>
      <c r="L6" s="172">
        <f t="shared" ref="L6:L69" si="6">L5+K6</f>
        <v>0.34816490698843644</v>
      </c>
      <c r="M6" s="173" t="str">
        <f t="shared" si="4"/>
        <v>A</v>
      </c>
      <c r="P6" s="177" t="s">
        <v>95</v>
      </c>
      <c r="Q6" s="175">
        <v>0.05</v>
      </c>
    </row>
    <row r="7" spans="2:17" ht="26.5" outlineLevel="1" thickBot="1">
      <c r="B7" s="182" t="s">
        <v>122</v>
      </c>
      <c r="C7" s="171">
        <f>'Юнит 12'!AO3</f>
        <v>123093.15677826664</v>
      </c>
      <c r="D7" s="172">
        <f t="shared" si="0"/>
        <v>6.7927563732019747E-2</v>
      </c>
      <c r="E7" s="172">
        <f t="shared" si="5"/>
        <v>0.4726325166209363</v>
      </c>
      <c r="F7" s="173" t="str">
        <f t="shared" si="3"/>
        <v>A</v>
      </c>
      <c r="G7" s="173" t="str">
        <f t="shared" si="1"/>
        <v>A</v>
      </c>
      <c r="I7" s="182" t="s">
        <v>129</v>
      </c>
      <c r="J7" s="171">
        <f>'Юнит 12'!U10</f>
        <v>262</v>
      </c>
      <c r="K7" s="172">
        <f t="shared" si="2"/>
        <v>6.586224233283057E-2</v>
      </c>
      <c r="L7" s="172">
        <f t="shared" si="6"/>
        <v>0.414027149321267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12'!AO10</f>
        <v>110343.29957631663</v>
      </c>
      <c r="D8" s="172">
        <f t="shared" si="0"/>
        <v>6.0891699510747917E-2</v>
      </c>
      <c r="E8" s="172">
        <f t="shared" si="5"/>
        <v>0.53352421613168421</v>
      </c>
      <c r="F8" s="173" t="str">
        <f t="shared" si="3"/>
        <v>A</v>
      </c>
      <c r="G8" s="173" t="str">
        <f t="shared" si="1"/>
        <v>A</v>
      </c>
      <c r="I8" s="182" t="s">
        <v>132</v>
      </c>
      <c r="J8" s="171">
        <f>'Юнит 12'!U13</f>
        <v>249</v>
      </c>
      <c r="K8" s="172">
        <f t="shared" si="2"/>
        <v>6.2594268476621417E-2</v>
      </c>
      <c r="L8" s="172">
        <f t="shared" si="6"/>
        <v>0.47662141779788841</v>
      </c>
      <c r="M8" s="173" t="str">
        <f>_xlfn.IFS(L8&lt;80%,"A",L8&lt;=95%,"B",L8&gt;95%,"C")</f>
        <v>A</v>
      </c>
    </row>
    <row r="9" spans="2:17" ht="15" outlineLevel="1" thickBot="1">
      <c r="B9" s="182" t="s">
        <v>135</v>
      </c>
      <c r="C9" s="171">
        <f>'Юнит 12'!AO16</f>
        <v>109820.2884498023</v>
      </c>
      <c r="D9" s="172">
        <f t="shared" si="0"/>
        <v>6.0603081747106893E-2</v>
      </c>
      <c r="E9" s="172">
        <f t="shared" si="5"/>
        <v>0.59412729787879115</v>
      </c>
      <c r="F9" s="173" t="str">
        <f t="shared" si="3"/>
        <v>A</v>
      </c>
      <c r="G9" s="173" t="str">
        <f t="shared" si="1"/>
        <v>A</v>
      </c>
      <c r="I9" s="182" t="s">
        <v>135</v>
      </c>
      <c r="J9" s="171">
        <f>'Юнит 12'!U16</f>
        <v>233</v>
      </c>
      <c r="K9" s="172">
        <f t="shared" si="2"/>
        <v>5.8572146807440925E-2</v>
      </c>
      <c r="L9" s="172">
        <f t="shared" si="6"/>
        <v>0.5351935646053293</v>
      </c>
      <c r="M9" s="173" t="str">
        <f t="shared" si="4"/>
        <v>A</v>
      </c>
    </row>
    <row r="10" spans="2:17" ht="26.5" outlineLevel="1" thickBot="1">
      <c r="B10" s="182" t="s">
        <v>132</v>
      </c>
      <c r="C10" s="171">
        <f>'Юнит 12'!AO13</f>
        <v>109416.10192808215</v>
      </c>
      <c r="D10" s="172">
        <f t="shared" si="0"/>
        <v>6.038003599515477E-2</v>
      </c>
      <c r="E10" s="172">
        <f t="shared" si="5"/>
        <v>0.65450733387394588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12'!U3</f>
        <v>228</v>
      </c>
      <c r="K10" s="172">
        <f t="shared" si="2"/>
        <v>5.7315233785822019E-2</v>
      </c>
      <c r="L10" s="172">
        <f t="shared" si="6"/>
        <v>0.59250879839115134</v>
      </c>
      <c r="M10" s="173" t="str">
        <f t="shared" si="4"/>
        <v>A</v>
      </c>
    </row>
    <row r="11" spans="2:17" ht="15" outlineLevel="1" thickBot="1">
      <c r="B11" s="182" t="s">
        <v>124</v>
      </c>
      <c r="C11" s="171">
        <f>'Юнит 12'!AO5</f>
        <v>108243.43292246324</v>
      </c>
      <c r="D11" s="172">
        <f t="shared" si="0"/>
        <v>5.9732911892559595E-2</v>
      </c>
      <c r="E11" s="172">
        <f t="shared" si="5"/>
        <v>0.71424024576650547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12'!U5</f>
        <v>225</v>
      </c>
      <c r="K11" s="172">
        <f t="shared" si="2"/>
        <v>5.6561085972850679E-2</v>
      </c>
      <c r="L11" s="172">
        <f t="shared" si="6"/>
        <v>0.64906988436400204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12'!AO12</f>
        <v>83722.534122417885</v>
      </c>
      <c r="D12" s="172">
        <f t="shared" si="0"/>
        <v>4.6201331749506719E-2</v>
      </c>
      <c r="E12" s="172">
        <f t="shared" si="5"/>
        <v>0.76044157751601216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12'!U12</f>
        <v>194</v>
      </c>
      <c r="K12" s="172">
        <f t="shared" si="2"/>
        <v>4.8768225238813474E-2</v>
      </c>
      <c r="L12" s="172">
        <f t="shared" si="6"/>
        <v>0.69783810960281556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'Юнит 12'!AO28</f>
        <v>74826.115890831017</v>
      </c>
      <c r="D13" s="172">
        <f t="shared" si="0"/>
        <v>4.1291944158599499E-2</v>
      </c>
      <c r="E13" s="172">
        <f t="shared" si="5"/>
        <v>0.80173352167461165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'Юнит 12'!U28</f>
        <v>188</v>
      </c>
      <c r="K13" s="172">
        <f t="shared" si="2"/>
        <v>4.7259929612870788E-2</v>
      </c>
      <c r="L13" s="172">
        <f t="shared" si="6"/>
        <v>0.74509803921568629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12'!AO6</f>
        <v>45560.403621287893</v>
      </c>
      <c r="D14" s="172">
        <f t="shared" si="0"/>
        <v>2.5141992468487872E-2</v>
      </c>
      <c r="E14" s="172">
        <f t="shared" si="5"/>
        <v>0.82687551414309957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12'!U11</f>
        <v>107</v>
      </c>
      <c r="K14" s="172">
        <f t="shared" si="2"/>
        <v>2.6897938662644547E-2</v>
      </c>
      <c r="L14" s="172">
        <f t="shared" si="6"/>
        <v>0.77199597787833085</v>
      </c>
      <c r="M14" s="173" t="str">
        <f t="shared" si="4"/>
        <v>A</v>
      </c>
    </row>
    <row r="15" spans="2:17" ht="26.5" outlineLevel="1" thickBot="1">
      <c r="B15" s="182" t="s">
        <v>137</v>
      </c>
      <c r="C15" s="171">
        <f>'Юнит 12'!AO18</f>
        <v>45147.554041941185</v>
      </c>
      <c r="D15" s="172">
        <f t="shared" si="0"/>
        <v>2.4914166106350392E-2</v>
      </c>
      <c r="E15" s="172">
        <f t="shared" si="5"/>
        <v>0.85178968024945001</v>
      </c>
      <c r="F15" s="173" t="str">
        <f t="shared" si="3"/>
        <v>B</v>
      </c>
      <c r="G15" s="173" t="str">
        <f t="shared" si="1"/>
        <v>B</v>
      </c>
      <c r="I15" s="182" t="s">
        <v>125</v>
      </c>
      <c r="J15" s="171">
        <f>'Юнит 12'!U6</f>
        <v>103</v>
      </c>
      <c r="K15" s="172">
        <f t="shared" si="2"/>
        <v>2.5892408245349424E-2</v>
      </c>
      <c r="L15" s="172">
        <f t="shared" si="6"/>
        <v>0.79788838612368029</v>
      </c>
      <c r="M15" s="173" t="str">
        <f t="shared" si="4"/>
        <v>A</v>
      </c>
    </row>
    <row r="16" spans="2:17" ht="26.5" outlineLevel="1" thickBot="1">
      <c r="B16" s="182" t="s">
        <v>130</v>
      </c>
      <c r="C16" s="171">
        <f>'Юнит 12'!AO11</f>
        <v>43126.256631539509</v>
      </c>
      <c r="D16" s="172">
        <f t="shared" si="0"/>
        <v>2.3798736034849711E-2</v>
      </c>
      <c r="E16" s="172">
        <f t="shared" si="5"/>
        <v>0.87558841628429973</v>
      </c>
      <c r="F16" s="173" t="str">
        <f t="shared" si="3"/>
        <v>B</v>
      </c>
      <c r="G16" s="173" t="str">
        <f t="shared" si="1"/>
        <v>A</v>
      </c>
      <c r="I16" s="182" t="s">
        <v>137</v>
      </c>
      <c r="J16" s="171">
        <f>'Юнит 12'!U18</f>
        <v>103</v>
      </c>
      <c r="K16" s="172">
        <f t="shared" si="2"/>
        <v>2.5892408245349424E-2</v>
      </c>
      <c r="L16" s="172">
        <f t="shared" si="6"/>
        <v>0.82378079436902973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'Юнит 12'!AO14</f>
        <v>37695.445858346728</v>
      </c>
      <c r="D17" s="172">
        <f t="shared" si="0"/>
        <v>2.0801804649158533E-2</v>
      </c>
      <c r="E17" s="172">
        <f t="shared" si="5"/>
        <v>0.89639022093345821</v>
      </c>
      <c r="F17" s="173" t="str">
        <f t="shared" si="3"/>
        <v>B</v>
      </c>
      <c r="G17" s="173" t="str">
        <f t="shared" si="1"/>
        <v>B</v>
      </c>
      <c r="I17" s="182" t="s">
        <v>133</v>
      </c>
      <c r="J17" s="171">
        <f>'Юнит 12'!U14</f>
        <v>91</v>
      </c>
      <c r="K17" s="172">
        <f t="shared" si="2"/>
        <v>2.2875816993464051E-2</v>
      </c>
      <c r="L17" s="172">
        <f t="shared" si="6"/>
        <v>0.84665661136249382</v>
      </c>
      <c r="M17" s="173" t="str">
        <f t="shared" si="4"/>
        <v>B</v>
      </c>
    </row>
    <row r="18" spans="2:13" ht="15" outlineLevel="1" thickBot="1">
      <c r="B18" s="182" t="s">
        <v>134</v>
      </c>
      <c r="C18" s="171">
        <f>'Юнит 12'!AO15</f>
        <v>36552.861905325459</v>
      </c>
      <c r="D18" s="172">
        <f t="shared" si="0"/>
        <v>2.0171282641929137E-2</v>
      </c>
      <c r="E18" s="172">
        <f t="shared" si="5"/>
        <v>0.91656150357538735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'Юнит 12'!U15</f>
        <v>80</v>
      </c>
      <c r="K18" s="172">
        <f t="shared" si="2"/>
        <v>2.0110608345902465E-2</v>
      </c>
      <c r="L18" s="172">
        <f t="shared" si="6"/>
        <v>0.86676721970839632</v>
      </c>
      <c r="M18" s="173" t="str">
        <f t="shared" si="4"/>
        <v>B</v>
      </c>
    </row>
    <row r="19" spans="2:13" ht="15" outlineLevel="1" thickBot="1">
      <c r="B19" s="182" t="s">
        <v>164</v>
      </c>
      <c r="C19" s="171">
        <f>'Юнит 12'!AO45</f>
        <v>27351.153371798875</v>
      </c>
      <c r="D19" s="172">
        <f t="shared" si="0"/>
        <v>1.5093424057308324E-2</v>
      </c>
      <c r="E19" s="172">
        <f t="shared" si="5"/>
        <v>0.93165492763269564</v>
      </c>
      <c r="F19" s="173" t="str">
        <f t="shared" si="3"/>
        <v>B</v>
      </c>
      <c r="G19" s="173" t="str">
        <f t="shared" si="1"/>
        <v>B</v>
      </c>
      <c r="I19" s="182" t="s">
        <v>168</v>
      </c>
      <c r="J19" s="171">
        <f>'Юнит 12'!U49</f>
        <v>69</v>
      </c>
      <c r="K19" s="172">
        <f t="shared" si="2"/>
        <v>1.7345399698340876E-2</v>
      </c>
      <c r="L19" s="172">
        <f t="shared" si="6"/>
        <v>0.88411261940673724</v>
      </c>
      <c r="M19" s="173" t="str">
        <f t="shared" si="4"/>
        <v>B</v>
      </c>
    </row>
    <row r="20" spans="2:13" ht="15" outlineLevel="1" thickBot="1">
      <c r="B20" s="182" t="s">
        <v>168</v>
      </c>
      <c r="C20" s="171">
        <f>'Юнит 12'!AO49</f>
        <v>23758.321964188228</v>
      </c>
      <c r="D20" s="172">
        <f t="shared" si="0"/>
        <v>1.3110760757361463E-2</v>
      </c>
      <c r="E20" s="172">
        <f t="shared" si="5"/>
        <v>0.94476568839005715</v>
      </c>
      <c r="F20" s="173" t="str">
        <f t="shared" si="3"/>
        <v>B</v>
      </c>
      <c r="G20" s="173" t="str">
        <f t="shared" si="1"/>
        <v>B</v>
      </c>
      <c r="I20" s="182" t="s">
        <v>163</v>
      </c>
      <c r="J20" s="171">
        <f>'Юнит 12'!U44</f>
        <v>58</v>
      </c>
      <c r="K20" s="172">
        <f t="shared" si="2"/>
        <v>1.4580191050779286E-2</v>
      </c>
      <c r="L20" s="172">
        <f t="shared" si="6"/>
        <v>0.89869281045751648</v>
      </c>
      <c r="M20" s="173" t="str">
        <f t="shared" si="4"/>
        <v>B</v>
      </c>
    </row>
    <row r="21" spans="2:13" ht="15" outlineLevel="1" thickBot="1">
      <c r="B21" s="182" t="s">
        <v>163</v>
      </c>
      <c r="C21" s="171">
        <f>'Юнит 12'!AO44</f>
        <v>19848.404971895223</v>
      </c>
      <c r="D21" s="172">
        <f t="shared" si="0"/>
        <v>1.0953117370578301E-2</v>
      </c>
      <c r="E21" s="172">
        <f t="shared" si="5"/>
        <v>0.95571880576063539</v>
      </c>
      <c r="F21" s="173" t="str">
        <f t="shared" si="3"/>
        <v>C</v>
      </c>
      <c r="G21" s="173" t="str">
        <f t="shared" si="1"/>
        <v>B</v>
      </c>
      <c r="I21" s="182" t="s">
        <v>164</v>
      </c>
      <c r="J21" s="171">
        <f>'Юнит 12'!U45</f>
        <v>52</v>
      </c>
      <c r="K21" s="172">
        <f t="shared" si="2"/>
        <v>1.3071895424836602E-2</v>
      </c>
      <c r="L21" s="172">
        <f t="shared" si="6"/>
        <v>0.91176470588235303</v>
      </c>
      <c r="M21" s="173" t="str">
        <f t="shared" si="4"/>
        <v>B</v>
      </c>
    </row>
    <row r="22" spans="2:13" ht="26.5" outlineLevel="1" thickBot="1">
      <c r="B22" s="182" t="s">
        <v>136</v>
      </c>
      <c r="C22" s="171">
        <f>'Юнит 12'!AO17</f>
        <v>18831.738147790456</v>
      </c>
      <c r="D22" s="172">
        <f t="shared" si="0"/>
        <v>1.0392081304105434E-2</v>
      </c>
      <c r="E22" s="172">
        <f t="shared" si="5"/>
        <v>0.9661108870647408</v>
      </c>
      <c r="F22" s="173" t="str">
        <f t="shared" si="3"/>
        <v>C</v>
      </c>
      <c r="G22" s="173" t="str">
        <f t="shared" si="1"/>
        <v>B</v>
      </c>
      <c r="I22" s="182" t="s">
        <v>169</v>
      </c>
      <c r="J22" s="171">
        <f>'Юнит 12'!U50</f>
        <v>50</v>
      </c>
      <c r="K22" s="172">
        <f t="shared" si="2"/>
        <v>1.256913021618904E-2</v>
      </c>
      <c r="L22" s="172">
        <f t="shared" si="6"/>
        <v>0.92433383609854203</v>
      </c>
      <c r="M22" s="173" t="str">
        <f t="shared" si="4"/>
        <v>B</v>
      </c>
    </row>
    <row r="23" spans="2:13" ht="26.5" outlineLevel="1" thickBot="1">
      <c r="B23" s="182" t="s">
        <v>167</v>
      </c>
      <c r="C23" s="171">
        <f>'Юнит 12'!AO48</f>
        <v>18685.245744961885</v>
      </c>
      <c r="D23" s="172">
        <f t="shared" si="0"/>
        <v>1.0311241131590243E-2</v>
      </c>
      <c r="E23" s="172">
        <f t="shared" si="5"/>
        <v>0.97642212819633101</v>
      </c>
      <c r="F23" s="173" t="str">
        <f t="shared" si="3"/>
        <v>C</v>
      </c>
      <c r="G23" s="173" t="str">
        <f t="shared" si="1"/>
        <v>B</v>
      </c>
      <c r="I23" s="182" t="s">
        <v>167</v>
      </c>
      <c r="J23" s="171">
        <f>'Юнит 12'!U48</f>
        <v>46</v>
      </c>
      <c r="K23" s="172">
        <f t="shared" si="2"/>
        <v>1.1563599798893917E-2</v>
      </c>
      <c r="L23" s="172">
        <f t="shared" si="6"/>
        <v>0.9358974358974359</v>
      </c>
      <c r="M23" s="173" t="str">
        <f t="shared" si="4"/>
        <v>B</v>
      </c>
    </row>
    <row r="24" spans="2:13" ht="26.5" outlineLevel="1" thickBot="1">
      <c r="B24" s="182" t="s">
        <v>169</v>
      </c>
      <c r="C24" s="171">
        <f>'Юнит 12'!AO50</f>
        <v>18102.453976393284</v>
      </c>
      <c r="D24" s="172">
        <f t="shared" si="0"/>
        <v>9.9896340980388069E-3</v>
      </c>
      <c r="E24" s="172">
        <f t="shared" si="5"/>
        <v>0.98641176229436978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'Юнит 12'!U17</f>
        <v>42</v>
      </c>
      <c r="K24" s="172">
        <f t="shared" si="2"/>
        <v>1.0558069381598794E-2</v>
      </c>
      <c r="L24" s="172">
        <f t="shared" si="6"/>
        <v>0.94645550527903466</v>
      </c>
      <c r="M24" s="173" t="str">
        <f t="shared" si="4"/>
        <v>B</v>
      </c>
    </row>
    <row r="25" spans="2:13" ht="15" outlineLevel="1" thickBot="1">
      <c r="B25" s="182" t="s">
        <v>127</v>
      </c>
      <c r="C25" s="171">
        <f>'Юнит 12'!AO8</f>
        <v>10089.228811882325</v>
      </c>
      <c r="D25" s="172">
        <f t="shared" si="0"/>
        <v>5.5676265932524185E-3</v>
      </c>
      <c r="E25" s="172">
        <f t="shared" si="5"/>
        <v>0.99197938888762216</v>
      </c>
      <c r="F25" s="173" t="str">
        <f t="shared" si="3"/>
        <v>C</v>
      </c>
      <c r="G25" s="173" t="str">
        <f t="shared" si="1"/>
        <v>C</v>
      </c>
      <c r="I25" s="182" t="s">
        <v>127</v>
      </c>
      <c r="J25" s="171">
        <f>'Юнит 12'!U8</f>
        <v>29</v>
      </c>
      <c r="K25" s="172">
        <f t="shared" si="2"/>
        <v>7.2900955253896432E-3</v>
      </c>
      <c r="L25" s="172">
        <f t="shared" si="6"/>
        <v>0.95374560080442428</v>
      </c>
      <c r="M25" s="173" t="str">
        <f t="shared" si="4"/>
        <v>C</v>
      </c>
    </row>
    <row r="26" spans="2:13" ht="15" outlineLevel="1" thickBot="1">
      <c r="B26" s="182" t="s">
        <v>166</v>
      </c>
      <c r="C26" s="171">
        <f>'Юнит 12'!AO47</f>
        <v>8275.1164589120417</v>
      </c>
      <c r="D26" s="172">
        <f t="shared" si="0"/>
        <v>4.5665292479677416E-3</v>
      </c>
      <c r="E26" s="172">
        <f t="shared" si="5"/>
        <v>0.9965459181355899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12'!U47</f>
        <v>28</v>
      </c>
      <c r="K26" s="172">
        <f t="shared" si="2"/>
        <v>7.0387129210658624E-3</v>
      </c>
      <c r="L26" s="172">
        <f t="shared" si="6"/>
        <v>0.96078431372549011</v>
      </c>
      <c r="M26" s="173" t="str">
        <f t="shared" si="4"/>
        <v>C</v>
      </c>
    </row>
    <row r="27" spans="2:13" ht="15" outlineLevel="1" thickBot="1">
      <c r="B27" s="182" t="s">
        <v>259</v>
      </c>
      <c r="C27" s="171">
        <f>'Юнит 12'!AO102</f>
        <v>4625.6078179411625</v>
      </c>
      <c r="D27" s="172">
        <f t="shared" si="0"/>
        <v>2.5525892590318512E-3</v>
      </c>
      <c r="E27" s="172">
        <f>E26+D27</f>
        <v>0.9990985073946218</v>
      </c>
      <c r="F27" s="173" t="str">
        <f t="shared" si="3"/>
        <v>C</v>
      </c>
      <c r="G27" s="173" t="str">
        <f t="shared" si="1"/>
        <v>C</v>
      </c>
      <c r="I27" s="182" t="s">
        <v>145</v>
      </c>
      <c r="J27" s="171">
        <f>'Юнит 12'!U26</f>
        <v>27</v>
      </c>
      <c r="K27" s="172">
        <f t="shared" si="2"/>
        <v>6.7873303167420816E-3</v>
      </c>
      <c r="L27" s="172">
        <f>L26+K27</f>
        <v>0.96757164404223217</v>
      </c>
      <c r="M27" s="173" t="str">
        <f t="shared" si="4"/>
        <v>C</v>
      </c>
    </row>
    <row r="28" spans="2:13" ht="15" outlineLevel="1" thickBot="1">
      <c r="B28" s="182" t="s">
        <v>173</v>
      </c>
      <c r="C28" s="171">
        <f>'Юнит 12'!AO54</f>
        <v>3265.0384751882325</v>
      </c>
      <c r="D28" s="172">
        <f t="shared" si="0"/>
        <v>1.8017744845910382E-3</v>
      </c>
      <c r="E28" s="172">
        <f>E27+D28</f>
        <v>1.0009002818792128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'Юнит 12'!U27</f>
        <v>13</v>
      </c>
      <c r="K28" s="172">
        <f t="shared" si="2"/>
        <v>3.2679738562091504E-3</v>
      </c>
      <c r="L28" s="172">
        <f t="shared" si="6"/>
        <v>0.97083961789844131</v>
      </c>
      <c r="M28" s="173" t="str">
        <f t="shared" si="4"/>
        <v>C</v>
      </c>
    </row>
    <row r="29" spans="2:13" ht="15" outlineLevel="1" thickBot="1">
      <c r="B29" s="182" t="s">
        <v>208</v>
      </c>
      <c r="C29" s="171">
        <f>'Юнит 12'!AO89</f>
        <v>2571.3554164560205</v>
      </c>
      <c r="D29" s="172">
        <f t="shared" si="0"/>
        <v>1.4189733491328381E-3</v>
      </c>
      <c r="E29" s="172">
        <f t="shared" si="5"/>
        <v>1.0023192552283455</v>
      </c>
      <c r="F29" s="173" t="str">
        <f t="shared" si="3"/>
        <v>C</v>
      </c>
      <c r="G29" s="173" t="str">
        <f t="shared" si="1"/>
        <v>C</v>
      </c>
      <c r="I29" s="182" t="s">
        <v>259</v>
      </c>
      <c r="J29" s="171">
        <f>'Юнит 12'!U102</f>
        <v>11</v>
      </c>
      <c r="K29" s="172">
        <f t="shared" si="2"/>
        <v>2.7652086475615889E-3</v>
      </c>
      <c r="L29" s="172">
        <f t="shared" si="6"/>
        <v>0.97360482654600289</v>
      </c>
      <c r="M29" s="173" t="str">
        <f t="shared" si="4"/>
        <v>C</v>
      </c>
    </row>
    <row r="30" spans="2:13" ht="26.5" outlineLevel="1" thickBot="1">
      <c r="B30" s="182" t="s">
        <v>212</v>
      </c>
      <c r="C30" s="171">
        <f>'Юнит 12'!AO93</f>
        <v>2524.8495276442527</v>
      </c>
      <c r="D30" s="172">
        <f t="shared" si="0"/>
        <v>1.393309601375795E-3</v>
      </c>
      <c r="E30" s="172">
        <f t="shared" si="5"/>
        <v>1.0037125648297214</v>
      </c>
      <c r="F30" s="173" t="str">
        <f t="shared" si="3"/>
        <v>C</v>
      </c>
      <c r="G30" s="173" t="str">
        <f t="shared" si="1"/>
        <v>C</v>
      </c>
      <c r="I30" s="182" t="s">
        <v>200</v>
      </c>
      <c r="J30" s="171">
        <f>'Юнит 12'!U81</f>
        <v>10</v>
      </c>
      <c r="K30" s="172">
        <f t="shared" si="2"/>
        <v>2.5138260432378081E-3</v>
      </c>
      <c r="L30" s="172">
        <f t="shared" si="6"/>
        <v>0.97611865258924069</v>
      </c>
      <c r="M30" s="173" t="str">
        <f t="shared" si="4"/>
        <v>C</v>
      </c>
    </row>
    <row r="31" spans="2:13" ht="15" outlineLevel="1" thickBot="1">
      <c r="B31" s="182" t="s">
        <v>160</v>
      </c>
      <c r="C31" s="171">
        <f>'Юнит 12'!AO41</f>
        <v>1020.2121417781461</v>
      </c>
      <c r="D31" s="172">
        <f t="shared" si="0"/>
        <v>5.6299250985698259E-4</v>
      </c>
      <c r="E31" s="172">
        <f t="shared" si="5"/>
        <v>1.0042755573395783</v>
      </c>
      <c r="F31" s="173" t="str">
        <f t="shared" si="3"/>
        <v>C</v>
      </c>
      <c r="G31" s="173" t="str">
        <f t="shared" si="1"/>
        <v>C</v>
      </c>
      <c r="I31" s="182" t="s">
        <v>171</v>
      </c>
      <c r="J31" s="171">
        <f>'Юнит 12'!U52</f>
        <v>9</v>
      </c>
      <c r="K31" s="172">
        <f t="shared" si="2"/>
        <v>2.2624434389140274E-3</v>
      </c>
      <c r="L31" s="172">
        <f t="shared" si="6"/>
        <v>0.97838109602815471</v>
      </c>
      <c r="M31" s="173" t="str">
        <f t="shared" si="4"/>
        <v>C</v>
      </c>
    </row>
    <row r="32" spans="2:13" ht="26.5" outlineLevel="1" thickBot="1">
      <c r="B32" s="182" t="s">
        <v>206</v>
      </c>
      <c r="C32" s="171">
        <f>'Юнит 12'!AO87</f>
        <v>969.10301859831918</v>
      </c>
      <c r="D32" s="172">
        <f t="shared" si="0"/>
        <v>5.3478851937569937E-4</v>
      </c>
      <c r="E32" s="172">
        <f t="shared" si="5"/>
        <v>1.0048103458589539</v>
      </c>
      <c r="F32" s="173" t="str">
        <f t="shared" si="3"/>
        <v>C</v>
      </c>
      <c r="G32" s="173" t="str">
        <f t="shared" si="1"/>
        <v>C</v>
      </c>
      <c r="I32" s="182" t="s">
        <v>173</v>
      </c>
      <c r="J32" s="171">
        <f>'Юнит 12'!U54</f>
        <v>9</v>
      </c>
      <c r="K32" s="172">
        <f t="shared" si="2"/>
        <v>2.2624434389140274E-3</v>
      </c>
      <c r="L32" s="172">
        <f t="shared" si="6"/>
        <v>0.98064353946706873</v>
      </c>
      <c r="M32" s="173" t="str">
        <f t="shared" si="4"/>
        <v>C</v>
      </c>
    </row>
    <row r="33" spans="2:13" ht="26.5" outlineLevel="1" thickBot="1">
      <c r="B33" s="182" t="s">
        <v>158</v>
      </c>
      <c r="C33" s="171">
        <f>'Юнит 12'!AO39</f>
        <v>953.28393719663848</v>
      </c>
      <c r="D33" s="172">
        <f t="shared" si="0"/>
        <v>5.2605893855886879E-4</v>
      </c>
      <c r="E33" s="172">
        <f t="shared" si="5"/>
        <v>1.0053364047975129</v>
      </c>
      <c r="F33" s="173" t="str">
        <f t="shared" si="3"/>
        <v>C</v>
      </c>
      <c r="G33" s="173" t="str">
        <f t="shared" si="1"/>
        <v>C</v>
      </c>
      <c r="I33" s="182" t="s">
        <v>206</v>
      </c>
      <c r="J33" s="171">
        <f>'Юнит 12'!U87</f>
        <v>8</v>
      </c>
      <c r="K33" s="172">
        <f t="shared" si="2"/>
        <v>2.0110608345902461E-3</v>
      </c>
      <c r="L33" s="172">
        <f t="shared" si="6"/>
        <v>0.98265460030165896</v>
      </c>
      <c r="M33" s="173" t="str">
        <f t="shared" si="4"/>
        <v>C</v>
      </c>
    </row>
    <row r="34" spans="2:13" ht="26.5" outlineLevel="1" thickBot="1">
      <c r="B34" s="182" t="s">
        <v>216</v>
      </c>
      <c r="C34" s="171">
        <f>'Юнит 12'!AO97</f>
        <v>882.83200000000033</v>
      </c>
      <c r="D34" s="172">
        <f t="shared" si="0"/>
        <v>4.871808353464419E-4</v>
      </c>
      <c r="E34" s="172">
        <f t="shared" si="5"/>
        <v>1.0058235856328592</v>
      </c>
      <c r="F34" s="173" t="str">
        <f t="shared" si="3"/>
        <v>C</v>
      </c>
      <c r="G34" s="173" t="str">
        <f t="shared" si="1"/>
        <v>C</v>
      </c>
      <c r="I34" s="182" t="s">
        <v>199</v>
      </c>
      <c r="J34" s="171">
        <f>'Юнит 12'!U80</f>
        <v>6</v>
      </c>
      <c r="K34" s="172">
        <f t="shared" si="2"/>
        <v>1.5082956259426848E-3</v>
      </c>
      <c r="L34" s="172">
        <f t="shared" si="6"/>
        <v>0.98416289592760164</v>
      </c>
      <c r="M34" s="173" t="str">
        <f t="shared" si="4"/>
        <v>C</v>
      </c>
    </row>
    <row r="35" spans="2:13" ht="15" outlineLevel="1" thickBot="1">
      <c r="B35" s="182" t="s">
        <v>159</v>
      </c>
      <c r="C35" s="171">
        <f>'Юнит 12'!AO40</f>
        <v>810.80939451876407</v>
      </c>
      <c r="D35" s="172">
        <f t="shared" si="0"/>
        <v>4.4743597663926332E-4</v>
      </c>
      <c r="E35" s="172">
        <f t="shared" si="5"/>
        <v>1.0062710216094986</v>
      </c>
      <c r="F35" s="173" t="str">
        <f t="shared" si="3"/>
        <v>C</v>
      </c>
      <c r="G35" s="173" t="str">
        <f t="shared" si="1"/>
        <v>C</v>
      </c>
      <c r="I35" s="182" t="s">
        <v>177</v>
      </c>
      <c r="J35" s="171">
        <f>'Юнит 12'!U58</f>
        <v>5</v>
      </c>
      <c r="K35" s="172">
        <f t="shared" si="2"/>
        <v>1.2569130216189041E-3</v>
      </c>
      <c r="L35" s="172">
        <f t="shared" si="6"/>
        <v>0.98541980894922054</v>
      </c>
      <c r="M35" s="173" t="str">
        <f t="shared" si="4"/>
        <v>C</v>
      </c>
    </row>
    <row r="36" spans="2:13" ht="15" outlineLevel="1" thickBot="1">
      <c r="B36" s="182" t="s">
        <v>189</v>
      </c>
      <c r="C36" s="171">
        <f>'Юнит 12'!AO70</f>
        <v>804.84514573221281</v>
      </c>
      <c r="D36" s="172">
        <f t="shared" si="0"/>
        <v>4.4414467353057896E-4</v>
      </c>
      <c r="E36" s="172">
        <f t="shared" si="5"/>
        <v>1.0067151662830292</v>
      </c>
      <c r="F36" s="173" t="str">
        <f t="shared" si="3"/>
        <v>C</v>
      </c>
      <c r="G36" s="173" t="str">
        <f t="shared" si="1"/>
        <v>C</v>
      </c>
      <c r="I36" s="182" t="s">
        <v>208</v>
      </c>
      <c r="J36" s="171">
        <f>'Юнит 12'!U89</f>
        <v>5</v>
      </c>
      <c r="K36" s="172">
        <f t="shared" si="2"/>
        <v>1.2569130216189041E-3</v>
      </c>
      <c r="L36" s="172">
        <f t="shared" si="6"/>
        <v>0.98667672197083944</v>
      </c>
      <c r="M36" s="173" t="str">
        <f t="shared" si="4"/>
        <v>C</v>
      </c>
    </row>
    <row r="37" spans="2:13" ht="26.5" outlineLevel="1" thickBot="1">
      <c r="B37" s="182" t="s">
        <v>188</v>
      </c>
      <c r="C37" s="171">
        <f>'Юнит 12'!AO69</f>
        <v>759.88272606274415</v>
      </c>
      <c r="D37" s="172">
        <f t="shared" si="0"/>
        <v>4.1933267172981843E-4</v>
      </c>
      <c r="E37" s="172">
        <f t="shared" si="5"/>
        <v>1.007134498954759</v>
      </c>
      <c r="F37" s="173" t="str">
        <f t="shared" si="3"/>
        <v>C</v>
      </c>
      <c r="G37" s="173" t="str">
        <f t="shared" si="1"/>
        <v>C</v>
      </c>
      <c r="I37" s="182" t="s">
        <v>212</v>
      </c>
      <c r="J37" s="171">
        <f>'Юнит 12'!U93</f>
        <v>5</v>
      </c>
      <c r="K37" s="172">
        <f t="shared" si="2"/>
        <v>1.2569130216189041E-3</v>
      </c>
      <c r="L37" s="172">
        <f t="shared" si="6"/>
        <v>0.98793363499245834</v>
      </c>
      <c r="M37" s="173" t="str">
        <f t="shared" si="4"/>
        <v>C</v>
      </c>
    </row>
    <row r="38" spans="2:13" ht="26.5" outlineLevel="1" thickBot="1">
      <c r="B38" s="182" t="s">
        <v>199</v>
      </c>
      <c r="C38" s="171">
        <f>'Юнит 12'!AO80</f>
        <v>726.0059960543399</v>
      </c>
      <c r="D38" s="172">
        <f t="shared" si="0"/>
        <v>4.0063818215048706E-4</v>
      </c>
      <c r="E38" s="172">
        <f t="shared" si="5"/>
        <v>1.0075351371369095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'Юнит 12'!U33</f>
        <v>4</v>
      </c>
      <c r="K38" s="172">
        <f t="shared" si="2"/>
        <v>1.0055304172951231E-3</v>
      </c>
      <c r="L38" s="172">
        <f t="shared" si="6"/>
        <v>0.98893916540975346</v>
      </c>
      <c r="M38" s="173" t="str">
        <f t="shared" si="4"/>
        <v>C</v>
      </c>
    </row>
    <row r="39" spans="2:13" ht="15" outlineLevel="1" thickBot="1">
      <c r="B39" s="182" t="s">
        <v>156</v>
      </c>
      <c r="C39" s="171">
        <f>'Юнит 12'!AO37</f>
        <v>700.57749999999999</v>
      </c>
      <c r="D39" s="172">
        <f t="shared" si="0"/>
        <v>3.8660575474713397E-4</v>
      </c>
      <c r="E39" s="172">
        <f>E35+D39</f>
        <v>1.0066576273642456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12'!U39</f>
        <v>4</v>
      </c>
      <c r="K39" s="172">
        <f t="shared" si="2"/>
        <v>1.0055304172951231E-3</v>
      </c>
      <c r="L39" s="172">
        <f>L35+K39</f>
        <v>0.98642533936651566</v>
      </c>
      <c r="M39" s="173" t="str">
        <f t="shared" si="4"/>
        <v>C</v>
      </c>
    </row>
    <row r="40" spans="2:13" ht="15" outlineLevel="1" thickBot="1">
      <c r="B40" s="182" t="s">
        <v>177</v>
      </c>
      <c r="C40" s="171">
        <f>'Юнит 12'!AO58</f>
        <v>698.80555585770139</v>
      </c>
      <c r="D40" s="172">
        <f t="shared" si="0"/>
        <v>3.8562792745107735E-4</v>
      </c>
      <c r="E40" s="172">
        <f t="shared" si="5"/>
        <v>1.0070432552916966</v>
      </c>
      <c r="F40" s="173" t="str">
        <f t="shared" si="3"/>
        <v>C</v>
      </c>
      <c r="G40" s="173" t="str">
        <f t="shared" si="1"/>
        <v>C</v>
      </c>
      <c r="I40" s="182" t="s">
        <v>194</v>
      </c>
      <c r="J40" s="171">
        <f>'Юнит 12'!U75</f>
        <v>4</v>
      </c>
      <c r="K40" s="172">
        <f t="shared" si="2"/>
        <v>1.0055304172951231E-3</v>
      </c>
      <c r="L40" s="172">
        <f t="shared" si="6"/>
        <v>0.98743086978381078</v>
      </c>
      <c r="M40" s="173" t="str">
        <f t="shared" si="4"/>
        <v>C</v>
      </c>
    </row>
    <row r="41" spans="2:13" ht="26.5" outlineLevel="1" thickBot="1">
      <c r="B41" s="182" t="s">
        <v>172</v>
      </c>
      <c r="C41" s="171">
        <f>'Юнит 12'!AO53</f>
        <v>670.91787131372075</v>
      </c>
      <c r="D41" s="172">
        <f t="shared" si="0"/>
        <v>3.7023842474612949E-4</v>
      </c>
      <c r="E41" s="172">
        <f t="shared" si="5"/>
        <v>1.0074134937164427</v>
      </c>
      <c r="F41" s="173" t="str">
        <f t="shared" si="3"/>
        <v>C</v>
      </c>
      <c r="G41" s="173" t="str">
        <f t="shared" si="1"/>
        <v>C</v>
      </c>
      <c r="I41" s="182" t="s">
        <v>210</v>
      </c>
      <c r="J41" s="171">
        <f>'Юнит 12'!U91</f>
        <v>4</v>
      </c>
      <c r="K41" s="172">
        <f t="shared" si="2"/>
        <v>1.0055304172951231E-3</v>
      </c>
      <c r="L41" s="172">
        <f t="shared" si="6"/>
        <v>0.9884364002011059</v>
      </c>
      <c r="M41" s="173" t="str">
        <f t="shared" si="4"/>
        <v>C</v>
      </c>
    </row>
    <row r="42" spans="2:13" ht="15" outlineLevel="1" thickBot="1">
      <c r="B42" s="182" t="s">
        <v>210</v>
      </c>
      <c r="C42" s="171">
        <f>'Юнит 12'!AO91</f>
        <v>646.61894192044474</v>
      </c>
      <c r="D42" s="172">
        <f t="shared" si="0"/>
        <v>3.5682933590494516E-4</v>
      </c>
      <c r="E42" s="172">
        <f t="shared" si="5"/>
        <v>1.0077703230523476</v>
      </c>
      <c r="F42" s="173" t="str">
        <f t="shared" si="3"/>
        <v>C</v>
      </c>
      <c r="G42" s="173" t="str">
        <f t="shared" si="1"/>
        <v>C</v>
      </c>
      <c r="I42" s="182" t="s">
        <v>159</v>
      </c>
      <c r="J42" s="171">
        <f>'Юнит 12'!U40</f>
        <v>3</v>
      </c>
      <c r="K42" s="172">
        <f t="shared" si="2"/>
        <v>7.5414781297134241E-4</v>
      </c>
      <c r="L42" s="172">
        <f t="shared" si="6"/>
        <v>0.98919054801407724</v>
      </c>
      <c r="M42" s="173" t="str">
        <f t="shared" si="4"/>
        <v>C</v>
      </c>
    </row>
    <row r="43" spans="2:13" ht="15" outlineLevel="1" thickBot="1">
      <c r="B43" s="182" t="s">
        <v>180</v>
      </c>
      <c r="C43" s="171">
        <f>'Юнит 12'!AO61</f>
        <v>446.62831284479677</v>
      </c>
      <c r="D43" s="172">
        <f t="shared" si="0"/>
        <v>2.4646677345304655E-4</v>
      </c>
      <c r="E43" s="172">
        <f t="shared" si="5"/>
        <v>1.0080167898258006</v>
      </c>
      <c r="F43" s="173" t="str">
        <f t="shared" si="3"/>
        <v>C</v>
      </c>
      <c r="G43" s="173" t="str">
        <f t="shared" si="1"/>
        <v>C</v>
      </c>
      <c r="I43" s="182" t="s">
        <v>190</v>
      </c>
      <c r="J43" s="171">
        <f>'Юнит 12'!U71</f>
        <v>3</v>
      </c>
      <c r="K43" s="172">
        <f t="shared" si="2"/>
        <v>7.5414781297134241E-4</v>
      </c>
      <c r="L43" s="172">
        <f t="shared" si="6"/>
        <v>0.98994469582704858</v>
      </c>
      <c r="M43" s="173" t="str">
        <f t="shared" si="4"/>
        <v>C</v>
      </c>
    </row>
    <row r="44" spans="2:13" ht="15" outlineLevel="1" thickBot="1">
      <c r="B44" s="182" t="s">
        <v>257</v>
      </c>
      <c r="C44" s="171">
        <f>'Юнит 12'!AO100</f>
        <v>363.52770610867771</v>
      </c>
      <c r="D44" s="172">
        <f t="shared" si="0"/>
        <v>2.0060864528426855E-4</v>
      </c>
      <c r="E44" s="172">
        <f t="shared" si="5"/>
        <v>1.0082173984710849</v>
      </c>
      <c r="F44" s="173" t="str">
        <f t="shared" si="3"/>
        <v>C</v>
      </c>
      <c r="G44" s="173" t="str">
        <f t="shared" si="1"/>
        <v>C</v>
      </c>
      <c r="I44" s="182" t="s">
        <v>156</v>
      </c>
      <c r="J44" s="171">
        <f>'Юнит 12'!U37</f>
        <v>2</v>
      </c>
      <c r="K44" s="172">
        <f t="shared" si="2"/>
        <v>5.0276520864756154E-4</v>
      </c>
      <c r="L44" s="172">
        <f t="shared" si="6"/>
        <v>0.99044746103569614</v>
      </c>
      <c r="M44" s="173" t="str">
        <f t="shared" si="4"/>
        <v>C</v>
      </c>
    </row>
    <row r="45" spans="2:13" ht="15" outlineLevel="1" thickBot="1">
      <c r="B45" s="182" t="s">
        <v>179</v>
      </c>
      <c r="C45" s="171">
        <f>'Юнит 12'!AO60</f>
        <v>317.35028445601978</v>
      </c>
      <c r="D45" s="172">
        <f t="shared" si="0"/>
        <v>1.7512615840693883E-4</v>
      </c>
      <c r="E45" s="172">
        <f t="shared" si="5"/>
        <v>1.0083925246294918</v>
      </c>
      <c r="F45" s="173" t="str">
        <f t="shared" si="3"/>
        <v>C</v>
      </c>
      <c r="G45" s="173" t="str">
        <f t="shared" si="1"/>
        <v>C</v>
      </c>
      <c r="I45" s="182" t="s">
        <v>160</v>
      </c>
      <c r="J45" s="171">
        <f>'Юнит 12'!U41</f>
        <v>2</v>
      </c>
      <c r="K45" s="172">
        <f t="shared" si="2"/>
        <v>5.0276520864756154E-4</v>
      </c>
      <c r="L45" s="172">
        <f t="shared" si="6"/>
        <v>0.9909502262443437</v>
      </c>
      <c r="M45" s="173" t="str">
        <f t="shared" si="4"/>
        <v>C</v>
      </c>
    </row>
    <row r="46" spans="2:13" ht="26.5" outlineLevel="1" thickBot="1">
      <c r="B46" s="182" t="s">
        <v>171</v>
      </c>
      <c r="C46" s="171">
        <f>'Юнит 12'!AO52</f>
        <v>282.02743899159429</v>
      </c>
      <c r="D46" s="172">
        <f t="shared" si="0"/>
        <v>1.5563364639992948E-4</v>
      </c>
      <c r="E46" s="172">
        <f t="shared" si="5"/>
        <v>1.0085481582758917</v>
      </c>
      <c r="F46" s="173" t="str">
        <f t="shared" si="3"/>
        <v>C</v>
      </c>
      <c r="G46" s="173" t="str">
        <f t="shared" si="1"/>
        <v>C</v>
      </c>
      <c r="I46" s="182" t="s">
        <v>172</v>
      </c>
      <c r="J46" s="171">
        <f>'Юнит 12'!U53</f>
        <v>2</v>
      </c>
      <c r="K46" s="172">
        <f t="shared" si="2"/>
        <v>5.0276520864756154E-4</v>
      </c>
      <c r="L46" s="172">
        <f t="shared" si="6"/>
        <v>0.99145299145299126</v>
      </c>
      <c r="M46" s="173" t="str">
        <f t="shared" si="4"/>
        <v>C</v>
      </c>
    </row>
    <row r="47" spans="2:13" ht="26.5" outlineLevel="1" thickBot="1">
      <c r="B47" s="182" t="s">
        <v>198</v>
      </c>
      <c r="C47" s="171">
        <f>'Юнит 12'!AO79</f>
        <v>229.65853324257139</v>
      </c>
      <c r="D47" s="172">
        <f t="shared" si="0"/>
        <v>1.2673445918312261E-4</v>
      </c>
      <c r="E47" s="172">
        <f t="shared" si="5"/>
        <v>1.0086748927350748</v>
      </c>
      <c r="F47" s="173" t="str">
        <f t="shared" si="3"/>
        <v>C</v>
      </c>
      <c r="G47" s="173" t="str">
        <f t="shared" si="1"/>
        <v>C</v>
      </c>
      <c r="I47" s="182" t="s">
        <v>179</v>
      </c>
      <c r="J47" s="171">
        <f>'Юнит 12'!U60</f>
        <v>2</v>
      </c>
      <c r="K47" s="172">
        <f t="shared" si="2"/>
        <v>5.0276520864756154E-4</v>
      </c>
      <c r="L47" s="172">
        <f t="shared" si="6"/>
        <v>0.99195575666163882</v>
      </c>
      <c r="M47" s="173" t="str">
        <f t="shared" si="4"/>
        <v>C</v>
      </c>
    </row>
    <row r="48" spans="2:13" ht="26.5" outlineLevel="1" thickBot="1">
      <c r="B48" s="182" t="s">
        <v>196</v>
      </c>
      <c r="C48" s="171">
        <f>'Юнит 12'!AO77</f>
        <v>160.14940458150835</v>
      </c>
      <c r="D48" s="172">
        <f t="shared" si="0"/>
        <v>8.8376634177572295E-5</v>
      </c>
      <c r="E48" s="172">
        <f t="shared" si="5"/>
        <v>1.0087632693692523</v>
      </c>
      <c r="F48" s="173" t="str">
        <f t="shared" si="3"/>
        <v>C</v>
      </c>
      <c r="G48" s="173" t="str">
        <f t="shared" si="1"/>
        <v>C</v>
      </c>
      <c r="I48" s="182" t="s">
        <v>180</v>
      </c>
      <c r="J48" s="171">
        <f>'Юнит 12'!U61</f>
        <v>2</v>
      </c>
      <c r="K48" s="172">
        <f t="shared" si="2"/>
        <v>5.0276520864756154E-4</v>
      </c>
      <c r="L48" s="172">
        <f t="shared" si="6"/>
        <v>0.99245852187028638</v>
      </c>
      <c r="M48" s="173" t="str">
        <f t="shared" si="4"/>
        <v>C</v>
      </c>
    </row>
    <row r="49" spans="2:13" ht="15" outlineLevel="1" thickBot="1">
      <c r="B49" s="182" t="s">
        <v>190</v>
      </c>
      <c r="C49" s="171">
        <f>'Юнит 12'!AO71</f>
        <v>136.40141859831886</v>
      </c>
      <c r="D49" s="172">
        <f t="shared" si="0"/>
        <v>7.5271577214202316E-5</v>
      </c>
      <c r="E49" s="172">
        <f t="shared" si="5"/>
        <v>1.0088385409464664</v>
      </c>
      <c r="F49" s="173" t="str">
        <f t="shared" si="3"/>
        <v>C</v>
      </c>
      <c r="G49" s="173" t="str">
        <f t="shared" si="1"/>
        <v>C</v>
      </c>
      <c r="I49" s="182" t="s">
        <v>188</v>
      </c>
      <c r="J49" s="171">
        <f>'Юнит 12'!U69</f>
        <v>2</v>
      </c>
      <c r="K49" s="172">
        <f t="shared" si="2"/>
        <v>5.0276520864756154E-4</v>
      </c>
      <c r="L49" s="172">
        <f t="shared" si="6"/>
        <v>0.99296128707893394</v>
      </c>
      <c r="M49" s="173" t="str">
        <f t="shared" si="4"/>
        <v>C</v>
      </c>
    </row>
    <row r="50" spans="2:13" ht="15" outlineLevel="1" thickBot="1">
      <c r="B50" s="182" t="s">
        <v>191</v>
      </c>
      <c r="C50" s="171">
        <f>'Юнит 12'!AO72</f>
        <v>121.60109999999999</v>
      </c>
      <c r="D50" s="172">
        <f t="shared" si="0"/>
        <v>6.7104189106246938E-5</v>
      </c>
      <c r="E50" s="172">
        <f t="shared" si="5"/>
        <v>1.0089056451355727</v>
      </c>
      <c r="F50" s="173" t="str">
        <f t="shared" si="3"/>
        <v>C</v>
      </c>
      <c r="G50" s="173" t="str">
        <f t="shared" si="1"/>
        <v>C</v>
      </c>
      <c r="I50" s="182" t="s">
        <v>189</v>
      </c>
      <c r="J50" s="171">
        <f>'Юнит 12'!U70</f>
        <v>2</v>
      </c>
      <c r="K50" s="172">
        <f t="shared" si="2"/>
        <v>5.0276520864756154E-4</v>
      </c>
      <c r="L50" s="172">
        <f t="shared" si="6"/>
        <v>0.9934640522875815</v>
      </c>
      <c r="M50" s="173" t="str">
        <f t="shared" si="4"/>
        <v>C</v>
      </c>
    </row>
    <row r="51" spans="2:13" ht="26.5" outlineLevel="1" thickBot="1">
      <c r="B51" s="182" t="s">
        <v>200</v>
      </c>
      <c r="C51" s="171">
        <f>'Юнит 12'!AO81</f>
        <v>115.05072186610732</v>
      </c>
      <c r="D51" s="172">
        <f t="shared" si="0"/>
        <v>6.3489437158985282E-5</v>
      </c>
      <c r="E51" s="172">
        <f t="shared" si="5"/>
        <v>1.0089691345727316</v>
      </c>
      <c r="F51" s="173" t="str">
        <f t="shared" si="3"/>
        <v>C</v>
      </c>
      <c r="G51" s="173" t="str">
        <f t="shared" si="1"/>
        <v>C</v>
      </c>
      <c r="I51" s="182" t="s">
        <v>197</v>
      </c>
      <c r="J51" s="171">
        <f>'Юнит 12'!U78</f>
        <v>2</v>
      </c>
      <c r="K51" s="172">
        <f t="shared" si="2"/>
        <v>5.0276520864756154E-4</v>
      </c>
      <c r="L51" s="172">
        <f t="shared" si="6"/>
        <v>0.99396681749622906</v>
      </c>
      <c r="M51" s="173" t="str">
        <f t="shared" si="4"/>
        <v>C</v>
      </c>
    </row>
    <row r="52" spans="2:13" ht="26.5" outlineLevel="1" thickBot="1">
      <c r="B52" s="182" t="s">
        <v>217</v>
      </c>
      <c r="C52" s="171">
        <f>'Юнит 12'!AO98</f>
        <v>63.86527439327579</v>
      </c>
      <c r="D52" s="172">
        <f t="shared" si="0"/>
        <v>3.5243327981479847E-5</v>
      </c>
      <c r="E52" s="172">
        <f t="shared" si="5"/>
        <v>1.0090043779007132</v>
      </c>
      <c r="F52" s="173" t="str">
        <f t="shared" si="3"/>
        <v>C</v>
      </c>
      <c r="G52" s="173" t="str">
        <f t="shared" si="1"/>
        <v>C</v>
      </c>
      <c r="I52" s="182" t="s">
        <v>216</v>
      </c>
      <c r="J52" s="171">
        <f>'Юнит 12'!U97</f>
        <v>2</v>
      </c>
      <c r="K52" s="172">
        <f t="shared" si="2"/>
        <v>5.0276520864756154E-4</v>
      </c>
      <c r="L52" s="172">
        <f t="shared" si="6"/>
        <v>0.99446958270487662</v>
      </c>
      <c r="M52" s="173" t="str">
        <f t="shared" si="4"/>
        <v>C</v>
      </c>
    </row>
    <row r="53" spans="2:13" ht="15" outlineLevel="1" thickBot="1">
      <c r="B53" s="182" t="s">
        <v>202</v>
      </c>
      <c r="C53" s="171">
        <f>'Юнит 12'!AO83</f>
        <v>49.203206108677676</v>
      </c>
      <c r="D53" s="172">
        <f t="shared" si="0"/>
        <v>2.7152231742561139E-5</v>
      </c>
      <c r="E53" s="172">
        <f t="shared" si="5"/>
        <v>1.0090315301324557</v>
      </c>
      <c r="F53" s="173" t="str">
        <f t="shared" si="3"/>
        <v>C</v>
      </c>
      <c r="G53" s="173" t="str">
        <f t="shared" si="1"/>
        <v>C</v>
      </c>
      <c r="I53" s="182" t="s">
        <v>157</v>
      </c>
      <c r="J53" s="171">
        <f>'Юнит 12'!U38</f>
        <v>1</v>
      </c>
      <c r="K53" s="172">
        <f t="shared" si="2"/>
        <v>2.5138260432378077E-4</v>
      </c>
      <c r="L53" s="172">
        <f t="shared" si="6"/>
        <v>0.9947209653092004</v>
      </c>
      <c r="M53" s="173" t="str">
        <f t="shared" si="4"/>
        <v>C</v>
      </c>
    </row>
    <row r="54" spans="2:13" ht="26.5" outlineLevel="1" thickBot="1">
      <c r="B54" s="182" t="s">
        <v>207</v>
      </c>
      <c r="C54" s="171">
        <f>'Юнит 12'!AO88</f>
        <v>21.698072866106251</v>
      </c>
      <c r="D54" s="172">
        <f t="shared" si="0"/>
        <v>1.1973835638397344E-5</v>
      </c>
      <c r="E54" s="172">
        <f t="shared" si="5"/>
        <v>1.0090435039680941</v>
      </c>
      <c r="F54" s="173" t="str">
        <f t="shared" si="3"/>
        <v>C</v>
      </c>
      <c r="G54" s="173" t="str">
        <f t="shared" si="1"/>
        <v>C</v>
      </c>
      <c r="I54" s="182" t="s">
        <v>191</v>
      </c>
      <c r="J54" s="171">
        <f>'Юнит 12'!U72</f>
        <v>1</v>
      </c>
      <c r="K54" s="172">
        <f t="shared" si="2"/>
        <v>2.5138260432378077E-4</v>
      </c>
      <c r="L54" s="172">
        <f t="shared" si="6"/>
        <v>0.99497234791352418</v>
      </c>
      <c r="M54" s="173" t="str">
        <f t="shared" si="4"/>
        <v>C</v>
      </c>
    </row>
    <row r="55" spans="2:13" ht="26.5" outlineLevel="1" thickBot="1">
      <c r="B55" s="182" t="s">
        <v>138</v>
      </c>
      <c r="C55" s="171">
        <f>'Юнит 12'!AO19</f>
        <v>0</v>
      </c>
      <c r="D55" s="172">
        <f t="shared" si="0"/>
        <v>0</v>
      </c>
      <c r="E55" s="172">
        <f t="shared" si="5"/>
        <v>1.0090435039680941</v>
      </c>
      <c r="F55" s="173" t="str">
        <f t="shared" si="3"/>
        <v>C</v>
      </c>
      <c r="G55" s="173" t="str">
        <f t="shared" si="1"/>
        <v>C</v>
      </c>
      <c r="I55" s="182" t="s">
        <v>196</v>
      </c>
      <c r="J55" s="171">
        <f>'Юнит 12'!U77</f>
        <v>1</v>
      </c>
      <c r="K55" s="172">
        <f t="shared" si="2"/>
        <v>2.5138260432378077E-4</v>
      </c>
      <c r="L55" s="172">
        <f t="shared" si="6"/>
        <v>0.99522373051784796</v>
      </c>
      <c r="M55" s="173" t="str">
        <f t="shared" si="4"/>
        <v>C</v>
      </c>
    </row>
    <row r="56" spans="2:13" ht="26.5" outlineLevel="1" thickBot="1">
      <c r="B56" s="182" t="s">
        <v>139</v>
      </c>
      <c r="C56" s="171">
        <f>'Юнит 12'!AO20</f>
        <v>0</v>
      </c>
      <c r="D56" s="172">
        <f t="shared" si="0"/>
        <v>0</v>
      </c>
      <c r="E56" s="172">
        <f t="shared" si="5"/>
        <v>1.0090435039680941</v>
      </c>
      <c r="F56" s="173" t="str">
        <f t="shared" si="3"/>
        <v>C</v>
      </c>
      <c r="G56" s="173" t="str">
        <f t="shared" si="1"/>
        <v>C</v>
      </c>
      <c r="I56" s="182" t="s">
        <v>198</v>
      </c>
      <c r="J56" s="171">
        <f>'Юнит 12'!U79</f>
        <v>1</v>
      </c>
      <c r="K56" s="172">
        <f t="shared" si="2"/>
        <v>2.5138260432378077E-4</v>
      </c>
      <c r="L56" s="172">
        <f t="shared" si="6"/>
        <v>0.99547511312217174</v>
      </c>
      <c r="M56" s="173" t="str">
        <f t="shared" si="4"/>
        <v>C</v>
      </c>
    </row>
    <row r="57" spans="2:13" ht="15" outlineLevel="1" thickBot="1">
      <c r="B57" s="182" t="s">
        <v>140</v>
      </c>
      <c r="C57" s="171">
        <f>'Юнит 12'!AO21</f>
        <v>0</v>
      </c>
      <c r="D57" s="172">
        <f t="shared" si="0"/>
        <v>0</v>
      </c>
      <c r="E57" s="172">
        <f t="shared" si="5"/>
        <v>1.0090435039680941</v>
      </c>
      <c r="F57" s="173" t="str">
        <f t="shared" si="3"/>
        <v>C</v>
      </c>
      <c r="G57" s="173" t="str">
        <f t="shared" si="1"/>
        <v>C</v>
      </c>
      <c r="I57" s="182" t="s">
        <v>202</v>
      </c>
      <c r="J57" s="171">
        <f>'Юнит 12'!U83</f>
        <v>1</v>
      </c>
      <c r="K57" s="172">
        <f t="shared" si="2"/>
        <v>2.5138260432378077E-4</v>
      </c>
      <c r="L57" s="172">
        <f t="shared" si="6"/>
        <v>0.99572649572649552</v>
      </c>
      <c r="M57" s="173" t="str">
        <f t="shared" si="4"/>
        <v>C</v>
      </c>
    </row>
    <row r="58" spans="2:13" ht="26.5" outlineLevel="1" thickBot="1">
      <c r="B58" s="182" t="s">
        <v>141</v>
      </c>
      <c r="C58" s="171">
        <f>'Юнит 12'!AO22</f>
        <v>0</v>
      </c>
      <c r="D58" s="172">
        <f t="shared" si="0"/>
        <v>0</v>
      </c>
      <c r="E58" s="172">
        <f t="shared" si="5"/>
        <v>1.0090435039680941</v>
      </c>
      <c r="F58" s="173" t="str">
        <f t="shared" si="3"/>
        <v>C</v>
      </c>
      <c r="G58" s="173" t="str">
        <f t="shared" si="1"/>
        <v>C</v>
      </c>
      <c r="I58" s="182" t="s">
        <v>204</v>
      </c>
      <c r="J58" s="171">
        <f>'Юнит 12'!U85</f>
        <v>1</v>
      </c>
      <c r="K58" s="172">
        <f t="shared" si="2"/>
        <v>2.5138260432378077E-4</v>
      </c>
      <c r="L58" s="172">
        <f t="shared" si="6"/>
        <v>0.9959778783308193</v>
      </c>
      <c r="M58" s="173" t="str">
        <f t="shared" si="4"/>
        <v>C</v>
      </c>
    </row>
    <row r="59" spans="2:13" ht="26.5" outlineLevel="1" thickBot="1">
      <c r="B59" s="182" t="s">
        <v>142</v>
      </c>
      <c r="C59" s="171">
        <f>'Юнит 12'!AO23</f>
        <v>0</v>
      </c>
      <c r="D59" s="172">
        <f t="shared" si="0"/>
        <v>0</v>
      </c>
      <c r="E59" s="172">
        <f t="shared" si="5"/>
        <v>1.0090435039680941</v>
      </c>
      <c r="F59" s="173" t="str">
        <f t="shared" si="3"/>
        <v>C</v>
      </c>
      <c r="G59" s="173" t="str">
        <f t="shared" si="1"/>
        <v>C</v>
      </c>
      <c r="I59" s="182" t="s">
        <v>207</v>
      </c>
      <c r="J59" s="171">
        <f>'Юнит 12'!U88</f>
        <v>1</v>
      </c>
      <c r="K59" s="172">
        <f t="shared" si="2"/>
        <v>2.5138260432378077E-4</v>
      </c>
      <c r="L59" s="172">
        <f t="shared" si="6"/>
        <v>0.99622926093514308</v>
      </c>
      <c r="M59" s="173" t="str">
        <f t="shared" si="4"/>
        <v>C</v>
      </c>
    </row>
    <row r="60" spans="2:13" ht="15" outlineLevel="1" thickBot="1">
      <c r="B60" s="182" t="s">
        <v>143</v>
      </c>
      <c r="C60" s="171">
        <f>'Юнит 12'!AO24</f>
        <v>0</v>
      </c>
      <c r="D60" s="172">
        <f t="shared" si="0"/>
        <v>0</v>
      </c>
      <c r="E60" s="172">
        <f t="shared" si="5"/>
        <v>1.0090435039680941</v>
      </c>
      <c r="F60" s="173" t="str">
        <f t="shared" si="3"/>
        <v>C</v>
      </c>
      <c r="G60" s="173" t="str">
        <f t="shared" si="1"/>
        <v>C</v>
      </c>
      <c r="I60" s="182" t="s">
        <v>217</v>
      </c>
      <c r="J60" s="171">
        <f>'Юнит 12'!U98</f>
        <v>1</v>
      </c>
      <c r="K60" s="172">
        <f t="shared" si="2"/>
        <v>2.5138260432378077E-4</v>
      </c>
      <c r="L60" s="172">
        <f t="shared" si="6"/>
        <v>0.99648064353946686</v>
      </c>
      <c r="M60" s="173" t="str">
        <f t="shared" si="4"/>
        <v>C</v>
      </c>
    </row>
    <row r="61" spans="2:13" ht="15" outlineLevel="1" thickBot="1">
      <c r="B61" s="182" t="s">
        <v>144</v>
      </c>
      <c r="C61" s="171">
        <f>'Юнит 12'!AO25</f>
        <v>0</v>
      </c>
      <c r="D61" s="172">
        <f t="shared" si="0"/>
        <v>0</v>
      </c>
      <c r="E61" s="172">
        <f t="shared" si="5"/>
        <v>1.0090435039680941</v>
      </c>
      <c r="F61" s="173" t="str">
        <f t="shared" si="3"/>
        <v>C</v>
      </c>
      <c r="G61" s="173" t="str">
        <f t="shared" si="1"/>
        <v>C</v>
      </c>
      <c r="I61" s="182" t="s">
        <v>257</v>
      </c>
      <c r="J61" s="171">
        <f>'Юнит 12'!U100</f>
        <v>1</v>
      </c>
      <c r="K61" s="172">
        <f t="shared" si="2"/>
        <v>2.5138260432378077E-4</v>
      </c>
      <c r="L61" s="172">
        <f t="shared" si="6"/>
        <v>0.99673202614379064</v>
      </c>
      <c r="M61" s="173" t="str">
        <f t="shared" si="4"/>
        <v>C</v>
      </c>
    </row>
    <row r="62" spans="2:13" ht="26.5" outlineLevel="1" thickBot="1">
      <c r="B62" s="182" t="s">
        <v>148</v>
      </c>
      <c r="C62" s="171">
        <f>'Юнит 12'!AO29</f>
        <v>0</v>
      </c>
      <c r="D62" s="172">
        <f t="shared" si="0"/>
        <v>0</v>
      </c>
      <c r="E62" s="172">
        <f t="shared" si="5"/>
        <v>1.0090435039680941</v>
      </c>
      <c r="F62" s="173" t="str">
        <f t="shared" si="3"/>
        <v>C</v>
      </c>
      <c r="G62" s="173" t="str">
        <f t="shared" si="1"/>
        <v>C</v>
      </c>
      <c r="I62" s="182" t="s">
        <v>138</v>
      </c>
      <c r="J62" s="171">
        <f>'Юнит 12'!U19</f>
        <v>0</v>
      </c>
      <c r="K62" s="172">
        <f t="shared" si="2"/>
        <v>0</v>
      </c>
      <c r="L62" s="172">
        <f t="shared" si="6"/>
        <v>0.99673202614379064</v>
      </c>
      <c r="M62" s="173" t="str">
        <f t="shared" si="4"/>
        <v>C</v>
      </c>
    </row>
    <row r="63" spans="2:13" ht="15" outlineLevel="1" thickBot="1">
      <c r="B63" s="182" t="s">
        <v>149</v>
      </c>
      <c r="C63" s="171">
        <f>'Юнит 12'!AO30</f>
        <v>0</v>
      </c>
      <c r="D63" s="172">
        <f t="shared" si="0"/>
        <v>0</v>
      </c>
      <c r="E63" s="172">
        <f t="shared" si="5"/>
        <v>1.0090435039680941</v>
      </c>
      <c r="F63" s="173" t="str">
        <f t="shared" si="3"/>
        <v>C</v>
      </c>
      <c r="G63" s="173" t="str">
        <f t="shared" si="1"/>
        <v>C</v>
      </c>
      <c r="I63" s="182" t="s">
        <v>139</v>
      </c>
      <c r="J63" s="171">
        <f>'Юнит 12'!U20</f>
        <v>0</v>
      </c>
      <c r="K63" s="172">
        <f t="shared" si="2"/>
        <v>0</v>
      </c>
      <c r="L63" s="172">
        <f t="shared" si="6"/>
        <v>0.99673202614379064</v>
      </c>
      <c r="M63" s="173" t="str">
        <f t="shared" si="4"/>
        <v>C</v>
      </c>
    </row>
    <row r="64" spans="2:13" ht="15" outlineLevel="1" thickBot="1">
      <c r="B64" s="182" t="s">
        <v>150</v>
      </c>
      <c r="C64" s="171">
        <f>'Юнит 12'!AO31</f>
        <v>0</v>
      </c>
      <c r="D64" s="172">
        <f t="shared" si="0"/>
        <v>0</v>
      </c>
      <c r="E64" s="172">
        <f t="shared" si="5"/>
        <v>1.0090435039680941</v>
      </c>
      <c r="F64" s="173" t="str">
        <f t="shared" si="3"/>
        <v>C</v>
      </c>
      <c r="G64" s="173" t="str">
        <f t="shared" si="1"/>
        <v>C</v>
      </c>
      <c r="I64" s="182" t="s">
        <v>140</v>
      </c>
      <c r="J64" s="171">
        <f>'Юнит 12'!U21</f>
        <v>0</v>
      </c>
      <c r="K64" s="172">
        <f t="shared" si="2"/>
        <v>0</v>
      </c>
      <c r="L64" s="172">
        <f t="shared" si="6"/>
        <v>0.99673202614379064</v>
      </c>
      <c r="M64" s="173" t="str">
        <f t="shared" si="4"/>
        <v>C</v>
      </c>
    </row>
    <row r="65" spans="2:13" ht="15" outlineLevel="1" thickBot="1">
      <c r="B65" s="182" t="s">
        <v>151</v>
      </c>
      <c r="C65" s="171">
        <f>'Юнит 12'!AO32</f>
        <v>0</v>
      </c>
      <c r="D65" s="172">
        <f t="shared" si="0"/>
        <v>0</v>
      </c>
      <c r="E65" s="172">
        <f t="shared" si="5"/>
        <v>1.0090435039680941</v>
      </c>
      <c r="F65" s="173" t="str">
        <f t="shared" si="3"/>
        <v>C</v>
      </c>
      <c r="G65" s="173" t="str">
        <f t="shared" si="1"/>
        <v>C</v>
      </c>
      <c r="I65" s="182" t="s">
        <v>141</v>
      </c>
      <c r="J65" s="171">
        <f>'Юнит 12'!U22</f>
        <v>0</v>
      </c>
      <c r="K65" s="172">
        <f t="shared" si="2"/>
        <v>0</v>
      </c>
      <c r="L65" s="172">
        <f t="shared" si="6"/>
        <v>0.99673202614379064</v>
      </c>
      <c r="M65" s="173" t="str">
        <f t="shared" si="4"/>
        <v>C</v>
      </c>
    </row>
    <row r="66" spans="2:13" ht="15" outlineLevel="1" thickBot="1">
      <c r="B66" s="182" t="s">
        <v>153</v>
      </c>
      <c r="C66" s="171">
        <f>'Юнит 12'!AO34</f>
        <v>0</v>
      </c>
      <c r="D66" s="172">
        <f t="shared" si="0"/>
        <v>0</v>
      </c>
      <c r="E66" s="172">
        <f t="shared" si="5"/>
        <v>1.0090435039680941</v>
      </c>
      <c r="F66" s="173" t="str">
        <f t="shared" si="3"/>
        <v>C</v>
      </c>
      <c r="G66" s="173" t="str">
        <f t="shared" si="1"/>
        <v>C</v>
      </c>
      <c r="I66" s="182" t="s">
        <v>142</v>
      </c>
      <c r="J66" s="171">
        <f>'Юнит 12'!U23</f>
        <v>0</v>
      </c>
      <c r="K66" s="172">
        <f t="shared" si="2"/>
        <v>0</v>
      </c>
      <c r="L66" s="172">
        <f t="shared" si="6"/>
        <v>0.99673202614379064</v>
      </c>
      <c r="M66" s="173" t="str">
        <f t="shared" si="4"/>
        <v>C</v>
      </c>
    </row>
    <row r="67" spans="2:13" ht="15" outlineLevel="1" thickBot="1">
      <c r="B67" s="182" t="s">
        <v>154</v>
      </c>
      <c r="C67" s="171">
        <f>'Юнит 12'!AO35</f>
        <v>0</v>
      </c>
      <c r="D67" s="172">
        <f t="shared" si="0"/>
        <v>0</v>
      </c>
      <c r="E67" s="172">
        <f t="shared" si="5"/>
        <v>1.0090435039680941</v>
      </c>
      <c r="F67" s="173" t="str">
        <f t="shared" si="3"/>
        <v>C</v>
      </c>
      <c r="G67" s="173" t="str">
        <f t="shared" si="1"/>
        <v>C</v>
      </c>
      <c r="I67" s="182" t="s">
        <v>143</v>
      </c>
      <c r="J67" s="171">
        <f>'Юнит 12'!U24</f>
        <v>0</v>
      </c>
      <c r="K67" s="172">
        <f t="shared" si="2"/>
        <v>0</v>
      </c>
      <c r="L67" s="172">
        <f t="shared" si="6"/>
        <v>0.99673202614379064</v>
      </c>
      <c r="M67" s="173" t="str">
        <f t="shared" si="4"/>
        <v>C</v>
      </c>
    </row>
    <row r="68" spans="2:13" ht="15" outlineLevel="1" thickBot="1">
      <c r="B68" s="182" t="s">
        <v>155</v>
      </c>
      <c r="C68" s="171">
        <f>'Юнит 12'!AO36</f>
        <v>0</v>
      </c>
      <c r="D68" s="172">
        <f t="shared" ref="D68:D104" si="7">C68/C$105</f>
        <v>0</v>
      </c>
      <c r="E68" s="172">
        <f t="shared" si="5"/>
        <v>1.0090435039680941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144</v>
      </c>
      <c r="J68" s="171">
        <f>'Юнит 12'!U25</f>
        <v>0</v>
      </c>
      <c r="K68" s="172">
        <f t="shared" ref="K68:K104" si="9">J68/J$105</f>
        <v>0</v>
      </c>
      <c r="L68" s="172">
        <f t="shared" si="6"/>
        <v>0.99673202614379064</v>
      </c>
      <c r="M68" s="173" t="str">
        <f t="shared" si="4"/>
        <v>C</v>
      </c>
    </row>
    <row r="69" spans="2:13" ht="26.5" outlineLevel="1" thickBot="1">
      <c r="B69" s="182" t="s">
        <v>165</v>
      </c>
      <c r="C69" s="171">
        <f>'Юнит 12'!AO46</f>
        <v>0</v>
      </c>
      <c r="D69" s="172">
        <f t="shared" si="7"/>
        <v>0</v>
      </c>
      <c r="E69" s="172">
        <f t="shared" si="5"/>
        <v>1.0090435039680941</v>
      </c>
      <c r="F69" s="173" t="str">
        <f t="shared" si="3"/>
        <v>C</v>
      </c>
      <c r="G69" s="173" t="str">
        <f t="shared" si="8"/>
        <v>C</v>
      </c>
      <c r="I69" s="182" t="s">
        <v>148</v>
      </c>
      <c r="J69" s="171">
        <f>'Юнит 12'!U29</f>
        <v>0</v>
      </c>
      <c r="K69" s="172">
        <f t="shared" si="9"/>
        <v>0</v>
      </c>
      <c r="L69" s="172">
        <f t="shared" si="6"/>
        <v>0.99673202614379064</v>
      </c>
      <c r="M69" s="173" t="str">
        <f t="shared" si="4"/>
        <v>C</v>
      </c>
    </row>
    <row r="70" spans="2:13" ht="15" outlineLevel="1" thickBot="1">
      <c r="B70" s="182" t="s">
        <v>174</v>
      </c>
      <c r="C70" s="171">
        <f>'Юнит 12'!AO55</f>
        <v>0</v>
      </c>
      <c r="D70" s="172">
        <f t="shared" si="7"/>
        <v>0</v>
      </c>
      <c r="E70" s="172">
        <f t="shared" ref="E70:E75" si="10">E69+D70</f>
        <v>1.0090435039680941</v>
      </c>
      <c r="F70" s="173" t="str">
        <f t="shared" si="3"/>
        <v>C</v>
      </c>
      <c r="G70" s="173" t="str">
        <f t="shared" si="8"/>
        <v>C</v>
      </c>
      <c r="I70" s="182" t="s">
        <v>149</v>
      </c>
      <c r="J70" s="171">
        <f>'Юнит 12'!U30</f>
        <v>0</v>
      </c>
      <c r="K70" s="172">
        <f t="shared" si="9"/>
        <v>0</v>
      </c>
      <c r="L70" s="172">
        <f t="shared" ref="L70:L75" si="11">L69+K70</f>
        <v>0.99673202614379064</v>
      </c>
      <c r="M70" s="173" t="str">
        <f t="shared" si="4"/>
        <v>C</v>
      </c>
    </row>
    <row r="71" spans="2:13" ht="15" outlineLevel="1" thickBot="1">
      <c r="B71" s="182" t="s">
        <v>175</v>
      </c>
      <c r="C71" s="171">
        <f>'Юнит 12'!AO56</f>
        <v>0</v>
      </c>
      <c r="D71" s="172">
        <f t="shared" si="7"/>
        <v>0</v>
      </c>
      <c r="E71" s="172">
        <f t="shared" si="10"/>
        <v>1.0090435039680941</v>
      </c>
      <c r="F71" s="173" t="str">
        <f t="shared" si="3"/>
        <v>C</v>
      </c>
      <c r="G71" s="173" t="str">
        <f t="shared" si="8"/>
        <v>C</v>
      </c>
      <c r="I71" s="182" t="s">
        <v>150</v>
      </c>
      <c r="J71" s="171">
        <f>'Юнит 12'!U31</f>
        <v>0</v>
      </c>
      <c r="K71" s="172">
        <f t="shared" si="9"/>
        <v>0</v>
      </c>
      <c r="L71" s="172">
        <f t="shared" si="11"/>
        <v>0.99673202614379064</v>
      </c>
      <c r="M71" s="173" t="str">
        <f t="shared" si="4"/>
        <v>C</v>
      </c>
    </row>
    <row r="72" spans="2:13" ht="15" outlineLevel="1" thickBot="1">
      <c r="B72" s="182" t="s">
        <v>176</v>
      </c>
      <c r="C72" s="171">
        <f>'Юнит 12'!AO57</f>
        <v>0</v>
      </c>
      <c r="D72" s="172">
        <f t="shared" si="7"/>
        <v>0</v>
      </c>
      <c r="E72" s="172">
        <f t="shared" si="10"/>
        <v>1.0090435039680941</v>
      </c>
      <c r="F72" s="173" t="str">
        <f t="shared" si="3"/>
        <v>C</v>
      </c>
      <c r="G72" s="173" t="str">
        <f t="shared" si="8"/>
        <v>C</v>
      </c>
      <c r="I72" s="182" t="s">
        <v>151</v>
      </c>
      <c r="J72" s="171">
        <f>'Юнит 12'!U32</f>
        <v>0</v>
      </c>
      <c r="K72" s="172">
        <f t="shared" si="9"/>
        <v>0</v>
      </c>
      <c r="L72" s="172">
        <f t="shared" si="11"/>
        <v>0.99673202614379064</v>
      </c>
      <c r="M72" s="173" t="str">
        <f t="shared" si="4"/>
        <v>C</v>
      </c>
    </row>
    <row r="73" spans="2:13" ht="15" outlineLevel="1" thickBot="1">
      <c r="B73" s="182" t="s">
        <v>178</v>
      </c>
      <c r="C73" s="171">
        <f>'Юнит 12'!AO59</f>
        <v>0</v>
      </c>
      <c r="D73" s="172">
        <f t="shared" si="7"/>
        <v>0</v>
      </c>
      <c r="E73" s="172">
        <f t="shared" si="10"/>
        <v>1.0090435039680941</v>
      </c>
      <c r="F73" s="173" t="str">
        <f t="shared" si="3"/>
        <v>C</v>
      </c>
      <c r="G73" s="173" t="str">
        <f t="shared" si="8"/>
        <v>C</v>
      </c>
      <c r="I73" s="182" t="s">
        <v>153</v>
      </c>
      <c r="J73" s="171">
        <f>'Юнит 12'!U34</f>
        <v>0</v>
      </c>
      <c r="K73" s="172">
        <f t="shared" si="9"/>
        <v>0</v>
      </c>
      <c r="L73" s="172">
        <f t="shared" si="11"/>
        <v>0.99673202614379064</v>
      </c>
      <c r="M73" s="173" t="str">
        <f t="shared" si="4"/>
        <v>C</v>
      </c>
    </row>
    <row r="74" spans="2:13" ht="15" outlineLevel="1" thickBot="1">
      <c r="B74" s="182" t="s">
        <v>181</v>
      </c>
      <c r="C74" s="171">
        <f>'Юнит 12'!AO62</f>
        <v>0</v>
      </c>
      <c r="D74" s="172">
        <f t="shared" si="7"/>
        <v>0</v>
      </c>
      <c r="E74" s="172">
        <f t="shared" si="10"/>
        <v>1.0090435039680941</v>
      </c>
      <c r="F74" s="173" t="str">
        <f t="shared" si="3"/>
        <v>C</v>
      </c>
      <c r="G74" s="173" t="str">
        <f t="shared" si="8"/>
        <v>C</v>
      </c>
      <c r="I74" s="182" t="s">
        <v>154</v>
      </c>
      <c r="J74" s="171">
        <f>'Юнит 12'!U35</f>
        <v>0</v>
      </c>
      <c r="K74" s="172">
        <f t="shared" si="9"/>
        <v>0</v>
      </c>
      <c r="L74" s="172">
        <f t="shared" si="11"/>
        <v>0.99673202614379064</v>
      </c>
      <c r="M74" s="173" t="str">
        <f t="shared" si="4"/>
        <v>C</v>
      </c>
    </row>
    <row r="75" spans="2:13" ht="15" outlineLevel="1" thickBot="1">
      <c r="B75" s="182" t="s">
        <v>182</v>
      </c>
      <c r="C75" s="171">
        <f>'Юнит 12'!AO63</f>
        <v>0</v>
      </c>
      <c r="D75" s="172">
        <f t="shared" si="7"/>
        <v>0</v>
      </c>
      <c r="E75" s="172">
        <f t="shared" si="10"/>
        <v>1.0090435039680941</v>
      </c>
      <c r="F75" s="173" t="str">
        <f t="shared" si="3"/>
        <v>C</v>
      </c>
      <c r="G75" s="173" t="str">
        <f t="shared" si="8"/>
        <v>C</v>
      </c>
      <c r="I75" s="182" t="s">
        <v>155</v>
      </c>
      <c r="J75" s="171">
        <f>'Юнит 12'!U36</f>
        <v>0</v>
      </c>
      <c r="K75" s="172">
        <f t="shared" si="9"/>
        <v>0</v>
      </c>
      <c r="L75" s="172">
        <f t="shared" si="11"/>
        <v>0.99673202614379064</v>
      </c>
      <c r="M75" s="173" t="str">
        <f t="shared" si="4"/>
        <v>C</v>
      </c>
    </row>
    <row r="76" spans="2:13" ht="15" outlineLevel="1" thickBot="1">
      <c r="B76" s="182" t="s">
        <v>183</v>
      </c>
      <c r="C76" s="171">
        <f>'Юнит 12'!AO64</f>
        <v>0</v>
      </c>
      <c r="D76" s="172">
        <f t="shared" si="7"/>
        <v>0</v>
      </c>
      <c r="E76" s="172">
        <f>E49+D76</f>
        <v>1.0088385409464664</v>
      </c>
      <c r="F76" s="173" t="str">
        <f t="shared" si="3"/>
        <v>C</v>
      </c>
      <c r="G76" s="173" t="str">
        <f t="shared" si="8"/>
        <v>C</v>
      </c>
      <c r="I76" s="182" t="s">
        <v>161</v>
      </c>
      <c r="J76" s="171">
        <f>'Юнит 12'!U42</f>
        <v>0</v>
      </c>
      <c r="K76" s="172">
        <f t="shared" si="9"/>
        <v>0</v>
      </c>
      <c r="L76" s="172">
        <f>L49+K76</f>
        <v>0.99296128707893394</v>
      </c>
      <c r="M76" s="173" t="str">
        <f t="shared" si="4"/>
        <v>C</v>
      </c>
    </row>
    <row r="77" spans="2:13" ht="15" outlineLevel="1" thickBot="1">
      <c r="B77" s="182" t="s">
        <v>186</v>
      </c>
      <c r="C77" s="171">
        <f>'Юнит 12'!AO67</f>
        <v>0</v>
      </c>
      <c r="D77" s="172">
        <f t="shared" si="7"/>
        <v>0</v>
      </c>
      <c r="E77" s="172">
        <f t="shared" ref="E77:E93" si="12">E76+D77</f>
        <v>1.0088385409464664</v>
      </c>
      <c r="F77" s="173" t="str">
        <f t="shared" si="3"/>
        <v>C</v>
      </c>
      <c r="G77" s="173" t="str">
        <f t="shared" si="8"/>
        <v>C</v>
      </c>
      <c r="I77" s="182" t="s">
        <v>162</v>
      </c>
      <c r="J77" s="171">
        <f>'Юнит 12'!U43</f>
        <v>0</v>
      </c>
      <c r="K77" s="172">
        <f t="shared" si="9"/>
        <v>0</v>
      </c>
      <c r="L77" s="172">
        <f t="shared" ref="L77:L94" si="13">L76+K77</f>
        <v>0.99296128707893394</v>
      </c>
      <c r="M77" s="173" t="str">
        <f t="shared" si="4"/>
        <v>C</v>
      </c>
    </row>
    <row r="78" spans="2:13" ht="26.5" outlineLevel="1" thickBot="1">
      <c r="B78" s="182" t="s">
        <v>187</v>
      </c>
      <c r="C78" s="171">
        <f>'Юнит 12'!AO68</f>
        <v>0</v>
      </c>
      <c r="D78" s="172">
        <f t="shared" si="7"/>
        <v>0</v>
      </c>
      <c r="E78" s="172">
        <f t="shared" si="12"/>
        <v>1.0088385409464664</v>
      </c>
      <c r="F78" s="173" t="str">
        <f t="shared" si="3"/>
        <v>C</v>
      </c>
      <c r="G78" s="173" t="str">
        <f t="shared" si="8"/>
        <v>C</v>
      </c>
      <c r="I78" s="182" t="s">
        <v>165</v>
      </c>
      <c r="J78" s="171">
        <f>'Юнит 12'!U46</f>
        <v>0</v>
      </c>
      <c r="K78" s="172">
        <f t="shared" si="9"/>
        <v>0</v>
      </c>
      <c r="L78" s="172">
        <f t="shared" si="13"/>
        <v>0.99296128707893394</v>
      </c>
      <c r="M78" s="173" t="str">
        <f t="shared" si="4"/>
        <v>C</v>
      </c>
    </row>
    <row r="79" spans="2:13" ht="26.5" outlineLevel="1" thickBot="1">
      <c r="B79" s="182" t="s">
        <v>213</v>
      </c>
      <c r="C79" s="171">
        <f>'Юнит 12'!AO94</f>
        <v>0</v>
      </c>
      <c r="D79" s="172">
        <f t="shared" si="7"/>
        <v>0</v>
      </c>
      <c r="E79" s="172">
        <f t="shared" si="12"/>
        <v>1.0088385409464664</v>
      </c>
      <c r="F79" s="173" t="str">
        <f t="shared" si="3"/>
        <v>C</v>
      </c>
      <c r="G79" s="173" t="str">
        <f t="shared" si="8"/>
        <v>C</v>
      </c>
      <c r="I79" s="182" t="s">
        <v>174</v>
      </c>
      <c r="J79" s="171">
        <f>'Юнит 12'!U55</f>
        <v>0</v>
      </c>
      <c r="K79" s="172">
        <f t="shared" si="9"/>
        <v>0</v>
      </c>
      <c r="L79" s="172">
        <f t="shared" si="13"/>
        <v>0.99296128707893394</v>
      </c>
      <c r="M79" s="173" t="str">
        <f t="shared" si="4"/>
        <v>C</v>
      </c>
    </row>
    <row r="80" spans="2:13" ht="26.5" outlineLevel="1" thickBot="1">
      <c r="B80" s="182" t="s">
        <v>214</v>
      </c>
      <c r="C80" s="171">
        <f>'Юнит 12'!AO95</f>
        <v>0</v>
      </c>
      <c r="D80" s="172">
        <f t="shared" si="7"/>
        <v>0</v>
      </c>
      <c r="E80" s="172">
        <f t="shared" si="12"/>
        <v>1.0088385409464664</v>
      </c>
      <c r="F80" s="173" t="str">
        <f t="shared" si="3"/>
        <v>C</v>
      </c>
      <c r="G80" s="173" t="str">
        <f t="shared" si="8"/>
        <v>C</v>
      </c>
      <c r="I80" s="182" t="s">
        <v>175</v>
      </c>
      <c r="J80" s="171">
        <f>'Юнит 12'!U56</f>
        <v>0</v>
      </c>
      <c r="K80" s="172">
        <f t="shared" si="9"/>
        <v>0</v>
      </c>
      <c r="L80" s="172">
        <f t="shared" si="13"/>
        <v>0.99296128707893394</v>
      </c>
      <c r="M80" s="173" t="str">
        <f t="shared" si="4"/>
        <v>C</v>
      </c>
    </row>
    <row r="81" spans="2:13" ht="15" outlineLevel="1" thickBot="1">
      <c r="B81" s="182" t="s">
        <v>215</v>
      </c>
      <c r="C81" s="171">
        <f>'Юнит 12'!AO96</f>
        <v>0</v>
      </c>
      <c r="D81" s="172">
        <f t="shared" si="7"/>
        <v>0</v>
      </c>
      <c r="E81" s="172">
        <f t="shared" si="12"/>
        <v>1.0088385409464664</v>
      </c>
      <c r="F81" s="173" t="str">
        <f t="shared" si="3"/>
        <v>C</v>
      </c>
      <c r="G81" s="173" t="str">
        <f t="shared" si="8"/>
        <v>C</v>
      </c>
      <c r="I81" s="182" t="s">
        <v>176</v>
      </c>
      <c r="J81" s="171">
        <f>'Юнит 12'!U57</f>
        <v>0</v>
      </c>
      <c r="K81" s="172">
        <f t="shared" si="9"/>
        <v>0</v>
      </c>
      <c r="L81" s="172">
        <f t="shared" si="13"/>
        <v>0.99296128707893394</v>
      </c>
      <c r="M81" s="173" t="str">
        <f t="shared" si="4"/>
        <v>C</v>
      </c>
    </row>
    <row r="82" spans="2:13" ht="15" outlineLevel="1" thickBot="1">
      <c r="B82" s="182" t="s">
        <v>256</v>
      </c>
      <c r="C82" s="171">
        <f>'Юнит 12'!AO99</f>
        <v>0</v>
      </c>
      <c r="D82" s="172">
        <f t="shared" si="7"/>
        <v>0</v>
      </c>
      <c r="E82" s="172">
        <f t="shared" si="12"/>
        <v>1.0088385409464664</v>
      </c>
      <c r="F82" s="173" t="str">
        <f t="shared" si="3"/>
        <v>C</v>
      </c>
      <c r="G82" s="173" t="str">
        <f t="shared" si="8"/>
        <v>C</v>
      </c>
      <c r="I82" s="182" t="s">
        <v>178</v>
      </c>
      <c r="J82" s="171">
        <f>'Юнит 12'!U59</f>
        <v>0</v>
      </c>
      <c r="K82" s="172">
        <f t="shared" si="9"/>
        <v>0</v>
      </c>
      <c r="L82" s="172">
        <f t="shared" si="13"/>
        <v>0.99296128707893394</v>
      </c>
      <c r="M82" s="173" t="str">
        <f t="shared" si="4"/>
        <v>C</v>
      </c>
    </row>
    <row r="83" spans="2:13" ht="15" outlineLevel="1" thickBot="1">
      <c r="B83" s="182" t="s">
        <v>258</v>
      </c>
      <c r="C83" s="171">
        <f>'Юнит 12'!AO101</f>
        <v>0</v>
      </c>
      <c r="D83" s="172">
        <f t="shared" si="7"/>
        <v>0</v>
      </c>
      <c r="E83" s="172">
        <f t="shared" si="12"/>
        <v>1.0088385409464664</v>
      </c>
      <c r="F83" s="173" t="str">
        <f t="shared" si="3"/>
        <v>C</v>
      </c>
      <c r="G83" s="173" t="str">
        <f t="shared" si="8"/>
        <v>C</v>
      </c>
      <c r="I83" s="182" t="s">
        <v>181</v>
      </c>
      <c r="J83" s="171">
        <f>'Юнит 12'!U62</f>
        <v>0</v>
      </c>
      <c r="K83" s="172">
        <f t="shared" si="9"/>
        <v>0</v>
      </c>
      <c r="L83" s="172">
        <f t="shared" si="13"/>
        <v>0.99296128707893394</v>
      </c>
      <c r="M83" s="173" t="str">
        <f t="shared" si="4"/>
        <v>C</v>
      </c>
    </row>
    <row r="84" spans="2:13" ht="26.5" outlineLevel="1" thickBot="1">
      <c r="B84" s="182" t="s">
        <v>260</v>
      </c>
      <c r="C84" s="171">
        <f>'Юнит 12'!AO103</f>
        <v>0</v>
      </c>
      <c r="D84" s="172">
        <f t="shared" si="7"/>
        <v>0</v>
      </c>
      <c r="E84" s="172">
        <f t="shared" si="12"/>
        <v>1.0088385409464664</v>
      </c>
      <c r="F84" s="173" t="str">
        <f t="shared" si="3"/>
        <v>C</v>
      </c>
      <c r="G84" s="173" t="str">
        <f t="shared" si="8"/>
        <v>C</v>
      </c>
      <c r="I84" s="182" t="s">
        <v>182</v>
      </c>
      <c r="J84" s="171">
        <f>'Юнит 12'!U63</f>
        <v>0</v>
      </c>
      <c r="K84" s="172">
        <f t="shared" si="9"/>
        <v>0</v>
      </c>
      <c r="L84" s="172">
        <f t="shared" si="13"/>
        <v>0.99296128707893394</v>
      </c>
      <c r="M84" s="173" t="str">
        <f t="shared" si="4"/>
        <v>C</v>
      </c>
    </row>
    <row r="85" spans="2:13" ht="15" outlineLevel="1" thickBot="1">
      <c r="B85" s="182" t="s">
        <v>184</v>
      </c>
      <c r="C85" s="171">
        <f>'Юнит 12'!AO65</f>
        <v>-0.77642713389369</v>
      </c>
      <c r="D85" s="172">
        <f t="shared" si="7"/>
        <v>-4.2846251571756738E-7</v>
      </c>
      <c r="E85" s="172">
        <f t="shared" si="12"/>
        <v>1.0088381124839507</v>
      </c>
      <c r="F85" s="173" t="str">
        <f t="shared" si="3"/>
        <v>C</v>
      </c>
      <c r="G85" s="173" t="str">
        <f t="shared" si="8"/>
        <v>C</v>
      </c>
      <c r="I85" s="182" t="s">
        <v>183</v>
      </c>
      <c r="J85" s="171">
        <f>'Юнит 12'!U64</f>
        <v>0</v>
      </c>
      <c r="K85" s="172">
        <f t="shared" si="9"/>
        <v>0</v>
      </c>
      <c r="L85" s="172">
        <f t="shared" si="13"/>
        <v>0.99296128707893394</v>
      </c>
      <c r="M85" s="173" t="str">
        <f t="shared" si="4"/>
        <v>C</v>
      </c>
    </row>
    <row r="86" spans="2:13" ht="15" outlineLevel="1" thickBot="1">
      <c r="B86" s="182" t="s">
        <v>185</v>
      </c>
      <c r="C86" s="171">
        <f>'Юнит 12'!AO66</f>
        <v>-1.55285426778738</v>
      </c>
      <c r="D86" s="172">
        <f t="shared" si="7"/>
        <v>-8.5692503143513476E-7</v>
      </c>
      <c r="E86" s="172">
        <f t="shared" si="12"/>
        <v>1.0088372555589193</v>
      </c>
      <c r="F86" s="173" t="str">
        <f t="shared" si="3"/>
        <v>C</v>
      </c>
      <c r="G86" s="173" t="str">
        <f t="shared" si="8"/>
        <v>C</v>
      </c>
      <c r="I86" s="182" t="s">
        <v>184</v>
      </c>
      <c r="J86" s="171">
        <f>'Юнит 12'!U65</f>
        <v>0</v>
      </c>
      <c r="K86" s="172">
        <f t="shared" si="9"/>
        <v>0</v>
      </c>
      <c r="L86" s="172">
        <f t="shared" si="13"/>
        <v>0.99296128707893394</v>
      </c>
      <c r="M86" s="173" t="str">
        <f t="shared" si="4"/>
        <v>C</v>
      </c>
    </row>
    <row r="87" spans="2:13" ht="15" outlineLevel="1" thickBot="1">
      <c r="B87" s="182" t="s">
        <v>211</v>
      </c>
      <c r="C87" s="171">
        <f>'Юнит 12'!AO92</f>
        <v>-36.492075293003431</v>
      </c>
      <c r="D87" s="172">
        <f t="shared" si="7"/>
        <v>-2.0137738238725668E-5</v>
      </c>
      <c r="E87" s="172">
        <f t="shared" si="12"/>
        <v>1.0088171178206806</v>
      </c>
      <c r="F87" s="173" t="str">
        <f t="shared" si="3"/>
        <v>C</v>
      </c>
      <c r="G87" s="173" t="str">
        <f t="shared" si="8"/>
        <v>C</v>
      </c>
      <c r="I87" s="182" t="s">
        <v>185</v>
      </c>
      <c r="J87" s="171">
        <f>'Юнит 12'!U66</f>
        <v>0</v>
      </c>
      <c r="K87" s="172">
        <f t="shared" si="9"/>
        <v>0</v>
      </c>
      <c r="L87" s="172">
        <f t="shared" si="13"/>
        <v>0.99296128707893394</v>
      </c>
      <c r="M87" s="173" t="str">
        <f t="shared" si="4"/>
        <v>C</v>
      </c>
    </row>
    <row r="88" spans="2:13" ht="26.5" outlineLevel="1" thickBot="1">
      <c r="B88" s="182" t="s">
        <v>209</v>
      </c>
      <c r="C88" s="171">
        <f>'Юнит 12'!AO90</f>
        <v>-38.821356694684503</v>
      </c>
      <c r="D88" s="172">
        <f t="shared" si="7"/>
        <v>-2.1423125785878371E-5</v>
      </c>
      <c r="E88" s="172">
        <f t="shared" si="12"/>
        <v>1.0087956946948948</v>
      </c>
      <c r="F88" s="173" t="str">
        <f t="shared" si="3"/>
        <v>C</v>
      </c>
      <c r="G88" s="173" t="str">
        <f t="shared" si="8"/>
        <v>C</v>
      </c>
      <c r="I88" s="182" t="s">
        <v>186</v>
      </c>
      <c r="J88" s="171">
        <f>'Юнит 12'!U67</f>
        <v>0</v>
      </c>
      <c r="K88" s="172">
        <f t="shared" si="9"/>
        <v>0</v>
      </c>
      <c r="L88" s="172">
        <f t="shared" si="13"/>
        <v>0.99296128707893394</v>
      </c>
      <c r="M88" s="173" t="str">
        <f t="shared" si="4"/>
        <v>C</v>
      </c>
    </row>
    <row r="89" spans="2:13" ht="15" outlineLevel="1" thickBot="1">
      <c r="B89" s="182" t="s">
        <v>193</v>
      </c>
      <c r="C89" s="171">
        <f>'Юнит 12'!AO74</f>
        <v>-93.93</v>
      </c>
      <c r="D89" s="172">
        <f t="shared" si="7"/>
        <v>-5.1834206127656534E-5</v>
      </c>
      <c r="E89" s="172">
        <f t="shared" si="12"/>
        <v>1.0087438604887671</v>
      </c>
      <c r="F89" s="173" t="str">
        <f t="shared" si="3"/>
        <v>C</v>
      </c>
      <c r="G89" s="173" t="str">
        <f t="shared" si="8"/>
        <v>C</v>
      </c>
      <c r="I89" s="182" t="s">
        <v>187</v>
      </c>
      <c r="J89" s="171">
        <f>'Юнит 12'!U68</f>
        <v>0</v>
      </c>
      <c r="K89" s="172">
        <f t="shared" si="9"/>
        <v>0</v>
      </c>
      <c r="L89" s="172">
        <f t="shared" si="13"/>
        <v>0.99296128707893394</v>
      </c>
      <c r="M89" s="173" t="str">
        <f t="shared" si="4"/>
        <v>C</v>
      </c>
    </row>
    <row r="90" spans="2:13" ht="26.5" outlineLevel="1" thickBot="1">
      <c r="B90" s="182" t="s">
        <v>201</v>
      </c>
      <c r="C90" s="171">
        <f>'Юнит 12'!AO82</f>
        <v>-144.87564815910974</v>
      </c>
      <c r="D90" s="172">
        <f t="shared" si="7"/>
        <v>-7.9947984771182133E-5</v>
      </c>
      <c r="E90" s="172">
        <f t="shared" si="12"/>
        <v>1.0086639125039958</v>
      </c>
      <c r="F90" s="173" t="str">
        <f t="shared" si="3"/>
        <v>C</v>
      </c>
      <c r="G90" s="173" t="str">
        <f t="shared" si="8"/>
        <v>C</v>
      </c>
      <c r="I90" s="182" t="s">
        <v>192</v>
      </c>
      <c r="J90" s="171">
        <f>'Юнит 12'!U73</f>
        <v>0</v>
      </c>
      <c r="K90" s="172">
        <f t="shared" si="9"/>
        <v>0</v>
      </c>
      <c r="L90" s="172">
        <f t="shared" si="13"/>
        <v>0.99296128707893394</v>
      </c>
      <c r="M90" s="173" t="str">
        <f t="shared" si="4"/>
        <v>C</v>
      </c>
    </row>
    <row r="91" spans="2:13" ht="15" outlineLevel="1" thickBot="1">
      <c r="B91" s="182" t="s">
        <v>197</v>
      </c>
      <c r="C91" s="171">
        <f>'Юнит 12'!AO78</f>
        <v>-169.70967987451172</v>
      </c>
      <c r="D91" s="172">
        <f t="shared" si="7"/>
        <v>-9.365236376529377E-5</v>
      </c>
      <c r="E91" s="172">
        <f t="shared" si="12"/>
        <v>1.0085702601402304</v>
      </c>
      <c r="F91" s="173" t="str">
        <f t="shared" si="3"/>
        <v>C</v>
      </c>
      <c r="G91" s="173" t="str">
        <f t="shared" si="8"/>
        <v>C</v>
      </c>
      <c r="I91" s="182" t="s">
        <v>193</v>
      </c>
      <c r="J91" s="171">
        <f>'Юнит 12'!U74</f>
        <v>0</v>
      </c>
      <c r="K91" s="172">
        <f t="shared" si="9"/>
        <v>0</v>
      </c>
      <c r="L91" s="172">
        <f t="shared" si="13"/>
        <v>0.99296128707893394</v>
      </c>
      <c r="M91" s="173" t="str">
        <f t="shared" si="4"/>
        <v>C</v>
      </c>
    </row>
    <row r="92" spans="2:13" ht="15" outlineLevel="1" thickBot="1">
      <c r="B92" s="182" t="s">
        <v>157</v>
      </c>
      <c r="C92" s="171">
        <f>'Юнит 12'!AO38</f>
        <v>-181.98575822185373</v>
      </c>
      <c r="D92" s="172">
        <f t="shared" si="7"/>
        <v>-1.004267784942982E-4</v>
      </c>
      <c r="E92" s="172">
        <f t="shared" si="12"/>
        <v>1.0084698333617361</v>
      </c>
      <c r="F92" s="173" t="str">
        <f t="shared" si="3"/>
        <v>C</v>
      </c>
      <c r="G92" s="173" t="str">
        <f t="shared" si="8"/>
        <v>C</v>
      </c>
      <c r="I92" s="182" t="s">
        <v>195</v>
      </c>
      <c r="J92" s="171">
        <f>'Юнит 12'!U76</f>
        <v>0</v>
      </c>
      <c r="K92" s="172">
        <f t="shared" si="9"/>
        <v>0</v>
      </c>
      <c r="L92" s="172">
        <f t="shared" si="13"/>
        <v>0.99296128707893394</v>
      </c>
      <c r="M92" s="173" t="str">
        <f t="shared" si="4"/>
        <v>C</v>
      </c>
    </row>
    <row r="93" spans="2:13" ht="26.5" outlineLevel="1" thickBot="1">
      <c r="B93" s="182" t="s">
        <v>146</v>
      </c>
      <c r="C93" s="171">
        <f>'Юнит 12'!AO27</f>
        <v>-195.37944913389359</v>
      </c>
      <c r="D93" s="172">
        <f t="shared" si="7"/>
        <v>-1.0781793505285027E-4</v>
      </c>
      <c r="E93" s="172">
        <f t="shared" si="12"/>
        <v>1.0083620154266832</v>
      </c>
      <c r="F93" s="173" t="str">
        <f t="shared" si="3"/>
        <v>C</v>
      </c>
      <c r="G93" s="173" t="str">
        <f t="shared" si="8"/>
        <v>C</v>
      </c>
      <c r="I93" s="182" t="s">
        <v>201</v>
      </c>
      <c r="J93" s="171">
        <f>'Юнит 12'!U82</f>
        <v>0</v>
      </c>
      <c r="K93" s="172">
        <f t="shared" si="9"/>
        <v>0</v>
      </c>
      <c r="L93" s="172">
        <f t="shared" si="13"/>
        <v>0.99296128707893394</v>
      </c>
      <c r="M93" s="173" t="str">
        <f t="shared" si="4"/>
        <v>C</v>
      </c>
    </row>
    <row r="94" spans="2:13" ht="15" outlineLevel="1" thickBot="1">
      <c r="B94" s="182" t="s">
        <v>192</v>
      </c>
      <c r="C94" s="171">
        <f>'Юнит 12'!AO73</f>
        <v>-483.29</v>
      </c>
      <c r="D94" s="172">
        <f t="shared" si="7"/>
        <v>-2.6669811007596218E-4</v>
      </c>
      <c r="E94" s="172">
        <f>E93+D94</f>
        <v>1.0080953173166072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12'!U84</f>
        <v>0</v>
      </c>
      <c r="K94" s="172">
        <f t="shared" si="9"/>
        <v>0</v>
      </c>
      <c r="L94" s="172">
        <f t="shared" si="13"/>
        <v>0.99296128707893394</v>
      </c>
      <c r="M94" s="173" t="str">
        <f t="shared" si="4"/>
        <v>C</v>
      </c>
    </row>
    <row r="95" spans="2:13" ht="26.5" outlineLevel="1" thickBot="1">
      <c r="B95" s="182" t="s">
        <v>161</v>
      </c>
      <c r="C95" s="171">
        <f>'Юнит 12'!AO42</f>
        <v>-561.02782407955499</v>
      </c>
      <c r="D95" s="172">
        <f t="shared" si="7"/>
        <v>-3.0959684740434665E-4</v>
      </c>
      <c r="E95" s="172">
        <f>E94+D95</f>
        <v>1.0077857204692029</v>
      </c>
      <c r="F95" s="173" t="str">
        <f t="shared" si="3"/>
        <v>C</v>
      </c>
      <c r="G95" s="173" t="str">
        <f t="shared" si="8"/>
        <v>C</v>
      </c>
      <c r="I95" s="182" t="s">
        <v>205</v>
      </c>
      <c r="J95" s="171">
        <f>'Юнит 12'!U86</f>
        <v>0</v>
      </c>
      <c r="K95" s="172">
        <f t="shared" si="9"/>
        <v>0</v>
      </c>
      <c r="L95" s="172">
        <f>L94+K95</f>
        <v>0.99296128707893394</v>
      </c>
      <c r="M95" s="173" t="str">
        <f t="shared" si="4"/>
        <v>C</v>
      </c>
    </row>
    <row r="96" spans="2:13" ht="26.5" outlineLevel="1" thickBot="1">
      <c r="B96" s="182" t="s">
        <v>194</v>
      </c>
      <c r="C96" s="171">
        <f>'Юнит 12'!AO75</f>
        <v>-599.92596280336147</v>
      </c>
      <c r="D96" s="172">
        <f t="shared" si="7"/>
        <v>-3.3106234448293672E-4</v>
      </c>
      <c r="E96" s="172">
        <f t="shared" ref="E96:E98" si="14">E95+D96</f>
        <v>1.0074546581247199</v>
      </c>
      <c r="F96" s="173" t="str">
        <f t="shared" si="3"/>
        <v>C</v>
      </c>
      <c r="G96" s="173" t="str">
        <f t="shared" si="8"/>
        <v>C</v>
      </c>
      <c r="I96" s="182" t="s">
        <v>209</v>
      </c>
      <c r="J96" s="171">
        <f>'Юнит 12'!U90</f>
        <v>0</v>
      </c>
      <c r="K96" s="172">
        <f t="shared" si="9"/>
        <v>0</v>
      </c>
      <c r="L96" s="172">
        <f t="shared" ref="L96:L98" si="15">L95+K96</f>
        <v>0.99296128707893394</v>
      </c>
      <c r="M96" s="173" t="str">
        <f t="shared" si="4"/>
        <v>C</v>
      </c>
    </row>
    <row r="97" spans="2:13" ht="15" outlineLevel="1" thickBot="1">
      <c r="B97" s="182" t="s">
        <v>170</v>
      </c>
      <c r="C97" s="171">
        <f>'Юнит 12'!AO51</f>
        <v>-752.16450000000009</v>
      </c>
      <c r="D97" s="172">
        <f t="shared" si="7"/>
        <v>-4.1507345613654549E-4</v>
      </c>
      <c r="E97" s="172">
        <f t="shared" si="14"/>
        <v>1.0070395846685833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'Юнит 12'!U92</f>
        <v>0</v>
      </c>
      <c r="K97" s="172">
        <f t="shared" si="9"/>
        <v>0</v>
      </c>
      <c r="L97" s="172">
        <f t="shared" si="15"/>
        <v>0.99296128707893394</v>
      </c>
      <c r="M97" s="173" t="str">
        <f t="shared" si="4"/>
        <v>C</v>
      </c>
    </row>
    <row r="98" spans="2:13" ht="26.5" outlineLevel="1" thickBot="1">
      <c r="B98" s="182" t="s">
        <v>162</v>
      </c>
      <c r="C98" s="171">
        <f>'Юнит 12'!AO43</f>
        <v>-902.4</v>
      </c>
      <c r="D98" s="172">
        <f t="shared" si="7"/>
        <v>-4.9797921441070215E-4</v>
      </c>
      <c r="E98" s="172">
        <f t="shared" si="14"/>
        <v>1.0065416054541727</v>
      </c>
      <c r="F98" s="173" t="str">
        <f t="shared" si="16"/>
        <v>C</v>
      </c>
      <c r="G98" s="173" t="str">
        <f t="shared" si="8"/>
        <v>C</v>
      </c>
      <c r="I98" s="182" t="s">
        <v>213</v>
      </c>
      <c r="J98" s="171">
        <f>'Юнит 12'!U94</f>
        <v>0</v>
      </c>
      <c r="K98" s="172">
        <f t="shared" si="9"/>
        <v>0</v>
      </c>
      <c r="L98" s="172">
        <f t="shared" si="15"/>
        <v>0.99296128707893394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12'!AO85</f>
        <v>-1161.3418326151298</v>
      </c>
      <c r="D99" s="172">
        <f t="shared" si="7"/>
        <v>-6.4087333052744626E-4</v>
      </c>
      <c r="E99" s="172">
        <f>E93+D99</f>
        <v>1.0077211420961558</v>
      </c>
      <c r="F99" s="173" t="str">
        <f t="shared" si="16"/>
        <v>C</v>
      </c>
      <c r="G99" s="173" t="str">
        <f t="shared" si="8"/>
        <v>C</v>
      </c>
      <c r="I99" s="182" t="s">
        <v>214</v>
      </c>
      <c r="J99" s="171">
        <f>'Юнит 12'!U95</f>
        <v>0</v>
      </c>
      <c r="K99" s="172">
        <f t="shared" si="9"/>
        <v>0</v>
      </c>
      <c r="L99" s="172">
        <f>L93+K99</f>
        <v>0.99296128707893394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203</v>
      </c>
      <c r="C100" s="171">
        <f>'Юнит 12'!AO84</f>
        <v>-1287.8627938913223</v>
      </c>
      <c r="D100" s="172">
        <f t="shared" si="7"/>
        <v>-7.106924893293138E-4</v>
      </c>
      <c r="E100" s="172">
        <f t="shared" ref="E100:E104" si="18">E94+D100</f>
        <v>1.0073846248272778</v>
      </c>
      <c r="F100" s="173" t="str">
        <f t="shared" si="16"/>
        <v>C</v>
      </c>
      <c r="G100" s="173" t="str">
        <f t="shared" si="8"/>
        <v>C</v>
      </c>
      <c r="I100" s="182" t="s">
        <v>215</v>
      </c>
      <c r="J100" s="171">
        <f>'Юнит 12'!U96</f>
        <v>0</v>
      </c>
      <c r="K100" s="172">
        <f t="shared" si="9"/>
        <v>0</v>
      </c>
      <c r="L100" s="172">
        <f t="shared" ref="L100:L104" si="19">L94+K100</f>
        <v>0.99296128707893394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'Юнит 12'!AO76</f>
        <v>-1329.4327938913223</v>
      </c>
      <c r="D101" s="172">
        <f t="shared" si="7"/>
        <v>-7.3363242277684577E-4</v>
      </c>
      <c r="E101" s="172">
        <f t="shared" si="18"/>
        <v>1.007052088046426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12'!U99</f>
        <v>0</v>
      </c>
      <c r="K101" s="172">
        <f t="shared" si="9"/>
        <v>0</v>
      </c>
      <c r="L101" s="172">
        <f t="shared" si="19"/>
        <v>0.99296128707893394</v>
      </c>
      <c r="M101" s="173" t="str">
        <f t="shared" si="17"/>
        <v>C</v>
      </c>
    </row>
    <row r="102" spans="2:13" ht="26.5" outlineLevel="1" thickBot="1">
      <c r="B102" s="182" t="s">
        <v>205</v>
      </c>
      <c r="C102" s="171">
        <f>'Юнит 12'!AO86</f>
        <v>-2354.1985225523858</v>
      </c>
      <c r="D102" s="172">
        <f t="shared" si="7"/>
        <v>-1.299137777955976E-3</v>
      </c>
      <c r="E102" s="172">
        <f t="shared" si="18"/>
        <v>1.006155520346764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12'!U101</f>
        <v>0</v>
      </c>
      <c r="K102" s="172">
        <f t="shared" si="9"/>
        <v>0</v>
      </c>
      <c r="L102" s="172">
        <f t="shared" si="19"/>
        <v>0.99296128707893394</v>
      </c>
      <c r="M102" s="173" t="str">
        <f t="shared" si="17"/>
        <v>C</v>
      </c>
    </row>
    <row r="103" spans="2:13" ht="26.5" outlineLevel="1" thickBot="1">
      <c r="B103" s="182" t="s">
        <v>152</v>
      </c>
      <c r="C103" s="171">
        <f>'Юнит 12'!AO33</f>
        <v>-2530.3176289333487</v>
      </c>
      <c r="D103" s="172">
        <f t="shared" si="7"/>
        <v>-1.3963271111101282E-3</v>
      </c>
      <c r="E103" s="172">
        <f t="shared" si="18"/>
        <v>1.0056432575574732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12'!U103</f>
        <v>0</v>
      </c>
      <c r="K103" s="172">
        <f t="shared" si="9"/>
        <v>0</v>
      </c>
      <c r="L103" s="172">
        <f t="shared" si="19"/>
        <v>0.99296128707893394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12'!AO26</f>
        <v>-5853.1977843731484</v>
      </c>
      <c r="D104" s="172">
        <f t="shared" si="7"/>
        <v>-3.2300208715121933E-3</v>
      </c>
      <c r="E104" s="172">
        <f t="shared" si="18"/>
        <v>1.0033115845826606</v>
      </c>
      <c r="F104" s="173" t="str">
        <f t="shared" si="16"/>
        <v>C</v>
      </c>
      <c r="G104" s="173" t="str">
        <f t="shared" si="8"/>
        <v>C</v>
      </c>
      <c r="I104" s="182" t="s">
        <v>170</v>
      </c>
      <c r="J104" s="171">
        <f>'Юнит 12'!U51</f>
        <v>-1</v>
      </c>
      <c r="K104" s="172">
        <f t="shared" si="9"/>
        <v>-2.5138260432378077E-4</v>
      </c>
      <c r="L104" s="172">
        <f t="shared" si="19"/>
        <v>0.99270990447461016</v>
      </c>
      <c r="M104" s="173" t="str">
        <f t="shared" si="17"/>
        <v>C</v>
      </c>
    </row>
    <row r="105" spans="2:13" outlineLevel="1">
      <c r="C105" s="178">
        <f>SUM(C4:C104)</f>
        <v>1812123.8274329996</v>
      </c>
      <c r="D105" s="179">
        <f>SUM(D4:D104)</f>
        <v>0.99999999999999933</v>
      </c>
      <c r="J105" s="178">
        <f>SUM(J4:J104)</f>
        <v>3978</v>
      </c>
      <c r="K105" s="179">
        <f>SUM(K4:K104)</f>
        <v>0.99999999999999978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78" priority="4" operator="equal">
      <formula>"C"</formula>
    </cfRule>
    <cfRule type="cellIs" dxfId="177" priority="5" operator="equal">
      <formula>"B"</formula>
    </cfRule>
    <cfRule type="cellIs" dxfId="176" priority="6" operator="equal">
      <formula>"A"</formula>
    </cfRule>
  </conditionalFormatting>
  <conditionalFormatting sqref="F99:G104 D99:D104 M99:M104 K99:K104">
    <cfRule type="cellIs" dxfId="175" priority="1" operator="equal">
      <formula>"C"</formula>
    </cfRule>
    <cfRule type="cellIs" dxfId="174" priority="2" operator="equal">
      <formula>"B"</formula>
    </cfRule>
    <cfRule type="cellIs" dxfId="173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BBAD-3438-4B5E-ACF9-B0233795E31B}">
  <dimension ref="B1:Q105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9" t="s">
        <v>86</v>
      </c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1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11'!AO4</f>
        <v>372695.38155820395</v>
      </c>
      <c r="D4" s="172">
        <f t="shared" ref="D4:D67" si="0">C4/C$105</f>
        <v>0.27996811416895623</v>
      </c>
      <c r="E4" s="172">
        <f>D4</f>
        <v>0.27996811416895623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11'!U4</f>
        <v>758</v>
      </c>
      <c r="K4" s="172">
        <f t="shared" ref="K4:K67" si="2">J4/J$105</f>
        <v>0.2216374269005848</v>
      </c>
      <c r="L4" s="172">
        <f>K4</f>
        <v>0.2216374269005848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128</v>
      </c>
      <c r="C5" s="171">
        <f>'Юнит 11'!AO9</f>
        <v>101443.23201993448</v>
      </c>
      <c r="D5" s="172">
        <f t="shared" si="0"/>
        <v>7.620397721346478E-2</v>
      </c>
      <c r="E5" s="172">
        <f>E4+D5</f>
        <v>0.35617209138242101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11'!U13</f>
        <v>244</v>
      </c>
      <c r="K5" s="172">
        <f t="shared" si="2"/>
        <v>7.1345029239766086E-2</v>
      </c>
      <c r="L5" s="172">
        <f>L4+K5</f>
        <v>0.2929824561403509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11'!AO13</f>
        <v>98640.754961700033</v>
      </c>
      <c r="D6" s="172">
        <f t="shared" si="0"/>
        <v>7.4098761383541406E-2</v>
      </c>
      <c r="E6" s="172">
        <f t="shared" ref="E6:E69" si="5">E5+D6</f>
        <v>0.43027085276596244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11'!U9</f>
        <v>237</v>
      </c>
      <c r="K6" s="172">
        <f t="shared" si="2"/>
        <v>6.9298245614035081E-2</v>
      </c>
      <c r="L6" s="172">
        <f t="shared" ref="L6:L69" si="6">L5+K6</f>
        <v>0.36228070175438598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126</v>
      </c>
      <c r="C7" s="171">
        <f>'Юнит 11'!AO7</f>
        <v>90179.079406000092</v>
      </c>
      <c r="D7" s="172">
        <f t="shared" si="0"/>
        <v>6.7742365610311522E-2</v>
      </c>
      <c r="E7" s="172">
        <f t="shared" si="5"/>
        <v>0.49801321837627399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11'!U16</f>
        <v>213</v>
      </c>
      <c r="K7" s="172">
        <f t="shared" si="2"/>
        <v>6.2280701754385964E-2</v>
      </c>
      <c r="L7" s="172">
        <f t="shared" si="6"/>
        <v>0.42456140350877192</v>
      </c>
      <c r="M7" s="173" t="str">
        <f t="shared" si="4"/>
        <v>A</v>
      </c>
    </row>
    <row r="8" spans="2:17" ht="15" outlineLevel="1" thickBot="1">
      <c r="B8" s="182" t="s">
        <v>135</v>
      </c>
      <c r="C8" s="171">
        <f>'Юнит 11'!AO16</f>
        <v>85947.698197954014</v>
      </c>
      <c r="D8" s="172">
        <f t="shared" si="0"/>
        <v>6.4563759499890447E-2</v>
      </c>
      <c r="E8" s="172">
        <f t="shared" si="5"/>
        <v>0.56257697787616445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11'!U7</f>
        <v>212</v>
      </c>
      <c r="K8" s="172">
        <f t="shared" si="2"/>
        <v>6.1988304093567252E-2</v>
      </c>
      <c r="L8" s="172">
        <f t="shared" si="6"/>
        <v>0.48654970760233918</v>
      </c>
      <c r="M8" s="173" t="str">
        <f>_xlfn.IFS(L8&lt;80%,"A",L8&lt;=95%,"B",L8&gt;95%,"C")</f>
        <v>A</v>
      </c>
    </row>
    <row r="9" spans="2:17" ht="26.5" outlineLevel="1" thickBot="1">
      <c r="B9" s="182" t="s">
        <v>122</v>
      </c>
      <c r="C9" s="171">
        <f>'Юнит 11'!AO3</f>
        <v>83816.676699757081</v>
      </c>
      <c r="D9" s="172">
        <f t="shared" si="0"/>
        <v>6.2962939903979984E-2</v>
      </c>
      <c r="E9" s="172">
        <f t="shared" si="5"/>
        <v>0.62553991778014439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11'!U10</f>
        <v>199</v>
      </c>
      <c r="K9" s="172">
        <f t="shared" si="2"/>
        <v>5.8187134502923975E-2</v>
      </c>
      <c r="L9" s="172">
        <f t="shared" si="6"/>
        <v>0.54473684210526319</v>
      </c>
      <c r="M9" s="173" t="str">
        <f t="shared" si="4"/>
        <v>A</v>
      </c>
    </row>
    <row r="10" spans="2:17" ht="15" outlineLevel="1" thickBot="1">
      <c r="B10" s="182" t="s">
        <v>124</v>
      </c>
      <c r="C10" s="171">
        <f>'Юнит 11'!AO5</f>
        <v>76669.886933258094</v>
      </c>
      <c r="D10" s="172">
        <f t="shared" si="0"/>
        <v>5.7594284019586529E-2</v>
      </c>
      <c r="E10" s="172">
        <f t="shared" si="5"/>
        <v>0.68313420179973094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'Юнит 11'!U5</f>
        <v>189</v>
      </c>
      <c r="K10" s="172">
        <f t="shared" si="2"/>
        <v>5.526315789473684E-2</v>
      </c>
      <c r="L10" s="172">
        <f t="shared" si="6"/>
        <v>0.6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'Юнит 11'!AO10</f>
        <v>65001.219994877509</v>
      </c>
      <c r="D11" s="172">
        <f t="shared" si="0"/>
        <v>4.882880196841205E-2</v>
      </c>
      <c r="E11" s="172">
        <f t="shared" si="5"/>
        <v>0.73196300376814305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11'!U3</f>
        <v>174</v>
      </c>
      <c r="K11" s="172">
        <f t="shared" si="2"/>
        <v>5.0877192982456139E-2</v>
      </c>
      <c r="L11" s="172">
        <f t="shared" si="6"/>
        <v>0.65087719298245617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11'!AO12</f>
        <v>47119.493534934314</v>
      </c>
      <c r="D12" s="172">
        <f t="shared" si="0"/>
        <v>3.5396080548188102E-2</v>
      </c>
      <c r="E12" s="172">
        <f t="shared" si="5"/>
        <v>0.76735908431633115</v>
      </c>
      <c r="F12" s="173" t="str">
        <f t="shared" si="3"/>
        <v>A</v>
      </c>
      <c r="G12" s="173" t="str">
        <f t="shared" si="1"/>
        <v>A</v>
      </c>
      <c r="I12" s="182" t="s">
        <v>147</v>
      </c>
      <c r="J12" s="171">
        <f>'Юнит 11'!U28</f>
        <v>161</v>
      </c>
      <c r="K12" s="172">
        <f t="shared" si="2"/>
        <v>4.7076023391812868E-2</v>
      </c>
      <c r="L12" s="172">
        <f t="shared" si="6"/>
        <v>0.69795321637426899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'Юнит 11'!AO28</f>
        <v>46993.253537877463</v>
      </c>
      <c r="D13" s="172">
        <f t="shared" si="0"/>
        <v>3.5301249284755393E-2</v>
      </c>
      <c r="E13" s="172">
        <f t="shared" si="5"/>
        <v>0.80266033360108657</v>
      </c>
      <c r="F13" s="173" t="str">
        <f t="shared" si="3"/>
        <v>B</v>
      </c>
      <c r="G13" s="173" t="str">
        <f t="shared" si="1"/>
        <v>A</v>
      </c>
      <c r="I13" s="182" t="s">
        <v>131</v>
      </c>
      <c r="J13" s="171">
        <f>'Юнит 11'!U12</f>
        <v>131</v>
      </c>
      <c r="K13" s="172">
        <f t="shared" si="2"/>
        <v>3.8304093567251465E-2</v>
      </c>
      <c r="L13" s="172">
        <f t="shared" si="6"/>
        <v>0.7362573099415205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11'!AO6</f>
        <v>41935.561315218794</v>
      </c>
      <c r="D14" s="172">
        <f t="shared" si="0"/>
        <v>3.1501919795603649E-2</v>
      </c>
      <c r="E14" s="172">
        <f t="shared" si="5"/>
        <v>0.83416225339669026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11'!U6</f>
        <v>116</v>
      </c>
      <c r="K14" s="172">
        <f t="shared" si="2"/>
        <v>3.3918128654970757E-2</v>
      </c>
      <c r="L14" s="172">
        <f t="shared" si="6"/>
        <v>0.77017543859649129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'Юнит 11'!AO11</f>
        <v>36095.771088789916</v>
      </c>
      <c r="D15" s="172">
        <f t="shared" si="0"/>
        <v>2.7115079663590197E-2</v>
      </c>
      <c r="E15" s="172">
        <f t="shared" si="5"/>
        <v>0.86127733306028043</v>
      </c>
      <c r="F15" s="173" t="str">
        <f t="shared" si="3"/>
        <v>B</v>
      </c>
      <c r="G15" s="173" t="str">
        <f t="shared" si="1"/>
        <v>B</v>
      </c>
      <c r="I15" s="182" t="s">
        <v>130</v>
      </c>
      <c r="J15" s="171">
        <f>'Юнит 11'!U11</f>
        <v>103</v>
      </c>
      <c r="K15" s="172">
        <f t="shared" si="2"/>
        <v>3.0116959064327486E-2</v>
      </c>
      <c r="L15" s="172">
        <f t="shared" si="6"/>
        <v>0.80029239766081872</v>
      </c>
      <c r="M15" s="173" t="str">
        <f t="shared" si="4"/>
        <v>B</v>
      </c>
    </row>
    <row r="16" spans="2:17" ht="26.5" outlineLevel="1" thickBot="1">
      <c r="B16" s="182" t="s">
        <v>167</v>
      </c>
      <c r="C16" s="171">
        <f>'Юнит 11'!AO48</f>
        <v>30869.087106372015</v>
      </c>
      <c r="D16" s="172">
        <f t="shared" si="0"/>
        <v>2.3188803862165746E-2</v>
      </c>
      <c r="E16" s="172">
        <f t="shared" si="5"/>
        <v>0.88446613692244613</v>
      </c>
      <c r="F16" s="173" t="str">
        <f t="shared" si="3"/>
        <v>B</v>
      </c>
      <c r="G16" s="173" t="str">
        <f t="shared" si="1"/>
        <v>B</v>
      </c>
      <c r="I16" s="182" t="s">
        <v>137</v>
      </c>
      <c r="J16" s="171">
        <f>'Юнит 11'!U18</f>
        <v>80</v>
      </c>
      <c r="K16" s="172">
        <f t="shared" si="2"/>
        <v>2.3391812865497075E-2</v>
      </c>
      <c r="L16" s="172">
        <f t="shared" si="6"/>
        <v>0.8236842105263158</v>
      </c>
      <c r="M16" s="173" t="str">
        <f t="shared" si="4"/>
        <v>B</v>
      </c>
    </row>
    <row r="17" spans="2:13" ht="26.5" outlineLevel="1" thickBot="1">
      <c r="B17" s="182" t="s">
        <v>137</v>
      </c>
      <c r="C17" s="171">
        <f>'Юнит 11'!AO18</f>
        <v>29336.565372597383</v>
      </c>
      <c r="D17" s="172">
        <f t="shared" si="0"/>
        <v>2.2037576235104803E-2</v>
      </c>
      <c r="E17" s="172">
        <f t="shared" si="5"/>
        <v>0.90650371315755096</v>
      </c>
      <c r="F17" s="173" t="str">
        <f t="shared" si="3"/>
        <v>B</v>
      </c>
      <c r="G17" s="173" t="str">
        <f t="shared" si="1"/>
        <v>B</v>
      </c>
      <c r="I17" s="182" t="s">
        <v>167</v>
      </c>
      <c r="J17" s="171">
        <f>'Юнит 11'!U48</f>
        <v>78</v>
      </c>
      <c r="K17" s="172">
        <f t="shared" si="2"/>
        <v>2.2807017543859651E-2</v>
      </c>
      <c r="L17" s="172">
        <f t="shared" si="6"/>
        <v>0.84649122807017541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'Юнит 11'!AO14</f>
        <v>22061.68374883151</v>
      </c>
      <c r="D18" s="172">
        <f t="shared" si="0"/>
        <v>1.6572697973150682E-2</v>
      </c>
      <c r="E18" s="172">
        <f t="shared" si="5"/>
        <v>0.9230764111307016</v>
      </c>
      <c r="F18" s="173" t="str">
        <f t="shared" si="3"/>
        <v>B</v>
      </c>
      <c r="G18" s="173" t="str">
        <f t="shared" si="1"/>
        <v>B</v>
      </c>
      <c r="I18" s="182" t="s">
        <v>164</v>
      </c>
      <c r="J18" s="171">
        <f>'Юнит 11'!U45</f>
        <v>65</v>
      </c>
      <c r="K18" s="172">
        <f t="shared" si="2"/>
        <v>1.9005847953216373E-2</v>
      </c>
      <c r="L18" s="172">
        <f t="shared" si="6"/>
        <v>0.86549707602339176</v>
      </c>
      <c r="M18" s="173" t="str">
        <f t="shared" si="4"/>
        <v>B</v>
      </c>
    </row>
    <row r="19" spans="2:13" ht="15" outlineLevel="1" thickBot="1">
      <c r="B19" s="182" t="s">
        <v>127</v>
      </c>
      <c r="C19" s="171">
        <f>'Юнит 11'!AO8</f>
        <v>18609.356474133478</v>
      </c>
      <c r="D19" s="172">
        <f t="shared" si="0"/>
        <v>1.3979315805251949E-2</v>
      </c>
      <c r="E19" s="172">
        <f t="shared" si="5"/>
        <v>0.93705572693595351</v>
      </c>
      <c r="F19" s="173" t="str">
        <f t="shared" si="3"/>
        <v>B</v>
      </c>
      <c r="G19" s="173" t="str">
        <f t="shared" si="1"/>
        <v>B</v>
      </c>
      <c r="I19" s="182" t="s">
        <v>133</v>
      </c>
      <c r="J19" s="171">
        <f>'Юнит 11'!U14</f>
        <v>59</v>
      </c>
      <c r="K19" s="172">
        <f t="shared" si="2"/>
        <v>1.7251461988304094E-2</v>
      </c>
      <c r="L19" s="172">
        <f t="shared" si="6"/>
        <v>0.88274853801169584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11'!AO15</f>
        <v>17310.68913502408</v>
      </c>
      <c r="D20" s="172">
        <f t="shared" si="0"/>
        <v>1.3003759187557471E-2</v>
      </c>
      <c r="E20" s="172">
        <f t="shared" si="5"/>
        <v>0.95005948612351099</v>
      </c>
      <c r="F20" s="173" t="str">
        <f t="shared" si="3"/>
        <v>C</v>
      </c>
      <c r="G20" s="173" t="str">
        <f t="shared" si="1"/>
        <v>B</v>
      </c>
      <c r="I20" s="182" t="s">
        <v>145</v>
      </c>
      <c r="J20" s="171">
        <f>'Юнит 11'!U26</f>
        <v>47</v>
      </c>
      <c r="K20" s="172">
        <f t="shared" si="2"/>
        <v>1.3742690058479532E-2</v>
      </c>
      <c r="L20" s="172">
        <f t="shared" si="6"/>
        <v>0.89649122807017534</v>
      </c>
      <c r="M20" s="173" t="str">
        <f t="shared" si="4"/>
        <v>B</v>
      </c>
    </row>
    <row r="21" spans="2:13" ht="15" outlineLevel="1" thickBot="1">
      <c r="B21" s="182" t="s">
        <v>164</v>
      </c>
      <c r="C21" s="171">
        <f>'Юнит 11'!AO45</f>
        <v>16241.3694240897</v>
      </c>
      <c r="D21" s="172">
        <f t="shared" si="0"/>
        <v>1.2200488104180125E-2</v>
      </c>
      <c r="E21" s="172">
        <f t="shared" si="5"/>
        <v>0.96225997422769116</v>
      </c>
      <c r="F21" s="173" t="str">
        <f t="shared" si="3"/>
        <v>C</v>
      </c>
      <c r="G21" s="173" t="str">
        <f t="shared" si="1"/>
        <v>B</v>
      </c>
      <c r="I21" s="182" t="s">
        <v>134</v>
      </c>
      <c r="J21" s="171">
        <f>'Юнит 11'!U15</f>
        <v>45</v>
      </c>
      <c r="K21" s="172">
        <f t="shared" si="2"/>
        <v>1.3157894736842105E-2</v>
      </c>
      <c r="L21" s="172">
        <f t="shared" si="6"/>
        <v>0.90964912280701749</v>
      </c>
      <c r="M21" s="173" t="str">
        <f t="shared" si="4"/>
        <v>B</v>
      </c>
    </row>
    <row r="22" spans="2:13" ht="15" outlineLevel="1" thickBot="1">
      <c r="B22" s="182" t="s">
        <v>169</v>
      </c>
      <c r="C22" s="171">
        <f>'Юнит 11'!AO50</f>
        <v>12918.716903393883</v>
      </c>
      <c r="D22" s="172">
        <f t="shared" si="0"/>
        <v>9.7045173830815554E-3</v>
      </c>
      <c r="E22" s="172">
        <f t="shared" si="5"/>
        <v>0.9719644916107727</v>
      </c>
      <c r="F22" s="173" t="str">
        <f t="shared" si="3"/>
        <v>C</v>
      </c>
      <c r="G22" s="173" t="str">
        <f t="shared" si="1"/>
        <v>B</v>
      </c>
      <c r="I22" s="182" t="s">
        <v>168</v>
      </c>
      <c r="J22" s="171">
        <f>'Юнит 11'!U49</f>
        <v>41</v>
      </c>
      <c r="K22" s="172">
        <f t="shared" si="2"/>
        <v>1.1988304093567251E-2</v>
      </c>
      <c r="L22" s="172">
        <f t="shared" si="6"/>
        <v>0.9216374269005847</v>
      </c>
      <c r="M22" s="173" t="str">
        <f t="shared" si="4"/>
        <v>B</v>
      </c>
    </row>
    <row r="23" spans="2:13" ht="15" outlineLevel="1" thickBot="1">
      <c r="B23" s="182" t="s">
        <v>168</v>
      </c>
      <c r="C23" s="171">
        <f>'Юнит 11'!AO49</f>
        <v>9394.1689913435403</v>
      </c>
      <c r="D23" s="172">
        <f t="shared" si="0"/>
        <v>7.0568831996116336E-3</v>
      </c>
      <c r="E23" s="172">
        <f t="shared" si="5"/>
        <v>0.97902137481038431</v>
      </c>
      <c r="F23" s="173" t="str">
        <f t="shared" si="3"/>
        <v>C</v>
      </c>
      <c r="G23" s="173" t="str">
        <f t="shared" si="1"/>
        <v>B</v>
      </c>
      <c r="I23" s="182" t="s">
        <v>127</v>
      </c>
      <c r="J23" s="171">
        <f>'Юнит 11'!U8</f>
        <v>40</v>
      </c>
      <c r="K23" s="172">
        <f t="shared" si="2"/>
        <v>1.1695906432748537E-2</v>
      </c>
      <c r="L23" s="172">
        <f t="shared" si="6"/>
        <v>0.93333333333333324</v>
      </c>
      <c r="M23" s="173" t="str">
        <f t="shared" si="4"/>
        <v>B</v>
      </c>
    </row>
    <row r="24" spans="2:13" ht="15" outlineLevel="1" thickBot="1">
      <c r="B24" s="182" t="s">
        <v>166</v>
      </c>
      <c r="C24" s="171">
        <f>'Юнит 11'!AO47</f>
        <v>7539.9410862800887</v>
      </c>
      <c r="D24" s="172">
        <f t="shared" si="0"/>
        <v>5.6639904633248089E-3</v>
      </c>
      <c r="E24" s="172">
        <f t="shared" si="5"/>
        <v>0.98468536527370909</v>
      </c>
      <c r="F24" s="173" t="str">
        <f t="shared" si="3"/>
        <v>C</v>
      </c>
      <c r="G24" s="173" t="str">
        <f t="shared" si="1"/>
        <v>C</v>
      </c>
      <c r="I24" s="182" t="s">
        <v>169</v>
      </c>
      <c r="J24" s="171">
        <f>'Юнит 11'!U50</f>
        <v>40</v>
      </c>
      <c r="K24" s="172">
        <f t="shared" si="2"/>
        <v>1.1695906432748537E-2</v>
      </c>
      <c r="L24" s="172">
        <f t="shared" si="6"/>
        <v>0.94502923976608177</v>
      </c>
      <c r="M24" s="173" t="str">
        <f t="shared" si="4"/>
        <v>B</v>
      </c>
    </row>
    <row r="25" spans="2:13" ht="15" outlineLevel="1" thickBot="1">
      <c r="B25" s="182" t="s">
        <v>163</v>
      </c>
      <c r="C25" s="171">
        <f>'Юнит 11'!AO44</f>
        <v>7503.8357452800892</v>
      </c>
      <c r="D25" s="172">
        <f t="shared" si="0"/>
        <v>5.6368681947607741E-3</v>
      </c>
      <c r="E25" s="172">
        <f t="shared" si="5"/>
        <v>0.99032223346846981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11'!U44</f>
        <v>31</v>
      </c>
      <c r="K25" s="172">
        <f t="shared" si="2"/>
        <v>9.0643274853801168E-3</v>
      </c>
      <c r="L25" s="172">
        <f t="shared" si="6"/>
        <v>0.95409356725146188</v>
      </c>
      <c r="M25" s="173" t="str">
        <f t="shared" si="4"/>
        <v>C</v>
      </c>
    </row>
    <row r="26" spans="2:13" ht="15" outlineLevel="1" thickBot="1">
      <c r="B26" s="182" t="s">
        <v>259</v>
      </c>
      <c r="C26" s="171">
        <f>'Юнит 11'!AO102</f>
        <v>6221.3992695317284</v>
      </c>
      <c r="D26" s="172">
        <f t="shared" si="0"/>
        <v>4.673504173034416E-3</v>
      </c>
      <c r="E26" s="172">
        <f t="shared" si="5"/>
        <v>0.99499573764150429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11'!U47</f>
        <v>24</v>
      </c>
      <c r="K26" s="172">
        <f t="shared" si="2"/>
        <v>7.0175438596491229E-3</v>
      </c>
      <c r="L26" s="172">
        <f t="shared" si="6"/>
        <v>0.96111111111111103</v>
      </c>
      <c r="M26" s="173" t="str">
        <f t="shared" si="4"/>
        <v>C</v>
      </c>
    </row>
    <row r="27" spans="2:13" ht="26.5" outlineLevel="1" thickBot="1">
      <c r="B27" s="182" t="s">
        <v>136</v>
      </c>
      <c r="C27" s="171">
        <f>'Юнит 11'!AO17</f>
        <v>4815.3400841816156</v>
      </c>
      <c r="D27" s="172">
        <f t="shared" si="0"/>
        <v>3.6172749896015823E-3</v>
      </c>
      <c r="E27" s="172">
        <f>E26+D27</f>
        <v>0.99861301263110591</v>
      </c>
      <c r="F27" s="173" t="str">
        <f t="shared" si="3"/>
        <v>C</v>
      </c>
      <c r="G27" s="173" t="str">
        <f t="shared" si="1"/>
        <v>C</v>
      </c>
      <c r="I27" s="182" t="s">
        <v>136</v>
      </c>
      <c r="J27" s="171">
        <f>'Юнит 11'!U17</f>
        <v>19</v>
      </c>
      <c r="K27" s="172">
        <f t="shared" si="2"/>
        <v>5.5555555555555558E-3</v>
      </c>
      <c r="L27" s="172">
        <f>L26+K27</f>
        <v>0.96666666666666656</v>
      </c>
      <c r="M27" s="173" t="str">
        <f t="shared" si="4"/>
        <v>C</v>
      </c>
    </row>
    <row r="28" spans="2:13" ht="15" outlineLevel="1" thickBot="1">
      <c r="B28" s="182" t="s">
        <v>162</v>
      </c>
      <c r="C28" s="171">
        <f>'Юнит 11'!AO43</f>
        <v>4196.4358271772435</v>
      </c>
      <c r="D28" s="172">
        <f t="shared" si="0"/>
        <v>3.1523552018644409E-3</v>
      </c>
      <c r="E28" s="172">
        <f>E27+D28</f>
        <v>1.0017653678329703</v>
      </c>
      <c r="F28" s="173" t="str">
        <f t="shared" si="3"/>
        <v>C</v>
      </c>
      <c r="G28" s="173" t="str">
        <f t="shared" si="1"/>
        <v>C</v>
      </c>
      <c r="I28" s="182" t="s">
        <v>259</v>
      </c>
      <c r="J28" s="171">
        <f>'Юнит 11'!U102</f>
        <v>17</v>
      </c>
      <c r="K28" s="172">
        <f t="shared" si="2"/>
        <v>4.9707602339181291E-3</v>
      </c>
      <c r="L28" s="172">
        <f t="shared" si="6"/>
        <v>0.97163742690058474</v>
      </c>
      <c r="M28" s="173" t="str">
        <f t="shared" si="4"/>
        <v>C</v>
      </c>
    </row>
    <row r="29" spans="2:13" ht="15" outlineLevel="1" thickBot="1">
      <c r="B29" s="182" t="s">
        <v>158</v>
      </c>
      <c r="C29" s="171">
        <f>'Юнит 11'!AO39</f>
        <v>2682.253999999999</v>
      </c>
      <c r="D29" s="172">
        <f t="shared" si="0"/>
        <v>2.0149044803359439E-3</v>
      </c>
      <c r="E29" s="172">
        <f t="shared" si="5"/>
        <v>1.0037802723133062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11'!U27</f>
        <v>12</v>
      </c>
      <c r="K29" s="172">
        <f t="shared" si="2"/>
        <v>3.5087719298245615E-3</v>
      </c>
      <c r="L29" s="172">
        <f t="shared" si="6"/>
        <v>0.97514619883040932</v>
      </c>
      <c r="M29" s="173" t="str">
        <f t="shared" si="4"/>
        <v>C</v>
      </c>
    </row>
    <row r="30" spans="2:13" ht="26.5" outlineLevel="1" thickBot="1">
      <c r="B30" s="182" t="s">
        <v>207</v>
      </c>
      <c r="C30" s="171">
        <f>'Юнит 11'!AO88</f>
        <v>2197.8883421772425</v>
      </c>
      <c r="D30" s="172">
        <f t="shared" si="0"/>
        <v>1.65104985133066E-3</v>
      </c>
      <c r="E30" s="172">
        <f t="shared" si="5"/>
        <v>1.0054313221646369</v>
      </c>
      <c r="F30" s="173" t="str">
        <f t="shared" si="3"/>
        <v>C</v>
      </c>
      <c r="G30" s="173" t="str">
        <f t="shared" si="1"/>
        <v>C</v>
      </c>
      <c r="I30" s="182" t="s">
        <v>162</v>
      </c>
      <c r="J30" s="171">
        <f>'Юнит 11'!U43</f>
        <v>12</v>
      </c>
      <c r="K30" s="172">
        <f t="shared" si="2"/>
        <v>3.5087719298245615E-3</v>
      </c>
      <c r="L30" s="172">
        <f t="shared" si="6"/>
        <v>0.97865497076023389</v>
      </c>
      <c r="M30" s="173" t="str">
        <f t="shared" si="4"/>
        <v>C</v>
      </c>
    </row>
    <row r="31" spans="2:13" ht="15" outlineLevel="1" thickBot="1">
      <c r="B31" s="182" t="s">
        <v>161</v>
      </c>
      <c r="C31" s="171">
        <f>'Юнит 11'!AO42</f>
        <v>2188.7250344945301</v>
      </c>
      <c r="D31" s="172">
        <f t="shared" si="0"/>
        <v>1.6441663907394578E-3</v>
      </c>
      <c r="E31" s="172">
        <f t="shared" si="5"/>
        <v>1.0070754885553763</v>
      </c>
      <c r="F31" s="173" t="str">
        <f t="shared" si="3"/>
        <v>C</v>
      </c>
      <c r="G31" s="173" t="str">
        <f t="shared" si="1"/>
        <v>C</v>
      </c>
      <c r="I31" s="182" t="s">
        <v>158</v>
      </c>
      <c r="J31" s="171">
        <f>'Юнит 11'!U39</f>
        <v>10</v>
      </c>
      <c r="K31" s="172">
        <f t="shared" si="2"/>
        <v>2.9239766081871343E-3</v>
      </c>
      <c r="L31" s="172">
        <f t="shared" si="6"/>
        <v>0.981578947368421</v>
      </c>
      <c r="M31" s="173" t="str">
        <f t="shared" si="4"/>
        <v>C</v>
      </c>
    </row>
    <row r="32" spans="2:13" ht="15" outlineLevel="1" thickBot="1">
      <c r="B32" s="182" t="s">
        <v>170</v>
      </c>
      <c r="C32" s="171">
        <f>'Юнит 11'!AO51</f>
        <v>1306.8530000000001</v>
      </c>
      <c r="D32" s="172">
        <f t="shared" si="0"/>
        <v>9.8170567173745302E-4</v>
      </c>
      <c r="E32" s="172">
        <f t="shared" si="5"/>
        <v>1.0080571942271137</v>
      </c>
      <c r="F32" s="173" t="str">
        <f t="shared" si="3"/>
        <v>C</v>
      </c>
      <c r="G32" s="173" t="str">
        <f t="shared" si="1"/>
        <v>C</v>
      </c>
      <c r="I32" s="182" t="s">
        <v>161</v>
      </c>
      <c r="J32" s="171">
        <f>'Юнит 11'!U42</f>
        <v>5</v>
      </c>
      <c r="K32" s="172">
        <f t="shared" si="2"/>
        <v>1.4619883040935672E-3</v>
      </c>
      <c r="L32" s="172">
        <f t="shared" si="6"/>
        <v>0.9830409356725146</v>
      </c>
      <c r="M32" s="173" t="str">
        <f t="shared" si="4"/>
        <v>C</v>
      </c>
    </row>
    <row r="33" spans="2:13" ht="15" outlineLevel="1" thickBot="1">
      <c r="B33" s="182" t="s">
        <v>159</v>
      </c>
      <c r="C33" s="171">
        <f>'Юнит 11'!AO40</f>
        <v>1276.7088074945295</v>
      </c>
      <c r="D33" s="172">
        <f t="shared" si="0"/>
        <v>9.5906140742267089E-4</v>
      </c>
      <c r="E33" s="172">
        <f t="shared" si="5"/>
        <v>1.0090162556345363</v>
      </c>
      <c r="F33" s="173" t="str">
        <f t="shared" si="3"/>
        <v>C</v>
      </c>
      <c r="G33" s="173" t="str">
        <f t="shared" si="1"/>
        <v>C</v>
      </c>
      <c r="I33" s="182" t="s">
        <v>177</v>
      </c>
      <c r="J33" s="171">
        <f>'Юнит 11'!U58</f>
        <v>5</v>
      </c>
      <c r="K33" s="172">
        <f t="shared" si="2"/>
        <v>1.4619883040935672E-3</v>
      </c>
      <c r="L33" s="172">
        <f t="shared" si="6"/>
        <v>0.98450292397660821</v>
      </c>
      <c r="M33" s="173" t="str">
        <f t="shared" si="4"/>
        <v>C</v>
      </c>
    </row>
    <row r="34" spans="2:13" ht="26.5" outlineLevel="1" thickBot="1">
      <c r="B34" s="182" t="s">
        <v>205</v>
      </c>
      <c r="C34" s="171">
        <f>'Юнит 11'!AO86</f>
        <v>1271.043244912473</v>
      </c>
      <c r="D34" s="172">
        <f t="shared" si="0"/>
        <v>9.5480544679022925E-4</v>
      </c>
      <c r="E34" s="172">
        <f t="shared" si="5"/>
        <v>1.0099710610813266</v>
      </c>
      <c r="F34" s="173" t="str">
        <f t="shared" si="3"/>
        <v>C</v>
      </c>
      <c r="G34" s="173" t="str">
        <f t="shared" si="1"/>
        <v>C</v>
      </c>
      <c r="I34" s="182" t="s">
        <v>194</v>
      </c>
      <c r="J34" s="171">
        <f>'Юнит 11'!U75</f>
        <v>5</v>
      </c>
      <c r="K34" s="172">
        <f t="shared" si="2"/>
        <v>1.4619883040935672E-3</v>
      </c>
      <c r="L34" s="172">
        <f t="shared" si="6"/>
        <v>0.98596491228070182</v>
      </c>
      <c r="M34" s="173" t="str">
        <f t="shared" si="4"/>
        <v>C</v>
      </c>
    </row>
    <row r="35" spans="2:13" ht="26.5" outlineLevel="1" thickBot="1">
      <c r="B35" s="182" t="s">
        <v>208</v>
      </c>
      <c r="C35" s="171">
        <f>'Юнит 11'!AO89</f>
        <v>1130.3385231400439</v>
      </c>
      <c r="D35" s="172">
        <f t="shared" si="0"/>
        <v>8.491083076290274E-4</v>
      </c>
      <c r="E35" s="172">
        <f t="shared" si="5"/>
        <v>1.0108201693889556</v>
      </c>
      <c r="F35" s="173" t="str">
        <f t="shared" si="3"/>
        <v>C</v>
      </c>
      <c r="G35" s="173" t="str">
        <f t="shared" si="1"/>
        <v>C</v>
      </c>
      <c r="I35" s="182" t="s">
        <v>206</v>
      </c>
      <c r="J35" s="171">
        <f>'Юнит 11'!U87</f>
        <v>5</v>
      </c>
      <c r="K35" s="172">
        <f t="shared" si="2"/>
        <v>1.4619883040935672E-3</v>
      </c>
      <c r="L35" s="172">
        <f t="shared" si="6"/>
        <v>0.98742690058479543</v>
      </c>
      <c r="M35" s="173" t="str">
        <f t="shared" si="4"/>
        <v>C</v>
      </c>
    </row>
    <row r="36" spans="2:13" ht="26.5" outlineLevel="1" thickBot="1">
      <c r="B36" s="182" t="s">
        <v>204</v>
      </c>
      <c r="C36" s="171">
        <f>'Юнит 11'!AO85</f>
        <v>1055.4694918490154</v>
      </c>
      <c r="D36" s="172">
        <f t="shared" si="0"/>
        <v>7.9286682319589571E-4</v>
      </c>
      <c r="E36" s="172">
        <f t="shared" si="5"/>
        <v>1.0116130362121514</v>
      </c>
      <c r="F36" s="173" t="str">
        <f t="shared" si="3"/>
        <v>C</v>
      </c>
      <c r="G36" s="173" t="str">
        <f t="shared" si="1"/>
        <v>C</v>
      </c>
      <c r="I36" s="182" t="s">
        <v>207</v>
      </c>
      <c r="J36" s="171">
        <f>'Юнит 11'!U88</f>
        <v>5</v>
      </c>
      <c r="K36" s="172">
        <f t="shared" si="2"/>
        <v>1.4619883040935672E-3</v>
      </c>
      <c r="L36" s="172">
        <f t="shared" si="6"/>
        <v>0.98888888888888904</v>
      </c>
      <c r="M36" s="173" t="str">
        <f t="shared" si="4"/>
        <v>C</v>
      </c>
    </row>
    <row r="37" spans="2:13" ht="26.5" outlineLevel="1" thickBot="1">
      <c r="B37" s="182" t="s">
        <v>257</v>
      </c>
      <c r="C37" s="171">
        <f>'Юнит 11'!AO100</f>
        <v>800.73502926695835</v>
      </c>
      <c r="D37" s="172">
        <f t="shared" si="0"/>
        <v>6.0151074358801525E-4</v>
      </c>
      <c r="E37" s="172">
        <f t="shared" si="5"/>
        <v>1.0122145469557393</v>
      </c>
      <c r="F37" s="173" t="str">
        <f t="shared" si="3"/>
        <v>C</v>
      </c>
      <c r="G37" s="173" t="str">
        <f t="shared" si="1"/>
        <v>C</v>
      </c>
      <c r="I37" s="182" t="s">
        <v>204</v>
      </c>
      <c r="J37" s="171">
        <f>'Юнит 11'!U85</f>
        <v>4</v>
      </c>
      <c r="K37" s="172">
        <f t="shared" si="2"/>
        <v>1.1695906432748538E-3</v>
      </c>
      <c r="L37" s="172">
        <f t="shared" si="6"/>
        <v>0.99005847953216386</v>
      </c>
      <c r="M37" s="173" t="str">
        <f t="shared" si="4"/>
        <v>C</v>
      </c>
    </row>
    <row r="38" spans="2:13" ht="15" outlineLevel="1" thickBot="1">
      <c r="B38" s="182" t="s">
        <v>191</v>
      </c>
      <c r="C38" s="171">
        <f>'Юнит 11'!AO72</f>
        <v>537.40949999999998</v>
      </c>
      <c r="D38" s="172">
        <f t="shared" si="0"/>
        <v>4.0370106981855552E-4</v>
      </c>
      <c r="E38" s="172">
        <f t="shared" si="5"/>
        <v>1.0126182480255579</v>
      </c>
      <c r="F38" s="173" t="str">
        <f t="shared" si="3"/>
        <v>C</v>
      </c>
      <c r="G38" s="173" t="str">
        <f t="shared" si="1"/>
        <v>C</v>
      </c>
      <c r="I38" s="182" t="s">
        <v>159</v>
      </c>
      <c r="J38" s="171">
        <f>'Юнит 11'!U40</f>
        <v>3</v>
      </c>
      <c r="K38" s="172">
        <f t="shared" si="2"/>
        <v>8.7719298245614037E-4</v>
      </c>
      <c r="L38" s="172">
        <f t="shared" si="6"/>
        <v>0.99093567251462</v>
      </c>
      <c r="M38" s="173" t="str">
        <f t="shared" si="4"/>
        <v>C</v>
      </c>
    </row>
    <row r="39" spans="2:13" ht="26.5" outlineLevel="1" thickBot="1">
      <c r="B39" s="182" t="s">
        <v>213</v>
      </c>
      <c r="C39" s="171">
        <f>'Юнит 11'!AO94</f>
        <v>311.81700000000012</v>
      </c>
      <c r="D39" s="172">
        <f t="shared" si="0"/>
        <v>2.3423638117229522E-4</v>
      </c>
      <c r="E39" s="172">
        <f>E35+D39</f>
        <v>1.0110544057701278</v>
      </c>
      <c r="F39" s="173" t="str">
        <f t="shared" si="3"/>
        <v>C</v>
      </c>
      <c r="G39" s="173" t="str">
        <f t="shared" si="1"/>
        <v>C</v>
      </c>
      <c r="I39" s="182" t="s">
        <v>170</v>
      </c>
      <c r="J39" s="171">
        <f>'Юнит 11'!U51</f>
        <v>3</v>
      </c>
      <c r="K39" s="172">
        <f t="shared" si="2"/>
        <v>8.7719298245614037E-4</v>
      </c>
      <c r="L39" s="172">
        <f>L35+K39</f>
        <v>0.98830409356725157</v>
      </c>
      <c r="M39" s="173" t="str">
        <f t="shared" si="4"/>
        <v>C</v>
      </c>
    </row>
    <row r="40" spans="2:13" ht="15" outlineLevel="1" thickBot="1">
      <c r="B40" s="182" t="s">
        <v>195</v>
      </c>
      <c r="C40" s="171">
        <f>'Юнит 11'!AO76</f>
        <v>292.84345579868705</v>
      </c>
      <c r="D40" s="172">
        <f t="shared" si="0"/>
        <v>2.1998348818785831E-4</v>
      </c>
      <c r="E40" s="172">
        <f t="shared" si="5"/>
        <v>1.0112743892583158</v>
      </c>
      <c r="F40" s="173" t="str">
        <f t="shared" si="3"/>
        <v>C</v>
      </c>
      <c r="G40" s="173" t="str">
        <f t="shared" si="1"/>
        <v>C</v>
      </c>
      <c r="I40" s="182" t="s">
        <v>190</v>
      </c>
      <c r="J40" s="171">
        <f>'Юнит 11'!U71</f>
        <v>3</v>
      </c>
      <c r="K40" s="172">
        <f t="shared" si="2"/>
        <v>8.7719298245614037E-4</v>
      </c>
      <c r="L40" s="172">
        <f t="shared" si="6"/>
        <v>0.98918128654970772</v>
      </c>
      <c r="M40" s="173" t="str">
        <f t="shared" si="4"/>
        <v>C</v>
      </c>
    </row>
    <row r="41" spans="2:13" ht="26.5" outlineLevel="1" thickBot="1">
      <c r="B41" s="182" t="s">
        <v>179</v>
      </c>
      <c r="C41" s="171">
        <f>'Юнит 11'!AO60</f>
        <v>273.02261701312887</v>
      </c>
      <c r="D41" s="172">
        <f t="shared" si="0"/>
        <v>2.0509410900414283E-4</v>
      </c>
      <c r="E41" s="172">
        <f t="shared" si="5"/>
        <v>1.01147948336732</v>
      </c>
      <c r="F41" s="173" t="str">
        <f t="shared" si="3"/>
        <v>C</v>
      </c>
      <c r="G41" s="173" t="str">
        <f t="shared" si="1"/>
        <v>C</v>
      </c>
      <c r="I41" s="182" t="s">
        <v>205</v>
      </c>
      <c r="J41" s="171">
        <f>'Юнит 11'!U86</f>
        <v>3</v>
      </c>
      <c r="K41" s="172">
        <f t="shared" si="2"/>
        <v>8.7719298245614037E-4</v>
      </c>
      <c r="L41" s="172">
        <f t="shared" si="6"/>
        <v>0.99005847953216386</v>
      </c>
      <c r="M41" s="173" t="str">
        <f t="shared" si="4"/>
        <v>C</v>
      </c>
    </row>
    <row r="42" spans="2:13" ht="15" outlineLevel="1" thickBot="1">
      <c r="B42" s="182" t="s">
        <v>188</v>
      </c>
      <c r="C42" s="171">
        <f>'Юнит 11'!AO69</f>
        <v>192.25937959518598</v>
      </c>
      <c r="D42" s="172">
        <f t="shared" si="0"/>
        <v>1.4442490731039989E-4</v>
      </c>
      <c r="E42" s="172">
        <f t="shared" si="5"/>
        <v>1.0116239082746303</v>
      </c>
      <c r="F42" s="173" t="str">
        <f t="shared" si="3"/>
        <v>C</v>
      </c>
      <c r="G42" s="173" t="str">
        <f t="shared" si="1"/>
        <v>C</v>
      </c>
      <c r="I42" s="182" t="s">
        <v>257</v>
      </c>
      <c r="J42" s="171">
        <f>'Юнит 11'!U100</f>
        <v>3</v>
      </c>
      <c r="K42" s="172">
        <f t="shared" si="2"/>
        <v>8.7719298245614037E-4</v>
      </c>
      <c r="L42" s="172">
        <f t="shared" si="6"/>
        <v>0.99093567251462</v>
      </c>
      <c r="M42" s="173" t="str">
        <f t="shared" si="4"/>
        <v>C</v>
      </c>
    </row>
    <row r="43" spans="2:13" ht="26.5" outlineLevel="1" thickBot="1">
      <c r="B43" s="182" t="s">
        <v>212</v>
      </c>
      <c r="C43" s="171">
        <f>'Юнит 11'!AO93</f>
        <v>172.40768708971552</v>
      </c>
      <c r="D43" s="172">
        <f t="shared" si="0"/>
        <v>1.2951235086663135E-4</v>
      </c>
      <c r="E43" s="172">
        <f t="shared" si="5"/>
        <v>1.011753420625497</v>
      </c>
      <c r="F43" s="173" t="str">
        <f t="shared" si="3"/>
        <v>C</v>
      </c>
      <c r="G43" s="173" t="str">
        <f t="shared" si="1"/>
        <v>C</v>
      </c>
      <c r="I43" s="182" t="s">
        <v>173</v>
      </c>
      <c r="J43" s="171">
        <f>'Юнит 11'!U54</f>
        <v>2</v>
      </c>
      <c r="K43" s="172">
        <f t="shared" si="2"/>
        <v>5.8479532163742691E-4</v>
      </c>
      <c r="L43" s="172">
        <f t="shared" si="6"/>
        <v>0.99152046783625747</v>
      </c>
      <c r="M43" s="173" t="str">
        <f t="shared" si="4"/>
        <v>C</v>
      </c>
    </row>
    <row r="44" spans="2:13" ht="15" outlineLevel="1" thickBot="1">
      <c r="B44" s="182" t="s">
        <v>149</v>
      </c>
      <c r="C44" s="171">
        <f>'Юнит 11'!AO30</f>
        <v>169.48690000000002</v>
      </c>
      <c r="D44" s="172">
        <f t="shared" si="0"/>
        <v>1.2731826074944815E-4</v>
      </c>
      <c r="E44" s="172">
        <f t="shared" si="5"/>
        <v>1.0118807388862465</v>
      </c>
      <c r="F44" s="173" t="str">
        <f t="shared" si="3"/>
        <v>C</v>
      </c>
      <c r="G44" s="173" t="str">
        <f t="shared" si="1"/>
        <v>C</v>
      </c>
      <c r="I44" s="182" t="s">
        <v>179</v>
      </c>
      <c r="J44" s="171">
        <f>'Юнит 11'!U60</f>
        <v>2</v>
      </c>
      <c r="K44" s="172">
        <f t="shared" si="2"/>
        <v>5.8479532163742691E-4</v>
      </c>
      <c r="L44" s="172">
        <f t="shared" si="6"/>
        <v>0.99210526315789493</v>
      </c>
      <c r="M44" s="173" t="str">
        <f t="shared" si="4"/>
        <v>C</v>
      </c>
    </row>
    <row r="45" spans="2:13" ht="15" outlineLevel="1" thickBot="1">
      <c r="B45" s="182" t="s">
        <v>150</v>
      </c>
      <c r="C45" s="171">
        <f>'Юнит 11'!AO31</f>
        <v>164.62559999999996</v>
      </c>
      <c r="D45" s="172">
        <f t="shared" si="0"/>
        <v>1.2366646075203655E-4</v>
      </c>
      <c r="E45" s="172">
        <f t="shared" si="5"/>
        <v>1.0120044053469985</v>
      </c>
      <c r="F45" s="173" t="str">
        <f t="shared" si="3"/>
        <v>C</v>
      </c>
      <c r="G45" s="173" t="str">
        <f t="shared" si="1"/>
        <v>C</v>
      </c>
      <c r="I45" s="182" t="s">
        <v>191</v>
      </c>
      <c r="J45" s="171">
        <f>'Юнит 11'!U72</f>
        <v>2</v>
      </c>
      <c r="K45" s="172">
        <f t="shared" si="2"/>
        <v>5.8479532163742691E-4</v>
      </c>
      <c r="L45" s="172">
        <f t="shared" si="6"/>
        <v>0.9926900584795324</v>
      </c>
      <c r="M45" s="173" t="str">
        <f t="shared" si="4"/>
        <v>C</v>
      </c>
    </row>
    <row r="46" spans="2:13" ht="15" outlineLevel="1" thickBot="1">
      <c r="B46" s="182" t="s">
        <v>194</v>
      </c>
      <c r="C46" s="171">
        <f>'Юнит 11'!AO75</f>
        <v>102.2358967724293</v>
      </c>
      <c r="D46" s="172">
        <f t="shared" si="0"/>
        <v>7.6799425579356377E-5</v>
      </c>
      <c r="E46" s="172">
        <f t="shared" si="5"/>
        <v>1.0120812047725778</v>
      </c>
      <c r="F46" s="173" t="str">
        <f t="shared" si="3"/>
        <v>C</v>
      </c>
      <c r="G46" s="173" t="str">
        <f t="shared" si="1"/>
        <v>C</v>
      </c>
      <c r="I46" s="182" t="s">
        <v>208</v>
      </c>
      <c r="J46" s="171">
        <f>'Юнит 11'!U89</f>
        <v>2</v>
      </c>
      <c r="K46" s="172">
        <f t="shared" si="2"/>
        <v>5.8479532163742691E-4</v>
      </c>
      <c r="L46" s="172">
        <f t="shared" si="6"/>
        <v>0.99327485380116987</v>
      </c>
      <c r="M46" s="173" t="str">
        <f t="shared" si="4"/>
        <v>C</v>
      </c>
    </row>
    <row r="47" spans="2:13" ht="26.5" outlineLevel="1" thickBot="1">
      <c r="B47" s="182" t="s">
        <v>138</v>
      </c>
      <c r="C47" s="171">
        <f>'Юнит 11'!AO19</f>
        <v>0</v>
      </c>
      <c r="D47" s="172">
        <f t="shared" si="0"/>
        <v>0</v>
      </c>
      <c r="E47" s="172">
        <f t="shared" si="5"/>
        <v>1.0120812047725778</v>
      </c>
      <c r="F47" s="173" t="str">
        <f t="shared" si="3"/>
        <v>C</v>
      </c>
      <c r="G47" s="173" t="str">
        <f t="shared" si="1"/>
        <v>C</v>
      </c>
      <c r="I47" s="182" t="s">
        <v>149</v>
      </c>
      <c r="J47" s="171">
        <f>'Юнит 11'!U30</f>
        <v>1</v>
      </c>
      <c r="K47" s="172">
        <f t="shared" si="2"/>
        <v>2.9239766081871346E-4</v>
      </c>
      <c r="L47" s="172">
        <f t="shared" si="6"/>
        <v>0.99356725146198854</v>
      </c>
      <c r="M47" s="173" t="str">
        <f t="shared" si="4"/>
        <v>C</v>
      </c>
    </row>
    <row r="48" spans="2:13" ht="15" outlineLevel="1" thickBot="1">
      <c r="B48" s="182" t="s">
        <v>139</v>
      </c>
      <c r="C48" s="171">
        <f>'Юнит 11'!AO20</f>
        <v>0</v>
      </c>
      <c r="D48" s="172">
        <f t="shared" si="0"/>
        <v>0</v>
      </c>
      <c r="E48" s="172">
        <f t="shared" si="5"/>
        <v>1.0120812047725778</v>
      </c>
      <c r="F48" s="173" t="str">
        <f t="shared" si="3"/>
        <v>C</v>
      </c>
      <c r="G48" s="173" t="str">
        <f t="shared" si="1"/>
        <v>C</v>
      </c>
      <c r="I48" s="182" t="s">
        <v>150</v>
      </c>
      <c r="J48" s="171">
        <f>'Юнит 11'!U31</f>
        <v>1</v>
      </c>
      <c r="K48" s="172">
        <f t="shared" si="2"/>
        <v>2.9239766081871346E-4</v>
      </c>
      <c r="L48" s="172">
        <f t="shared" si="6"/>
        <v>0.99385964912280722</v>
      </c>
      <c r="M48" s="173" t="str">
        <f t="shared" si="4"/>
        <v>C</v>
      </c>
    </row>
    <row r="49" spans="2:13" ht="15" outlineLevel="1" thickBot="1">
      <c r="B49" s="182" t="s">
        <v>140</v>
      </c>
      <c r="C49" s="171">
        <f>'Юнит 11'!AO21</f>
        <v>0</v>
      </c>
      <c r="D49" s="172">
        <f t="shared" si="0"/>
        <v>0</v>
      </c>
      <c r="E49" s="172">
        <f t="shared" si="5"/>
        <v>1.0120812047725778</v>
      </c>
      <c r="F49" s="173" t="str">
        <f t="shared" si="3"/>
        <v>C</v>
      </c>
      <c r="G49" s="173" t="str">
        <f t="shared" si="1"/>
        <v>C</v>
      </c>
      <c r="I49" s="182" t="s">
        <v>152</v>
      </c>
      <c r="J49" s="171">
        <f>'Юнит 11'!U33</f>
        <v>1</v>
      </c>
      <c r="K49" s="172">
        <f t="shared" si="2"/>
        <v>2.9239766081871346E-4</v>
      </c>
      <c r="L49" s="172">
        <f t="shared" si="6"/>
        <v>0.9941520467836259</v>
      </c>
      <c r="M49" s="173" t="str">
        <f t="shared" si="4"/>
        <v>C</v>
      </c>
    </row>
    <row r="50" spans="2:13" ht="15" outlineLevel="1" thickBot="1">
      <c r="B50" s="182" t="s">
        <v>141</v>
      </c>
      <c r="C50" s="171">
        <f>'Юнит 11'!AO22</f>
        <v>0</v>
      </c>
      <c r="D50" s="172">
        <f t="shared" si="0"/>
        <v>0</v>
      </c>
      <c r="E50" s="172">
        <f t="shared" si="5"/>
        <v>1.0120812047725778</v>
      </c>
      <c r="F50" s="173" t="str">
        <f t="shared" si="3"/>
        <v>C</v>
      </c>
      <c r="G50" s="173" t="str">
        <f t="shared" si="1"/>
        <v>C</v>
      </c>
      <c r="I50" s="182" t="s">
        <v>188</v>
      </c>
      <c r="J50" s="171">
        <f>'Юнит 11'!U69</f>
        <v>1</v>
      </c>
      <c r="K50" s="172">
        <f t="shared" si="2"/>
        <v>2.9239766081871346E-4</v>
      </c>
      <c r="L50" s="172">
        <f t="shared" si="6"/>
        <v>0.99444444444444458</v>
      </c>
      <c r="M50" s="173" t="str">
        <f t="shared" si="4"/>
        <v>C</v>
      </c>
    </row>
    <row r="51" spans="2:13" ht="15" outlineLevel="1" thickBot="1">
      <c r="B51" s="182" t="s">
        <v>142</v>
      </c>
      <c r="C51" s="171">
        <f>'Юнит 11'!AO23</f>
        <v>0</v>
      </c>
      <c r="D51" s="172">
        <f t="shared" si="0"/>
        <v>0</v>
      </c>
      <c r="E51" s="172">
        <f t="shared" si="5"/>
        <v>1.0120812047725778</v>
      </c>
      <c r="F51" s="173" t="str">
        <f t="shared" si="3"/>
        <v>C</v>
      </c>
      <c r="G51" s="173" t="str">
        <f t="shared" si="1"/>
        <v>C</v>
      </c>
      <c r="I51" s="182" t="s">
        <v>192</v>
      </c>
      <c r="J51" s="171">
        <f>'Юнит 11'!U73</f>
        <v>1</v>
      </c>
      <c r="K51" s="172">
        <f t="shared" si="2"/>
        <v>2.9239766081871346E-4</v>
      </c>
      <c r="L51" s="172">
        <f t="shared" si="6"/>
        <v>0.99473684210526325</v>
      </c>
      <c r="M51" s="173" t="str">
        <f t="shared" si="4"/>
        <v>C</v>
      </c>
    </row>
    <row r="52" spans="2:13" ht="15" outlineLevel="1" thickBot="1">
      <c r="B52" s="182" t="s">
        <v>143</v>
      </c>
      <c r="C52" s="171">
        <f>'Юнит 11'!AO24</f>
        <v>0</v>
      </c>
      <c r="D52" s="172">
        <f t="shared" si="0"/>
        <v>0</v>
      </c>
      <c r="E52" s="172">
        <f t="shared" si="5"/>
        <v>1.0120812047725778</v>
      </c>
      <c r="F52" s="173" t="str">
        <f t="shared" si="3"/>
        <v>C</v>
      </c>
      <c r="G52" s="173" t="str">
        <f t="shared" si="1"/>
        <v>C</v>
      </c>
      <c r="I52" s="182" t="s">
        <v>195</v>
      </c>
      <c r="J52" s="171">
        <f>'Юнит 11'!U76</f>
        <v>1</v>
      </c>
      <c r="K52" s="172">
        <f t="shared" si="2"/>
        <v>2.9239766081871346E-4</v>
      </c>
      <c r="L52" s="172">
        <f t="shared" si="6"/>
        <v>0.99502923976608193</v>
      </c>
      <c r="M52" s="173" t="str">
        <f t="shared" si="4"/>
        <v>C</v>
      </c>
    </row>
    <row r="53" spans="2:13" ht="15" outlineLevel="1" thickBot="1">
      <c r="B53" s="182" t="s">
        <v>144</v>
      </c>
      <c r="C53" s="171">
        <f>'Юнит 11'!AO25</f>
        <v>0</v>
      </c>
      <c r="D53" s="172">
        <f t="shared" si="0"/>
        <v>0</v>
      </c>
      <c r="E53" s="172">
        <f t="shared" si="5"/>
        <v>1.0120812047725778</v>
      </c>
      <c r="F53" s="173" t="str">
        <f t="shared" si="3"/>
        <v>C</v>
      </c>
      <c r="G53" s="173" t="str">
        <f t="shared" si="1"/>
        <v>C</v>
      </c>
      <c r="I53" s="182" t="s">
        <v>197</v>
      </c>
      <c r="J53" s="171">
        <f>'Юнит 11'!U78</f>
        <v>1</v>
      </c>
      <c r="K53" s="172">
        <f t="shared" si="2"/>
        <v>2.9239766081871346E-4</v>
      </c>
      <c r="L53" s="172">
        <f t="shared" si="6"/>
        <v>0.99532163742690061</v>
      </c>
      <c r="M53" s="173" t="str">
        <f t="shared" si="4"/>
        <v>C</v>
      </c>
    </row>
    <row r="54" spans="2:13" ht="26.5" outlineLevel="1" thickBot="1">
      <c r="B54" s="182" t="s">
        <v>148</v>
      </c>
      <c r="C54" s="171">
        <f>'Юнит 11'!AO29</f>
        <v>0</v>
      </c>
      <c r="D54" s="172">
        <f t="shared" si="0"/>
        <v>0</v>
      </c>
      <c r="E54" s="172">
        <f t="shared" si="5"/>
        <v>1.0120812047725778</v>
      </c>
      <c r="F54" s="173" t="str">
        <f t="shared" si="3"/>
        <v>C</v>
      </c>
      <c r="G54" s="173" t="str">
        <f t="shared" si="1"/>
        <v>C</v>
      </c>
      <c r="I54" s="182" t="s">
        <v>199</v>
      </c>
      <c r="J54" s="171">
        <f>'Юнит 11'!U80</f>
        <v>1</v>
      </c>
      <c r="K54" s="172">
        <f t="shared" si="2"/>
        <v>2.9239766081871346E-4</v>
      </c>
      <c r="L54" s="172">
        <f t="shared" si="6"/>
        <v>0.99561403508771928</v>
      </c>
      <c r="M54" s="173" t="str">
        <f t="shared" si="4"/>
        <v>C</v>
      </c>
    </row>
    <row r="55" spans="2:13" ht="26.5" outlineLevel="1" thickBot="1">
      <c r="B55" s="182" t="s">
        <v>151</v>
      </c>
      <c r="C55" s="171">
        <f>'Юнит 11'!AO32</f>
        <v>0</v>
      </c>
      <c r="D55" s="172">
        <f t="shared" si="0"/>
        <v>0</v>
      </c>
      <c r="E55" s="172">
        <f t="shared" si="5"/>
        <v>1.0120812047725778</v>
      </c>
      <c r="F55" s="173" t="str">
        <f t="shared" si="3"/>
        <v>C</v>
      </c>
      <c r="G55" s="173" t="str">
        <f t="shared" si="1"/>
        <v>C</v>
      </c>
      <c r="I55" s="182" t="s">
        <v>200</v>
      </c>
      <c r="J55" s="171">
        <f>'Юнит 11'!U81</f>
        <v>1</v>
      </c>
      <c r="K55" s="172">
        <f t="shared" si="2"/>
        <v>2.9239766081871346E-4</v>
      </c>
      <c r="L55" s="172">
        <f t="shared" si="6"/>
        <v>0.99590643274853796</v>
      </c>
      <c r="M55" s="173" t="str">
        <f t="shared" si="4"/>
        <v>C</v>
      </c>
    </row>
    <row r="56" spans="2:13" ht="26.5" outlineLevel="1" thickBot="1">
      <c r="B56" s="182" t="s">
        <v>154</v>
      </c>
      <c r="C56" s="171">
        <f>'Юнит 11'!AO35</f>
        <v>0</v>
      </c>
      <c r="D56" s="172">
        <f t="shared" si="0"/>
        <v>0</v>
      </c>
      <c r="E56" s="172">
        <f t="shared" si="5"/>
        <v>1.0120812047725778</v>
      </c>
      <c r="F56" s="173" t="str">
        <f t="shared" si="3"/>
        <v>C</v>
      </c>
      <c r="G56" s="173" t="str">
        <f t="shared" si="1"/>
        <v>C</v>
      </c>
      <c r="I56" s="182" t="s">
        <v>212</v>
      </c>
      <c r="J56" s="171">
        <f>'Юнит 11'!U93</f>
        <v>1</v>
      </c>
      <c r="K56" s="172">
        <f t="shared" si="2"/>
        <v>2.9239766081871346E-4</v>
      </c>
      <c r="L56" s="172">
        <f t="shared" si="6"/>
        <v>0.99619883040935664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11'!AO36</f>
        <v>0</v>
      </c>
      <c r="D57" s="172">
        <f t="shared" si="0"/>
        <v>0</v>
      </c>
      <c r="E57" s="172">
        <f t="shared" si="5"/>
        <v>1.0120812047725778</v>
      </c>
      <c r="F57" s="173" t="str">
        <f t="shared" si="3"/>
        <v>C</v>
      </c>
      <c r="G57" s="173" t="str">
        <f t="shared" si="1"/>
        <v>C</v>
      </c>
      <c r="I57" s="182" t="s">
        <v>213</v>
      </c>
      <c r="J57" s="171">
        <f>'Юнит 11'!U94</f>
        <v>1</v>
      </c>
      <c r="K57" s="172">
        <f t="shared" si="2"/>
        <v>2.9239766081871346E-4</v>
      </c>
      <c r="L57" s="172">
        <f t="shared" si="6"/>
        <v>0.99649122807017532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11'!AO46</f>
        <v>0</v>
      </c>
      <c r="D58" s="172">
        <f t="shared" si="0"/>
        <v>0</v>
      </c>
      <c r="E58" s="172">
        <f t="shared" si="5"/>
        <v>1.0120812047725778</v>
      </c>
      <c r="F58" s="173" t="str">
        <f t="shared" si="3"/>
        <v>C</v>
      </c>
      <c r="G58" s="173" t="str">
        <f t="shared" si="1"/>
        <v>C</v>
      </c>
      <c r="I58" s="182" t="s">
        <v>138</v>
      </c>
      <c r="J58" s="171">
        <f>'Юнит 11'!U19</f>
        <v>0</v>
      </c>
      <c r="K58" s="172">
        <f t="shared" si="2"/>
        <v>0</v>
      </c>
      <c r="L58" s="172">
        <f t="shared" si="6"/>
        <v>0.99649122807017532</v>
      </c>
      <c r="M58" s="173" t="str">
        <f t="shared" si="4"/>
        <v>C</v>
      </c>
    </row>
    <row r="59" spans="2:13" ht="15" outlineLevel="1" thickBot="1">
      <c r="B59" s="182" t="s">
        <v>174</v>
      </c>
      <c r="C59" s="171">
        <f>'Юнит 11'!AO55</f>
        <v>0</v>
      </c>
      <c r="D59" s="172">
        <f t="shared" si="0"/>
        <v>0</v>
      </c>
      <c r="E59" s="172">
        <f t="shared" si="5"/>
        <v>1.0120812047725778</v>
      </c>
      <c r="F59" s="173" t="str">
        <f t="shared" si="3"/>
        <v>C</v>
      </c>
      <c r="G59" s="173" t="str">
        <f t="shared" si="1"/>
        <v>C</v>
      </c>
      <c r="I59" s="182" t="s">
        <v>139</v>
      </c>
      <c r="J59" s="171">
        <f>'Юнит 11'!U20</f>
        <v>0</v>
      </c>
      <c r="K59" s="172">
        <f t="shared" si="2"/>
        <v>0</v>
      </c>
      <c r="L59" s="172">
        <f t="shared" si="6"/>
        <v>0.99649122807017532</v>
      </c>
      <c r="M59" s="173" t="str">
        <f t="shared" si="4"/>
        <v>C</v>
      </c>
    </row>
    <row r="60" spans="2:13" ht="15" outlineLevel="1" thickBot="1">
      <c r="B60" s="182" t="s">
        <v>175</v>
      </c>
      <c r="C60" s="171">
        <f>'Юнит 11'!AO56</f>
        <v>0</v>
      </c>
      <c r="D60" s="172">
        <f t="shared" si="0"/>
        <v>0</v>
      </c>
      <c r="E60" s="172">
        <f t="shared" si="5"/>
        <v>1.0120812047725778</v>
      </c>
      <c r="F60" s="173" t="str">
        <f t="shared" si="3"/>
        <v>C</v>
      </c>
      <c r="G60" s="173" t="str">
        <f t="shared" si="1"/>
        <v>C</v>
      </c>
      <c r="I60" s="182" t="s">
        <v>140</v>
      </c>
      <c r="J60" s="171">
        <f>'Юнит 11'!U21</f>
        <v>0</v>
      </c>
      <c r="K60" s="172">
        <f t="shared" si="2"/>
        <v>0</v>
      </c>
      <c r="L60" s="172">
        <f t="shared" si="6"/>
        <v>0.99649122807017532</v>
      </c>
      <c r="M60" s="173" t="str">
        <f t="shared" si="4"/>
        <v>C</v>
      </c>
    </row>
    <row r="61" spans="2:13" ht="15" outlineLevel="1" thickBot="1">
      <c r="B61" s="182" t="s">
        <v>176</v>
      </c>
      <c r="C61" s="171">
        <f>'Юнит 11'!AO57</f>
        <v>0</v>
      </c>
      <c r="D61" s="172">
        <f t="shared" si="0"/>
        <v>0</v>
      </c>
      <c r="E61" s="172">
        <f t="shared" si="5"/>
        <v>1.0120812047725778</v>
      </c>
      <c r="F61" s="173" t="str">
        <f t="shared" si="3"/>
        <v>C</v>
      </c>
      <c r="G61" s="173" t="str">
        <f t="shared" si="1"/>
        <v>C</v>
      </c>
      <c r="I61" s="182" t="s">
        <v>141</v>
      </c>
      <c r="J61" s="171">
        <f>'Юнит 11'!U22</f>
        <v>0</v>
      </c>
      <c r="K61" s="172">
        <f t="shared" si="2"/>
        <v>0</v>
      </c>
      <c r="L61" s="172">
        <f t="shared" si="6"/>
        <v>0.99649122807017532</v>
      </c>
      <c r="M61" s="173" t="str">
        <f t="shared" si="4"/>
        <v>C</v>
      </c>
    </row>
    <row r="62" spans="2:13" ht="15" outlineLevel="1" thickBot="1">
      <c r="B62" s="182" t="s">
        <v>178</v>
      </c>
      <c r="C62" s="171">
        <f>'Юнит 11'!AO59</f>
        <v>0</v>
      </c>
      <c r="D62" s="172">
        <f t="shared" si="0"/>
        <v>0</v>
      </c>
      <c r="E62" s="172">
        <f t="shared" si="5"/>
        <v>1.0120812047725778</v>
      </c>
      <c r="F62" s="173" t="str">
        <f t="shared" si="3"/>
        <v>C</v>
      </c>
      <c r="G62" s="173" t="str">
        <f t="shared" si="1"/>
        <v>C</v>
      </c>
      <c r="I62" s="182" t="s">
        <v>142</v>
      </c>
      <c r="J62" s="171">
        <f>'Юнит 11'!U23</f>
        <v>0</v>
      </c>
      <c r="K62" s="172">
        <f t="shared" si="2"/>
        <v>0</v>
      </c>
      <c r="L62" s="172">
        <f t="shared" si="6"/>
        <v>0.99649122807017532</v>
      </c>
      <c r="M62" s="173" t="str">
        <f t="shared" si="4"/>
        <v>C</v>
      </c>
    </row>
    <row r="63" spans="2:13" ht="15" outlineLevel="1" thickBot="1">
      <c r="B63" s="182" t="s">
        <v>181</v>
      </c>
      <c r="C63" s="171">
        <f>'Юнит 11'!AO62</f>
        <v>0</v>
      </c>
      <c r="D63" s="172">
        <f t="shared" si="0"/>
        <v>0</v>
      </c>
      <c r="E63" s="172">
        <f t="shared" si="5"/>
        <v>1.0120812047725778</v>
      </c>
      <c r="F63" s="173" t="str">
        <f t="shared" si="3"/>
        <v>C</v>
      </c>
      <c r="G63" s="173" t="str">
        <f t="shared" si="1"/>
        <v>C</v>
      </c>
      <c r="I63" s="182" t="s">
        <v>143</v>
      </c>
      <c r="J63" s="171">
        <f>'Юнит 11'!U24</f>
        <v>0</v>
      </c>
      <c r="K63" s="172">
        <f t="shared" si="2"/>
        <v>0</v>
      </c>
      <c r="L63" s="172">
        <f t="shared" si="6"/>
        <v>0.99649122807017532</v>
      </c>
      <c r="M63" s="173" t="str">
        <f t="shared" si="4"/>
        <v>C</v>
      </c>
    </row>
    <row r="64" spans="2:13" ht="15" outlineLevel="1" thickBot="1">
      <c r="B64" s="182" t="s">
        <v>182</v>
      </c>
      <c r="C64" s="171">
        <f>'Юнит 11'!AO63</f>
        <v>0</v>
      </c>
      <c r="D64" s="172">
        <f t="shared" si="0"/>
        <v>0</v>
      </c>
      <c r="E64" s="172">
        <f t="shared" si="5"/>
        <v>1.0120812047725778</v>
      </c>
      <c r="F64" s="173" t="str">
        <f t="shared" si="3"/>
        <v>C</v>
      </c>
      <c r="G64" s="173" t="str">
        <f t="shared" si="1"/>
        <v>C</v>
      </c>
      <c r="I64" s="182" t="s">
        <v>144</v>
      </c>
      <c r="J64" s="171">
        <f>'Юнит 11'!U25</f>
        <v>0</v>
      </c>
      <c r="K64" s="172">
        <f t="shared" si="2"/>
        <v>0</v>
      </c>
      <c r="L64" s="172">
        <f t="shared" si="6"/>
        <v>0.99649122807017532</v>
      </c>
      <c r="M64" s="173" t="str">
        <f t="shared" si="4"/>
        <v>C</v>
      </c>
    </row>
    <row r="65" spans="2:13" ht="15" outlineLevel="1" thickBot="1">
      <c r="B65" s="182" t="s">
        <v>183</v>
      </c>
      <c r="C65" s="171">
        <f>'Юнит 11'!AO64</f>
        <v>0</v>
      </c>
      <c r="D65" s="172">
        <f t="shared" si="0"/>
        <v>0</v>
      </c>
      <c r="E65" s="172">
        <f t="shared" si="5"/>
        <v>1.0120812047725778</v>
      </c>
      <c r="F65" s="173" t="str">
        <f t="shared" si="3"/>
        <v>C</v>
      </c>
      <c r="G65" s="173" t="str">
        <f t="shared" si="1"/>
        <v>C</v>
      </c>
      <c r="I65" s="182" t="s">
        <v>148</v>
      </c>
      <c r="J65" s="171">
        <f>'Юнит 11'!U29</f>
        <v>0</v>
      </c>
      <c r="K65" s="172">
        <f t="shared" si="2"/>
        <v>0</v>
      </c>
      <c r="L65" s="172">
        <f t="shared" si="6"/>
        <v>0.99649122807017532</v>
      </c>
      <c r="M65" s="173" t="str">
        <f t="shared" si="4"/>
        <v>C</v>
      </c>
    </row>
    <row r="66" spans="2:13" ht="15" outlineLevel="1" thickBot="1">
      <c r="B66" s="182" t="s">
        <v>186</v>
      </c>
      <c r="C66" s="171">
        <f>'Юнит 11'!AO67</f>
        <v>0</v>
      </c>
      <c r="D66" s="172">
        <f t="shared" si="0"/>
        <v>0</v>
      </c>
      <c r="E66" s="172">
        <f t="shared" si="5"/>
        <v>1.0120812047725778</v>
      </c>
      <c r="F66" s="173" t="str">
        <f t="shared" si="3"/>
        <v>C</v>
      </c>
      <c r="G66" s="173" t="str">
        <f t="shared" si="1"/>
        <v>C</v>
      </c>
      <c r="I66" s="182" t="s">
        <v>151</v>
      </c>
      <c r="J66" s="171">
        <f>'Юнит 11'!U32</f>
        <v>0</v>
      </c>
      <c r="K66" s="172">
        <f t="shared" si="2"/>
        <v>0</v>
      </c>
      <c r="L66" s="172">
        <f t="shared" si="6"/>
        <v>0.99649122807017532</v>
      </c>
      <c r="M66" s="173" t="str">
        <f t="shared" si="4"/>
        <v>C</v>
      </c>
    </row>
    <row r="67" spans="2:13" ht="15" outlineLevel="1" thickBot="1">
      <c r="B67" s="182" t="s">
        <v>187</v>
      </c>
      <c r="C67" s="171">
        <f>'Юнит 11'!AO68</f>
        <v>0</v>
      </c>
      <c r="D67" s="172">
        <f t="shared" si="0"/>
        <v>0</v>
      </c>
      <c r="E67" s="172">
        <f t="shared" si="5"/>
        <v>1.0120812047725778</v>
      </c>
      <c r="F67" s="173" t="str">
        <f t="shared" si="3"/>
        <v>C</v>
      </c>
      <c r="G67" s="173" t="str">
        <f t="shared" si="1"/>
        <v>C</v>
      </c>
      <c r="I67" s="182" t="s">
        <v>153</v>
      </c>
      <c r="J67" s="171">
        <f>'Юнит 11'!U34</f>
        <v>0</v>
      </c>
      <c r="K67" s="172">
        <f t="shared" si="2"/>
        <v>0</v>
      </c>
      <c r="L67" s="172">
        <f t="shared" si="6"/>
        <v>0.99649122807017532</v>
      </c>
      <c r="M67" s="173" t="str">
        <f t="shared" si="4"/>
        <v>C</v>
      </c>
    </row>
    <row r="68" spans="2:13" ht="15" outlineLevel="1" thickBot="1">
      <c r="B68" s="182" t="s">
        <v>193</v>
      </c>
      <c r="C68" s="171">
        <f>'Юнит 11'!AO74</f>
        <v>0</v>
      </c>
      <c r="D68" s="172">
        <f t="shared" ref="D68:D104" si="7">C68/C$105</f>
        <v>0</v>
      </c>
      <c r="E68" s="172">
        <f t="shared" si="5"/>
        <v>1.0120812047725778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154</v>
      </c>
      <c r="J68" s="171">
        <f>'Юнит 11'!U35</f>
        <v>0</v>
      </c>
      <c r="K68" s="172">
        <f t="shared" ref="K68:K104" si="9">J68/J$105</f>
        <v>0</v>
      </c>
      <c r="L68" s="172">
        <f t="shared" si="6"/>
        <v>0.99649122807017532</v>
      </c>
      <c r="M68" s="173" t="str">
        <f t="shared" si="4"/>
        <v>C</v>
      </c>
    </row>
    <row r="69" spans="2:13" ht="26.5" outlineLevel="1" thickBot="1">
      <c r="B69" s="182" t="s">
        <v>214</v>
      </c>
      <c r="C69" s="171">
        <f>'Юнит 11'!AO95</f>
        <v>0</v>
      </c>
      <c r="D69" s="172">
        <f t="shared" si="7"/>
        <v>0</v>
      </c>
      <c r="E69" s="172">
        <f t="shared" si="5"/>
        <v>1.0120812047725778</v>
      </c>
      <c r="F69" s="173" t="str">
        <f t="shared" si="3"/>
        <v>C</v>
      </c>
      <c r="G69" s="173" t="str">
        <f t="shared" si="8"/>
        <v>C</v>
      </c>
      <c r="I69" s="182" t="s">
        <v>155</v>
      </c>
      <c r="J69" s="171">
        <f>'Юнит 11'!U36</f>
        <v>0</v>
      </c>
      <c r="K69" s="172">
        <f t="shared" si="9"/>
        <v>0</v>
      </c>
      <c r="L69" s="172">
        <f t="shared" si="6"/>
        <v>0.99649122807017532</v>
      </c>
      <c r="M69" s="173" t="str">
        <f t="shared" si="4"/>
        <v>C</v>
      </c>
    </row>
    <row r="70" spans="2:13" ht="15" outlineLevel="1" thickBot="1">
      <c r="B70" s="182" t="s">
        <v>215</v>
      </c>
      <c r="C70" s="171">
        <f>'Юнит 11'!AO96</f>
        <v>0</v>
      </c>
      <c r="D70" s="172">
        <f t="shared" si="7"/>
        <v>0</v>
      </c>
      <c r="E70" s="172">
        <f t="shared" ref="E70:E75" si="10">E69+D70</f>
        <v>1.0120812047725778</v>
      </c>
      <c r="F70" s="173" t="str">
        <f t="shared" si="3"/>
        <v>C</v>
      </c>
      <c r="G70" s="173" t="str">
        <f t="shared" si="8"/>
        <v>C</v>
      </c>
      <c r="I70" s="182" t="s">
        <v>156</v>
      </c>
      <c r="J70" s="171">
        <f>'Юнит 11'!U37</f>
        <v>0</v>
      </c>
      <c r="K70" s="172">
        <f t="shared" si="9"/>
        <v>0</v>
      </c>
      <c r="L70" s="172">
        <f t="shared" ref="L70:L75" si="11">L69+K70</f>
        <v>0.99649122807017532</v>
      </c>
      <c r="M70" s="173" t="str">
        <f t="shared" si="4"/>
        <v>C</v>
      </c>
    </row>
    <row r="71" spans="2:13" ht="15" outlineLevel="1" thickBot="1">
      <c r="B71" s="182" t="s">
        <v>256</v>
      </c>
      <c r="C71" s="171">
        <f>'Юнит 11'!AO99</f>
        <v>0</v>
      </c>
      <c r="D71" s="172">
        <f t="shared" si="7"/>
        <v>0</v>
      </c>
      <c r="E71" s="172">
        <f t="shared" si="10"/>
        <v>1.0120812047725778</v>
      </c>
      <c r="F71" s="173" t="str">
        <f t="shared" si="3"/>
        <v>C</v>
      </c>
      <c r="G71" s="173" t="str">
        <f t="shared" si="8"/>
        <v>C</v>
      </c>
      <c r="I71" s="182" t="s">
        <v>157</v>
      </c>
      <c r="J71" s="171">
        <f>'Юнит 11'!U38</f>
        <v>0</v>
      </c>
      <c r="K71" s="172">
        <f t="shared" si="9"/>
        <v>0</v>
      </c>
      <c r="L71" s="172">
        <f t="shared" si="11"/>
        <v>0.99649122807017532</v>
      </c>
      <c r="M71" s="173" t="str">
        <f t="shared" si="4"/>
        <v>C</v>
      </c>
    </row>
    <row r="72" spans="2:13" ht="15" outlineLevel="1" thickBot="1">
      <c r="B72" s="182" t="s">
        <v>258</v>
      </c>
      <c r="C72" s="171">
        <f>'Юнит 11'!AO101</f>
        <v>0</v>
      </c>
      <c r="D72" s="172">
        <f t="shared" si="7"/>
        <v>0</v>
      </c>
      <c r="E72" s="172">
        <f t="shared" si="10"/>
        <v>1.0120812047725778</v>
      </c>
      <c r="F72" s="173" t="str">
        <f t="shared" si="3"/>
        <v>C</v>
      </c>
      <c r="G72" s="173" t="str">
        <f t="shared" si="8"/>
        <v>C</v>
      </c>
      <c r="I72" s="182" t="s">
        <v>160</v>
      </c>
      <c r="J72" s="171">
        <f>'Юнит 11'!U41</f>
        <v>0</v>
      </c>
      <c r="K72" s="172">
        <f t="shared" si="9"/>
        <v>0</v>
      </c>
      <c r="L72" s="172">
        <f t="shared" si="11"/>
        <v>0.99649122807017532</v>
      </c>
      <c r="M72" s="173" t="str">
        <f t="shared" si="4"/>
        <v>C</v>
      </c>
    </row>
    <row r="73" spans="2:13" ht="26.5" outlineLevel="1" thickBot="1">
      <c r="B73" s="182" t="s">
        <v>260</v>
      </c>
      <c r="C73" s="171">
        <f>'Юнит 11'!AO103</f>
        <v>0</v>
      </c>
      <c r="D73" s="172">
        <f t="shared" si="7"/>
        <v>0</v>
      </c>
      <c r="E73" s="172">
        <f t="shared" si="10"/>
        <v>1.0120812047725778</v>
      </c>
      <c r="F73" s="173" t="str">
        <f t="shared" si="3"/>
        <v>C</v>
      </c>
      <c r="G73" s="173" t="str">
        <f t="shared" si="8"/>
        <v>C</v>
      </c>
      <c r="I73" s="182" t="s">
        <v>165</v>
      </c>
      <c r="J73" s="171">
        <f>'Юнит 11'!U46</f>
        <v>0</v>
      </c>
      <c r="K73" s="172">
        <f t="shared" si="9"/>
        <v>0</v>
      </c>
      <c r="L73" s="172">
        <f t="shared" si="11"/>
        <v>0.99649122807017532</v>
      </c>
      <c r="M73" s="173" t="str">
        <f t="shared" si="4"/>
        <v>C</v>
      </c>
    </row>
    <row r="74" spans="2:13" ht="15" outlineLevel="1" thickBot="1">
      <c r="B74" s="182" t="s">
        <v>184</v>
      </c>
      <c r="C74" s="171">
        <f>'Юнит 11'!AO65</f>
        <v>-1.3306578227571118</v>
      </c>
      <c r="D74" s="172">
        <f t="shared" si="7"/>
        <v>-9.9958781266329665E-7</v>
      </c>
      <c r="E74" s="172">
        <f t="shared" si="10"/>
        <v>1.012080205184765</v>
      </c>
      <c r="F74" s="173" t="str">
        <f t="shared" si="3"/>
        <v>C</v>
      </c>
      <c r="G74" s="173" t="str">
        <f t="shared" si="8"/>
        <v>C</v>
      </c>
      <c r="I74" s="182" t="s">
        <v>171</v>
      </c>
      <c r="J74" s="171">
        <f>'Юнит 11'!U52</f>
        <v>0</v>
      </c>
      <c r="K74" s="172">
        <f t="shared" si="9"/>
        <v>0</v>
      </c>
      <c r="L74" s="172">
        <f t="shared" si="11"/>
        <v>0.99649122807017532</v>
      </c>
      <c r="M74" s="173" t="str">
        <f t="shared" si="4"/>
        <v>C</v>
      </c>
    </row>
    <row r="75" spans="2:13" ht="26.5" outlineLevel="1" thickBot="1">
      <c r="B75" s="182" t="s">
        <v>185</v>
      </c>
      <c r="C75" s="171">
        <f>'Юнит 11'!AO66</f>
        <v>-2.6613156455142235</v>
      </c>
      <c r="D75" s="172">
        <f t="shared" si="7"/>
        <v>-1.9991756253265933E-6</v>
      </c>
      <c r="E75" s="172">
        <f t="shared" si="10"/>
        <v>1.0120782060091398</v>
      </c>
      <c r="F75" s="173" t="str">
        <f t="shared" si="3"/>
        <v>C</v>
      </c>
      <c r="G75" s="173" t="str">
        <f t="shared" si="8"/>
        <v>C</v>
      </c>
      <c r="I75" s="182" t="s">
        <v>172</v>
      </c>
      <c r="J75" s="171">
        <f>'Юнит 11'!U53</f>
        <v>0</v>
      </c>
      <c r="K75" s="172">
        <f t="shared" si="9"/>
        <v>0</v>
      </c>
      <c r="L75" s="172">
        <f t="shared" si="11"/>
        <v>0.99649122807017532</v>
      </c>
      <c r="M75" s="173" t="str">
        <f t="shared" si="4"/>
        <v>C</v>
      </c>
    </row>
    <row r="76" spans="2:13" ht="15" outlineLevel="1" thickBot="1">
      <c r="B76" s="182" t="s">
        <v>173</v>
      </c>
      <c r="C76" s="171">
        <f>'Юнит 11'!AO54</f>
        <v>-17.853992505470643</v>
      </c>
      <c r="D76" s="172">
        <f t="shared" si="7"/>
        <v>-1.3411887722474149E-5</v>
      </c>
      <c r="E76" s="172">
        <f>E49+D76</f>
        <v>1.0120677928848554</v>
      </c>
      <c r="F76" s="173" t="str">
        <f t="shared" si="3"/>
        <v>C</v>
      </c>
      <c r="G76" s="173" t="str">
        <f t="shared" si="8"/>
        <v>C</v>
      </c>
      <c r="I76" s="182" t="s">
        <v>174</v>
      </c>
      <c r="J76" s="171">
        <f>'Юнит 11'!U55</f>
        <v>0</v>
      </c>
      <c r="K76" s="172">
        <f t="shared" si="9"/>
        <v>0</v>
      </c>
      <c r="L76" s="172">
        <f>L49+K76</f>
        <v>0.9941520467836259</v>
      </c>
      <c r="M76" s="173" t="str">
        <f t="shared" si="4"/>
        <v>C</v>
      </c>
    </row>
    <row r="77" spans="2:13" ht="15" outlineLevel="1" thickBot="1">
      <c r="B77" s="182" t="s">
        <v>203</v>
      </c>
      <c r="C77" s="171">
        <f>'Юнит 11'!AO84</f>
        <v>-62.540917669584246</v>
      </c>
      <c r="D77" s="172">
        <f t="shared" si="7"/>
        <v>-4.6980627195174934E-5</v>
      </c>
      <c r="E77" s="172">
        <f t="shared" ref="E77:E93" si="12">E76+D77</f>
        <v>1.0120208122576602</v>
      </c>
      <c r="F77" s="173" t="str">
        <f t="shared" si="3"/>
        <v>C</v>
      </c>
      <c r="G77" s="173" t="str">
        <f t="shared" si="8"/>
        <v>C</v>
      </c>
      <c r="I77" s="182" t="s">
        <v>175</v>
      </c>
      <c r="J77" s="171">
        <f>'Юнит 11'!U56</f>
        <v>0</v>
      </c>
      <c r="K77" s="172">
        <f t="shared" si="9"/>
        <v>0</v>
      </c>
      <c r="L77" s="172">
        <f t="shared" ref="L77:L94" si="13">L76+K77</f>
        <v>0.9941520467836259</v>
      </c>
      <c r="M77" s="173" t="str">
        <f t="shared" si="4"/>
        <v>C</v>
      </c>
    </row>
    <row r="78" spans="2:13" ht="15" outlineLevel="1" thickBot="1">
      <c r="B78" s="182" t="s">
        <v>211</v>
      </c>
      <c r="C78" s="171">
        <f>'Юнит 11'!AO92</f>
        <v>-65.202233315098468</v>
      </c>
      <c r="D78" s="172">
        <f t="shared" si="7"/>
        <v>-4.8979802820501524E-5</v>
      </c>
      <c r="E78" s="172">
        <f t="shared" si="12"/>
        <v>1.0119718324548397</v>
      </c>
      <c r="F78" s="173" t="str">
        <f t="shared" si="3"/>
        <v>C</v>
      </c>
      <c r="G78" s="173" t="str">
        <f t="shared" si="8"/>
        <v>C</v>
      </c>
      <c r="I78" s="182" t="s">
        <v>176</v>
      </c>
      <c r="J78" s="171">
        <f>'Юнит 11'!U57</f>
        <v>0</v>
      </c>
      <c r="K78" s="172">
        <f t="shared" si="9"/>
        <v>0</v>
      </c>
      <c r="L78" s="172">
        <f t="shared" si="13"/>
        <v>0.9941520467836259</v>
      </c>
      <c r="M78" s="173" t="str">
        <f t="shared" si="4"/>
        <v>C</v>
      </c>
    </row>
    <row r="79" spans="2:13" ht="26.5" outlineLevel="1" thickBot="1">
      <c r="B79" s="182" t="s">
        <v>209</v>
      </c>
      <c r="C79" s="171">
        <f>'Юнит 11'!AO90</f>
        <v>-66.532891137855586</v>
      </c>
      <c r="D79" s="172">
        <f t="shared" si="7"/>
        <v>-4.997939063316483E-5</v>
      </c>
      <c r="E79" s="172">
        <f t="shared" si="12"/>
        <v>1.0119218530642065</v>
      </c>
      <c r="F79" s="173" t="str">
        <f t="shared" si="3"/>
        <v>C</v>
      </c>
      <c r="G79" s="173" t="str">
        <f t="shared" si="8"/>
        <v>C</v>
      </c>
      <c r="I79" s="182" t="s">
        <v>178</v>
      </c>
      <c r="J79" s="171">
        <f>'Юнит 11'!U59</f>
        <v>0</v>
      </c>
      <c r="K79" s="172">
        <f t="shared" si="9"/>
        <v>0</v>
      </c>
      <c r="L79" s="172">
        <f t="shared" si="13"/>
        <v>0.9941520467836259</v>
      </c>
      <c r="M79" s="173" t="str">
        <f t="shared" si="4"/>
        <v>C</v>
      </c>
    </row>
    <row r="80" spans="2:13" ht="15" outlineLevel="1" thickBot="1">
      <c r="B80" s="182" t="s">
        <v>192</v>
      </c>
      <c r="C80" s="171">
        <f>'Юнит 11'!AO73</f>
        <v>-113.12862800000002</v>
      </c>
      <c r="D80" s="172">
        <f t="shared" si="7"/>
        <v>-8.4982026091286826E-5</v>
      </c>
      <c r="E80" s="172">
        <f t="shared" si="12"/>
        <v>1.0118368710381151</v>
      </c>
      <c r="F80" s="173" t="str">
        <f t="shared" si="3"/>
        <v>C</v>
      </c>
      <c r="G80" s="173" t="str">
        <f t="shared" si="8"/>
        <v>C</v>
      </c>
      <c r="I80" s="182" t="s">
        <v>180</v>
      </c>
      <c r="J80" s="171">
        <f>'Юнит 11'!U61</f>
        <v>0</v>
      </c>
      <c r="K80" s="172">
        <f t="shared" si="9"/>
        <v>0</v>
      </c>
      <c r="L80" s="172">
        <f t="shared" si="13"/>
        <v>0.9941520467836259</v>
      </c>
      <c r="M80" s="173" t="str">
        <f t="shared" si="4"/>
        <v>C</v>
      </c>
    </row>
    <row r="81" spans="2:13" ht="15" outlineLevel="1" thickBot="1">
      <c r="B81" s="182" t="s">
        <v>217</v>
      </c>
      <c r="C81" s="171">
        <f>'Юнит 11'!AO98</f>
        <v>-113.28789387308534</v>
      </c>
      <c r="D81" s="172">
        <f t="shared" si="7"/>
        <v>-8.5101666334621063E-5</v>
      </c>
      <c r="E81" s="172">
        <f t="shared" si="12"/>
        <v>1.0117517693717806</v>
      </c>
      <c r="F81" s="173" t="str">
        <f t="shared" si="3"/>
        <v>C</v>
      </c>
      <c r="G81" s="173" t="str">
        <f t="shared" si="8"/>
        <v>C</v>
      </c>
      <c r="I81" s="182" t="s">
        <v>181</v>
      </c>
      <c r="J81" s="171">
        <f>'Юнит 11'!U62</f>
        <v>0</v>
      </c>
      <c r="K81" s="172">
        <f t="shared" si="9"/>
        <v>0</v>
      </c>
      <c r="L81" s="172">
        <f t="shared" si="13"/>
        <v>0.9941520467836259</v>
      </c>
      <c r="M81" s="173" t="str">
        <f t="shared" si="4"/>
        <v>C</v>
      </c>
    </row>
    <row r="82" spans="2:13" ht="15" outlineLevel="1" thickBot="1">
      <c r="B82" s="182" t="s">
        <v>190</v>
      </c>
      <c r="C82" s="171">
        <f>'Юнит 11'!AO71</f>
        <v>-126.68029999999999</v>
      </c>
      <c r="D82" s="172">
        <f t="shared" si="7"/>
        <v>-9.5162018228065482E-5</v>
      </c>
      <c r="E82" s="172">
        <f t="shared" si="12"/>
        <v>1.0116566073535525</v>
      </c>
      <c r="F82" s="173" t="str">
        <f t="shared" si="3"/>
        <v>C</v>
      </c>
      <c r="G82" s="173" t="str">
        <f t="shared" si="8"/>
        <v>C</v>
      </c>
      <c r="I82" s="182" t="s">
        <v>182</v>
      </c>
      <c r="J82" s="171">
        <f>'Юнит 11'!U63</f>
        <v>0</v>
      </c>
      <c r="K82" s="172">
        <f t="shared" si="9"/>
        <v>0</v>
      </c>
      <c r="L82" s="172">
        <f t="shared" si="13"/>
        <v>0.9941520467836259</v>
      </c>
      <c r="M82" s="173" t="str">
        <f t="shared" si="4"/>
        <v>C</v>
      </c>
    </row>
    <row r="83" spans="2:13" ht="15" outlineLevel="1" thickBot="1">
      <c r="B83" s="182" t="s">
        <v>153</v>
      </c>
      <c r="C83" s="171">
        <f>'Юнит 11'!AO34</f>
        <v>-129</v>
      </c>
      <c r="D83" s="172">
        <f t="shared" si="7"/>
        <v>-9.6904572782196191E-5</v>
      </c>
      <c r="E83" s="172">
        <f t="shared" si="12"/>
        <v>1.0115597027807703</v>
      </c>
      <c r="F83" s="173" t="str">
        <f t="shared" si="3"/>
        <v>C</v>
      </c>
      <c r="G83" s="173" t="str">
        <f t="shared" si="8"/>
        <v>C</v>
      </c>
      <c r="I83" s="182" t="s">
        <v>183</v>
      </c>
      <c r="J83" s="171">
        <f>'Юнит 11'!U64</f>
        <v>0</v>
      </c>
      <c r="K83" s="172">
        <f t="shared" si="9"/>
        <v>0</v>
      </c>
      <c r="L83" s="172">
        <f t="shared" si="13"/>
        <v>0.9941520467836259</v>
      </c>
      <c r="M83" s="173" t="str">
        <f t="shared" si="4"/>
        <v>C</v>
      </c>
    </row>
    <row r="84" spans="2:13" ht="15" outlineLevel="1" thickBot="1">
      <c r="B84" s="182" t="s">
        <v>160</v>
      </c>
      <c r="C84" s="171">
        <f>'Юнит 11'!AO41</f>
        <v>-150.2576285557987</v>
      </c>
      <c r="D84" s="172">
        <f t="shared" si="7"/>
        <v>-1.1287326591058602E-4</v>
      </c>
      <c r="E84" s="172">
        <f t="shared" si="12"/>
        <v>1.0114468295148598</v>
      </c>
      <c r="F84" s="173" t="str">
        <f t="shared" si="3"/>
        <v>C</v>
      </c>
      <c r="G84" s="173" t="str">
        <f t="shared" si="8"/>
        <v>C</v>
      </c>
      <c r="I84" s="182" t="s">
        <v>184</v>
      </c>
      <c r="J84" s="171">
        <f>'Юнит 11'!U65</f>
        <v>0</v>
      </c>
      <c r="K84" s="172">
        <f t="shared" si="9"/>
        <v>0</v>
      </c>
      <c r="L84" s="172">
        <f t="shared" si="13"/>
        <v>0.9941520467836259</v>
      </c>
      <c r="M84" s="173" t="str">
        <f t="shared" si="4"/>
        <v>C</v>
      </c>
    </row>
    <row r="85" spans="2:13" ht="26.5" outlineLevel="1" thickBot="1">
      <c r="B85" s="182" t="s">
        <v>201</v>
      </c>
      <c r="C85" s="171">
        <f>'Юнит 11'!AO82</f>
        <v>-158.53025984682714</v>
      </c>
      <c r="D85" s="172">
        <f t="shared" si="7"/>
        <v>-1.1908765196517314E-4</v>
      </c>
      <c r="E85" s="172">
        <f t="shared" si="12"/>
        <v>1.0113277418628945</v>
      </c>
      <c r="F85" s="173" t="str">
        <f t="shared" si="3"/>
        <v>C</v>
      </c>
      <c r="G85" s="173" t="str">
        <f t="shared" si="8"/>
        <v>C</v>
      </c>
      <c r="I85" s="182" t="s">
        <v>185</v>
      </c>
      <c r="J85" s="171">
        <f>'Юнит 11'!U66</f>
        <v>0</v>
      </c>
      <c r="K85" s="172">
        <f t="shared" si="9"/>
        <v>0</v>
      </c>
      <c r="L85" s="172">
        <f t="shared" si="13"/>
        <v>0.9941520467836259</v>
      </c>
      <c r="M85" s="173" t="str">
        <f t="shared" si="4"/>
        <v>C</v>
      </c>
    </row>
    <row r="86" spans="2:13" ht="15" outlineLevel="1" thickBot="1">
      <c r="B86" s="182" t="s">
        <v>202</v>
      </c>
      <c r="C86" s="171">
        <f>'Юнит 11'!AO83</f>
        <v>-165.0476285557987</v>
      </c>
      <c r="D86" s="172">
        <f t="shared" si="7"/>
        <v>-1.2398348785980061E-4</v>
      </c>
      <c r="E86" s="172">
        <f t="shared" si="12"/>
        <v>1.0112037583750348</v>
      </c>
      <c r="F86" s="173" t="str">
        <f t="shared" si="3"/>
        <v>C</v>
      </c>
      <c r="G86" s="173" t="str">
        <f t="shared" si="8"/>
        <v>C</v>
      </c>
      <c r="I86" s="182" t="s">
        <v>186</v>
      </c>
      <c r="J86" s="171">
        <f>'Юнит 11'!U67</f>
        <v>0</v>
      </c>
      <c r="K86" s="172">
        <f t="shared" si="9"/>
        <v>0</v>
      </c>
      <c r="L86" s="172">
        <f t="shared" si="13"/>
        <v>0.9941520467836259</v>
      </c>
      <c r="M86" s="173" t="str">
        <f t="shared" si="4"/>
        <v>C</v>
      </c>
    </row>
    <row r="87" spans="2:13" ht="15" outlineLevel="1" thickBot="1">
      <c r="B87" s="182" t="s">
        <v>216</v>
      </c>
      <c r="C87" s="171">
        <f>'Юнит 11'!AO97</f>
        <v>-193.0206578227571</v>
      </c>
      <c r="D87" s="172">
        <f t="shared" si="7"/>
        <v>-1.4499677817405234E-4</v>
      </c>
      <c r="E87" s="172">
        <f t="shared" si="12"/>
        <v>1.0110587615968607</v>
      </c>
      <c r="F87" s="173" t="str">
        <f t="shared" si="3"/>
        <v>C</v>
      </c>
      <c r="G87" s="173" t="str">
        <f t="shared" si="8"/>
        <v>C</v>
      </c>
      <c r="I87" s="182" t="s">
        <v>187</v>
      </c>
      <c r="J87" s="171">
        <f>'Юнит 11'!U68</f>
        <v>0</v>
      </c>
      <c r="K87" s="172">
        <f t="shared" si="9"/>
        <v>0</v>
      </c>
      <c r="L87" s="172">
        <f t="shared" si="13"/>
        <v>0.9941520467836259</v>
      </c>
      <c r="M87" s="173" t="str">
        <f t="shared" si="4"/>
        <v>C</v>
      </c>
    </row>
    <row r="88" spans="2:13" ht="15" outlineLevel="1" thickBot="1">
      <c r="B88" s="182" t="s">
        <v>156</v>
      </c>
      <c r="C88" s="171">
        <f>'Юнит 11'!AO37</f>
        <v>-209.43</v>
      </c>
      <c r="D88" s="172">
        <f t="shared" si="7"/>
        <v>-1.573234471145376E-4</v>
      </c>
      <c r="E88" s="172">
        <f t="shared" si="12"/>
        <v>1.0109014381497461</v>
      </c>
      <c r="F88" s="173" t="str">
        <f t="shared" si="3"/>
        <v>C</v>
      </c>
      <c r="G88" s="173" t="str">
        <f t="shared" si="8"/>
        <v>C</v>
      </c>
      <c r="I88" s="182" t="s">
        <v>189</v>
      </c>
      <c r="J88" s="171">
        <f>'Юнит 11'!U70</f>
        <v>0</v>
      </c>
      <c r="K88" s="172">
        <f t="shared" si="9"/>
        <v>0</v>
      </c>
      <c r="L88" s="172">
        <f t="shared" si="13"/>
        <v>0.9941520467836259</v>
      </c>
      <c r="M88" s="173" t="str">
        <f t="shared" si="4"/>
        <v>C</v>
      </c>
    </row>
    <row r="89" spans="2:13" ht="26.5" outlineLevel="1" thickBot="1">
      <c r="B89" s="182" t="s">
        <v>200</v>
      </c>
      <c r="C89" s="171">
        <f>'Юнит 11'!AO81</f>
        <v>-236.44141427789941</v>
      </c>
      <c r="D89" s="172">
        <f t="shared" si="7"/>
        <v>-1.7761437394277601E-4</v>
      </c>
      <c r="E89" s="172">
        <f t="shared" si="12"/>
        <v>1.0107238237758034</v>
      </c>
      <c r="F89" s="173" t="str">
        <f t="shared" si="3"/>
        <v>C</v>
      </c>
      <c r="G89" s="173" t="str">
        <f t="shared" si="8"/>
        <v>C</v>
      </c>
      <c r="I89" s="182" t="s">
        <v>193</v>
      </c>
      <c r="J89" s="171">
        <f>'Юнит 11'!U74</f>
        <v>0</v>
      </c>
      <c r="K89" s="172">
        <f t="shared" si="9"/>
        <v>0</v>
      </c>
      <c r="L89" s="172">
        <f t="shared" si="13"/>
        <v>0.9941520467836259</v>
      </c>
      <c r="M89" s="173" t="str">
        <f t="shared" si="4"/>
        <v>C</v>
      </c>
    </row>
    <row r="90" spans="2:13" ht="26.5" outlineLevel="1" thickBot="1">
      <c r="B90" s="182" t="s">
        <v>196</v>
      </c>
      <c r="C90" s="171">
        <f>'Юнит 11'!AO77</f>
        <v>-254.38368161925601</v>
      </c>
      <c r="D90" s="172">
        <f t="shared" si="7"/>
        <v>-1.9109257356648231E-4</v>
      </c>
      <c r="E90" s="172">
        <f t="shared" si="12"/>
        <v>1.010532731202237</v>
      </c>
      <c r="F90" s="173" t="str">
        <f t="shared" si="3"/>
        <v>C</v>
      </c>
      <c r="G90" s="173" t="str">
        <f t="shared" si="8"/>
        <v>C</v>
      </c>
      <c r="I90" s="182" t="s">
        <v>196</v>
      </c>
      <c r="J90" s="171">
        <f>'Юнит 11'!U77</f>
        <v>0</v>
      </c>
      <c r="K90" s="172">
        <f t="shared" si="9"/>
        <v>0</v>
      </c>
      <c r="L90" s="172">
        <f t="shared" si="13"/>
        <v>0.9941520467836259</v>
      </c>
      <c r="M90" s="173" t="str">
        <f t="shared" si="4"/>
        <v>C</v>
      </c>
    </row>
    <row r="91" spans="2:13" ht="26.5" outlineLevel="1" thickBot="1">
      <c r="B91" s="182" t="s">
        <v>172</v>
      </c>
      <c r="C91" s="171">
        <f>'Юнит 11'!AO53</f>
        <v>-259.41762855579867</v>
      </c>
      <c r="D91" s="172">
        <f t="shared" si="7"/>
        <v>-1.9487406563852813E-4</v>
      </c>
      <c r="E91" s="172">
        <f t="shared" si="12"/>
        <v>1.0103378571365984</v>
      </c>
      <c r="F91" s="173" t="str">
        <f t="shared" si="3"/>
        <v>C</v>
      </c>
      <c r="G91" s="173" t="str">
        <f t="shared" si="8"/>
        <v>C</v>
      </c>
      <c r="I91" s="182" t="s">
        <v>198</v>
      </c>
      <c r="J91" s="171">
        <f>'Юнит 11'!U79</f>
        <v>0</v>
      </c>
      <c r="K91" s="172">
        <f t="shared" si="9"/>
        <v>0</v>
      </c>
      <c r="L91" s="172">
        <f t="shared" si="13"/>
        <v>0.9941520467836259</v>
      </c>
      <c r="M91" s="173" t="str">
        <f t="shared" si="4"/>
        <v>C</v>
      </c>
    </row>
    <row r="92" spans="2:13" ht="26.5" outlineLevel="1" thickBot="1">
      <c r="B92" s="182" t="s">
        <v>198</v>
      </c>
      <c r="C92" s="171">
        <f>'Юнит 11'!AO79</f>
        <v>-269.02091766958426</v>
      </c>
      <c r="D92" s="172">
        <f t="shared" si="7"/>
        <v>-2.0208803950577859E-4</v>
      </c>
      <c r="E92" s="172">
        <f t="shared" si="12"/>
        <v>1.0101357690970927</v>
      </c>
      <c r="F92" s="173" t="str">
        <f t="shared" si="3"/>
        <v>C</v>
      </c>
      <c r="G92" s="173" t="str">
        <f t="shared" si="8"/>
        <v>C</v>
      </c>
      <c r="I92" s="182" t="s">
        <v>201</v>
      </c>
      <c r="J92" s="171">
        <f>'Юнит 11'!U82</f>
        <v>0</v>
      </c>
      <c r="K92" s="172">
        <f t="shared" si="9"/>
        <v>0</v>
      </c>
      <c r="L92" s="172">
        <f t="shared" si="13"/>
        <v>0.9941520467836259</v>
      </c>
      <c r="M92" s="173" t="str">
        <f t="shared" si="4"/>
        <v>C</v>
      </c>
    </row>
    <row r="93" spans="2:13" ht="15" outlineLevel="1" thickBot="1">
      <c r="B93" s="182" t="s">
        <v>180</v>
      </c>
      <c r="C93" s="171">
        <f>'Юнит 11'!AO61</f>
        <v>-308.60590946389493</v>
      </c>
      <c r="D93" s="172">
        <f t="shared" si="7"/>
        <v>-2.3182421561751827E-4</v>
      </c>
      <c r="E93" s="172">
        <f t="shared" si="12"/>
        <v>1.0099039448814751</v>
      </c>
      <c r="F93" s="173" t="str">
        <f t="shared" si="3"/>
        <v>C</v>
      </c>
      <c r="G93" s="173" t="str">
        <f t="shared" si="8"/>
        <v>C</v>
      </c>
      <c r="I93" s="182" t="s">
        <v>202</v>
      </c>
      <c r="J93" s="171">
        <f>'Юнит 11'!U83</f>
        <v>0</v>
      </c>
      <c r="K93" s="172">
        <f t="shared" si="9"/>
        <v>0</v>
      </c>
      <c r="L93" s="172">
        <f t="shared" si="13"/>
        <v>0.9941520467836259</v>
      </c>
      <c r="M93" s="173" t="str">
        <f t="shared" si="4"/>
        <v>C</v>
      </c>
    </row>
    <row r="94" spans="2:13" ht="15" outlineLevel="1" thickBot="1">
      <c r="B94" s="182" t="s">
        <v>146</v>
      </c>
      <c r="C94" s="171">
        <f>'Юнит 11'!AO27</f>
        <v>-372.33782829102779</v>
      </c>
      <c r="D94" s="172">
        <f t="shared" si="7"/>
        <v>-2.796995207844401E-4</v>
      </c>
      <c r="E94" s="172">
        <f>E93+D94</f>
        <v>1.0096242453606905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11'!U84</f>
        <v>0</v>
      </c>
      <c r="K94" s="172">
        <f t="shared" si="9"/>
        <v>0</v>
      </c>
      <c r="L94" s="172">
        <f t="shared" si="13"/>
        <v>0.9941520467836259</v>
      </c>
      <c r="M94" s="173" t="str">
        <f t="shared" si="4"/>
        <v>C</v>
      </c>
    </row>
    <row r="95" spans="2:13" ht="26.5" outlineLevel="1" thickBot="1">
      <c r="B95" s="182" t="s">
        <v>157</v>
      </c>
      <c r="C95" s="171">
        <f>'Юнит 11'!AO38</f>
        <v>-463.83368161925597</v>
      </c>
      <c r="D95" s="172">
        <f t="shared" si="7"/>
        <v>-3.4843104464579228E-4</v>
      </c>
      <c r="E95" s="172">
        <f>E94+D95</f>
        <v>1.0092758143160447</v>
      </c>
      <c r="F95" s="173" t="str">
        <f t="shared" si="3"/>
        <v>C</v>
      </c>
      <c r="G95" s="173" t="str">
        <f t="shared" si="8"/>
        <v>C</v>
      </c>
      <c r="I95" s="182" t="s">
        <v>209</v>
      </c>
      <c r="J95" s="171">
        <f>'Юнит 11'!U90</f>
        <v>0</v>
      </c>
      <c r="K95" s="172">
        <f t="shared" si="9"/>
        <v>0</v>
      </c>
      <c r="L95" s="172">
        <f>L94+K95</f>
        <v>0.9941520467836259</v>
      </c>
      <c r="M95" s="173" t="str">
        <f t="shared" si="4"/>
        <v>C</v>
      </c>
    </row>
    <row r="96" spans="2:13" ht="15" outlineLevel="1" thickBot="1">
      <c r="B96" s="182" t="s">
        <v>189</v>
      </c>
      <c r="C96" s="171">
        <f>'Юнит 11'!AO70</f>
        <v>-490.75131564551418</v>
      </c>
      <c r="D96" s="172">
        <f t="shared" si="7"/>
        <v>-3.6865152391418038E-4</v>
      </c>
      <c r="E96" s="172">
        <f t="shared" ref="E96:E98" si="14">E95+D96</f>
        <v>1.0089071627921307</v>
      </c>
      <c r="F96" s="173" t="str">
        <f t="shared" si="3"/>
        <v>C</v>
      </c>
      <c r="G96" s="173" t="str">
        <f t="shared" si="8"/>
        <v>C</v>
      </c>
      <c r="I96" s="182" t="s">
        <v>210</v>
      </c>
      <c r="J96" s="171">
        <f>'Юнит 11'!U91</f>
        <v>0</v>
      </c>
      <c r="K96" s="172">
        <f t="shared" si="9"/>
        <v>0</v>
      </c>
      <c r="L96" s="172">
        <f t="shared" ref="L96:L98" si="15">L95+K96</f>
        <v>0.9941520467836259</v>
      </c>
      <c r="M96" s="173" t="str">
        <f t="shared" si="4"/>
        <v>C</v>
      </c>
    </row>
    <row r="97" spans="2:13" ht="15" outlineLevel="1" thickBot="1">
      <c r="B97" s="182" t="s">
        <v>152</v>
      </c>
      <c r="C97" s="171">
        <f>'Юнит 11'!AO33</f>
        <v>-569.01579042669584</v>
      </c>
      <c r="D97" s="172">
        <f t="shared" si="7"/>
        <v>-4.2744365951645458E-4</v>
      </c>
      <c r="E97" s="172">
        <f t="shared" si="14"/>
        <v>1.0084797191326142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'Юнит 11'!U92</f>
        <v>0</v>
      </c>
      <c r="K97" s="172">
        <f t="shared" si="9"/>
        <v>0</v>
      </c>
      <c r="L97" s="172">
        <f t="shared" si="15"/>
        <v>0.9941520467836259</v>
      </c>
      <c r="M97" s="173" t="str">
        <f t="shared" si="4"/>
        <v>C</v>
      </c>
    </row>
    <row r="98" spans="2:13" ht="26.5" outlineLevel="1" thickBot="1">
      <c r="B98" s="182" t="s">
        <v>199</v>
      </c>
      <c r="C98" s="171">
        <f>'Юнит 11'!AO80</f>
        <v>-1210.0744299234134</v>
      </c>
      <c r="D98" s="172">
        <f t="shared" si="7"/>
        <v>-9.0900578035959677E-4</v>
      </c>
      <c r="E98" s="172">
        <f t="shared" si="14"/>
        <v>1.0075707133522547</v>
      </c>
      <c r="F98" s="173" t="str">
        <f t="shared" si="16"/>
        <v>C</v>
      </c>
      <c r="G98" s="173" t="str">
        <f t="shared" si="8"/>
        <v>C</v>
      </c>
      <c r="I98" s="182" t="s">
        <v>214</v>
      </c>
      <c r="J98" s="171">
        <f>'Юнит 11'!U95</f>
        <v>0</v>
      </c>
      <c r="K98" s="172">
        <f t="shared" si="9"/>
        <v>0</v>
      </c>
      <c r="L98" s="172">
        <f t="shared" si="15"/>
        <v>0.9941520467836259</v>
      </c>
      <c r="M98" s="173" t="str">
        <f t="shared" si="4"/>
        <v>C</v>
      </c>
    </row>
    <row r="99" spans="2:13" ht="15" outlineLevel="1" thickBot="1">
      <c r="B99" s="182" t="s">
        <v>210</v>
      </c>
      <c r="C99" s="171">
        <f>'Юнит 11'!AO91</f>
        <v>-1504.6518408096279</v>
      </c>
      <c r="D99" s="172">
        <f t="shared" si="7"/>
        <v>-1.1302918125550548E-3</v>
      </c>
      <c r="E99" s="172">
        <f>E93+D99</f>
        <v>1.00877365306892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'Юнит 11'!U96</f>
        <v>0</v>
      </c>
      <c r="K99" s="172">
        <f t="shared" si="9"/>
        <v>0</v>
      </c>
      <c r="L99" s="172">
        <f>L93+K99</f>
        <v>0.9941520467836259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206</v>
      </c>
      <c r="C100" s="171">
        <f>'Юнит 11'!AO87</f>
        <v>-1583.8158799999997</v>
      </c>
      <c r="D100" s="172">
        <f t="shared" si="7"/>
        <v>-1.1897596993570394E-3</v>
      </c>
      <c r="E100" s="172">
        <f t="shared" ref="E100:E104" si="18">E94+D100</f>
        <v>1.0084344856613334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'Юнит 11'!U97</f>
        <v>0</v>
      </c>
      <c r="K100" s="172">
        <f t="shared" si="9"/>
        <v>0</v>
      </c>
      <c r="L100" s="172">
        <f t="shared" ref="L100:L104" si="19">L94+K100</f>
        <v>0.9941520467836259</v>
      </c>
      <c r="M100" s="173" t="str">
        <f t="shared" si="17"/>
        <v>C</v>
      </c>
    </row>
    <row r="101" spans="2:13" ht="15" outlineLevel="1" thickBot="1">
      <c r="B101" s="182" t="s">
        <v>197</v>
      </c>
      <c r="C101" s="171">
        <f>'Юнит 11'!AO78</f>
        <v>-1634.8335251641138</v>
      </c>
      <c r="D101" s="172">
        <f t="shared" si="7"/>
        <v>-1.2280840645429475E-3</v>
      </c>
      <c r="E101" s="172">
        <f t="shared" si="18"/>
        <v>1.0080477302515019</v>
      </c>
      <c r="F101" s="173" t="str">
        <f t="shared" si="16"/>
        <v>C</v>
      </c>
      <c r="G101" s="173" t="str">
        <f t="shared" si="8"/>
        <v>C</v>
      </c>
      <c r="I101" s="182" t="s">
        <v>217</v>
      </c>
      <c r="J101" s="171">
        <f>'Юнит 11'!U98</f>
        <v>0</v>
      </c>
      <c r="K101" s="172">
        <f t="shared" si="9"/>
        <v>0</v>
      </c>
      <c r="L101" s="172">
        <f t="shared" si="19"/>
        <v>0.9941520467836259</v>
      </c>
      <c r="M101" s="173" t="str">
        <f t="shared" si="17"/>
        <v>C</v>
      </c>
    </row>
    <row r="102" spans="2:13" ht="15" outlineLevel="1" thickBot="1">
      <c r="B102" s="182" t="s">
        <v>171</v>
      </c>
      <c r="C102" s="171">
        <f>'Юнит 11'!AO52</f>
        <v>-1773.6580659737419</v>
      </c>
      <c r="D102" s="172">
        <f t="shared" si="7"/>
        <v>-1.3323688150766032E-3</v>
      </c>
      <c r="E102" s="172">
        <f t="shared" si="18"/>
        <v>1.0075747939770541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'Юнит 11'!U99</f>
        <v>0</v>
      </c>
      <c r="K102" s="172">
        <f t="shared" si="9"/>
        <v>0</v>
      </c>
      <c r="L102" s="172">
        <f t="shared" si="19"/>
        <v>0.9941520467836259</v>
      </c>
      <c r="M102" s="173" t="str">
        <f t="shared" si="17"/>
        <v>C</v>
      </c>
    </row>
    <row r="103" spans="2:13" ht="15" outlineLevel="1" thickBot="1">
      <c r="B103" s="182" t="s">
        <v>177</v>
      </c>
      <c r="C103" s="171">
        <f>'Юнит 11'!AO58</f>
        <v>-2150.0113938730851</v>
      </c>
      <c r="D103" s="172">
        <f t="shared" si="7"/>
        <v>-1.6150847720939959E-3</v>
      </c>
      <c r="E103" s="172">
        <f t="shared" si="18"/>
        <v>1.0068646343605203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'Юнит 11'!U101</f>
        <v>0</v>
      </c>
      <c r="K103" s="172">
        <f t="shared" si="9"/>
        <v>0</v>
      </c>
      <c r="L103" s="172">
        <f t="shared" si="19"/>
        <v>0.9941520467836259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'Юнит 11'!AO26</f>
        <v>-3820.8343872844453</v>
      </c>
      <c r="D104" s="172">
        <f t="shared" si="7"/>
        <v>-2.8702040617932059E-3</v>
      </c>
      <c r="E104" s="172">
        <f t="shared" si="18"/>
        <v>1.0047005092904615</v>
      </c>
      <c r="F104" s="173" t="str">
        <f t="shared" si="16"/>
        <v>C</v>
      </c>
      <c r="G104" s="173" t="str">
        <f t="shared" si="8"/>
        <v>B</v>
      </c>
      <c r="I104" s="182" t="s">
        <v>260</v>
      </c>
      <c r="J104" s="171">
        <f>'Юнит 11'!U103</f>
        <v>0</v>
      </c>
      <c r="K104" s="172">
        <f t="shared" si="9"/>
        <v>0</v>
      </c>
      <c r="L104" s="172">
        <f t="shared" si="19"/>
        <v>0.9941520467836259</v>
      </c>
      <c r="M104" s="173" t="str">
        <f t="shared" si="17"/>
        <v>C</v>
      </c>
    </row>
    <row r="105" spans="2:13" outlineLevel="1">
      <c r="C105" s="178">
        <f>SUM(C4:C104)</f>
        <v>1331206.5292309977</v>
      </c>
      <c r="D105" s="179">
        <f>SUM(D4:D104)</f>
        <v>1.0000000000000002</v>
      </c>
      <c r="J105" s="178">
        <f>SUM(J4:J104)</f>
        <v>3420</v>
      </c>
      <c r="K105" s="179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72" priority="4" operator="equal">
      <formula>"C"</formula>
    </cfRule>
    <cfRule type="cellIs" dxfId="171" priority="5" operator="equal">
      <formula>"B"</formula>
    </cfRule>
    <cfRule type="cellIs" dxfId="170" priority="6" operator="equal">
      <formula>"A"</formula>
    </cfRule>
  </conditionalFormatting>
  <conditionalFormatting sqref="F99:G104 D99:D104 M99:M104 K99:K104">
    <cfRule type="cellIs" dxfId="169" priority="1" operator="equal">
      <formula>"C"</formula>
    </cfRule>
    <cfRule type="cellIs" dxfId="168" priority="2" operator="equal">
      <formula>"B"</formula>
    </cfRule>
    <cfRule type="cellIs" dxfId="167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8C72-6D4C-4B31-B7F4-99AFBFA9583F}">
  <dimension ref="B1:Q105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9" t="s">
        <v>86</v>
      </c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1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10'!AO4</f>
        <v>180713.27202162164</v>
      </c>
      <c r="D4" s="172">
        <f t="shared" ref="D4:D67" si="0">C4/C$105</f>
        <v>0.27381244529687693</v>
      </c>
      <c r="E4" s="172">
        <f>D4</f>
        <v>0.27381244529687693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10'!U4</f>
        <v>427</v>
      </c>
      <c r="K4" s="172">
        <f t="shared" ref="K4:K67" si="2">J4/J$105</f>
        <v>0.20900636319138521</v>
      </c>
      <c r="L4" s="172">
        <f>K4</f>
        <v>0.20900636319138521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124</v>
      </c>
      <c r="C5" s="171">
        <f>'Юнит 10'!AO5</f>
        <v>59221.135364404014</v>
      </c>
      <c r="D5" s="172">
        <f t="shared" si="0"/>
        <v>8.973045369597811E-2</v>
      </c>
      <c r="E5" s="172">
        <f>E4+D5</f>
        <v>0.36354289899285502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124</v>
      </c>
      <c r="J5" s="171">
        <f>'Юнит 10'!U5</f>
        <v>143</v>
      </c>
      <c r="K5" s="172">
        <f t="shared" si="2"/>
        <v>6.999510523739598E-2</v>
      </c>
      <c r="L5" s="172">
        <f>L4+K5</f>
        <v>0.27900146842878121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126</v>
      </c>
      <c r="C6" s="171">
        <f>'Юнит 10'!AO7</f>
        <v>56821.800110343393</v>
      </c>
      <c r="D6" s="172">
        <f t="shared" si="0"/>
        <v>8.609503806959988E-2</v>
      </c>
      <c r="E6" s="172">
        <f t="shared" ref="E6:E69" si="5">E5+D6</f>
        <v>0.44963793706245492</v>
      </c>
      <c r="F6" s="173" t="str">
        <f t="shared" si="3"/>
        <v>A</v>
      </c>
      <c r="G6" s="173" t="str">
        <f t="shared" si="1"/>
        <v>A</v>
      </c>
      <c r="I6" s="182" t="s">
        <v>126</v>
      </c>
      <c r="J6" s="171">
        <f>'Юнит 10'!U7</f>
        <v>139</v>
      </c>
      <c r="K6" s="172">
        <f t="shared" si="2"/>
        <v>6.8037200195790501E-2</v>
      </c>
      <c r="L6" s="172">
        <f t="shared" ref="L6:L69" si="6">L5+K6</f>
        <v>0.34703866862457172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132</v>
      </c>
      <c r="C7" s="171">
        <f>'Юнит 10'!AO13</f>
        <v>48751.576763080666</v>
      </c>
      <c r="D7" s="172">
        <f t="shared" si="0"/>
        <v>7.3867227881195083E-2</v>
      </c>
      <c r="E7" s="172">
        <f t="shared" si="5"/>
        <v>0.52350516494364996</v>
      </c>
      <c r="F7" s="173" t="str">
        <f t="shared" si="3"/>
        <v>A</v>
      </c>
      <c r="G7" s="173" t="str">
        <f t="shared" si="1"/>
        <v>A</v>
      </c>
      <c r="I7" s="182" t="s">
        <v>132</v>
      </c>
      <c r="J7" s="171">
        <f>'Юнит 10'!U13</f>
        <v>132</v>
      </c>
      <c r="K7" s="172">
        <f t="shared" si="2"/>
        <v>6.4610866372980913E-2</v>
      </c>
      <c r="L7" s="172">
        <f t="shared" si="6"/>
        <v>0.41164953499755264</v>
      </c>
      <c r="M7" s="173" t="str">
        <f t="shared" si="4"/>
        <v>A</v>
      </c>
    </row>
    <row r="8" spans="2:17" ht="15" outlineLevel="1" thickBot="1">
      <c r="B8" s="182" t="s">
        <v>128</v>
      </c>
      <c r="C8" s="171">
        <f>'Юнит 10'!AO9</f>
        <v>38157.585180965827</v>
      </c>
      <c r="D8" s="172">
        <f t="shared" si="0"/>
        <v>5.7815464177827854E-2</v>
      </c>
      <c r="E8" s="172">
        <f t="shared" si="5"/>
        <v>0.58132062912147786</v>
      </c>
      <c r="F8" s="173" t="str">
        <f t="shared" si="3"/>
        <v>A</v>
      </c>
      <c r="G8" s="173" t="str">
        <f t="shared" si="1"/>
        <v>A</v>
      </c>
      <c r="I8" s="182" t="s">
        <v>147</v>
      </c>
      <c r="J8" s="171">
        <f>'Юнит 10'!U28</f>
        <v>112</v>
      </c>
      <c r="K8" s="172">
        <f t="shared" si="2"/>
        <v>5.4821341164953498E-2</v>
      </c>
      <c r="L8" s="172">
        <f t="shared" si="6"/>
        <v>0.46647087616250615</v>
      </c>
      <c r="M8" s="173" t="str">
        <f>_xlfn.IFS(L8&lt;80%,"A",L8&lt;=95%,"B",L8&gt;95%,"C")</f>
        <v>A</v>
      </c>
    </row>
    <row r="9" spans="2:17" ht="15" outlineLevel="1" thickBot="1">
      <c r="B9" s="182" t="s">
        <v>135</v>
      </c>
      <c r="C9" s="171">
        <f>'Юнит 10'!AO16</f>
        <v>36602.995504924758</v>
      </c>
      <c r="D9" s="172">
        <f t="shared" si="0"/>
        <v>5.5459986929985453E-2</v>
      </c>
      <c r="E9" s="172">
        <f t="shared" si="5"/>
        <v>0.6367806160514633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10'!U10</f>
        <v>111</v>
      </c>
      <c r="K9" s="172">
        <f t="shared" si="2"/>
        <v>5.4331864904552128E-2</v>
      </c>
      <c r="L9" s="172">
        <f t="shared" si="6"/>
        <v>0.52080274106705826</v>
      </c>
      <c r="M9" s="173" t="str">
        <f t="shared" si="4"/>
        <v>A</v>
      </c>
    </row>
    <row r="10" spans="2:17" ht="15" outlineLevel="1" thickBot="1">
      <c r="B10" s="182" t="s">
        <v>125</v>
      </c>
      <c r="C10" s="171">
        <f>'Юнит 10'!AO6</f>
        <v>35164.892489892729</v>
      </c>
      <c r="D10" s="172">
        <f t="shared" si="0"/>
        <v>5.3281007496268941E-2</v>
      </c>
      <c r="E10" s="172">
        <f t="shared" si="5"/>
        <v>0.69006162354773226</v>
      </c>
      <c r="F10" s="173" t="str">
        <f t="shared" si="3"/>
        <v>A</v>
      </c>
      <c r="G10" s="173" t="str">
        <f t="shared" si="1"/>
        <v>A</v>
      </c>
      <c r="I10" s="182" t="s">
        <v>135</v>
      </c>
      <c r="J10" s="171">
        <f>'Юнит 10'!U16</f>
        <v>111</v>
      </c>
      <c r="K10" s="172">
        <f t="shared" si="2"/>
        <v>5.4331864904552128E-2</v>
      </c>
      <c r="L10" s="172">
        <f t="shared" si="6"/>
        <v>0.57513460597161037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10'!AO3</f>
        <v>34966.21861454859</v>
      </c>
      <c r="D11" s="172">
        <f t="shared" si="0"/>
        <v>5.2979981572627441E-2</v>
      </c>
      <c r="E11" s="172">
        <f t="shared" si="5"/>
        <v>0.74304160512035966</v>
      </c>
      <c r="F11" s="173" t="str">
        <f t="shared" si="3"/>
        <v>A</v>
      </c>
      <c r="G11" s="173" t="str">
        <f t="shared" si="1"/>
        <v>A</v>
      </c>
      <c r="I11" s="182" t="s">
        <v>128</v>
      </c>
      <c r="J11" s="171">
        <f>'Юнит 10'!U9</f>
        <v>107</v>
      </c>
      <c r="K11" s="172">
        <f t="shared" si="2"/>
        <v>5.2373959862946649E-2</v>
      </c>
      <c r="L11" s="172">
        <f t="shared" si="6"/>
        <v>0.62750856583455705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147</v>
      </c>
      <c r="C12" s="171">
        <f>'Юнит 10'!AO28</f>
        <v>30976.088746791145</v>
      </c>
      <c r="D12" s="172">
        <f t="shared" si="0"/>
        <v>4.6934231839248421E-2</v>
      </c>
      <c r="E12" s="172">
        <f t="shared" si="5"/>
        <v>0.78997583695960805</v>
      </c>
      <c r="F12" s="173" t="str">
        <f t="shared" si="3"/>
        <v>A</v>
      </c>
      <c r="G12" s="173" t="str">
        <f t="shared" si="1"/>
        <v>A</v>
      </c>
      <c r="I12" s="182" t="s">
        <v>125</v>
      </c>
      <c r="J12" s="171">
        <f>'Юнит 10'!U6</f>
        <v>105</v>
      </c>
      <c r="K12" s="172">
        <f t="shared" si="2"/>
        <v>5.1395007342143903E-2</v>
      </c>
      <c r="L12" s="172">
        <f t="shared" si="6"/>
        <v>0.67890357317670091</v>
      </c>
      <c r="M12" s="173" t="str">
        <f t="shared" si="4"/>
        <v>A</v>
      </c>
    </row>
    <row r="13" spans="2:17" ht="26.5" outlineLevel="1" thickBot="1">
      <c r="B13" s="182" t="s">
        <v>130</v>
      </c>
      <c r="C13" s="171">
        <f>'Юнит 10'!AO11</f>
        <v>23552.91120776115</v>
      </c>
      <c r="D13" s="172">
        <f t="shared" si="0"/>
        <v>3.5686810047275835E-2</v>
      </c>
      <c r="E13" s="172">
        <f t="shared" si="5"/>
        <v>0.82566264700688385</v>
      </c>
      <c r="F13" s="173" t="str">
        <f t="shared" si="3"/>
        <v>B</v>
      </c>
      <c r="G13" s="173" t="str">
        <f t="shared" si="1"/>
        <v>A</v>
      </c>
      <c r="I13" s="182" t="s">
        <v>122</v>
      </c>
      <c r="J13" s="171">
        <f>'Юнит 10'!U3</f>
        <v>101</v>
      </c>
      <c r="K13" s="172">
        <f t="shared" si="2"/>
        <v>4.9437102300538424E-2</v>
      </c>
      <c r="L13" s="172">
        <f t="shared" si="6"/>
        <v>0.72834067547723935</v>
      </c>
      <c r="M13" s="173" t="str">
        <f t="shared" si="4"/>
        <v>A</v>
      </c>
    </row>
    <row r="14" spans="2:17" ht="15" outlineLevel="1" thickBot="1">
      <c r="B14" s="182" t="s">
        <v>129</v>
      </c>
      <c r="C14" s="171">
        <f>'Юнит 10'!AO10</f>
        <v>22578.740605587973</v>
      </c>
      <c r="D14" s="172">
        <f t="shared" si="0"/>
        <v>3.4210769954960682E-2</v>
      </c>
      <c r="E14" s="172">
        <f t="shared" si="5"/>
        <v>0.85987341696184449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10'!U11</f>
        <v>62</v>
      </c>
      <c r="K14" s="172">
        <f t="shared" si="2"/>
        <v>3.0347528144884974E-2</v>
      </c>
      <c r="L14" s="172">
        <f t="shared" si="6"/>
        <v>0.7586882036221243</v>
      </c>
      <c r="M14" s="173" t="str">
        <f t="shared" si="4"/>
        <v>A</v>
      </c>
    </row>
    <row r="15" spans="2:17" ht="15" outlineLevel="1" thickBot="1">
      <c r="B15" s="182" t="s">
        <v>131</v>
      </c>
      <c r="C15" s="171">
        <f>'Юнит 10'!AO12</f>
        <v>19945.773198926436</v>
      </c>
      <c r="D15" s="172">
        <f t="shared" si="0"/>
        <v>3.0221360455924471E-2</v>
      </c>
      <c r="E15" s="172">
        <f t="shared" si="5"/>
        <v>0.89009477741776899</v>
      </c>
      <c r="F15" s="173" t="str">
        <f t="shared" si="3"/>
        <v>B</v>
      </c>
      <c r="G15" s="173" t="str">
        <f t="shared" si="1"/>
        <v>A</v>
      </c>
      <c r="I15" s="182" t="s">
        <v>131</v>
      </c>
      <c r="J15" s="171">
        <f>'Юнит 10'!U12</f>
        <v>61</v>
      </c>
      <c r="K15" s="172">
        <f t="shared" si="2"/>
        <v>2.9858051884483601E-2</v>
      </c>
      <c r="L15" s="172">
        <f t="shared" si="6"/>
        <v>0.78854625550660795</v>
      </c>
      <c r="M15" s="173" t="str">
        <f t="shared" si="4"/>
        <v>A</v>
      </c>
    </row>
    <row r="16" spans="2:17" ht="15" outlineLevel="1" thickBot="1">
      <c r="B16" s="182" t="s">
        <v>127</v>
      </c>
      <c r="C16" s="171">
        <f>'Юнит 10'!AO8</f>
        <v>14201.920982620184</v>
      </c>
      <c r="D16" s="172">
        <f t="shared" si="0"/>
        <v>2.1518412392527508E-2</v>
      </c>
      <c r="E16" s="172">
        <f t="shared" si="5"/>
        <v>0.91161318981029649</v>
      </c>
      <c r="F16" s="173" t="str">
        <f t="shared" si="3"/>
        <v>B</v>
      </c>
      <c r="G16" s="173" t="str">
        <f t="shared" si="1"/>
        <v>B</v>
      </c>
      <c r="I16" s="182" t="s">
        <v>145</v>
      </c>
      <c r="J16" s="171">
        <f>'Юнит 10'!U26</f>
        <v>53</v>
      </c>
      <c r="K16" s="172">
        <f t="shared" si="2"/>
        <v>2.594224180127264E-2</v>
      </c>
      <c r="L16" s="172">
        <f t="shared" si="6"/>
        <v>0.81448849730788064</v>
      </c>
      <c r="M16" s="173" t="str">
        <f t="shared" si="4"/>
        <v>B</v>
      </c>
    </row>
    <row r="17" spans="2:13" ht="15" outlineLevel="1" thickBot="1">
      <c r="B17" s="182" t="s">
        <v>164</v>
      </c>
      <c r="C17" s="171">
        <f>'Юнит 10'!AO45</f>
        <v>13864.821186789417</v>
      </c>
      <c r="D17" s="172">
        <f t="shared" si="0"/>
        <v>2.1007646811378289E-2</v>
      </c>
      <c r="E17" s="172">
        <f t="shared" si="5"/>
        <v>0.93262083662167483</v>
      </c>
      <c r="F17" s="173" t="str">
        <f t="shared" si="3"/>
        <v>B</v>
      </c>
      <c r="G17" s="173" t="str">
        <f t="shared" si="1"/>
        <v>B</v>
      </c>
      <c r="I17" s="182" t="s">
        <v>127</v>
      </c>
      <c r="J17" s="171">
        <f>'Юнит 10'!U8</f>
        <v>43</v>
      </c>
      <c r="K17" s="172">
        <f t="shared" si="2"/>
        <v>2.1047479197258932E-2</v>
      </c>
      <c r="L17" s="172">
        <f t="shared" si="6"/>
        <v>0.83553597650513955</v>
      </c>
      <c r="M17" s="173" t="str">
        <f t="shared" si="4"/>
        <v>B</v>
      </c>
    </row>
    <row r="18" spans="2:13" ht="26.5" outlineLevel="1" thickBot="1">
      <c r="B18" s="182" t="s">
        <v>133</v>
      </c>
      <c r="C18" s="171">
        <f>'Юнит 10'!AO14</f>
        <v>11037.769944870104</v>
      </c>
      <c r="D18" s="172">
        <f t="shared" si="0"/>
        <v>1.672416610810773E-2</v>
      </c>
      <c r="E18" s="172">
        <f t="shared" si="5"/>
        <v>0.94934500272978251</v>
      </c>
      <c r="F18" s="173" t="str">
        <f t="shared" si="3"/>
        <v>B</v>
      </c>
      <c r="G18" s="173" t="str">
        <f t="shared" si="1"/>
        <v>B</v>
      </c>
      <c r="I18" s="182" t="s">
        <v>137</v>
      </c>
      <c r="J18" s="171">
        <f>'Юнит 10'!U18</f>
        <v>41</v>
      </c>
      <c r="K18" s="172">
        <f t="shared" si="2"/>
        <v>2.0068526676456193E-2</v>
      </c>
      <c r="L18" s="172">
        <f t="shared" si="6"/>
        <v>0.85560450318159575</v>
      </c>
      <c r="M18" s="173" t="str">
        <f t="shared" si="4"/>
        <v>B</v>
      </c>
    </row>
    <row r="19" spans="2:13" ht="26.5" outlineLevel="1" thickBot="1">
      <c r="B19" s="182" t="s">
        <v>137</v>
      </c>
      <c r="C19" s="171">
        <f>'Юнит 10'!AO18</f>
        <v>8534.8232019453662</v>
      </c>
      <c r="D19" s="172">
        <f t="shared" si="0"/>
        <v>1.2931760821759541E-2</v>
      </c>
      <c r="E19" s="172">
        <f t="shared" si="5"/>
        <v>0.96227676355154201</v>
      </c>
      <c r="F19" s="173" t="str">
        <f t="shared" si="3"/>
        <v>C</v>
      </c>
      <c r="G19" s="173" t="str">
        <f t="shared" si="1"/>
        <v>B</v>
      </c>
      <c r="I19" s="182" t="s">
        <v>164</v>
      </c>
      <c r="J19" s="171">
        <f>'Юнит 10'!U45</f>
        <v>39</v>
      </c>
      <c r="K19" s="172">
        <f t="shared" si="2"/>
        <v>1.908957415565345E-2</v>
      </c>
      <c r="L19" s="172">
        <f t="shared" si="6"/>
        <v>0.87469407733724924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10'!AO15</f>
        <v>8514.2530154189335</v>
      </c>
      <c r="D20" s="172">
        <f t="shared" si="0"/>
        <v>1.2900593365102891E-2</v>
      </c>
      <c r="E20" s="172">
        <f t="shared" si="5"/>
        <v>0.97517735691664487</v>
      </c>
      <c r="F20" s="173" t="str">
        <f t="shared" si="3"/>
        <v>C</v>
      </c>
      <c r="G20" s="173" t="str">
        <f t="shared" si="1"/>
        <v>B</v>
      </c>
      <c r="I20" s="182" t="s">
        <v>133</v>
      </c>
      <c r="J20" s="171">
        <f>'Юнит 10'!U14</f>
        <v>35</v>
      </c>
      <c r="K20" s="172">
        <f t="shared" si="2"/>
        <v>1.7131669114047968E-2</v>
      </c>
      <c r="L20" s="172">
        <f t="shared" si="6"/>
        <v>0.8918257464512972</v>
      </c>
      <c r="M20" s="173" t="str">
        <f t="shared" si="4"/>
        <v>B</v>
      </c>
    </row>
    <row r="21" spans="2:13" ht="26.5" outlineLevel="1" thickBot="1">
      <c r="B21" s="182" t="s">
        <v>167</v>
      </c>
      <c r="C21" s="171">
        <f>'Юнит 10'!AO48</f>
        <v>8417.1210665055369</v>
      </c>
      <c r="D21" s="172">
        <f t="shared" si="0"/>
        <v>1.2753421349727914E-2</v>
      </c>
      <c r="E21" s="172">
        <f t="shared" si="5"/>
        <v>0.98793077826637277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10'!U48</f>
        <v>28</v>
      </c>
      <c r="K21" s="172">
        <f t="shared" si="2"/>
        <v>1.3705335291238374E-2</v>
      </c>
      <c r="L21" s="172">
        <f t="shared" si="6"/>
        <v>0.9055310817425356</v>
      </c>
      <c r="M21" s="173" t="str">
        <f t="shared" si="4"/>
        <v>B</v>
      </c>
    </row>
    <row r="22" spans="2:13" ht="15" outlineLevel="1" thickBot="1">
      <c r="B22" s="182" t="s">
        <v>168</v>
      </c>
      <c r="C22" s="171">
        <f>'Юнит 10'!AO49</f>
        <v>6809.9372750149978</v>
      </c>
      <c r="D22" s="172">
        <f t="shared" si="0"/>
        <v>1.0318254750913422E-2</v>
      </c>
      <c r="E22" s="172">
        <f t="shared" si="5"/>
        <v>0.99824903301728618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'Юнит 10'!U15</f>
        <v>25</v>
      </c>
      <c r="K22" s="172">
        <f t="shared" si="2"/>
        <v>1.2236906510034264E-2</v>
      </c>
      <c r="L22" s="172">
        <f t="shared" si="6"/>
        <v>0.91776798825256989</v>
      </c>
      <c r="M22" s="173" t="str">
        <f t="shared" si="4"/>
        <v>B</v>
      </c>
    </row>
    <row r="23" spans="2:13" ht="26.5" outlineLevel="1" thickBot="1">
      <c r="B23" s="182" t="s">
        <v>136</v>
      </c>
      <c r="C23" s="171">
        <f>'Юнит 10'!AO17</f>
        <v>6424.1933183852334</v>
      </c>
      <c r="D23" s="172">
        <f t="shared" si="0"/>
        <v>9.7337846959932115E-3</v>
      </c>
      <c r="E23" s="172">
        <f t="shared" si="5"/>
        <v>1.0079828177132795</v>
      </c>
      <c r="F23" s="173" t="str">
        <f t="shared" si="3"/>
        <v>C</v>
      </c>
      <c r="G23" s="173" t="str">
        <f t="shared" si="1"/>
        <v>B</v>
      </c>
      <c r="I23" s="182" t="s">
        <v>168</v>
      </c>
      <c r="J23" s="171">
        <f>'Юнит 10'!U49</f>
        <v>25</v>
      </c>
      <c r="K23" s="172">
        <f t="shared" si="2"/>
        <v>1.2236906510034264E-2</v>
      </c>
      <c r="L23" s="172">
        <f t="shared" si="6"/>
        <v>0.93000489476260417</v>
      </c>
      <c r="M23" s="173" t="str">
        <f t="shared" si="4"/>
        <v>B</v>
      </c>
    </row>
    <row r="24" spans="2:13" ht="26.5" outlineLevel="1" thickBot="1">
      <c r="B24" s="182" t="s">
        <v>166</v>
      </c>
      <c r="C24" s="171">
        <f>'Юнит 10'!AO47</f>
        <v>4786.2280994755201</v>
      </c>
      <c r="D24" s="172">
        <f t="shared" si="0"/>
        <v>7.2519788115463718E-3</v>
      </c>
      <c r="E24" s="172">
        <f t="shared" si="5"/>
        <v>1.0152347965248258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10'!U17</f>
        <v>19</v>
      </c>
      <c r="K24" s="172">
        <f t="shared" si="2"/>
        <v>9.3000489476260401E-3</v>
      </c>
      <c r="L24" s="172">
        <f t="shared" si="6"/>
        <v>0.93930494371023021</v>
      </c>
      <c r="M24" s="173" t="str">
        <f t="shared" si="4"/>
        <v>B</v>
      </c>
    </row>
    <row r="25" spans="2:13" ht="15" outlineLevel="1" thickBot="1">
      <c r="B25" s="182" t="s">
        <v>169</v>
      </c>
      <c r="C25" s="171">
        <f>'Юнит 10'!AO50</f>
        <v>4625.2656847630988</v>
      </c>
      <c r="D25" s="172">
        <f t="shared" si="0"/>
        <v>7.0080923947920737E-3</v>
      </c>
      <c r="E25" s="172">
        <f t="shared" si="5"/>
        <v>1.022242888919618</v>
      </c>
      <c r="F25" s="173" t="str">
        <f t="shared" si="3"/>
        <v>C</v>
      </c>
      <c r="G25" s="173" t="str">
        <f t="shared" si="1"/>
        <v>C</v>
      </c>
      <c r="I25" s="182" t="s">
        <v>162</v>
      </c>
      <c r="J25" s="171">
        <f>'Юнит 10'!U43</f>
        <v>17</v>
      </c>
      <c r="K25" s="172">
        <f t="shared" si="2"/>
        <v>8.321096426823299E-3</v>
      </c>
      <c r="L25" s="172">
        <f t="shared" si="6"/>
        <v>0.94762604013705354</v>
      </c>
      <c r="M25" s="173" t="str">
        <f t="shared" si="4"/>
        <v>B</v>
      </c>
    </row>
    <row r="26" spans="2:13" ht="15" outlineLevel="1" thickBot="1">
      <c r="B26" s="182" t="s">
        <v>162</v>
      </c>
      <c r="C26" s="171">
        <f>'Юнит 10'!AO43</f>
        <v>3584.3454518533836</v>
      </c>
      <c r="D26" s="172">
        <f t="shared" si="0"/>
        <v>5.4309148519168463E-3</v>
      </c>
      <c r="E26" s="172">
        <f t="shared" si="5"/>
        <v>1.0276738037715349</v>
      </c>
      <c r="F26" s="173" t="str">
        <f t="shared" si="3"/>
        <v>C</v>
      </c>
      <c r="G26" s="173" t="str">
        <f t="shared" si="1"/>
        <v>B</v>
      </c>
      <c r="I26" s="182" t="s">
        <v>169</v>
      </c>
      <c r="J26" s="171">
        <f>'Юнит 10'!U50</f>
        <v>16</v>
      </c>
      <c r="K26" s="172">
        <f t="shared" si="2"/>
        <v>7.8316201664219293E-3</v>
      </c>
      <c r="L26" s="172">
        <f t="shared" si="6"/>
        <v>0.95545766030347545</v>
      </c>
      <c r="M26" s="173" t="str">
        <f t="shared" si="4"/>
        <v>C</v>
      </c>
    </row>
    <row r="27" spans="2:13" ht="15" outlineLevel="1" thickBot="1">
      <c r="B27" s="182" t="s">
        <v>163</v>
      </c>
      <c r="C27" s="171">
        <f>'Юнит 10'!AO44</f>
        <v>2519.7349993232469</v>
      </c>
      <c r="D27" s="172">
        <f t="shared" si="0"/>
        <v>3.8178424525580762E-3</v>
      </c>
      <c r="E27" s="172">
        <f>E26+D27</f>
        <v>1.0314916462240931</v>
      </c>
      <c r="F27" s="173" t="str">
        <f t="shared" si="3"/>
        <v>C</v>
      </c>
      <c r="G27" s="173" t="str">
        <f t="shared" si="1"/>
        <v>C</v>
      </c>
      <c r="I27" s="182" t="s">
        <v>163</v>
      </c>
      <c r="J27" s="171">
        <f>'Юнит 10'!U44</f>
        <v>14</v>
      </c>
      <c r="K27" s="172">
        <f t="shared" si="2"/>
        <v>6.8526676456191872E-3</v>
      </c>
      <c r="L27" s="172">
        <f>L26+K27</f>
        <v>0.96231032794909466</v>
      </c>
      <c r="M27" s="173" t="str">
        <f t="shared" si="4"/>
        <v>C</v>
      </c>
    </row>
    <row r="28" spans="2:13" ht="15" outlineLevel="1" thickBot="1">
      <c r="B28" s="182" t="s">
        <v>156</v>
      </c>
      <c r="C28" s="171">
        <f>'Юнит 10'!AO37</f>
        <v>1158.0126698533827</v>
      </c>
      <c r="D28" s="172">
        <f t="shared" si="0"/>
        <v>1.754593214268084E-3</v>
      </c>
      <c r="E28" s="172">
        <f>E27+D28</f>
        <v>1.0332462394383612</v>
      </c>
      <c r="F28" s="173" t="str">
        <f t="shared" si="3"/>
        <v>C</v>
      </c>
      <c r="G28" s="173" t="str">
        <f t="shared" si="1"/>
        <v>C</v>
      </c>
      <c r="I28" s="182" t="s">
        <v>166</v>
      </c>
      <c r="J28" s="171">
        <f>'Юнит 10'!U47</f>
        <v>14</v>
      </c>
      <c r="K28" s="172">
        <f t="shared" si="2"/>
        <v>6.8526676456191872E-3</v>
      </c>
      <c r="L28" s="172">
        <f t="shared" si="6"/>
        <v>0.96916299559471386</v>
      </c>
      <c r="M28" s="173" t="str">
        <f t="shared" si="4"/>
        <v>C</v>
      </c>
    </row>
    <row r="29" spans="2:13" ht="15" outlineLevel="1" thickBot="1">
      <c r="B29" s="182" t="s">
        <v>161</v>
      </c>
      <c r="C29" s="171">
        <f>'Юнит 10'!AO42</f>
        <v>885.19152721426724</v>
      </c>
      <c r="D29" s="172">
        <f t="shared" si="0"/>
        <v>1.3412211173599695E-3</v>
      </c>
      <c r="E29" s="172">
        <f t="shared" si="5"/>
        <v>1.0345874605557213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10'!U27</f>
        <v>10</v>
      </c>
      <c r="K29" s="172">
        <f t="shared" si="2"/>
        <v>4.8947626040137049E-3</v>
      </c>
      <c r="L29" s="172">
        <f t="shared" si="6"/>
        <v>0.97405775819872753</v>
      </c>
      <c r="M29" s="173" t="str">
        <f t="shared" si="4"/>
        <v>C</v>
      </c>
    </row>
    <row r="30" spans="2:13" ht="26.5" outlineLevel="1" thickBot="1">
      <c r="B30" s="182" t="s">
        <v>195</v>
      </c>
      <c r="C30" s="171">
        <f>'Юнит 10'!AO76</f>
        <v>863.21770662779738</v>
      </c>
      <c r="D30" s="172">
        <f t="shared" si="0"/>
        <v>1.3079269078091829E-3</v>
      </c>
      <c r="E30" s="172">
        <f t="shared" si="5"/>
        <v>1.0358953874635304</v>
      </c>
      <c r="F30" s="173" t="str">
        <f t="shared" si="3"/>
        <v>C</v>
      </c>
      <c r="G30" s="173" t="str">
        <f t="shared" si="1"/>
        <v>C</v>
      </c>
      <c r="I30" s="182" t="s">
        <v>206</v>
      </c>
      <c r="J30" s="171">
        <f>'Юнит 10'!U87</f>
        <v>8</v>
      </c>
      <c r="K30" s="172">
        <f t="shared" si="2"/>
        <v>3.9158100832109646E-3</v>
      </c>
      <c r="L30" s="172">
        <f t="shared" si="6"/>
        <v>0.97797356828193849</v>
      </c>
      <c r="M30" s="173" t="str">
        <f t="shared" si="4"/>
        <v>C</v>
      </c>
    </row>
    <row r="31" spans="2:13" ht="15" outlineLevel="1" thickBot="1">
      <c r="B31" s="182" t="s">
        <v>191</v>
      </c>
      <c r="C31" s="171">
        <f>'Юнит 10'!AO72</f>
        <v>824.18990000000008</v>
      </c>
      <c r="D31" s="172">
        <f t="shared" si="0"/>
        <v>1.2487929048232136E-3</v>
      </c>
      <c r="E31" s="172">
        <f t="shared" si="5"/>
        <v>1.0371441803683537</v>
      </c>
      <c r="F31" s="173" t="str">
        <f t="shared" si="3"/>
        <v>C</v>
      </c>
      <c r="G31" s="173" t="str">
        <f t="shared" si="1"/>
        <v>C</v>
      </c>
      <c r="I31" s="182" t="s">
        <v>158</v>
      </c>
      <c r="J31" s="171">
        <f>'Юнит 10'!U39</f>
        <v>7</v>
      </c>
      <c r="K31" s="172">
        <f t="shared" si="2"/>
        <v>3.4263338228095936E-3</v>
      </c>
      <c r="L31" s="172">
        <f t="shared" si="6"/>
        <v>0.98139990210474803</v>
      </c>
      <c r="M31" s="173" t="str">
        <f t="shared" si="4"/>
        <v>C</v>
      </c>
    </row>
    <row r="32" spans="2:13" ht="15" outlineLevel="1" thickBot="1">
      <c r="B32" s="182" t="s">
        <v>171</v>
      </c>
      <c r="C32" s="171">
        <f>'Юнит 10'!AO52</f>
        <v>644.09740406764979</v>
      </c>
      <c r="D32" s="172">
        <f t="shared" si="0"/>
        <v>9.7592104467032596E-4</v>
      </c>
      <c r="E32" s="172">
        <f t="shared" si="5"/>
        <v>1.0381201014130239</v>
      </c>
      <c r="F32" s="173" t="str">
        <f t="shared" si="3"/>
        <v>C</v>
      </c>
      <c r="G32" s="173" t="str">
        <f t="shared" si="1"/>
        <v>C</v>
      </c>
      <c r="I32" s="182" t="s">
        <v>156</v>
      </c>
      <c r="J32" s="171">
        <f>'Юнит 10'!U37</f>
        <v>4</v>
      </c>
      <c r="K32" s="172">
        <f t="shared" si="2"/>
        <v>1.9579050416054823E-3</v>
      </c>
      <c r="L32" s="172">
        <f t="shared" si="6"/>
        <v>0.98335780714635357</v>
      </c>
      <c r="M32" s="173" t="str">
        <f t="shared" si="4"/>
        <v>C</v>
      </c>
    </row>
    <row r="33" spans="2:13" ht="26.5" outlineLevel="1" thickBot="1">
      <c r="B33" s="182" t="s">
        <v>212</v>
      </c>
      <c r="C33" s="171">
        <f>'Юнит 10'!AO93</f>
        <v>508.58383677441492</v>
      </c>
      <c r="D33" s="172">
        <f t="shared" si="0"/>
        <v>7.7059411535091208E-4</v>
      </c>
      <c r="E33" s="172">
        <f t="shared" si="5"/>
        <v>1.0388906955283748</v>
      </c>
      <c r="F33" s="173" t="str">
        <f t="shared" si="3"/>
        <v>C</v>
      </c>
      <c r="G33" s="173" t="str">
        <f t="shared" si="1"/>
        <v>C</v>
      </c>
      <c r="I33" s="182" t="s">
        <v>200</v>
      </c>
      <c r="J33" s="171">
        <f>'Юнит 10'!U81</f>
        <v>4</v>
      </c>
      <c r="K33" s="172">
        <f t="shared" si="2"/>
        <v>1.9579050416054823E-3</v>
      </c>
      <c r="L33" s="172">
        <f t="shared" si="6"/>
        <v>0.9853157121879591</v>
      </c>
      <c r="M33" s="173" t="str">
        <f t="shared" si="4"/>
        <v>C</v>
      </c>
    </row>
    <row r="34" spans="2:13" ht="15" outlineLevel="1" thickBot="1">
      <c r="B34" s="182" t="s">
        <v>160</v>
      </c>
      <c r="C34" s="171">
        <f>'Юнит 10'!AO41</f>
        <v>488.77745184772368</v>
      </c>
      <c r="D34" s="172">
        <f t="shared" si="0"/>
        <v>7.4058395268494217E-4</v>
      </c>
      <c r="E34" s="172">
        <f t="shared" si="5"/>
        <v>1.0396312794810596</v>
      </c>
      <c r="F34" s="173" t="str">
        <f t="shared" si="3"/>
        <v>C</v>
      </c>
      <c r="G34" s="173" t="str">
        <f t="shared" si="1"/>
        <v>C</v>
      </c>
      <c r="I34" s="182" t="s">
        <v>259</v>
      </c>
      <c r="J34" s="171">
        <f>'Юнит 10'!U102</f>
        <v>4</v>
      </c>
      <c r="K34" s="172">
        <f t="shared" si="2"/>
        <v>1.9579050416054823E-3</v>
      </c>
      <c r="L34" s="172">
        <f t="shared" si="6"/>
        <v>0.98727361722956464</v>
      </c>
      <c r="M34" s="173" t="str">
        <f t="shared" si="4"/>
        <v>C</v>
      </c>
    </row>
    <row r="35" spans="2:13" ht="26.5" outlineLevel="1" thickBot="1">
      <c r="B35" s="182" t="s">
        <v>201</v>
      </c>
      <c r="C35" s="171">
        <f>'Юнит 10'!AO82</f>
        <v>465.86600662779733</v>
      </c>
      <c r="D35" s="172">
        <f t="shared" si="0"/>
        <v>7.0586907662313928E-4</v>
      </c>
      <c r="E35" s="172">
        <f t="shared" si="5"/>
        <v>1.0403371485576827</v>
      </c>
      <c r="F35" s="173" t="str">
        <f t="shared" si="3"/>
        <v>C</v>
      </c>
      <c r="G35" s="173" t="str">
        <f t="shared" si="1"/>
        <v>C</v>
      </c>
      <c r="I35" s="182" t="s">
        <v>191</v>
      </c>
      <c r="J35" s="171">
        <f>'Юнит 10'!U72</f>
        <v>3</v>
      </c>
      <c r="K35" s="172">
        <f t="shared" si="2"/>
        <v>1.4684287812041115E-3</v>
      </c>
      <c r="L35" s="172">
        <f t="shared" si="6"/>
        <v>0.98874204601076876</v>
      </c>
      <c r="M35" s="173" t="str">
        <f t="shared" si="4"/>
        <v>C</v>
      </c>
    </row>
    <row r="36" spans="2:13" ht="26.5" outlineLevel="1" thickBot="1">
      <c r="B36" s="182" t="s">
        <v>196</v>
      </c>
      <c r="C36" s="171">
        <f>'Юнит 10'!AO77</f>
        <v>458.66545736088494</v>
      </c>
      <c r="D36" s="172">
        <f t="shared" si="0"/>
        <v>6.9495897588622152E-4</v>
      </c>
      <c r="E36" s="172">
        <f t="shared" si="5"/>
        <v>1.0410321075335689</v>
      </c>
      <c r="F36" s="173" t="str">
        <f t="shared" si="3"/>
        <v>C</v>
      </c>
      <c r="G36" s="173" t="str">
        <f t="shared" si="1"/>
        <v>C</v>
      </c>
      <c r="I36" s="182" t="s">
        <v>161</v>
      </c>
      <c r="J36" s="171">
        <f>'Юнит 10'!U42</f>
        <v>2</v>
      </c>
      <c r="K36" s="172">
        <f t="shared" si="2"/>
        <v>9.7895252080274116E-4</v>
      </c>
      <c r="L36" s="172">
        <f t="shared" si="6"/>
        <v>0.98972099853157147</v>
      </c>
      <c r="M36" s="173" t="str">
        <f t="shared" si="4"/>
        <v>C</v>
      </c>
    </row>
    <row r="37" spans="2:13" ht="26.5" outlineLevel="1" thickBot="1">
      <c r="B37" s="182" t="s">
        <v>207</v>
      </c>
      <c r="C37" s="171">
        <f>'Юнит 10'!AO88</f>
        <v>407.66590000000036</v>
      </c>
      <c r="D37" s="172">
        <f t="shared" si="0"/>
        <v>6.1768566134864076E-4</v>
      </c>
      <c r="E37" s="172">
        <f t="shared" si="5"/>
        <v>1.0416497931949176</v>
      </c>
      <c r="F37" s="173" t="str">
        <f t="shared" si="3"/>
        <v>C</v>
      </c>
      <c r="G37" s="173" t="str">
        <f t="shared" si="1"/>
        <v>C</v>
      </c>
      <c r="I37" s="182" t="s">
        <v>171</v>
      </c>
      <c r="J37" s="171">
        <f>'Юнит 10'!U52</f>
        <v>2</v>
      </c>
      <c r="K37" s="172">
        <f t="shared" si="2"/>
        <v>9.7895252080274116E-4</v>
      </c>
      <c r="L37" s="172">
        <f t="shared" si="6"/>
        <v>0.99069995105237418</v>
      </c>
      <c r="M37" s="173" t="str">
        <f t="shared" si="4"/>
        <v>C</v>
      </c>
    </row>
    <row r="38" spans="2:13" ht="15" outlineLevel="1" thickBot="1">
      <c r="B38" s="182" t="s">
        <v>186</v>
      </c>
      <c r="C38" s="171">
        <f>'Юнит 10'!AO67</f>
        <v>312.29959999999994</v>
      </c>
      <c r="D38" s="172">
        <f t="shared" si="0"/>
        <v>4.7318891515065592E-4</v>
      </c>
      <c r="E38" s="172">
        <f t="shared" si="5"/>
        <v>1.0421229821100682</v>
      </c>
      <c r="F38" s="173" t="str">
        <f t="shared" si="3"/>
        <v>C</v>
      </c>
      <c r="G38" s="173" t="str">
        <f t="shared" si="1"/>
        <v>C</v>
      </c>
      <c r="I38" s="182" t="s">
        <v>177</v>
      </c>
      <c r="J38" s="171">
        <f>'Юнит 10'!U58</f>
        <v>2</v>
      </c>
      <c r="K38" s="172">
        <f t="shared" si="2"/>
        <v>9.7895252080274116E-4</v>
      </c>
      <c r="L38" s="172">
        <f t="shared" si="6"/>
        <v>0.9916789035731769</v>
      </c>
      <c r="M38" s="173" t="str">
        <f t="shared" si="4"/>
        <v>C</v>
      </c>
    </row>
    <row r="39" spans="2:13" ht="15" outlineLevel="1" thickBot="1">
      <c r="B39" s="182" t="s">
        <v>141</v>
      </c>
      <c r="C39" s="171">
        <f>'Юнит 10'!AO22</f>
        <v>307.24989999999997</v>
      </c>
      <c r="D39" s="172">
        <f t="shared" si="0"/>
        <v>4.6553772999116081E-4</v>
      </c>
      <c r="E39" s="172">
        <f>E35+D39</f>
        <v>1.0408026862876738</v>
      </c>
      <c r="F39" s="173" t="str">
        <f t="shared" si="3"/>
        <v>C</v>
      </c>
      <c r="G39" s="173" t="str">
        <f t="shared" si="1"/>
        <v>C</v>
      </c>
      <c r="I39" s="182" t="s">
        <v>195</v>
      </c>
      <c r="J39" s="171">
        <f>'Юнит 10'!U76</f>
        <v>2</v>
      </c>
      <c r="K39" s="172">
        <f t="shared" si="2"/>
        <v>9.7895252080274116E-4</v>
      </c>
      <c r="L39" s="172">
        <f>L35+K39</f>
        <v>0.98972099853157147</v>
      </c>
      <c r="M39" s="173" t="str">
        <f t="shared" si="4"/>
        <v>C</v>
      </c>
    </row>
    <row r="40" spans="2:13" ht="26.5" outlineLevel="1" thickBot="1">
      <c r="B40" s="182" t="s">
        <v>173</v>
      </c>
      <c r="C40" s="171">
        <f>'Юнит 10'!AO54</f>
        <v>194.55241214095855</v>
      </c>
      <c r="D40" s="172">
        <f t="shared" si="0"/>
        <v>2.9478118076655714E-4</v>
      </c>
      <c r="E40" s="172">
        <f t="shared" si="5"/>
        <v>1.0410974674684403</v>
      </c>
      <c r="F40" s="173" t="str">
        <f t="shared" si="3"/>
        <v>C</v>
      </c>
      <c r="G40" s="173" t="str">
        <f t="shared" si="1"/>
        <v>C</v>
      </c>
      <c r="I40" s="182" t="s">
        <v>199</v>
      </c>
      <c r="J40" s="171">
        <f>'Юнит 10'!U80</f>
        <v>2</v>
      </c>
      <c r="K40" s="172">
        <f t="shared" si="2"/>
        <v>9.7895252080274116E-4</v>
      </c>
      <c r="L40" s="172">
        <f t="shared" si="6"/>
        <v>0.99069995105237418</v>
      </c>
      <c r="M40" s="173" t="str">
        <f t="shared" si="4"/>
        <v>C</v>
      </c>
    </row>
    <row r="41" spans="2:13" ht="26.5" outlineLevel="1" thickBot="1">
      <c r="B41" s="182" t="s">
        <v>204</v>
      </c>
      <c r="C41" s="171">
        <f>'Юнит 10'!AO85</f>
        <v>185.12040258081109</v>
      </c>
      <c r="D41" s="172">
        <f t="shared" si="0"/>
        <v>2.8049002454523379E-4</v>
      </c>
      <c r="E41" s="172">
        <f t="shared" si="5"/>
        <v>1.0413779574929856</v>
      </c>
      <c r="F41" s="173" t="str">
        <f t="shared" si="3"/>
        <v>C</v>
      </c>
      <c r="G41" s="173" t="str">
        <f t="shared" si="1"/>
        <v>C</v>
      </c>
      <c r="I41" s="182" t="s">
        <v>207</v>
      </c>
      <c r="J41" s="171">
        <f>'Юнит 10'!U88</f>
        <v>2</v>
      </c>
      <c r="K41" s="172">
        <f t="shared" si="2"/>
        <v>9.7895252080274116E-4</v>
      </c>
      <c r="L41" s="172">
        <f t="shared" si="6"/>
        <v>0.9916789035731769</v>
      </c>
      <c r="M41" s="173" t="str">
        <f t="shared" si="4"/>
        <v>C</v>
      </c>
    </row>
    <row r="42" spans="2:13" ht="26.5" outlineLevel="1" thickBot="1">
      <c r="B42" s="182" t="s">
        <v>138</v>
      </c>
      <c r="C42" s="171">
        <f>'Юнит 10'!AO19</f>
        <v>0</v>
      </c>
      <c r="D42" s="172">
        <f t="shared" si="0"/>
        <v>0</v>
      </c>
      <c r="E42" s="172">
        <f t="shared" si="5"/>
        <v>1.0413779574929856</v>
      </c>
      <c r="F42" s="173" t="str">
        <f t="shared" si="3"/>
        <v>C</v>
      </c>
      <c r="G42" s="173" t="str">
        <f t="shared" si="1"/>
        <v>C</v>
      </c>
      <c r="I42" s="182" t="s">
        <v>141</v>
      </c>
      <c r="J42" s="171">
        <f>'Юнит 10'!U22</f>
        <v>1</v>
      </c>
      <c r="K42" s="172">
        <f t="shared" si="2"/>
        <v>4.8947626040137058E-4</v>
      </c>
      <c r="L42" s="172">
        <f t="shared" si="6"/>
        <v>0.99216837983357831</v>
      </c>
      <c r="M42" s="173" t="str">
        <f t="shared" si="4"/>
        <v>C</v>
      </c>
    </row>
    <row r="43" spans="2:13" ht="15" outlineLevel="1" thickBot="1">
      <c r="B43" s="182" t="s">
        <v>139</v>
      </c>
      <c r="C43" s="171">
        <f>'Юнит 10'!AO20</f>
        <v>0</v>
      </c>
      <c r="D43" s="172">
        <f t="shared" si="0"/>
        <v>0</v>
      </c>
      <c r="E43" s="172">
        <f t="shared" si="5"/>
        <v>1.0413779574929856</v>
      </c>
      <c r="F43" s="173" t="str">
        <f t="shared" si="3"/>
        <v>C</v>
      </c>
      <c r="G43" s="173" t="str">
        <f t="shared" si="1"/>
        <v>C</v>
      </c>
      <c r="I43" s="182" t="s">
        <v>152</v>
      </c>
      <c r="J43" s="171">
        <f>'Юнит 10'!U33</f>
        <v>1</v>
      </c>
      <c r="K43" s="172">
        <f t="shared" si="2"/>
        <v>4.8947626040137058E-4</v>
      </c>
      <c r="L43" s="172">
        <f t="shared" si="6"/>
        <v>0.99265785609397972</v>
      </c>
      <c r="M43" s="173" t="str">
        <f t="shared" si="4"/>
        <v>C</v>
      </c>
    </row>
    <row r="44" spans="2:13" ht="15" outlineLevel="1" thickBot="1">
      <c r="B44" s="182" t="s">
        <v>140</v>
      </c>
      <c r="C44" s="171">
        <f>'Юнит 10'!AO21</f>
        <v>0</v>
      </c>
      <c r="D44" s="172">
        <f t="shared" si="0"/>
        <v>0</v>
      </c>
      <c r="E44" s="172">
        <f t="shared" si="5"/>
        <v>1.0413779574929856</v>
      </c>
      <c r="F44" s="173" t="str">
        <f t="shared" si="3"/>
        <v>C</v>
      </c>
      <c r="G44" s="173" t="str">
        <f t="shared" si="1"/>
        <v>C</v>
      </c>
      <c r="I44" s="182" t="s">
        <v>160</v>
      </c>
      <c r="J44" s="171">
        <f>'Юнит 10'!U41</f>
        <v>1</v>
      </c>
      <c r="K44" s="172">
        <f t="shared" si="2"/>
        <v>4.8947626040137058E-4</v>
      </c>
      <c r="L44" s="172">
        <f t="shared" si="6"/>
        <v>0.99314733235438113</v>
      </c>
      <c r="M44" s="173" t="str">
        <f t="shared" si="4"/>
        <v>C</v>
      </c>
    </row>
    <row r="45" spans="2:13" ht="15" outlineLevel="1" thickBot="1">
      <c r="B45" s="182" t="s">
        <v>142</v>
      </c>
      <c r="C45" s="171">
        <f>'Юнит 10'!AO23</f>
        <v>0</v>
      </c>
      <c r="D45" s="172">
        <f t="shared" si="0"/>
        <v>0</v>
      </c>
      <c r="E45" s="172">
        <f t="shared" si="5"/>
        <v>1.0413779574929856</v>
      </c>
      <c r="F45" s="173" t="str">
        <f t="shared" si="3"/>
        <v>C</v>
      </c>
      <c r="G45" s="173" t="str">
        <f t="shared" si="1"/>
        <v>C</v>
      </c>
      <c r="I45" s="182" t="s">
        <v>173</v>
      </c>
      <c r="J45" s="171">
        <f>'Юнит 10'!U54</f>
        <v>1</v>
      </c>
      <c r="K45" s="172">
        <f t="shared" si="2"/>
        <v>4.8947626040137058E-4</v>
      </c>
      <c r="L45" s="172">
        <f t="shared" si="6"/>
        <v>0.99363680861478254</v>
      </c>
      <c r="M45" s="173" t="str">
        <f t="shared" si="4"/>
        <v>C</v>
      </c>
    </row>
    <row r="46" spans="2:13" ht="15" outlineLevel="1" thickBot="1">
      <c r="B46" s="182" t="s">
        <v>143</v>
      </c>
      <c r="C46" s="171">
        <f>'Юнит 10'!AO24</f>
        <v>0</v>
      </c>
      <c r="D46" s="172">
        <f t="shared" si="0"/>
        <v>0</v>
      </c>
      <c r="E46" s="172">
        <f t="shared" si="5"/>
        <v>1.0413779574929856</v>
      </c>
      <c r="F46" s="173" t="str">
        <f t="shared" si="3"/>
        <v>C</v>
      </c>
      <c r="G46" s="173" t="str">
        <f t="shared" si="1"/>
        <v>C</v>
      </c>
      <c r="I46" s="182" t="s">
        <v>186</v>
      </c>
      <c r="J46" s="171">
        <f>'Юнит 10'!U67</f>
        <v>1</v>
      </c>
      <c r="K46" s="172">
        <f t="shared" si="2"/>
        <v>4.8947626040137058E-4</v>
      </c>
      <c r="L46" s="172">
        <f t="shared" si="6"/>
        <v>0.99412628487518395</v>
      </c>
      <c r="M46" s="173" t="str">
        <f t="shared" si="4"/>
        <v>C</v>
      </c>
    </row>
    <row r="47" spans="2:13" ht="15" outlineLevel="1" thickBot="1">
      <c r="B47" s="182" t="s">
        <v>144</v>
      </c>
      <c r="C47" s="171">
        <f>'Юнит 10'!AO25</f>
        <v>0</v>
      </c>
      <c r="D47" s="172">
        <f t="shared" si="0"/>
        <v>0</v>
      </c>
      <c r="E47" s="172">
        <f t="shared" si="5"/>
        <v>1.0413779574929856</v>
      </c>
      <c r="F47" s="173" t="str">
        <f t="shared" si="3"/>
        <v>C</v>
      </c>
      <c r="G47" s="173" t="str">
        <f t="shared" si="1"/>
        <v>C</v>
      </c>
      <c r="I47" s="182" t="s">
        <v>192</v>
      </c>
      <c r="J47" s="171">
        <f>'Юнит 10'!U73</f>
        <v>1</v>
      </c>
      <c r="K47" s="172">
        <f t="shared" si="2"/>
        <v>4.8947626040137058E-4</v>
      </c>
      <c r="L47" s="172">
        <f t="shared" si="6"/>
        <v>0.99461576113558536</v>
      </c>
      <c r="M47" s="173" t="str">
        <f t="shared" si="4"/>
        <v>C</v>
      </c>
    </row>
    <row r="48" spans="2:13" ht="15" outlineLevel="1" thickBot="1">
      <c r="B48" s="182" t="s">
        <v>148</v>
      </c>
      <c r="C48" s="171">
        <f>'Юнит 10'!AO29</f>
        <v>0</v>
      </c>
      <c r="D48" s="172">
        <f t="shared" si="0"/>
        <v>0</v>
      </c>
      <c r="E48" s="172">
        <f t="shared" si="5"/>
        <v>1.0413779574929856</v>
      </c>
      <c r="F48" s="173" t="str">
        <f t="shared" si="3"/>
        <v>C</v>
      </c>
      <c r="G48" s="173" t="str">
        <f t="shared" si="1"/>
        <v>C</v>
      </c>
      <c r="I48" s="182" t="s">
        <v>194</v>
      </c>
      <c r="J48" s="171">
        <f>'Юнит 10'!U75</f>
        <v>1</v>
      </c>
      <c r="K48" s="172">
        <f t="shared" si="2"/>
        <v>4.8947626040137058E-4</v>
      </c>
      <c r="L48" s="172">
        <f t="shared" si="6"/>
        <v>0.99510523739598677</v>
      </c>
      <c r="M48" s="173" t="str">
        <f t="shared" si="4"/>
        <v>C</v>
      </c>
    </row>
    <row r="49" spans="2:13" ht="26.5" outlineLevel="1" thickBot="1">
      <c r="B49" s="182" t="s">
        <v>150</v>
      </c>
      <c r="C49" s="171">
        <f>'Юнит 10'!AO31</f>
        <v>0</v>
      </c>
      <c r="D49" s="172">
        <f t="shared" si="0"/>
        <v>0</v>
      </c>
      <c r="E49" s="172">
        <f t="shared" si="5"/>
        <v>1.0413779574929856</v>
      </c>
      <c r="F49" s="173" t="str">
        <f t="shared" si="3"/>
        <v>C</v>
      </c>
      <c r="G49" s="173" t="str">
        <f t="shared" si="1"/>
        <v>C</v>
      </c>
      <c r="I49" s="182" t="s">
        <v>196</v>
      </c>
      <c r="J49" s="171">
        <f>'Юнит 10'!U77</f>
        <v>1</v>
      </c>
      <c r="K49" s="172">
        <f t="shared" si="2"/>
        <v>4.8947626040137058E-4</v>
      </c>
      <c r="L49" s="172">
        <f t="shared" si="6"/>
        <v>0.99559471365638819</v>
      </c>
      <c r="M49" s="173" t="str">
        <f t="shared" si="4"/>
        <v>C</v>
      </c>
    </row>
    <row r="50" spans="2:13" ht="15" outlineLevel="1" thickBot="1">
      <c r="B50" s="182" t="s">
        <v>151</v>
      </c>
      <c r="C50" s="171">
        <f>'Юнит 10'!AO32</f>
        <v>0</v>
      </c>
      <c r="D50" s="172">
        <f t="shared" si="0"/>
        <v>0</v>
      </c>
      <c r="E50" s="172">
        <f t="shared" si="5"/>
        <v>1.0413779574929856</v>
      </c>
      <c r="F50" s="173" t="str">
        <f t="shared" si="3"/>
        <v>C</v>
      </c>
      <c r="G50" s="173" t="str">
        <f t="shared" si="1"/>
        <v>C</v>
      </c>
      <c r="I50" s="182" t="s">
        <v>197</v>
      </c>
      <c r="J50" s="171">
        <f>'Юнит 10'!U78</f>
        <v>1</v>
      </c>
      <c r="K50" s="172">
        <f t="shared" si="2"/>
        <v>4.8947626040137058E-4</v>
      </c>
      <c r="L50" s="172">
        <f t="shared" si="6"/>
        <v>0.9960841899167896</v>
      </c>
      <c r="M50" s="173" t="str">
        <f t="shared" si="4"/>
        <v>C</v>
      </c>
    </row>
    <row r="51" spans="2:13" ht="26.5" outlineLevel="1" thickBot="1">
      <c r="B51" s="182" t="s">
        <v>154</v>
      </c>
      <c r="C51" s="171">
        <f>'Юнит 10'!AO35</f>
        <v>0</v>
      </c>
      <c r="D51" s="172">
        <f t="shared" si="0"/>
        <v>0</v>
      </c>
      <c r="E51" s="172">
        <f t="shared" si="5"/>
        <v>1.0413779574929856</v>
      </c>
      <c r="F51" s="173" t="str">
        <f t="shared" si="3"/>
        <v>C</v>
      </c>
      <c r="G51" s="173" t="str">
        <f t="shared" si="1"/>
        <v>C</v>
      </c>
      <c r="I51" s="182" t="s">
        <v>201</v>
      </c>
      <c r="J51" s="171">
        <f>'Юнит 10'!U82</f>
        <v>1</v>
      </c>
      <c r="K51" s="172">
        <f t="shared" si="2"/>
        <v>4.8947626040137058E-4</v>
      </c>
      <c r="L51" s="172">
        <f t="shared" si="6"/>
        <v>0.99657366617719101</v>
      </c>
      <c r="M51" s="173" t="str">
        <f t="shared" si="4"/>
        <v>C</v>
      </c>
    </row>
    <row r="52" spans="2:13" ht="26.5" outlineLevel="1" thickBot="1">
      <c r="B52" s="182" t="s">
        <v>155</v>
      </c>
      <c r="C52" s="171">
        <f>'Юнит 10'!AO36</f>
        <v>0</v>
      </c>
      <c r="D52" s="172">
        <f t="shared" si="0"/>
        <v>0</v>
      </c>
      <c r="E52" s="172">
        <f t="shared" si="5"/>
        <v>1.0413779574929856</v>
      </c>
      <c r="F52" s="173" t="str">
        <f t="shared" si="3"/>
        <v>C</v>
      </c>
      <c r="G52" s="173" t="str">
        <f t="shared" si="1"/>
        <v>C</v>
      </c>
      <c r="I52" s="182" t="s">
        <v>204</v>
      </c>
      <c r="J52" s="171">
        <f>'Юнит 10'!U85</f>
        <v>1</v>
      </c>
      <c r="K52" s="172">
        <f t="shared" si="2"/>
        <v>4.8947626040137058E-4</v>
      </c>
      <c r="L52" s="172">
        <f t="shared" si="6"/>
        <v>0.99706314243759242</v>
      </c>
      <c r="M52" s="173" t="str">
        <f t="shared" si="4"/>
        <v>C</v>
      </c>
    </row>
    <row r="53" spans="2:13" ht="26.5" outlineLevel="1" thickBot="1">
      <c r="B53" s="182" t="s">
        <v>165</v>
      </c>
      <c r="C53" s="171">
        <f>'Юнит 10'!AO46</f>
        <v>0</v>
      </c>
      <c r="D53" s="172">
        <f t="shared" si="0"/>
        <v>0</v>
      </c>
      <c r="E53" s="172">
        <f t="shared" si="5"/>
        <v>1.0413779574929856</v>
      </c>
      <c r="F53" s="173" t="str">
        <f t="shared" si="3"/>
        <v>C</v>
      </c>
      <c r="G53" s="173" t="str">
        <f t="shared" si="1"/>
        <v>C</v>
      </c>
      <c r="I53" s="182" t="s">
        <v>212</v>
      </c>
      <c r="J53" s="171">
        <f>'Юнит 10'!U93</f>
        <v>1</v>
      </c>
      <c r="K53" s="172">
        <f t="shared" si="2"/>
        <v>4.8947626040137058E-4</v>
      </c>
      <c r="L53" s="172">
        <f t="shared" si="6"/>
        <v>0.99755261869799383</v>
      </c>
      <c r="M53" s="173" t="str">
        <f t="shared" si="4"/>
        <v>C</v>
      </c>
    </row>
    <row r="54" spans="2:13" ht="26.5" outlineLevel="1" thickBot="1">
      <c r="B54" s="182" t="s">
        <v>174</v>
      </c>
      <c r="C54" s="171">
        <f>'Юнит 10'!AO55</f>
        <v>0</v>
      </c>
      <c r="D54" s="172">
        <f t="shared" si="0"/>
        <v>0</v>
      </c>
      <c r="E54" s="172">
        <f t="shared" si="5"/>
        <v>1.0413779574929856</v>
      </c>
      <c r="F54" s="173" t="str">
        <f t="shared" si="3"/>
        <v>C</v>
      </c>
      <c r="G54" s="173" t="str">
        <f t="shared" si="1"/>
        <v>C</v>
      </c>
      <c r="I54" s="182" t="s">
        <v>138</v>
      </c>
      <c r="J54" s="171">
        <f>'Юнит 10'!U19</f>
        <v>0</v>
      </c>
      <c r="K54" s="172">
        <f t="shared" si="2"/>
        <v>0</v>
      </c>
      <c r="L54" s="172">
        <f t="shared" si="6"/>
        <v>0.99755261869799383</v>
      </c>
      <c r="M54" s="173" t="str">
        <f t="shared" si="4"/>
        <v>C</v>
      </c>
    </row>
    <row r="55" spans="2:13" ht="15" outlineLevel="1" thickBot="1">
      <c r="B55" s="182" t="s">
        <v>175</v>
      </c>
      <c r="C55" s="171">
        <f>'Юнит 10'!AO56</f>
        <v>0</v>
      </c>
      <c r="D55" s="172">
        <f t="shared" si="0"/>
        <v>0</v>
      </c>
      <c r="E55" s="172">
        <f t="shared" si="5"/>
        <v>1.0413779574929856</v>
      </c>
      <c r="F55" s="173" t="str">
        <f t="shared" si="3"/>
        <v>C</v>
      </c>
      <c r="G55" s="173" t="str">
        <f t="shared" si="1"/>
        <v>C</v>
      </c>
      <c r="I55" s="182" t="s">
        <v>139</v>
      </c>
      <c r="J55" s="171">
        <f>'Юнит 10'!U20</f>
        <v>0</v>
      </c>
      <c r="K55" s="172">
        <f t="shared" si="2"/>
        <v>0</v>
      </c>
      <c r="L55" s="172">
        <f t="shared" si="6"/>
        <v>0.99755261869799383</v>
      </c>
      <c r="M55" s="173" t="str">
        <f t="shared" si="4"/>
        <v>C</v>
      </c>
    </row>
    <row r="56" spans="2:13" ht="15" outlineLevel="1" thickBot="1">
      <c r="B56" s="182" t="s">
        <v>176</v>
      </c>
      <c r="C56" s="171">
        <f>'Юнит 10'!AO57</f>
        <v>0</v>
      </c>
      <c r="D56" s="172">
        <f t="shared" si="0"/>
        <v>0</v>
      </c>
      <c r="E56" s="172">
        <f t="shared" si="5"/>
        <v>1.0413779574929856</v>
      </c>
      <c r="F56" s="173" t="str">
        <f t="shared" si="3"/>
        <v>C</v>
      </c>
      <c r="G56" s="173" t="str">
        <f t="shared" si="1"/>
        <v>C</v>
      </c>
      <c r="I56" s="182" t="s">
        <v>140</v>
      </c>
      <c r="J56" s="171">
        <f>'Юнит 10'!U21</f>
        <v>0</v>
      </c>
      <c r="K56" s="172">
        <f t="shared" si="2"/>
        <v>0</v>
      </c>
      <c r="L56" s="172">
        <f t="shared" si="6"/>
        <v>0.99755261869799383</v>
      </c>
      <c r="M56" s="173" t="str">
        <f t="shared" si="4"/>
        <v>C</v>
      </c>
    </row>
    <row r="57" spans="2:13" ht="15" outlineLevel="1" thickBot="1">
      <c r="B57" s="182" t="s">
        <v>178</v>
      </c>
      <c r="C57" s="171">
        <f>'Юнит 10'!AO59</f>
        <v>0</v>
      </c>
      <c r="D57" s="172">
        <f t="shared" si="0"/>
        <v>0</v>
      </c>
      <c r="E57" s="172">
        <f t="shared" si="5"/>
        <v>1.0413779574929856</v>
      </c>
      <c r="F57" s="173" t="str">
        <f t="shared" si="3"/>
        <v>C</v>
      </c>
      <c r="G57" s="173" t="str">
        <f t="shared" si="1"/>
        <v>C</v>
      </c>
      <c r="I57" s="182" t="s">
        <v>142</v>
      </c>
      <c r="J57" s="171">
        <f>'Юнит 10'!U23</f>
        <v>0</v>
      </c>
      <c r="K57" s="172">
        <f t="shared" si="2"/>
        <v>0</v>
      </c>
      <c r="L57" s="172">
        <f t="shared" si="6"/>
        <v>0.99755261869799383</v>
      </c>
      <c r="M57" s="173" t="str">
        <f t="shared" si="4"/>
        <v>C</v>
      </c>
    </row>
    <row r="58" spans="2:13" ht="15" outlineLevel="1" thickBot="1">
      <c r="B58" s="182" t="s">
        <v>181</v>
      </c>
      <c r="C58" s="171">
        <f>'Юнит 10'!AO62</f>
        <v>0</v>
      </c>
      <c r="D58" s="172">
        <f t="shared" si="0"/>
        <v>0</v>
      </c>
      <c r="E58" s="172">
        <f t="shared" si="5"/>
        <v>1.0413779574929856</v>
      </c>
      <c r="F58" s="173" t="str">
        <f t="shared" si="3"/>
        <v>C</v>
      </c>
      <c r="G58" s="173" t="str">
        <f t="shared" si="1"/>
        <v>C</v>
      </c>
      <c r="I58" s="182" t="s">
        <v>143</v>
      </c>
      <c r="J58" s="171">
        <f>'Юнит 10'!U24</f>
        <v>0</v>
      </c>
      <c r="K58" s="172">
        <f t="shared" si="2"/>
        <v>0</v>
      </c>
      <c r="L58" s="172">
        <f t="shared" si="6"/>
        <v>0.99755261869799383</v>
      </c>
      <c r="M58" s="173" t="str">
        <f t="shared" si="4"/>
        <v>C</v>
      </c>
    </row>
    <row r="59" spans="2:13" ht="15" outlineLevel="1" thickBot="1">
      <c r="B59" s="182" t="s">
        <v>182</v>
      </c>
      <c r="C59" s="171">
        <f>'Юнит 10'!AO63</f>
        <v>0</v>
      </c>
      <c r="D59" s="172">
        <f t="shared" si="0"/>
        <v>0</v>
      </c>
      <c r="E59" s="172">
        <f t="shared" si="5"/>
        <v>1.0413779574929856</v>
      </c>
      <c r="F59" s="173" t="str">
        <f t="shared" si="3"/>
        <v>C</v>
      </c>
      <c r="G59" s="173" t="str">
        <f t="shared" si="1"/>
        <v>C</v>
      </c>
      <c r="I59" s="182" t="s">
        <v>144</v>
      </c>
      <c r="J59" s="171">
        <f>'Юнит 10'!U25</f>
        <v>0</v>
      </c>
      <c r="K59" s="172">
        <f t="shared" si="2"/>
        <v>0</v>
      </c>
      <c r="L59" s="172">
        <f t="shared" si="6"/>
        <v>0.99755261869799383</v>
      </c>
      <c r="M59" s="173" t="str">
        <f t="shared" si="4"/>
        <v>C</v>
      </c>
    </row>
    <row r="60" spans="2:13" ht="15" outlineLevel="1" thickBot="1">
      <c r="B60" s="182" t="s">
        <v>183</v>
      </c>
      <c r="C60" s="171">
        <f>'Юнит 10'!AO64</f>
        <v>0</v>
      </c>
      <c r="D60" s="172">
        <f t="shared" si="0"/>
        <v>0</v>
      </c>
      <c r="E60" s="172">
        <f t="shared" si="5"/>
        <v>1.0413779574929856</v>
      </c>
      <c r="F60" s="173" t="str">
        <f t="shared" si="3"/>
        <v>C</v>
      </c>
      <c r="G60" s="173" t="str">
        <f t="shared" si="1"/>
        <v>C</v>
      </c>
      <c r="I60" s="182" t="s">
        <v>148</v>
      </c>
      <c r="J60" s="171">
        <f>'Юнит 10'!U29</f>
        <v>0</v>
      </c>
      <c r="K60" s="172">
        <f t="shared" si="2"/>
        <v>0</v>
      </c>
      <c r="L60" s="172">
        <f t="shared" si="6"/>
        <v>0.99755261869799383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10'!AO68</f>
        <v>0</v>
      </c>
      <c r="D61" s="172">
        <f t="shared" si="0"/>
        <v>0</v>
      </c>
      <c r="E61" s="172">
        <f t="shared" si="5"/>
        <v>1.0413779574929856</v>
      </c>
      <c r="F61" s="173" t="str">
        <f t="shared" si="3"/>
        <v>C</v>
      </c>
      <c r="G61" s="173" t="str">
        <f t="shared" si="1"/>
        <v>C</v>
      </c>
      <c r="I61" s="182" t="s">
        <v>149</v>
      </c>
      <c r="J61" s="171">
        <f>'Юнит 10'!U30</f>
        <v>0</v>
      </c>
      <c r="K61" s="172">
        <f t="shared" si="2"/>
        <v>0</v>
      </c>
      <c r="L61" s="172">
        <f t="shared" si="6"/>
        <v>0.99755261869799383</v>
      </c>
      <c r="M61" s="173" t="str">
        <f t="shared" si="4"/>
        <v>C</v>
      </c>
    </row>
    <row r="62" spans="2:13" ht="26.5" outlineLevel="1" thickBot="1">
      <c r="B62" s="182" t="s">
        <v>213</v>
      </c>
      <c r="C62" s="171">
        <f>'Юнит 10'!AO94</f>
        <v>0</v>
      </c>
      <c r="D62" s="172">
        <f t="shared" si="0"/>
        <v>0</v>
      </c>
      <c r="E62" s="172">
        <f t="shared" si="5"/>
        <v>1.0413779574929856</v>
      </c>
      <c r="F62" s="173" t="str">
        <f t="shared" si="3"/>
        <v>C</v>
      </c>
      <c r="G62" s="173" t="str">
        <f t="shared" si="1"/>
        <v>C</v>
      </c>
      <c r="I62" s="182" t="s">
        <v>150</v>
      </c>
      <c r="J62" s="171">
        <f>'Юнит 10'!U31</f>
        <v>0</v>
      </c>
      <c r="K62" s="172">
        <f t="shared" si="2"/>
        <v>0</v>
      </c>
      <c r="L62" s="172">
        <f t="shared" si="6"/>
        <v>0.99755261869799383</v>
      </c>
      <c r="M62" s="173" t="str">
        <f t="shared" si="4"/>
        <v>C</v>
      </c>
    </row>
    <row r="63" spans="2:13" ht="26.5" outlineLevel="1" thickBot="1">
      <c r="B63" s="182" t="s">
        <v>214</v>
      </c>
      <c r="C63" s="171">
        <f>'Юнит 10'!AO95</f>
        <v>0</v>
      </c>
      <c r="D63" s="172">
        <f t="shared" si="0"/>
        <v>0</v>
      </c>
      <c r="E63" s="172">
        <f t="shared" si="5"/>
        <v>1.0413779574929856</v>
      </c>
      <c r="F63" s="173" t="str">
        <f t="shared" si="3"/>
        <v>C</v>
      </c>
      <c r="G63" s="173" t="str">
        <f t="shared" si="1"/>
        <v>C</v>
      </c>
      <c r="I63" s="182" t="s">
        <v>151</v>
      </c>
      <c r="J63" s="171">
        <f>'Юнит 10'!U32</f>
        <v>0</v>
      </c>
      <c r="K63" s="172">
        <f t="shared" si="2"/>
        <v>0</v>
      </c>
      <c r="L63" s="172">
        <f t="shared" si="6"/>
        <v>0.99755261869799383</v>
      </c>
      <c r="M63" s="173" t="str">
        <f t="shared" si="4"/>
        <v>C</v>
      </c>
    </row>
    <row r="64" spans="2:13" ht="15" outlineLevel="1" thickBot="1">
      <c r="B64" s="182" t="s">
        <v>215</v>
      </c>
      <c r="C64" s="171">
        <f>'Юнит 10'!AO96</f>
        <v>0</v>
      </c>
      <c r="D64" s="172">
        <f t="shared" si="0"/>
        <v>0</v>
      </c>
      <c r="E64" s="172">
        <f t="shared" si="5"/>
        <v>1.0413779574929856</v>
      </c>
      <c r="F64" s="173" t="str">
        <f t="shared" si="3"/>
        <v>C</v>
      </c>
      <c r="G64" s="173" t="str">
        <f t="shared" si="1"/>
        <v>C</v>
      </c>
      <c r="I64" s="182" t="s">
        <v>154</v>
      </c>
      <c r="J64" s="171">
        <f>'Юнит 10'!U35</f>
        <v>0</v>
      </c>
      <c r="K64" s="172">
        <f t="shared" si="2"/>
        <v>0</v>
      </c>
      <c r="L64" s="172">
        <f t="shared" si="6"/>
        <v>0.99755261869799383</v>
      </c>
      <c r="M64" s="173" t="str">
        <f t="shared" si="4"/>
        <v>C</v>
      </c>
    </row>
    <row r="65" spans="2:13" ht="15" outlineLevel="1" thickBot="1">
      <c r="B65" s="182" t="s">
        <v>256</v>
      </c>
      <c r="C65" s="171">
        <f>'Юнит 10'!AO99</f>
        <v>0</v>
      </c>
      <c r="D65" s="172">
        <f t="shared" si="0"/>
        <v>0</v>
      </c>
      <c r="E65" s="172">
        <f t="shared" si="5"/>
        <v>1.0413779574929856</v>
      </c>
      <c r="F65" s="173" t="str">
        <f t="shared" si="3"/>
        <v>C</v>
      </c>
      <c r="G65" s="173" t="str">
        <f t="shared" si="1"/>
        <v>C</v>
      </c>
      <c r="I65" s="182" t="s">
        <v>155</v>
      </c>
      <c r="J65" s="171">
        <f>'Юнит 10'!U36</f>
        <v>0</v>
      </c>
      <c r="K65" s="172">
        <f t="shared" si="2"/>
        <v>0</v>
      </c>
      <c r="L65" s="172">
        <f t="shared" si="6"/>
        <v>0.99755261869799383</v>
      </c>
      <c r="M65" s="173" t="str">
        <f t="shared" si="4"/>
        <v>C</v>
      </c>
    </row>
    <row r="66" spans="2:13" ht="15" outlineLevel="1" thickBot="1">
      <c r="B66" s="182" t="s">
        <v>258</v>
      </c>
      <c r="C66" s="171">
        <f>'Юнит 10'!AO101</f>
        <v>0</v>
      </c>
      <c r="D66" s="172">
        <f t="shared" si="0"/>
        <v>0</v>
      </c>
      <c r="E66" s="172">
        <f t="shared" si="5"/>
        <v>1.0413779574929856</v>
      </c>
      <c r="F66" s="173" t="str">
        <f t="shared" si="3"/>
        <v>C</v>
      </c>
      <c r="G66" s="173" t="str">
        <f t="shared" si="1"/>
        <v>C</v>
      </c>
      <c r="I66" s="182" t="s">
        <v>157</v>
      </c>
      <c r="J66" s="171">
        <f>'Юнит 10'!U38</f>
        <v>0</v>
      </c>
      <c r="K66" s="172">
        <f t="shared" si="2"/>
        <v>0</v>
      </c>
      <c r="L66" s="172">
        <f t="shared" si="6"/>
        <v>0.99755261869799383</v>
      </c>
      <c r="M66" s="173" t="str">
        <f t="shared" si="4"/>
        <v>C</v>
      </c>
    </row>
    <row r="67" spans="2:13" ht="26.5" outlineLevel="1" thickBot="1">
      <c r="B67" s="182" t="s">
        <v>260</v>
      </c>
      <c r="C67" s="171">
        <f>'Юнит 10'!AO103</f>
        <v>0</v>
      </c>
      <c r="D67" s="172">
        <f t="shared" si="0"/>
        <v>0</v>
      </c>
      <c r="E67" s="172">
        <f t="shared" si="5"/>
        <v>1.0413779574929856</v>
      </c>
      <c r="F67" s="173" t="str">
        <f t="shared" si="3"/>
        <v>C</v>
      </c>
      <c r="G67" s="173" t="str">
        <f t="shared" si="1"/>
        <v>C</v>
      </c>
      <c r="I67" s="182" t="s">
        <v>159</v>
      </c>
      <c r="J67" s="171">
        <f>'Юнит 10'!U40</f>
        <v>0</v>
      </c>
      <c r="K67" s="172">
        <f t="shared" si="2"/>
        <v>0</v>
      </c>
      <c r="L67" s="172">
        <f t="shared" si="6"/>
        <v>0.99755261869799383</v>
      </c>
      <c r="M67" s="173" t="str">
        <f t="shared" si="4"/>
        <v>C</v>
      </c>
    </row>
    <row r="68" spans="2:13" ht="26.5" outlineLevel="1" thickBot="1">
      <c r="B68" s="182" t="s">
        <v>185</v>
      </c>
      <c r="C68" s="171">
        <f>'Юнит 10'!AO66</f>
        <v>-1.0034150733087541</v>
      </c>
      <c r="D68" s="172">
        <f t="shared" ref="D68:D104" si="7">C68/C$105</f>
        <v>-1.5203506183958779E-6</v>
      </c>
      <c r="E68" s="172">
        <f t="shared" si="5"/>
        <v>1.0413764371423673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165</v>
      </c>
      <c r="J68" s="171">
        <f>'Юнит 10'!U46</f>
        <v>0</v>
      </c>
      <c r="K68" s="172">
        <f t="shared" ref="K68:K104" si="9">J68/J$105</f>
        <v>0</v>
      </c>
      <c r="L68" s="172">
        <f t="shared" si="6"/>
        <v>0.99755261869799383</v>
      </c>
      <c r="M68" s="173" t="str">
        <f t="shared" si="4"/>
        <v>C</v>
      </c>
    </row>
    <row r="69" spans="2:13" ht="15" outlineLevel="1" thickBot="1">
      <c r="B69" s="182" t="s">
        <v>170</v>
      </c>
      <c r="C69" s="171">
        <f>'Юнит 10'!AO51</f>
        <v>-2.0068301466175082</v>
      </c>
      <c r="D69" s="172">
        <f t="shared" si="7"/>
        <v>-3.0407012367917558E-6</v>
      </c>
      <c r="E69" s="172">
        <f t="shared" si="5"/>
        <v>1.0413733964411305</v>
      </c>
      <c r="F69" s="173" t="str">
        <f t="shared" si="3"/>
        <v>C</v>
      </c>
      <c r="G69" s="173" t="str">
        <f t="shared" si="8"/>
        <v>C</v>
      </c>
      <c r="I69" s="182" t="s">
        <v>170</v>
      </c>
      <c r="J69" s="171">
        <f>'Юнит 10'!U51</f>
        <v>0</v>
      </c>
      <c r="K69" s="172">
        <f t="shared" si="9"/>
        <v>0</v>
      </c>
      <c r="L69" s="172">
        <f t="shared" si="6"/>
        <v>0.99755261869799383</v>
      </c>
      <c r="M69" s="173" t="str">
        <f t="shared" si="4"/>
        <v>C</v>
      </c>
    </row>
    <row r="70" spans="2:13" ht="26.5" outlineLevel="1" thickBot="1">
      <c r="B70" s="182" t="s">
        <v>216</v>
      </c>
      <c r="C70" s="171">
        <f>'Юнит 10'!AO97</f>
        <v>-3.0102452199262624</v>
      </c>
      <c r="D70" s="172">
        <f t="shared" si="7"/>
        <v>-4.5610518551876337E-6</v>
      </c>
      <c r="E70" s="172">
        <f t="shared" ref="E70:E75" si="10">E69+D70</f>
        <v>1.0413688353892754</v>
      </c>
      <c r="F70" s="173" t="str">
        <f t="shared" si="3"/>
        <v>C</v>
      </c>
      <c r="G70" s="173" t="str">
        <f t="shared" si="8"/>
        <v>C</v>
      </c>
      <c r="I70" s="182" t="s">
        <v>172</v>
      </c>
      <c r="J70" s="171">
        <f>'Юнит 10'!U53</f>
        <v>0</v>
      </c>
      <c r="K70" s="172">
        <f t="shared" si="9"/>
        <v>0</v>
      </c>
      <c r="L70" s="172">
        <f t="shared" ref="L70:L75" si="11">L69+K70</f>
        <v>0.99755261869799383</v>
      </c>
      <c r="M70" s="173" t="str">
        <f t="shared" si="4"/>
        <v>C</v>
      </c>
    </row>
    <row r="71" spans="2:13" ht="15" outlineLevel="1" thickBot="1">
      <c r="B71" s="182" t="s">
        <v>208</v>
      </c>
      <c r="C71" s="171">
        <f>'Юнит 10'!AO89</f>
        <v>-35.119527565806393</v>
      </c>
      <c r="D71" s="172">
        <f t="shared" si="7"/>
        <v>-5.321227164385573E-5</v>
      </c>
      <c r="E71" s="172">
        <f t="shared" si="10"/>
        <v>1.0413156231176315</v>
      </c>
      <c r="F71" s="173" t="str">
        <f t="shared" si="3"/>
        <v>C</v>
      </c>
      <c r="G71" s="173" t="str">
        <f t="shared" si="8"/>
        <v>C</v>
      </c>
      <c r="I71" s="182" t="s">
        <v>174</v>
      </c>
      <c r="J71" s="171">
        <f>'Юнит 10'!U55</f>
        <v>0</v>
      </c>
      <c r="K71" s="172">
        <f t="shared" si="9"/>
        <v>0</v>
      </c>
      <c r="L71" s="172">
        <f t="shared" si="11"/>
        <v>0.99755261869799383</v>
      </c>
      <c r="M71" s="173" t="str">
        <f t="shared" si="4"/>
        <v>C</v>
      </c>
    </row>
    <row r="72" spans="2:13" ht="26.5" outlineLevel="1" thickBot="1">
      <c r="B72" s="182" t="s">
        <v>205</v>
      </c>
      <c r="C72" s="171">
        <f>'Юнит 10'!AO86</f>
        <v>-44.150263225585185</v>
      </c>
      <c r="D72" s="172">
        <f t="shared" si="7"/>
        <v>-6.6895427209418641E-5</v>
      </c>
      <c r="E72" s="172">
        <f t="shared" si="10"/>
        <v>1.0412487276904221</v>
      </c>
      <c r="F72" s="173" t="str">
        <f t="shared" si="3"/>
        <v>C</v>
      </c>
      <c r="G72" s="173" t="str">
        <f t="shared" si="8"/>
        <v>C</v>
      </c>
      <c r="I72" s="182" t="s">
        <v>175</v>
      </c>
      <c r="J72" s="171">
        <f>'Юнит 10'!U56</f>
        <v>0</v>
      </c>
      <c r="K72" s="172">
        <f t="shared" si="9"/>
        <v>0</v>
      </c>
      <c r="L72" s="172">
        <f t="shared" si="11"/>
        <v>0.99755261869799383</v>
      </c>
      <c r="M72" s="173" t="str">
        <f t="shared" si="4"/>
        <v>C</v>
      </c>
    </row>
    <row r="73" spans="2:13" ht="15" outlineLevel="1" thickBot="1">
      <c r="B73" s="182" t="s">
        <v>194</v>
      </c>
      <c r="C73" s="171">
        <f>'Юнит 10'!AO75</f>
        <v>-44.754156246248726</v>
      </c>
      <c r="D73" s="172">
        <f t="shared" si="7"/>
        <v>-6.7810431529996798E-5</v>
      </c>
      <c r="E73" s="172">
        <f t="shared" si="10"/>
        <v>1.0411809172588922</v>
      </c>
      <c r="F73" s="173" t="str">
        <f t="shared" si="3"/>
        <v>C</v>
      </c>
      <c r="G73" s="173" t="str">
        <f t="shared" si="8"/>
        <v>C</v>
      </c>
      <c r="I73" s="182" t="s">
        <v>176</v>
      </c>
      <c r="J73" s="171">
        <f>'Юнит 10'!U57</f>
        <v>0</v>
      </c>
      <c r="K73" s="172">
        <f t="shared" si="9"/>
        <v>0</v>
      </c>
      <c r="L73" s="172">
        <f t="shared" si="11"/>
        <v>0.99755261869799383</v>
      </c>
      <c r="M73" s="173" t="str">
        <f t="shared" si="4"/>
        <v>C</v>
      </c>
    </row>
    <row r="74" spans="2:13" ht="26.5" outlineLevel="1" thickBot="1">
      <c r="B74" s="182" t="s">
        <v>172</v>
      </c>
      <c r="C74" s="171">
        <f>'Юнит 10'!AO53</f>
        <v>-45.153678298893936</v>
      </c>
      <c r="D74" s="172">
        <f t="shared" si="7"/>
        <v>-6.8415777827814515E-5</v>
      </c>
      <c r="E74" s="172">
        <f t="shared" si="10"/>
        <v>1.0411125014810643</v>
      </c>
      <c r="F74" s="173" t="str">
        <f t="shared" si="3"/>
        <v>C</v>
      </c>
      <c r="G74" s="173" t="str">
        <f t="shared" si="8"/>
        <v>C</v>
      </c>
      <c r="I74" s="182" t="s">
        <v>178</v>
      </c>
      <c r="J74" s="171">
        <f>'Юнит 10'!U59</f>
        <v>0</v>
      </c>
      <c r="K74" s="172">
        <f t="shared" si="9"/>
        <v>0</v>
      </c>
      <c r="L74" s="172">
        <f t="shared" si="11"/>
        <v>0.99755261869799383</v>
      </c>
      <c r="M74" s="173" t="str">
        <f t="shared" si="4"/>
        <v>C</v>
      </c>
    </row>
    <row r="75" spans="2:13" ht="15" outlineLevel="1" thickBot="1">
      <c r="B75" s="182" t="s">
        <v>203</v>
      </c>
      <c r="C75" s="171">
        <f>'Юнит 10'!AO84</f>
        <v>-48.163923518820198</v>
      </c>
      <c r="D75" s="172">
        <f t="shared" si="7"/>
        <v>-7.2976829683002139E-5</v>
      </c>
      <c r="E75" s="172">
        <f t="shared" si="10"/>
        <v>1.0410395246513813</v>
      </c>
      <c r="F75" s="173" t="str">
        <f t="shared" si="3"/>
        <v>C</v>
      </c>
      <c r="G75" s="173" t="str">
        <f t="shared" si="8"/>
        <v>C</v>
      </c>
      <c r="I75" s="182" t="s">
        <v>179</v>
      </c>
      <c r="J75" s="171">
        <f>'Юнит 10'!U60</f>
        <v>0</v>
      </c>
      <c r="K75" s="172">
        <f t="shared" si="9"/>
        <v>0</v>
      </c>
      <c r="L75" s="172">
        <f t="shared" si="11"/>
        <v>0.99755261869799383</v>
      </c>
      <c r="M75" s="173" t="str">
        <f t="shared" si="4"/>
        <v>C</v>
      </c>
    </row>
    <row r="76" spans="2:13" ht="26.5" outlineLevel="1" thickBot="1">
      <c r="B76" s="182" t="s">
        <v>209</v>
      </c>
      <c r="C76" s="171">
        <f>'Юнит 10'!AO90</f>
        <v>-50.170753665437708</v>
      </c>
      <c r="D76" s="172">
        <f t="shared" si="7"/>
        <v>-7.6017530919793901E-5</v>
      </c>
      <c r="E76" s="172">
        <f>E49+D76</f>
        <v>1.0413019399620658</v>
      </c>
      <c r="F76" s="173" t="str">
        <f t="shared" si="3"/>
        <v>C</v>
      </c>
      <c r="G76" s="173" t="str">
        <f t="shared" si="8"/>
        <v>C</v>
      </c>
      <c r="I76" s="182" t="s">
        <v>180</v>
      </c>
      <c r="J76" s="171">
        <f>'Юнит 10'!U61</f>
        <v>0</v>
      </c>
      <c r="K76" s="172">
        <f t="shared" si="9"/>
        <v>0</v>
      </c>
      <c r="L76" s="172">
        <f>L49+K76</f>
        <v>0.99559471365638819</v>
      </c>
      <c r="M76" s="173" t="str">
        <f t="shared" si="4"/>
        <v>C</v>
      </c>
    </row>
    <row r="77" spans="2:13" ht="15" outlineLevel="1" thickBot="1">
      <c r="B77" s="182" t="s">
        <v>146</v>
      </c>
      <c r="C77" s="171">
        <f>'Юнит 10'!AO27</f>
        <v>-51.820295953014494</v>
      </c>
      <c r="D77" s="172">
        <f t="shared" si="7"/>
        <v>-7.8516878102926992E-5</v>
      </c>
      <c r="E77" s="172">
        <f t="shared" ref="E77:E93" si="12">E76+D77</f>
        <v>1.0412234230839628</v>
      </c>
      <c r="F77" s="173" t="str">
        <f t="shared" si="3"/>
        <v>C</v>
      </c>
      <c r="G77" s="173" t="str">
        <f t="shared" si="8"/>
        <v>C</v>
      </c>
      <c r="I77" s="182" t="s">
        <v>181</v>
      </c>
      <c r="J77" s="171">
        <f>'Юнит 10'!U62</f>
        <v>0</v>
      </c>
      <c r="K77" s="172">
        <f t="shared" si="9"/>
        <v>0</v>
      </c>
      <c r="L77" s="172">
        <f t="shared" ref="L77:L94" si="13">L76+K77</f>
        <v>0.99559471365638819</v>
      </c>
      <c r="M77" s="173" t="str">
        <f t="shared" si="4"/>
        <v>C</v>
      </c>
    </row>
    <row r="78" spans="2:13" ht="26.5" outlineLevel="1" thickBot="1">
      <c r="B78" s="182" t="s">
        <v>199</v>
      </c>
      <c r="C78" s="171">
        <f>'Юнит 10'!AO80</f>
        <v>-69.604020345879817</v>
      </c>
      <c r="D78" s="172">
        <f t="shared" si="7"/>
        <v>-1.0546235370647627E-4</v>
      </c>
      <c r="E78" s="172">
        <f t="shared" si="12"/>
        <v>1.0411179607302563</v>
      </c>
      <c r="F78" s="173" t="str">
        <f t="shared" si="3"/>
        <v>C</v>
      </c>
      <c r="G78" s="173" t="str">
        <f t="shared" si="8"/>
        <v>C</v>
      </c>
      <c r="I78" s="182" t="s">
        <v>182</v>
      </c>
      <c r="J78" s="171">
        <f>'Юнит 10'!U63</f>
        <v>0</v>
      </c>
      <c r="K78" s="172">
        <f t="shared" si="9"/>
        <v>0</v>
      </c>
      <c r="L78" s="172">
        <f t="shared" si="13"/>
        <v>0.99559471365638819</v>
      </c>
      <c r="M78" s="173" t="str">
        <f t="shared" si="4"/>
        <v>C</v>
      </c>
    </row>
    <row r="79" spans="2:13" ht="15" outlineLevel="1" thickBot="1">
      <c r="B79" s="182" t="s">
        <v>189</v>
      </c>
      <c r="C79" s="171">
        <f>'Юнит 10'!AO70</f>
        <v>-100.33024521992625</v>
      </c>
      <c r="D79" s="172">
        <f t="shared" si="7"/>
        <v>-1.5201799775733365E-4</v>
      </c>
      <c r="E79" s="172">
        <f t="shared" si="12"/>
        <v>1.0409659427324989</v>
      </c>
      <c r="F79" s="173" t="str">
        <f t="shared" si="3"/>
        <v>C</v>
      </c>
      <c r="G79" s="173" t="str">
        <f t="shared" si="8"/>
        <v>C</v>
      </c>
      <c r="I79" s="182" t="s">
        <v>183</v>
      </c>
      <c r="J79" s="171">
        <f>'Юнит 10'!U64</f>
        <v>0</v>
      </c>
      <c r="K79" s="172">
        <f t="shared" si="9"/>
        <v>0</v>
      </c>
      <c r="L79" s="172">
        <f t="shared" si="13"/>
        <v>0.99559471365638819</v>
      </c>
      <c r="M79" s="173" t="str">
        <f t="shared" si="4"/>
        <v>C</v>
      </c>
    </row>
    <row r="80" spans="2:13" ht="15" outlineLevel="1" thickBot="1">
      <c r="B80" s="182" t="s">
        <v>188</v>
      </c>
      <c r="C80" s="171">
        <f>'Юнит 10'!AO69</f>
        <v>-105.34732058647003</v>
      </c>
      <c r="D80" s="172">
        <f t="shared" si="7"/>
        <v>-1.5961975084931304E-4</v>
      </c>
      <c r="E80" s="172">
        <f t="shared" si="12"/>
        <v>1.0408063229816495</v>
      </c>
      <c r="F80" s="173" t="str">
        <f t="shared" si="3"/>
        <v>C</v>
      </c>
      <c r="G80" s="173" t="str">
        <f t="shared" si="8"/>
        <v>C</v>
      </c>
      <c r="I80" s="182" t="s">
        <v>184</v>
      </c>
      <c r="J80" s="171">
        <f>'Юнит 10'!U65</f>
        <v>0</v>
      </c>
      <c r="K80" s="172">
        <f t="shared" si="9"/>
        <v>0</v>
      </c>
      <c r="L80" s="172">
        <f t="shared" si="13"/>
        <v>0.99559471365638819</v>
      </c>
      <c r="M80" s="173" t="str">
        <f t="shared" si="4"/>
        <v>C</v>
      </c>
    </row>
    <row r="81" spans="2:13" ht="15" outlineLevel="1" thickBot="1">
      <c r="B81" s="182" t="s">
        <v>184</v>
      </c>
      <c r="C81" s="171">
        <f>'Юнит 10'!AO65</f>
        <v>-110.16341507330876</v>
      </c>
      <c r="D81" s="172">
        <f t="shared" si="7"/>
        <v>-1.6691698249959459E-4</v>
      </c>
      <c r="E81" s="172">
        <f t="shared" si="12"/>
        <v>1.0406394059991499</v>
      </c>
      <c r="F81" s="173" t="str">
        <f t="shared" si="3"/>
        <v>C</v>
      </c>
      <c r="G81" s="173" t="str">
        <f t="shared" si="8"/>
        <v>C</v>
      </c>
      <c r="I81" s="182" t="s">
        <v>185</v>
      </c>
      <c r="J81" s="171">
        <f>'Юнит 10'!U66</f>
        <v>0</v>
      </c>
      <c r="K81" s="172">
        <f t="shared" si="9"/>
        <v>0</v>
      </c>
      <c r="L81" s="172">
        <f t="shared" si="13"/>
        <v>0.99559471365638819</v>
      </c>
      <c r="M81" s="173" t="str">
        <f t="shared" si="4"/>
        <v>C</v>
      </c>
    </row>
    <row r="82" spans="2:13" ht="15" outlineLevel="1" thickBot="1">
      <c r="B82" s="182" t="s">
        <v>193</v>
      </c>
      <c r="C82" s="171">
        <f>'Юнит 10'!AO74</f>
        <v>-110.9</v>
      </c>
      <c r="D82" s="172">
        <f t="shared" si="7"/>
        <v>-1.6803303843555275E-4</v>
      </c>
      <c r="E82" s="172">
        <f t="shared" si="12"/>
        <v>1.0404713729607145</v>
      </c>
      <c r="F82" s="173" t="str">
        <f t="shared" si="3"/>
        <v>C</v>
      </c>
      <c r="G82" s="173" t="str">
        <f t="shared" si="8"/>
        <v>C</v>
      </c>
      <c r="I82" s="182" t="s">
        <v>187</v>
      </c>
      <c r="J82" s="171">
        <f>'Юнит 10'!U68</f>
        <v>0</v>
      </c>
      <c r="K82" s="172">
        <f t="shared" si="9"/>
        <v>0</v>
      </c>
      <c r="L82" s="172">
        <f t="shared" si="13"/>
        <v>0.99559471365638819</v>
      </c>
      <c r="M82" s="173" t="str">
        <f t="shared" si="4"/>
        <v>C</v>
      </c>
    </row>
    <row r="83" spans="2:13" ht="15" outlineLevel="1" thickBot="1">
      <c r="B83" s="182" t="s">
        <v>149</v>
      </c>
      <c r="C83" s="171">
        <f>'Юнит 10'!AO30</f>
        <v>-116.07341507330875</v>
      </c>
      <c r="D83" s="172">
        <f t="shared" si="7"/>
        <v>-1.758716737273143E-4</v>
      </c>
      <c r="E83" s="172">
        <f t="shared" si="12"/>
        <v>1.0402955012869872</v>
      </c>
      <c r="F83" s="173" t="str">
        <f t="shared" si="3"/>
        <v>C</v>
      </c>
      <c r="G83" s="173" t="str">
        <f t="shared" si="8"/>
        <v>C</v>
      </c>
      <c r="I83" s="182" t="s">
        <v>188</v>
      </c>
      <c r="J83" s="171">
        <f>'Юнит 10'!U69</f>
        <v>0</v>
      </c>
      <c r="K83" s="172">
        <f t="shared" si="9"/>
        <v>0</v>
      </c>
      <c r="L83" s="172">
        <f t="shared" si="13"/>
        <v>0.99559471365638819</v>
      </c>
      <c r="M83" s="173" t="str">
        <f t="shared" si="4"/>
        <v>C</v>
      </c>
    </row>
    <row r="84" spans="2:13" ht="15" outlineLevel="1" thickBot="1">
      <c r="B84" s="182" t="s">
        <v>217</v>
      </c>
      <c r="C84" s="171">
        <f>'Юнит 10'!AO98</f>
        <v>-127.11098087970504</v>
      </c>
      <c r="D84" s="172">
        <f t="shared" si="7"/>
        <v>-1.9259553052966896E-4</v>
      </c>
      <c r="E84" s="172">
        <f t="shared" si="12"/>
        <v>1.0401029057564575</v>
      </c>
      <c r="F84" s="173" t="str">
        <f t="shared" si="3"/>
        <v>C</v>
      </c>
      <c r="G84" s="173" t="str">
        <f t="shared" si="8"/>
        <v>C</v>
      </c>
      <c r="I84" s="182" t="s">
        <v>189</v>
      </c>
      <c r="J84" s="171">
        <f>'Юнит 10'!U70</f>
        <v>0</v>
      </c>
      <c r="K84" s="172">
        <f t="shared" si="9"/>
        <v>0</v>
      </c>
      <c r="L84" s="172">
        <f t="shared" si="13"/>
        <v>0.99559471365638819</v>
      </c>
      <c r="M84" s="173" t="str">
        <f t="shared" si="4"/>
        <v>C</v>
      </c>
    </row>
    <row r="85" spans="2:13" ht="15" outlineLevel="1" thickBot="1">
      <c r="B85" s="182" t="s">
        <v>180</v>
      </c>
      <c r="C85" s="171">
        <f>'Юнит 10'!AO61</f>
        <v>-161.54982680270942</v>
      </c>
      <c r="D85" s="172">
        <f t="shared" si="7"/>
        <v>-2.4477644956173635E-4</v>
      </c>
      <c r="E85" s="172">
        <f t="shared" si="12"/>
        <v>1.0398581293068958</v>
      </c>
      <c r="F85" s="173" t="str">
        <f t="shared" si="3"/>
        <v>C</v>
      </c>
      <c r="G85" s="173" t="str">
        <f t="shared" si="8"/>
        <v>C</v>
      </c>
      <c r="I85" s="182" t="s">
        <v>190</v>
      </c>
      <c r="J85" s="171">
        <f>'Юнит 10'!U71</f>
        <v>0</v>
      </c>
      <c r="K85" s="172">
        <f t="shared" si="9"/>
        <v>0</v>
      </c>
      <c r="L85" s="172">
        <f t="shared" si="13"/>
        <v>0.99559471365638819</v>
      </c>
      <c r="M85" s="173" t="str">
        <f t="shared" si="4"/>
        <v>C</v>
      </c>
    </row>
    <row r="86" spans="2:13" ht="15" outlineLevel="1" thickBot="1">
      <c r="B86" s="182" t="s">
        <v>153</v>
      </c>
      <c r="C86" s="171">
        <f>'Юнит 10'!AO34</f>
        <v>-195.34179999999998</v>
      </c>
      <c r="D86" s="172">
        <f t="shared" si="7"/>
        <v>-2.9597724244788149E-4</v>
      </c>
      <c r="E86" s="172">
        <f t="shared" si="12"/>
        <v>1.039562152064448</v>
      </c>
      <c r="F86" s="173" t="str">
        <f t="shared" si="3"/>
        <v>C</v>
      </c>
      <c r="G86" s="173" t="str">
        <f t="shared" si="8"/>
        <v>C</v>
      </c>
      <c r="I86" s="182" t="s">
        <v>193</v>
      </c>
      <c r="J86" s="171">
        <f>'Юнит 10'!U74</f>
        <v>0</v>
      </c>
      <c r="K86" s="172">
        <f t="shared" si="9"/>
        <v>0</v>
      </c>
      <c r="L86" s="172">
        <f t="shared" si="13"/>
        <v>0.99559471365638819</v>
      </c>
      <c r="M86" s="173" t="str">
        <f t="shared" si="4"/>
        <v>C</v>
      </c>
    </row>
    <row r="87" spans="2:13" ht="26.5" outlineLevel="1" thickBot="1">
      <c r="B87" s="182" t="s">
        <v>179</v>
      </c>
      <c r="C87" s="171">
        <f>'Юнит 10'!AO60</f>
        <v>-210.80513161279259</v>
      </c>
      <c r="D87" s="172">
        <f t="shared" si="7"/>
        <v>-3.1940691418128167E-4</v>
      </c>
      <c r="E87" s="172">
        <f t="shared" si="12"/>
        <v>1.0392427451502668</v>
      </c>
      <c r="F87" s="173" t="str">
        <f t="shared" si="3"/>
        <v>C</v>
      </c>
      <c r="G87" s="173" t="str">
        <f t="shared" si="8"/>
        <v>C</v>
      </c>
      <c r="I87" s="182" t="s">
        <v>198</v>
      </c>
      <c r="J87" s="171">
        <f>'Юнит 10'!U79</f>
        <v>0</v>
      </c>
      <c r="K87" s="172">
        <f t="shared" si="9"/>
        <v>0</v>
      </c>
      <c r="L87" s="172">
        <f t="shared" si="13"/>
        <v>0.99559471365638819</v>
      </c>
      <c r="M87" s="173" t="str">
        <f t="shared" si="4"/>
        <v>C</v>
      </c>
    </row>
    <row r="88" spans="2:13" ht="15" outlineLevel="1" thickBot="1">
      <c r="B88" s="182" t="s">
        <v>211</v>
      </c>
      <c r="C88" s="171">
        <f>'Юнит 10'!AO92</f>
        <v>-261.55733859212893</v>
      </c>
      <c r="D88" s="172">
        <f t="shared" si="7"/>
        <v>-3.9630544931246246E-4</v>
      </c>
      <c r="E88" s="172">
        <f t="shared" si="12"/>
        <v>1.0388464397009542</v>
      </c>
      <c r="F88" s="173" t="str">
        <f t="shared" si="3"/>
        <v>C</v>
      </c>
      <c r="G88" s="173" t="str">
        <f t="shared" si="8"/>
        <v>C</v>
      </c>
      <c r="I88" s="182" t="s">
        <v>202</v>
      </c>
      <c r="J88" s="171">
        <f>'Юнит 10'!U83</f>
        <v>0</v>
      </c>
      <c r="K88" s="172">
        <f t="shared" si="9"/>
        <v>0</v>
      </c>
      <c r="L88" s="172">
        <f t="shared" si="13"/>
        <v>0.99559471365638819</v>
      </c>
      <c r="M88" s="173" t="str">
        <f t="shared" si="4"/>
        <v>C</v>
      </c>
    </row>
    <row r="89" spans="2:13" ht="15" outlineLevel="1" thickBot="1">
      <c r="B89" s="182" t="s">
        <v>157</v>
      </c>
      <c r="C89" s="171">
        <f>'Юнит 10'!AO38</f>
        <v>-352.85684815227643</v>
      </c>
      <c r="D89" s="172">
        <f t="shared" si="7"/>
        <v>-5.3464029150423326E-4</v>
      </c>
      <c r="E89" s="172">
        <f t="shared" si="12"/>
        <v>1.03831179940945</v>
      </c>
      <c r="F89" s="173" t="str">
        <f t="shared" si="3"/>
        <v>C</v>
      </c>
      <c r="G89" s="173" t="str">
        <f t="shared" si="8"/>
        <v>C</v>
      </c>
      <c r="I89" s="182" t="s">
        <v>203</v>
      </c>
      <c r="J89" s="171">
        <f>'Юнит 10'!U84</f>
        <v>0</v>
      </c>
      <c r="K89" s="172">
        <f t="shared" si="9"/>
        <v>0</v>
      </c>
      <c r="L89" s="172">
        <f t="shared" si="13"/>
        <v>0.99559471365638819</v>
      </c>
      <c r="M89" s="173" t="str">
        <f t="shared" si="4"/>
        <v>C</v>
      </c>
    </row>
    <row r="90" spans="2:13" ht="26.5" outlineLevel="1" thickBot="1">
      <c r="B90" s="182" t="s">
        <v>198</v>
      </c>
      <c r="C90" s="171">
        <f>'Юнит 10'!AO79</f>
        <v>-362.80050844551141</v>
      </c>
      <c r="D90" s="172">
        <f t="shared" si="7"/>
        <v>-5.4970668872914973E-4</v>
      </c>
      <c r="E90" s="172">
        <f t="shared" si="12"/>
        <v>1.0377620927207207</v>
      </c>
      <c r="F90" s="173" t="str">
        <f t="shared" si="3"/>
        <v>C</v>
      </c>
      <c r="G90" s="173" t="str">
        <f t="shared" si="8"/>
        <v>C</v>
      </c>
      <c r="I90" s="182" t="s">
        <v>205</v>
      </c>
      <c r="J90" s="171">
        <f>'Юнит 10'!U86</f>
        <v>0</v>
      </c>
      <c r="K90" s="172">
        <f t="shared" si="9"/>
        <v>0</v>
      </c>
      <c r="L90" s="172">
        <f t="shared" si="13"/>
        <v>0.99559471365638819</v>
      </c>
      <c r="M90" s="173" t="str">
        <f t="shared" si="4"/>
        <v>C</v>
      </c>
    </row>
    <row r="91" spans="2:13" ht="15" outlineLevel="1" thickBot="1">
      <c r="B91" s="182" t="s">
        <v>192</v>
      </c>
      <c r="C91" s="171">
        <f>'Юнит 10'!AO73</f>
        <v>-434.01034521992631</v>
      </c>
      <c r="D91" s="172">
        <f t="shared" si="7"/>
        <v>-6.5760213723865997E-4</v>
      </c>
      <c r="E91" s="172">
        <f t="shared" si="12"/>
        <v>1.0371044905834821</v>
      </c>
      <c r="F91" s="173" t="str">
        <f t="shared" si="3"/>
        <v>C</v>
      </c>
      <c r="G91" s="173" t="str">
        <f t="shared" si="8"/>
        <v>C</v>
      </c>
      <c r="I91" s="182" t="s">
        <v>208</v>
      </c>
      <c r="J91" s="171">
        <f>'Юнит 10'!U89</f>
        <v>0</v>
      </c>
      <c r="K91" s="172">
        <f t="shared" si="9"/>
        <v>0</v>
      </c>
      <c r="L91" s="172">
        <f t="shared" si="13"/>
        <v>0.99559471365638819</v>
      </c>
      <c r="M91" s="173" t="str">
        <f t="shared" si="4"/>
        <v>C</v>
      </c>
    </row>
    <row r="92" spans="2:13" ht="26.5" outlineLevel="1" thickBot="1">
      <c r="B92" s="182" t="s">
        <v>159</v>
      </c>
      <c r="C92" s="171">
        <f>'Юнит 10'!AO40</f>
        <v>-440.34660293235021</v>
      </c>
      <c r="D92" s="172">
        <f t="shared" si="7"/>
        <v>-6.6720268399906842E-4</v>
      </c>
      <c r="E92" s="172">
        <f t="shared" si="12"/>
        <v>1.036437287899483</v>
      </c>
      <c r="F92" s="173" t="str">
        <f t="shared" si="3"/>
        <v>C</v>
      </c>
      <c r="G92" s="173" t="str">
        <f t="shared" si="8"/>
        <v>C</v>
      </c>
      <c r="I92" s="182" t="s">
        <v>209</v>
      </c>
      <c r="J92" s="171">
        <f>'Юнит 10'!U90</f>
        <v>0</v>
      </c>
      <c r="K92" s="172">
        <f t="shared" si="9"/>
        <v>0</v>
      </c>
      <c r="L92" s="172">
        <f t="shared" si="13"/>
        <v>0.99559471365638819</v>
      </c>
      <c r="M92" s="173" t="str">
        <f t="shared" si="4"/>
        <v>C</v>
      </c>
    </row>
    <row r="93" spans="2:13" ht="26.5" outlineLevel="1" thickBot="1">
      <c r="B93" s="182" t="s">
        <v>200</v>
      </c>
      <c r="C93" s="171">
        <f>'Юнит 10'!AO81</f>
        <v>-471.77428639286603</v>
      </c>
      <c r="D93" s="172">
        <f t="shared" si="7"/>
        <v>-7.1482116139186594E-4</v>
      </c>
      <c r="E93" s="172">
        <f t="shared" si="12"/>
        <v>1.0357224667380911</v>
      </c>
      <c r="F93" s="173" t="str">
        <f t="shared" si="3"/>
        <v>C</v>
      </c>
      <c r="G93" s="173" t="str">
        <f t="shared" si="8"/>
        <v>C</v>
      </c>
      <c r="I93" s="182" t="s">
        <v>210</v>
      </c>
      <c r="J93" s="171">
        <f>'Юнит 10'!U91</f>
        <v>0</v>
      </c>
      <c r="K93" s="172">
        <f t="shared" si="9"/>
        <v>0</v>
      </c>
      <c r="L93" s="172">
        <f t="shared" si="13"/>
        <v>0.99559471365638819</v>
      </c>
      <c r="M93" s="173" t="str">
        <f t="shared" si="4"/>
        <v>C</v>
      </c>
    </row>
    <row r="94" spans="2:13" ht="15" outlineLevel="1" thickBot="1">
      <c r="B94" s="182" t="s">
        <v>210</v>
      </c>
      <c r="C94" s="171">
        <f>'Юнит 10'!AO91</f>
        <v>-496.03245219926265</v>
      </c>
      <c r="D94" s="172">
        <f t="shared" si="7"/>
        <v>-7.5157655640829748E-4</v>
      </c>
      <c r="E94" s="172">
        <f>E93+D94</f>
        <v>1.0349708901816828</v>
      </c>
      <c r="F94" s="173" t="str">
        <f t="shared" si="3"/>
        <v>C</v>
      </c>
      <c r="G94" s="173" t="str">
        <f t="shared" si="8"/>
        <v>C</v>
      </c>
      <c r="I94" s="182" t="s">
        <v>211</v>
      </c>
      <c r="J94" s="171">
        <f>'Юнит 10'!U92</f>
        <v>0</v>
      </c>
      <c r="K94" s="172">
        <f t="shared" si="9"/>
        <v>0</v>
      </c>
      <c r="L94" s="172">
        <f t="shared" si="13"/>
        <v>0.99559471365638819</v>
      </c>
      <c r="M94" s="173" t="str">
        <f t="shared" si="4"/>
        <v>C</v>
      </c>
    </row>
    <row r="95" spans="2:13" ht="26.5" outlineLevel="1" thickBot="1">
      <c r="B95" s="182" t="s">
        <v>202</v>
      </c>
      <c r="C95" s="171">
        <f>'Юнит 10'!AO83</f>
        <v>-538.70709337220262</v>
      </c>
      <c r="D95" s="172">
        <f t="shared" si="7"/>
        <v>-8.1623615623188661E-4</v>
      </c>
      <c r="E95" s="172">
        <f>E94+D95</f>
        <v>1.0341546540254509</v>
      </c>
      <c r="F95" s="173" t="str">
        <f t="shared" si="3"/>
        <v>C</v>
      </c>
      <c r="G95" s="173" t="str">
        <f t="shared" si="8"/>
        <v>C</v>
      </c>
      <c r="I95" s="182" t="s">
        <v>213</v>
      </c>
      <c r="J95" s="171">
        <f>'Юнит 10'!U94</f>
        <v>0</v>
      </c>
      <c r="K95" s="172">
        <f t="shared" si="9"/>
        <v>0</v>
      </c>
      <c r="L95" s="172">
        <f>L94+K95</f>
        <v>0.99559471365638819</v>
      </c>
      <c r="M95" s="173" t="str">
        <f t="shared" si="4"/>
        <v>C</v>
      </c>
    </row>
    <row r="96" spans="2:13" ht="26.5" outlineLevel="1" thickBot="1">
      <c r="B96" s="182" t="s">
        <v>152</v>
      </c>
      <c r="C96" s="171">
        <f>'Юнит 10'!AO33</f>
        <v>-609.0948198233732</v>
      </c>
      <c r="D96" s="172">
        <f t="shared" si="7"/>
        <v>-9.2288596276173982E-4</v>
      </c>
      <c r="E96" s="172">
        <f t="shared" ref="E96:E98" si="14">E95+D96</f>
        <v>1.0332317680626892</v>
      </c>
      <c r="F96" s="173" t="str">
        <f t="shared" si="3"/>
        <v>C</v>
      </c>
      <c r="G96" s="173" t="str">
        <f t="shared" si="8"/>
        <v>C</v>
      </c>
      <c r="I96" s="182" t="s">
        <v>214</v>
      </c>
      <c r="J96" s="171">
        <f>'Юнит 10'!U95</f>
        <v>0</v>
      </c>
      <c r="K96" s="172">
        <f t="shared" si="9"/>
        <v>0</v>
      </c>
      <c r="L96" s="172">
        <f t="shared" ref="L96:L98" si="15">L95+K96</f>
        <v>0.99559471365638819</v>
      </c>
      <c r="M96" s="173" t="str">
        <f t="shared" si="4"/>
        <v>C</v>
      </c>
    </row>
    <row r="97" spans="2:13" ht="15" outlineLevel="1" thickBot="1">
      <c r="B97" s="182" t="s">
        <v>190</v>
      </c>
      <c r="C97" s="171">
        <f>'Юнит 10'!AO71</f>
        <v>-724.68683014661758</v>
      </c>
      <c r="D97" s="172">
        <f t="shared" si="7"/>
        <v>-1.0980282234784985E-3</v>
      </c>
      <c r="E97" s="172">
        <f t="shared" si="14"/>
        <v>1.0321337398392108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215</v>
      </c>
      <c r="J97" s="171">
        <f>'Юнит 10'!U96</f>
        <v>0</v>
      </c>
      <c r="K97" s="172">
        <f t="shared" si="9"/>
        <v>0</v>
      </c>
      <c r="L97" s="172">
        <f t="shared" si="15"/>
        <v>0.99559471365638819</v>
      </c>
      <c r="M97" s="173" t="str">
        <f t="shared" si="4"/>
        <v>C</v>
      </c>
    </row>
    <row r="98" spans="2:13" ht="26.5" outlineLevel="1" thickBot="1">
      <c r="B98" s="182" t="s">
        <v>197</v>
      </c>
      <c r="C98" s="171">
        <f>'Юнит 10'!AO78</f>
        <v>-726.1272411729401</v>
      </c>
      <c r="D98" s="172">
        <f t="shared" si="7"/>
        <v>-1.1002106999559471E-3</v>
      </c>
      <c r="E98" s="172">
        <f t="shared" si="14"/>
        <v>1.0310335291392547</v>
      </c>
      <c r="F98" s="173" t="str">
        <f t="shared" si="16"/>
        <v>C</v>
      </c>
      <c r="G98" s="173" t="str">
        <f t="shared" si="8"/>
        <v>C</v>
      </c>
      <c r="I98" s="182" t="s">
        <v>216</v>
      </c>
      <c r="J98" s="171">
        <f>'Юнит 10'!U97</f>
        <v>0</v>
      </c>
      <c r="K98" s="172">
        <f t="shared" si="9"/>
        <v>0</v>
      </c>
      <c r="L98" s="172">
        <f t="shared" si="15"/>
        <v>0.99559471365638819</v>
      </c>
      <c r="M98" s="173" t="str">
        <f t="shared" si="4"/>
        <v>C</v>
      </c>
    </row>
    <row r="99" spans="2:13" ht="15" outlineLevel="1" thickBot="1">
      <c r="B99" s="182" t="s">
        <v>177</v>
      </c>
      <c r="C99" s="171">
        <f>'Юнит 10'!AO58</f>
        <v>-1477.0686617594101</v>
      </c>
      <c r="D99" s="172">
        <f t="shared" si="7"/>
        <v>-2.2380192535019785E-3</v>
      </c>
      <c r="E99" s="172">
        <f>E93+D99</f>
        <v>1.033484447484589</v>
      </c>
      <c r="F99" s="173" t="str">
        <f t="shared" si="16"/>
        <v>C</v>
      </c>
      <c r="G99" s="173" t="str">
        <f t="shared" si="8"/>
        <v>C</v>
      </c>
      <c r="I99" s="182" t="s">
        <v>217</v>
      </c>
      <c r="J99" s="171">
        <f>'Юнит 10'!U98</f>
        <v>0</v>
      </c>
      <c r="K99" s="172">
        <f t="shared" si="9"/>
        <v>0</v>
      </c>
      <c r="L99" s="172">
        <f>L93+K99</f>
        <v>0.99559471365638819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158</v>
      </c>
      <c r="C100" s="171">
        <f>'Юнит 10'!AO39</f>
        <v>-1657.7053524398523</v>
      </c>
      <c r="D100" s="172">
        <f t="shared" si="7"/>
        <v>-2.5117156645748169E-3</v>
      </c>
      <c r="E100" s="172">
        <f t="shared" ref="E100:E104" si="18">E94+D100</f>
        <v>1.0324591745171079</v>
      </c>
      <c r="F100" s="173" t="str">
        <f t="shared" si="16"/>
        <v>C</v>
      </c>
      <c r="G100" s="173" t="str">
        <f t="shared" si="8"/>
        <v>C</v>
      </c>
      <c r="I100" s="182" t="s">
        <v>256</v>
      </c>
      <c r="J100" s="171">
        <f>'Юнит 10'!U99</f>
        <v>0</v>
      </c>
      <c r="K100" s="172">
        <f t="shared" si="9"/>
        <v>0</v>
      </c>
      <c r="L100" s="172">
        <f t="shared" ref="L100:L104" si="19">L94+K100</f>
        <v>0.99559471365638819</v>
      </c>
      <c r="M100" s="173" t="str">
        <f t="shared" si="17"/>
        <v>C</v>
      </c>
    </row>
    <row r="101" spans="2:13" ht="15" outlineLevel="1" thickBot="1">
      <c r="B101" s="182" t="s">
        <v>257</v>
      </c>
      <c r="C101" s="171">
        <f>'Юнит 10'!AO100</f>
        <v>-3367.1536782988937</v>
      </c>
      <c r="D101" s="172">
        <f t="shared" si="7"/>
        <v>-5.101831049991081E-3</v>
      </c>
      <c r="E101" s="172">
        <f t="shared" si="18"/>
        <v>1.0290528229754599</v>
      </c>
      <c r="F101" s="173" t="str">
        <f t="shared" si="16"/>
        <v>C</v>
      </c>
      <c r="G101" s="173" t="str">
        <f t="shared" si="8"/>
        <v>C</v>
      </c>
      <c r="I101" s="182" t="s">
        <v>257</v>
      </c>
      <c r="J101" s="171">
        <f>'Юнит 10'!U100</f>
        <v>0</v>
      </c>
      <c r="K101" s="172">
        <f t="shared" si="9"/>
        <v>0</v>
      </c>
      <c r="L101" s="172">
        <f t="shared" si="19"/>
        <v>0.99559471365638819</v>
      </c>
      <c r="M101" s="173" t="str">
        <f t="shared" si="17"/>
        <v>C</v>
      </c>
    </row>
    <row r="102" spans="2:13" ht="15" outlineLevel="1" thickBot="1">
      <c r="B102" s="182" t="s">
        <v>259</v>
      </c>
      <c r="C102" s="171">
        <f>'Юнит 10'!AO102</f>
        <v>-4350.994408246248</v>
      </c>
      <c r="D102" s="172">
        <f t="shared" si="7"/>
        <v>-6.5925230895736422E-3</v>
      </c>
      <c r="E102" s="172">
        <f t="shared" si="18"/>
        <v>1.0266392449731156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10'!U101</f>
        <v>0</v>
      </c>
      <c r="K102" s="172">
        <f t="shared" si="9"/>
        <v>0</v>
      </c>
      <c r="L102" s="172">
        <f t="shared" si="19"/>
        <v>0.99559471365638819</v>
      </c>
      <c r="M102" s="173" t="str">
        <f t="shared" si="17"/>
        <v>C</v>
      </c>
    </row>
    <row r="103" spans="2:13" ht="26.5" outlineLevel="1" thickBot="1">
      <c r="B103" s="182" t="s">
        <v>206</v>
      </c>
      <c r="C103" s="171">
        <f>'Юнит 10'!AO87</f>
        <v>-4642.8363740733093</v>
      </c>
      <c r="D103" s="172">
        <f t="shared" si="7"/>
        <v>-7.034715084712739E-3</v>
      </c>
      <c r="E103" s="172">
        <f t="shared" si="18"/>
        <v>1.025099024754498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10'!U103</f>
        <v>0</v>
      </c>
      <c r="K103" s="172">
        <f t="shared" si="9"/>
        <v>0</v>
      </c>
      <c r="L103" s="172">
        <f t="shared" si="19"/>
        <v>0.99559471365638819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10'!AO26</f>
        <v>-5941.3062471335452</v>
      </c>
      <c r="D104" s="172">
        <f t="shared" si="7"/>
        <v>-9.0021257076824228E-3</v>
      </c>
      <c r="E104" s="172">
        <f t="shared" si="18"/>
        <v>1.0220314034315723</v>
      </c>
      <c r="F104" s="173" t="str">
        <f t="shared" si="16"/>
        <v>C</v>
      </c>
      <c r="G104" s="173" t="str">
        <f t="shared" si="8"/>
        <v>B</v>
      </c>
      <c r="I104" s="182" t="s">
        <v>153</v>
      </c>
      <c r="J104" s="171">
        <f>'Юнит 10'!U34</f>
        <v>-1</v>
      </c>
      <c r="K104" s="172">
        <f t="shared" si="9"/>
        <v>-4.8947626040137058E-4</v>
      </c>
      <c r="L104" s="172">
        <f t="shared" si="19"/>
        <v>0.99510523739598677</v>
      </c>
      <c r="M104" s="173" t="str">
        <f t="shared" si="17"/>
        <v>C</v>
      </c>
    </row>
    <row r="105" spans="2:13" outlineLevel="1">
      <c r="C105" s="178">
        <f>SUM(C4:C104)</f>
        <v>659989.25587800099</v>
      </c>
      <c r="D105" s="179">
        <f>SUM(D4:D104)</f>
        <v>0.99999999999999911</v>
      </c>
      <c r="J105" s="178">
        <f>SUM(J4:J104)</f>
        <v>2043</v>
      </c>
      <c r="K105" s="179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66" priority="4" operator="equal">
      <formula>"C"</formula>
    </cfRule>
    <cfRule type="cellIs" dxfId="165" priority="5" operator="equal">
      <formula>"B"</formula>
    </cfRule>
    <cfRule type="cellIs" dxfId="164" priority="6" operator="equal">
      <formula>"A"</formula>
    </cfRule>
  </conditionalFormatting>
  <conditionalFormatting sqref="F99:G104 D99:D104 M99:M104 K99:K104">
    <cfRule type="cellIs" dxfId="163" priority="1" operator="equal">
      <formula>"C"</formula>
    </cfRule>
    <cfRule type="cellIs" dxfId="162" priority="2" operator="equal">
      <formula>"B"</formula>
    </cfRule>
    <cfRule type="cellIs" dxfId="161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CDFC-6F7E-4EE3-8738-CFAD228132C1}">
  <dimension ref="B1:Q105"/>
  <sheetViews>
    <sheetView zoomScale="80" zoomScaleNormal="80" workbookViewId="0">
      <selection activeCell="I13" sqref="I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9" t="s">
        <v>86</v>
      </c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1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ФЕВРАЛЬ!AO4</f>
        <v>643503.30795637285</v>
      </c>
      <c r="D4" s="172">
        <f t="shared" ref="D4:D67" si="0">C4/C$105</f>
        <v>0.33087264819941087</v>
      </c>
      <c r="E4" s="172">
        <f>D4</f>
        <v>0.33087264819941087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ФЕВРАЛЬ!U4</f>
        <v>1939</v>
      </c>
      <c r="K4" s="172">
        <f t="shared" ref="K4:K67" si="2">J4/J$105</f>
        <v>0.24871729091841971</v>
      </c>
      <c r="L4" s="172">
        <f>K4</f>
        <v>0.24871729091841971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ФЕВРАЛЬ!AO7</f>
        <v>191057.33201691858</v>
      </c>
      <c r="D5" s="172">
        <f t="shared" si="0"/>
        <v>9.823670619986577E-2</v>
      </c>
      <c r="E5" s="172">
        <f>E4+D5</f>
        <v>0.42910935439927667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ФЕВРАЛЬ!U7</f>
        <v>624</v>
      </c>
      <c r="K5" s="172">
        <f t="shared" si="2"/>
        <v>8.0041046690610573E-2</v>
      </c>
      <c r="L5" s="172">
        <f>L4+K5</f>
        <v>0.32875833760903028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>
        <f>ФЕВРАЛЬ!AO5</f>
        <v>159862.09316203141</v>
      </c>
      <c r="D6" s="172">
        <f t="shared" si="0"/>
        <v>8.2196926507187879E-2</v>
      </c>
      <c r="E6" s="172">
        <f t="shared" ref="E6:E69" si="5">E5+D6</f>
        <v>0.51130628090646457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ФЕВРАЛЬ!U10</f>
        <v>561</v>
      </c>
      <c r="K6" s="172">
        <f t="shared" si="2"/>
        <v>7.1959979476654695E-2</v>
      </c>
      <c r="L6" s="172">
        <f t="shared" ref="L6:L69" si="6">L5+K6</f>
        <v>0.40071831708568495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ФЕВРАЛЬ!AO9</f>
        <v>153190.33655175584</v>
      </c>
      <c r="D7" s="172">
        <f t="shared" si="0"/>
        <v>7.8766482948483652E-2</v>
      </c>
      <c r="E7" s="172">
        <f t="shared" si="5"/>
        <v>0.59007276385494822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ФЕВРАЛЬ!U5</f>
        <v>518</v>
      </c>
      <c r="K7" s="172">
        <f t="shared" si="2"/>
        <v>6.6444330425859413E-2</v>
      </c>
      <c r="L7" s="172">
        <f t="shared" si="6"/>
        <v>0.46716264751154435</v>
      </c>
      <c r="M7" s="173" t="str">
        <f t="shared" si="4"/>
        <v>A</v>
      </c>
    </row>
    <row r="8" spans="2:17" ht="15" outlineLevel="1" thickBot="1">
      <c r="B8" s="182" t="s">
        <v>125</v>
      </c>
      <c r="C8" s="171">
        <f>ФЕВРАЛЬ!AO6</f>
        <v>119045.11361323786</v>
      </c>
      <c r="D8" s="172">
        <f t="shared" si="0"/>
        <v>6.1209898238910314E-2</v>
      </c>
      <c r="E8" s="172">
        <f t="shared" si="5"/>
        <v>0.65128266209385854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ФЕВРАЛЬ!U9</f>
        <v>484</v>
      </c>
      <c r="K8" s="172">
        <f t="shared" si="2"/>
        <v>6.2083119548486401E-2</v>
      </c>
      <c r="L8" s="172">
        <f t="shared" si="6"/>
        <v>0.52924576706003079</v>
      </c>
      <c r="M8" s="173" t="str">
        <f>_xlfn.IFS(L8&lt;80%,"A",L8&lt;=95%,"B",L8&gt;95%,"C")</f>
        <v>A</v>
      </c>
    </row>
    <row r="9" spans="2:17" ht="15" outlineLevel="1" thickBot="1">
      <c r="B9" s="182" t="s">
        <v>129</v>
      </c>
      <c r="C9" s="171">
        <f>ФЕВРАЛЬ!AO10</f>
        <v>105560.49577402213</v>
      </c>
      <c r="D9" s="172">
        <f t="shared" si="0"/>
        <v>5.4276458800055383E-2</v>
      </c>
      <c r="E9" s="172">
        <f t="shared" si="5"/>
        <v>0.70555912089391393</v>
      </c>
      <c r="F9" s="173" t="str">
        <f t="shared" si="3"/>
        <v>A</v>
      </c>
      <c r="G9" s="173" t="str">
        <f t="shared" si="1"/>
        <v>A</v>
      </c>
      <c r="I9" s="182" t="s">
        <v>125</v>
      </c>
      <c r="J9" s="171">
        <f>ФЕВРАЛЬ!U6</f>
        <v>441</v>
      </c>
      <c r="K9" s="172">
        <f t="shared" si="2"/>
        <v>5.6567470497691126E-2</v>
      </c>
      <c r="L9" s="172">
        <f t="shared" si="6"/>
        <v>0.58581323755772197</v>
      </c>
      <c r="M9" s="173" t="str">
        <f t="shared" si="4"/>
        <v>A</v>
      </c>
    </row>
    <row r="10" spans="2:17" ht="26.5" outlineLevel="1" thickBot="1">
      <c r="B10" s="182" t="s">
        <v>135</v>
      </c>
      <c r="C10" s="171">
        <f>ФЕВРАЛЬ!AO16</f>
        <v>76090.575225747743</v>
      </c>
      <c r="D10" s="172">
        <f t="shared" si="0"/>
        <v>3.9123792864273046E-2</v>
      </c>
      <c r="E10" s="172">
        <f t="shared" si="5"/>
        <v>0.74468291375818696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ФЕВРАЛЬ!U3</f>
        <v>322</v>
      </c>
      <c r="K10" s="172">
        <f t="shared" si="2"/>
        <v>4.1303232426885585E-2</v>
      </c>
      <c r="L10" s="172">
        <f t="shared" si="6"/>
        <v>0.62711646998460757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ФЕВРАЛЬ!AO13</f>
        <v>75884.22477847054</v>
      </c>
      <c r="D11" s="172">
        <f t="shared" si="0"/>
        <v>3.9017692836342238E-2</v>
      </c>
      <c r="E11" s="172">
        <f t="shared" si="5"/>
        <v>0.78370060659452923</v>
      </c>
      <c r="F11" s="173" t="str">
        <f t="shared" si="3"/>
        <v>A</v>
      </c>
      <c r="G11" s="173" t="str">
        <f t="shared" si="1"/>
        <v>A</v>
      </c>
      <c r="I11" s="182" t="s">
        <v>147</v>
      </c>
      <c r="J11" s="171">
        <f>ФЕВРАЛЬ!U28</f>
        <v>317</v>
      </c>
      <c r="K11" s="172">
        <f t="shared" si="2"/>
        <v>4.0661877886095432E-2</v>
      </c>
      <c r="L11" s="172">
        <f t="shared" si="6"/>
        <v>0.667778347870703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ФЕВРАЛЬ!AO12</f>
        <v>68578.960204774747</v>
      </c>
      <c r="D12" s="172">
        <f t="shared" si="0"/>
        <v>3.52615159753836E-2</v>
      </c>
      <c r="E12" s="172">
        <f t="shared" si="5"/>
        <v>0.81896212256991285</v>
      </c>
      <c r="F12" s="173" t="str">
        <f t="shared" si="3"/>
        <v>B</v>
      </c>
      <c r="G12" s="173" t="str">
        <f t="shared" si="1"/>
        <v>A</v>
      </c>
      <c r="I12" s="182" t="s">
        <v>135</v>
      </c>
      <c r="J12" s="171">
        <f>ФЕВРАЛЬ!U16</f>
        <v>301</v>
      </c>
      <c r="K12" s="172">
        <f t="shared" si="2"/>
        <v>3.8609543355566954E-2</v>
      </c>
      <c r="L12" s="172">
        <f t="shared" si="6"/>
        <v>0.70638789122626999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ФЕВРАЛЬ!AO11</f>
        <v>66371.194424600995</v>
      </c>
      <c r="D13" s="172">
        <f t="shared" si="0"/>
        <v>3.412634028746056E-2</v>
      </c>
      <c r="E13" s="172">
        <f t="shared" si="5"/>
        <v>0.85308846285737339</v>
      </c>
      <c r="F13" s="173" t="str">
        <f t="shared" si="3"/>
        <v>B</v>
      </c>
      <c r="G13" s="173" t="str">
        <f t="shared" si="1"/>
        <v>B</v>
      </c>
      <c r="I13" s="182" t="s">
        <v>132</v>
      </c>
      <c r="J13" s="171">
        <f>ФЕВРАЛЬ!U13</f>
        <v>291</v>
      </c>
      <c r="K13" s="172">
        <f t="shared" si="2"/>
        <v>3.7326834273986663E-2</v>
      </c>
      <c r="L13" s="172">
        <f t="shared" si="6"/>
        <v>0.74371472550025663</v>
      </c>
      <c r="M13" s="173" t="str">
        <f t="shared" si="4"/>
        <v>A</v>
      </c>
    </row>
    <row r="14" spans="2:17" ht="15" outlineLevel="1" thickBot="1">
      <c r="B14" s="182" t="s">
        <v>127</v>
      </c>
      <c r="C14" s="171">
        <f>ФЕВРАЛЬ!AO8</f>
        <v>55795.717700402165</v>
      </c>
      <c r="D14" s="172">
        <f t="shared" si="0"/>
        <v>2.86887054743321E-2</v>
      </c>
      <c r="E14" s="172">
        <f t="shared" si="5"/>
        <v>0.8817771683317055</v>
      </c>
      <c r="F14" s="173" t="str">
        <f t="shared" si="3"/>
        <v>B</v>
      </c>
      <c r="G14" s="173" t="str">
        <f t="shared" si="1"/>
        <v>B</v>
      </c>
      <c r="I14" s="182" t="s">
        <v>131</v>
      </c>
      <c r="J14" s="171">
        <f>ФЕВРАЛЬ!U12</f>
        <v>257</v>
      </c>
      <c r="K14" s="172">
        <f t="shared" si="2"/>
        <v>3.2965623396613651E-2</v>
      </c>
      <c r="L14" s="172">
        <f t="shared" si="6"/>
        <v>0.77668034889687032</v>
      </c>
      <c r="M14" s="173" t="str">
        <f t="shared" si="4"/>
        <v>A</v>
      </c>
    </row>
    <row r="15" spans="2:17" ht="26.5" outlineLevel="1" thickBot="1">
      <c r="B15" s="182" t="s">
        <v>122</v>
      </c>
      <c r="C15" s="171">
        <f>ФЕВРАЛЬ!AO3</f>
        <v>54148.624278518721</v>
      </c>
      <c r="D15" s="172">
        <f t="shared" si="0"/>
        <v>2.7841812916683657E-2</v>
      </c>
      <c r="E15" s="172">
        <f t="shared" si="5"/>
        <v>0.90961898124838914</v>
      </c>
      <c r="F15" s="173" t="str">
        <f t="shared" si="3"/>
        <v>B</v>
      </c>
      <c r="G15" s="173" t="str">
        <f t="shared" si="1"/>
        <v>A</v>
      </c>
      <c r="I15" s="182" t="s">
        <v>127</v>
      </c>
      <c r="J15" s="171">
        <f>ФЕВРАЛЬ!U8</f>
        <v>239</v>
      </c>
      <c r="K15" s="172">
        <f t="shared" si="2"/>
        <v>3.0656747049769114E-2</v>
      </c>
      <c r="L15" s="172">
        <f t="shared" si="6"/>
        <v>0.80733709594663938</v>
      </c>
      <c r="M15" s="173" t="str">
        <f t="shared" si="4"/>
        <v>B</v>
      </c>
    </row>
    <row r="16" spans="2:17" ht="15" outlineLevel="1" thickBot="1">
      <c r="B16" s="182" t="s">
        <v>147</v>
      </c>
      <c r="C16" s="171">
        <f>ФЕВРАЛЬ!AO28</f>
        <v>53795.473660396987</v>
      </c>
      <c r="D16" s="172">
        <f t="shared" si="0"/>
        <v>2.7660232062651561E-2</v>
      </c>
      <c r="E16" s="172">
        <f t="shared" si="5"/>
        <v>0.93727921331104069</v>
      </c>
      <c r="F16" s="173" t="str">
        <f t="shared" si="3"/>
        <v>B</v>
      </c>
      <c r="G16" s="173" t="str">
        <f t="shared" si="1"/>
        <v>A</v>
      </c>
      <c r="I16" s="182" t="s">
        <v>130</v>
      </c>
      <c r="J16" s="171">
        <f>ФЕВРАЛЬ!U11</f>
        <v>199</v>
      </c>
      <c r="K16" s="172">
        <f t="shared" si="2"/>
        <v>2.5525910723447922E-2</v>
      </c>
      <c r="L16" s="172">
        <f t="shared" si="6"/>
        <v>0.83286300667008728</v>
      </c>
      <c r="M16" s="173" t="str">
        <f t="shared" si="4"/>
        <v>B</v>
      </c>
    </row>
    <row r="17" spans="2:13" ht="26.5" outlineLevel="1" thickBot="1">
      <c r="B17" s="182" t="s">
        <v>137</v>
      </c>
      <c r="C17" s="171">
        <f>ФЕВРАЛЬ!AO18</f>
        <v>37608.494981705604</v>
      </c>
      <c r="D17" s="172">
        <f t="shared" si="0"/>
        <v>1.9337309032504336E-2</v>
      </c>
      <c r="E17" s="172">
        <f t="shared" si="5"/>
        <v>0.95661652234354499</v>
      </c>
      <c r="F17" s="173" t="str">
        <f t="shared" si="3"/>
        <v>C</v>
      </c>
      <c r="G17" s="173" t="str">
        <f t="shared" si="1"/>
        <v>B</v>
      </c>
      <c r="I17" s="182" t="s">
        <v>164</v>
      </c>
      <c r="J17" s="171">
        <f>ФЕВРАЛЬ!U45</f>
        <v>164</v>
      </c>
      <c r="K17" s="172">
        <f t="shared" si="2"/>
        <v>2.1036428937916879E-2</v>
      </c>
      <c r="L17" s="172">
        <f t="shared" si="6"/>
        <v>0.85389943560800419</v>
      </c>
      <c r="M17" s="173" t="str">
        <f t="shared" si="4"/>
        <v>B</v>
      </c>
    </row>
    <row r="18" spans="2:13" ht="26.5" outlineLevel="1" thickBot="1">
      <c r="B18" s="182" t="s">
        <v>133</v>
      </c>
      <c r="C18" s="171">
        <f>ФЕВРАЛЬ!AO14</f>
        <v>27098.134165503841</v>
      </c>
      <c r="D18" s="172">
        <f t="shared" si="0"/>
        <v>1.3933155124062008E-2</v>
      </c>
      <c r="E18" s="172">
        <f t="shared" si="5"/>
        <v>0.97054967746760701</v>
      </c>
      <c r="F18" s="173" t="str">
        <f t="shared" si="3"/>
        <v>C</v>
      </c>
      <c r="G18" s="173" t="str">
        <f t="shared" si="1"/>
        <v>B</v>
      </c>
      <c r="I18" s="182" t="s">
        <v>137</v>
      </c>
      <c r="J18" s="171">
        <f>ФЕВРАЛЬ!U18</f>
        <v>138</v>
      </c>
      <c r="K18" s="172">
        <f t="shared" si="2"/>
        <v>1.7701385325808106E-2</v>
      </c>
      <c r="L18" s="172">
        <f t="shared" si="6"/>
        <v>0.8716008209338123</v>
      </c>
      <c r="M18" s="173" t="str">
        <f t="shared" si="4"/>
        <v>B</v>
      </c>
    </row>
    <row r="19" spans="2:13" ht="15" outlineLevel="1" thickBot="1">
      <c r="B19" s="182" t="s">
        <v>134</v>
      </c>
      <c r="C19" s="171">
        <f>ФЕВРАЛЬ!AO15</f>
        <v>24015.910709450283</v>
      </c>
      <c r="D19" s="172">
        <f t="shared" si="0"/>
        <v>1.2348356064542767E-2</v>
      </c>
      <c r="E19" s="172">
        <f t="shared" si="5"/>
        <v>0.98289803353214977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ФЕВРАЛЬ!U14</f>
        <v>129</v>
      </c>
      <c r="K19" s="172">
        <f t="shared" si="2"/>
        <v>1.6546947152385839E-2</v>
      </c>
      <c r="L19" s="172">
        <f t="shared" si="6"/>
        <v>0.88814776808619811</v>
      </c>
      <c r="M19" s="173" t="str">
        <f t="shared" si="4"/>
        <v>B</v>
      </c>
    </row>
    <row r="20" spans="2:13" ht="26.5" outlineLevel="1" thickBot="1">
      <c r="B20" s="182" t="s">
        <v>136</v>
      </c>
      <c r="C20" s="171">
        <f>ФЕВРАЛЬ!AO17</f>
        <v>21641.6010954638</v>
      </c>
      <c r="D20" s="172">
        <f t="shared" si="0"/>
        <v>1.1127547873020168E-2</v>
      </c>
      <c r="E20" s="172">
        <f t="shared" si="5"/>
        <v>0.99402558140516994</v>
      </c>
      <c r="F20" s="173" t="str">
        <f t="shared" si="3"/>
        <v>C</v>
      </c>
      <c r="G20" s="173" t="str">
        <f t="shared" si="1"/>
        <v>C</v>
      </c>
      <c r="I20" s="182" t="s">
        <v>145</v>
      </c>
      <c r="J20" s="171">
        <f>ФЕВРАЛЬ!U26</f>
        <v>113</v>
      </c>
      <c r="K20" s="172">
        <f t="shared" si="2"/>
        <v>1.4494612621857363E-2</v>
      </c>
      <c r="L20" s="172">
        <f t="shared" si="6"/>
        <v>0.90264238070805547</v>
      </c>
      <c r="M20" s="173" t="str">
        <f t="shared" si="4"/>
        <v>B</v>
      </c>
    </row>
    <row r="21" spans="2:13" ht="15" outlineLevel="1" thickBot="1">
      <c r="B21" s="182" t="s">
        <v>168</v>
      </c>
      <c r="C21" s="171">
        <f>ФЕВРАЛЬ!AO49</f>
        <v>21581.81941202077</v>
      </c>
      <c r="D21" s="172">
        <f t="shared" si="0"/>
        <v>1.1096809687730287E-2</v>
      </c>
      <c r="E21" s="172">
        <f t="shared" si="5"/>
        <v>1.0051223910929001</v>
      </c>
      <c r="F21" s="173" t="str">
        <f t="shared" si="3"/>
        <v>C</v>
      </c>
      <c r="G21" s="173" t="str">
        <f t="shared" si="1"/>
        <v>B</v>
      </c>
      <c r="I21" s="182" t="s">
        <v>168</v>
      </c>
      <c r="J21" s="171">
        <f>ФЕВРАЛЬ!U49</f>
        <v>110</v>
      </c>
      <c r="K21" s="172">
        <f t="shared" si="2"/>
        <v>1.4109799897383273E-2</v>
      </c>
      <c r="L21" s="172">
        <f t="shared" si="6"/>
        <v>0.91675218060543873</v>
      </c>
      <c r="M21" s="173" t="str">
        <f t="shared" si="4"/>
        <v>B</v>
      </c>
    </row>
    <row r="22" spans="2:13" ht="15" outlineLevel="1" thickBot="1">
      <c r="B22" s="182" t="s">
        <v>167</v>
      </c>
      <c r="C22" s="171">
        <f>ФЕВРАЛЬ!AO48</f>
        <v>21544.114904369082</v>
      </c>
      <c r="D22" s="172">
        <f t="shared" si="0"/>
        <v>1.1077423011482439E-2</v>
      </c>
      <c r="E22" s="172">
        <f t="shared" si="5"/>
        <v>1.0161998141043826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ФЕВРАЛЬ!U15</f>
        <v>106</v>
      </c>
      <c r="K22" s="172">
        <f t="shared" si="2"/>
        <v>1.3596716264751155E-2</v>
      </c>
      <c r="L22" s="172">
        <f t="shared" si="6"/>
        <v>0.93034889687018985</v>
      </c>
      <c r="M22" s="173" t="str">
        <f t="shared" si="4"/>
        <v>B</v>
      </c>
    </row>
    <row r="23" spans="2:13" ht="26.5" outlineLevel="1" thickBot="1">
      <c r="B23" s="182" t="s">
        <v>166</v>
      </c>
      <c r="C23" s="171">
        <f>ФЕВРАЛЬ!AO47</f>
        <v>14532.292892683306</v>
      </c>
      <c r="D23" s="172">
        <f t="shared" si="0"/>
        <v>7.4721266765229903E-3</v>
      </c>
      <c r="E23" s="172">
        <f t="shared" si="5"/>
        <v>1.0236719407809056</v>
      </c>
      <c r="F23" s="173" t="str">
        <f t="shared" si="3"/>
        <v>C</v>
      </c>
      <c r="G23" s="173" t="str">
        <f t="shared" si="1"/>
        <v>C</v>
      </c>
      <c r="I23" s="182" t="s">
        <v>167</v>
      </c>
      <c r="J23" s="171">
        <f>ФЕВРАЛЬ!U48</f>
        <v>97</v>
      </c>
      <c r="K23" s="172">
        <f t="shared" si="2"/>
        <v>1.2442278091328886E-2</v>
      </c>
      <c r="L23" s="172">
        <f t="shared" si="6"/>
        <v>0.94279117496151876</v>
      </c>
      <c r="M23" s="173" t="str">
        <f t="shared" si="4"/>
        <v>B</v>
      </c>
    </row>
    <row r="24" spans="2:13" ht="26.5" outlineLevel="1" thickBot="1">
      <c r="B24" s="182" t="s">
        <v>164</v>
      </c>
      <c r="C24" s="171">
        <f>ФЕВРАЛЬ!AO45</f>
        <v>9357.1664670195241</v>
      </c>
      <c r="D24" s="172">
        <f t="shared" si="0"/>
        <v>4.8112113959721476E-3</v>
      </c>
      <c r="E24" s="172">
        <f t="shared" si="5"/>
        <v>1.0284831521768778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ФЕВРАЛЬ!U17</f>
        <v>82</v>
      </c>
      <c r="K24" s="172">
        <f t="shared" si="2"/>
        <v>1.0518214468958439E-2</v>
      </c>
      <c r="L24" s="172">
        <f t="shared" si="6"/>
        <v>0.95330938943047716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ФЕВРАЛЬ!AO44</f>
        <v>5307.7354424702671</v>
      </c>
      <c r="D25" s="172">
        <f t="shared" si="0"/>
        <v>2.7290993846935626E-3</v>
      </c>
      <c r="E25" s="172">
        <f t="shared" si="5"/>
        <v>1.0312122515615714</v>
      </c>
      <c r="F25" s="173" t="str">
        <f t="shared" si="3"/>
        <v>C</v>
      </c>
      <c r="G25" s="173" t="str">
        <f t="shared" si="1"/>
        <v>C</v>
      </c>
      <c r="I25" s="182" t="s">
        <v>166</v>
      </c>
      <c r="J25" s="171">
        <f>ФЕВРАЛЬ!U47</f>
        <v>43</v>
      </c>
      <c r="K25" s="172">
        <f t="shared" si="2"/>
        <v>5.5156490507952795E-3</v>
      </c>
      <c r="L25" s="172">
        <f t="shared" si="6"/>
        <v>0.95882503848127243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ФЕВРАЛЬ!AO89</f>
        <v>4775.074763300684</v>
      </c>
      <c r="D26" s="172">
        <f t="shared" si="0"/>
        <v>2.4552191305760728E-3</v>
      </c>
      <c r="E26" s="172">
        <f t="shared" si="5"/>
        <v>1.0336674706921474</v>
      </c>
      <c r="F26" s="173" t="str">
        <f t="shared" si="3"/>
        <v>C</v>
      </c>
      <c r="G26" s="173" t="str">
        <f t="shared" si="1"/>
        <v>C</v>
      </c>
      <c r="I26" s="182" t="s">
        <v>169</v>
      </c>
      <c r="J26" s="171">
        <f>ФЕВРАЛЬ!U50</f>
        <v>41</v>
      </c>
      <c r="K26" s="172">
        <f t="shared" si="2"/>
        <v>5.2591072344792197E-3</v>
      </c>
      <c r="L26" s="172">
        <f t="shared" si="6"/>
        <v>0.96408414571575163</v>
      </c>
      <c r="M26" s="173" t="str">
        <f t="shared" si="4"/>
        <v>C</v>
      </c>
    </row>
    <row r="27" spans="2:13" ht="15" outlineLevel="1" thickBot="1">
      <c r="B27" s="182" t="s">
        <v>144</v>
      </c>
      <c r="C27" s="171">
        <f>ФЕВРАЛЬ!AO25</f>
        <v>2310.3557459197523</v>
      </c>
      <c r="D27" s="172">
        <f t="shared" si="0"/>
        <v>1.1879247775164808E-3</v>
      </c>
      <c r="E27" s="172">
        <f>E26+D27</f>
        <v>1.0348553954696638</v>
      </c>
      <c r="F27" s="173" t="str">
        <f t="shared" si="3"/>
        <v>C</v>
      </c>
      <c r="G27" s="173" t="str">
        <f t="shared" si="1"/>
        <v>C</v>
      </c>
      <c r="I27" s="182" t="s">
        <v>163</v>
      </c>
      <c r="J27" s="171">
        <f>ФЕВРАЛЬ!U44</f>
        <v>40</v>
      </c>
      <c r="K27" s="172">
        <f t="shared" si="2"/>
        <v>5.1308363263211903E-3</v>
      </c>
      <c r="L27" s="172">
        <f>L26+K27</f>
        <v>0.96921498204207279</v>
      </c>
      <c r="M27" s="173" t="str">
        <f t="shared" si="4"/>
        <v>C</v>
      </c>
    </row>
    <row r="28" spans="2:13" ht="15" outlineLevel="1" thickBot="1">
      <c r="B28" s="182" t="s">
        <v>173</v>
      </c>
      <c r="C28" s="171">
        <f>ФЕВРАЛЬ!AO54</f>
        <v>2046.1936689727793</v>
      </c>
      <c r="D28" s="172">
        <f t="shared" si="0"/>
        <v>1.0520995146582716E-3</v>
      </c>
      <c r="E28" s="172">
        <f>E27+D28</f>
        <v>1.0359074949843221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ФЕВРАЛЬ!U27</f>
        <v>28</v>
      </c>
      <c r="K28" s="172">
        <f t="shared" si="2"/>
        <v>3.5915854284248334E-3</v>
      </c>
      <c r="L28" s="172">
        <f t="shared" si="6"/>
        <v>0.97280656747049765</v>
      </c>
      <c r="M28" s="173" t="str">
        <f t="shared" si="4"/>
        <v>C</v>
      </c>
    </row>
    <row r="29" spans="2:13" ht="26.5" outlineLevel="1" thickBot="1">
      <c r="B29" s="182" t="s">
        <v>207</v>
      </c>
      <c r="C29" s="171">
        <f>ФЕВРАЛЬ!AO88</f>
        <v>1964.579804531324</v>
      </c>
      <c r="D29" s="172">
        <f t="shared" si="0"/>
        <v>1.0101357902707619E-3</v>
      </c>
      <c r="E29" s="172">
        <f t="shared" si="5"/>
        <v>1.0369176307745929</v>
      </c>
      <c r="F29" s="173" t="str">
        <f t="shared" si="3"/>
        <v>C</v>
      </c>
      <c r="G29" s="173" t="str">
        <f t="shared" si="1"/>
        <v>C</v>
      </c>
      <c r="I29" s="182" t="s">
        <v>153</v>
      </c>
      <c r="J29" s="171">
        <f>ФЕВРАЛЬ!U34</f>
        <v>21</v>
      </c>
      <c r="K29" s="172">
        <f t="shared" si="2"/>
        <v>2.693689071318625E-3</v>
      </c>
      <c r="L29" s="172">
        <f t="shared" si="6"/>
        <v>0.97550025654181627</v>
      </c>
      <c r="M29" s="173" t="str">
        <f t="shared" si="4"/>
        <v>C</v>
      </c>
    </row>
    <row r="30" spans="2:13" ht="15" outlineLevel="1" thickBot="1">
      <c r="B30" s="182" t="s">
        <v>156</v>
      </c>
      <c r="C30" s="171">
        <f>ФЕВРАЛЬ!AO37</f>
        <v>1861.3041389712726</v>
      </c>
      <c r="D30" s="172">
        <f t="shared" si="0"/>
        <v>9.5703413168421805E-4</v>
      </c>
      <c r="E30" s="172">
        <f t="shared" si="5"/>
        <v>1.0378746649062771</v>
      </c>
      <c r="F30" s="173" t="str">
        <f t="shared" si="3"/>
        <v>C</v>
      </c>
      <c r="G30" s="173" t="str">
        <f t="shared" si="1"/>
        <v>C</v>
      </c>
      <c r="I30" s="182" t="s">
        <v>152</v>
      </c>
      <c r="J30" s="171">
        <f>ФЕВРАЛЬ!U33</f>
        <v>17</v>
      </c>
      <c r="K30" s="172">
        <f t="shared" si="2"/>
        <v>2.1806054386865059E-3</v>
      </c>
      <c r="L30" s="172">
        <f t="shared" si="6"/>
        <v>0.97768086198050275</v>
      </c>
      <c r="M30" s="173" t="str">
        <f t="shared" si="4"/>
        <v>C</v>
      </c>
    </row>
    <row r="31" spans="2:13" ht="26.5" outlineLevel="1" thickBot="1">
      <c r="B31" s="182" t="s">
        <v>186</v>
      </c>
      <c r="C31" s="171">
        <f>ФЕВРАЛЬ!AO67</f>
        <v>1842.6991475985744</v>
      </c>
      <c r="D31" s="172">
        <f t="shared" si="0"/>
        <v>9.4746792947655325E-4</v>
      </c>
      <c r="E31" s="172">
        <f t="shared" si="5"/>
        <v>1.0388221328357536</v>
      </c>
      <c r="F31" s="173" t="str">
        <f t="shared" si="3"/>
        <v>C</v>
      </c>
      <c r="G31" s="173" t="str">
        <f t="shared" si="1"/>
        <v>C</v>
      </c>
      <c r="I31" s="182" t="s">
        <v>200</v>
      </c>
      <c r="J31" s="171">
        <f>ФЕВРАЛЬ!U81</f>
        <v>16</v>
      </c>
      <c r="K31" s="172">
        <f t="shared" si="2"/>
        <v>2.052334530528476E-3</v>
      </c>
      <c r="L31" s="172">
        <f t="shared" si="6"/>
        <v>0.97973319651103119</v>
      </c>
      <c r="M31" s="173" t="str">
        <f t="shared" si="4"/>
        <v>C</v>
      </c>
    </row>
    <row r="32" spans="2:13" ht="26.5" outlineLevel="1" thickBot="1">
      <c r="B32" s="182" t="s">
        <v>205</v>
      </c>
      <c r="C32" s="171">
        <f>ФЕВРАЛЬ!AO86</f>
        <v>1108.5468874258931</v>
      </c>
      <c r="D32" s="172">
        <f t="shared" si="0"/>
        <v>5.6998594997228254E-4</v>
      </c>
      <c r="E32" s="172">
        <f t="shared" si="5"/>
        <v>1.039392118785726</v>
      </c>
      <c r="F32" s="173" t="str">
        <f t="shared" si="3"/>
        <v>C</v>
      </c>
      <c r="G32" s="173" t="str">
        <f t="shared" si="1"/>
        <v>C</v>
      </c>
      <c r="I32" s="182" t="s">
        <v>207</v>
      </c>
      <c r="J32" s="171">
        <f>ФЕВРАЛЬ!U88</f>
        <v>15</v>
      </c>
      <c r="K32" s="172">
        <f t="shared" si="2"/>
        <v>1.9240636223704464E-3</v>
      </c>
      <c r="L32" s="172">
        <f t="shared" si="6"/>
        <v>0.9816572601334016</v>
      </c>
      <c r="M32" s="173" t="str">
        <f t="shared" si="4"/>
        <v>C</v>
      </c>
    </row>
    <row r="33" spans="2:13" ht="15" outlineLevel="1" thickBot="1">
      <c r="B33" s="182" t="s">
        <v>153</v>
      </c>
      <c r="C33" s="171">
        <f>ФЕВРАЛЬ!AO34</f>
        <v>1069.5160052576362</v>
      </c>
      <c r="D33" s="172">
        <f t="shared" si="0"/>
        <v>5.4991728647840992E-4</v>
      </c>
      <c r="E33" s="172">
        <f t="shared" si="5"/>
        <v>1.0399420360722045</v>
      </c>
      <c r="F33" s="173" t="str">
        <f t="shared" si="3"/>
        <v>C</v>
      </c>
      <c r="G33" s="173" t="str">
        <f t="shared" si="1"/>
        <v>C</v>
      </c>
      <c r="I33" s="182" t="s">
        <v>158</v>
      </c>
      <c r="J33" s="171">
        <f>ФЕВРАЛЬ!U39</f>
        <v>11</v>
      </c>
      <c r="K33" s="172">
        <f t="shared" si="2"/>
        <v>1.4109799897383272E-3</v>
      </c>
      <c r="L33" s="172">
        <f t="shared" si="6"/>
        <v>0.98306824012313998</v>
      </c>
      <c r="M33" s="173" t="str">
        <f t="shared" si="4"/>
        <v>C</v>
      </c>
    </row>
    <row r="34" spans="2:13" ht="15" outlineLevel="1" thickBot="1">
      <c r="B34" s="182" t="s">
        <v>197</v>
      </c>
      <c r="C34" s="171">
        <f>ФЕВРАЛЬ!AO78</f>
        <v>991.42970628030093</v>
      </c>
      <c r="D34" s="172">
        <f t="shared" si="0"/>
        <v>5.0976734441708106E-4</v>
      </c>
      <c r="E34" s="172">
        <f t="shared" si="5"/>
        <v>1.0404518034166215</v>
      </c>
      <c r="F34" s="173" t="str">
        <f t="shared" si="3"/>
        <v>C</v>
      </c>
      <c r="G34" s="173" t="str">
        <f t="shared" si="1"/>
        <v>C</v>
      </c>
      <c r="I34" s="182" t="s">
        <v>170</v>
      </c>
      <c r="J34" s="171">
        <f>ФЕВРАЛЬ!U51</f>
        <v>10</v>
      </c>
      <c r="K34" s="172">
        <f t="shared" si="2"/>
        <v>1.2827090815802976E-3</v>
      </c>
      <c r="L34" s="172">
        <f t="shared" si="6"/>
        <v>0.98435094920472033</v>
      </c>
      <c r="M34" s="173" t="str">
        <f t="shared" si="4"/>
        <v>C</v>
      </c>
    </row>
    <row r="35" spans="2:13" ht="15" outlineLevel="1" thickBot="1">
      <c r="B35" s="182" t="s">
        <v>202</v>
      </c>
      <c r="C35" s="171">
        <f>ФЕВРАЛЬ!AO83</f>
        <v>949.13883079444759</v>
      </c>
      <c r="D35" s="172">
        <f t="shared" si="0"/>
        <v>4.8802247722888544E-4</v>
      </c>
      <c r="E35" s="172">
        <f t="shared" si="5"/>
        <v>1.0409398258938503</v>
      </c>
      <c r="F35" s="173" t="str">
        <f t="shared" si="3"/>
        <v>C</v>
      </c>
      <c r="G35" s="173" t="str">
        <f t="shared" si="1"/>
        <v>C</v>
      </c>
      <c r="I35" s="182" t="s">
        <v>177</v>
      </c>
      <c r="J35" s="171">
        <f>ФЕВРАЛЬ!U58</f>
        <v>9</v>
      </c>
      <c r="K35" s="172">
        <f t="shared" si="2"/>
        <v>1.1544381734222679E-3</v>
      </c>
      <c r="L35" s="172">
        <f t="shared" si="6"/>
        <v>0.98550538737814264</v>
      </c>
      <c r="M35" s="173" t="str">
        <f t="shared" si="4"/>
        <v>C</v>
      </c>
    </row>
    <row r="36" spans="2:13" ht="15" outlineLevel="1" thickBot="1">
      <c r="B36" s="182" t="s">
        <v>169</v>
      </c>
      <c r="C36" s="171">
        <f>ФЕВРАЛЬ!AO50</f>
        <v>702.8170762705538</v>
      </c>
      <c r="D36" s="172">
        <f t="shared" si="0"/>
        <v>3.6137024371158484E-4</v>
      </c>
      <c r="E36" s="172">
        <f t="shared" si="5"/>
        <v>1.0413011961375618</v>
      </c>
      <c r="F36" s="173" t="str">
        <f t="shared" si="3"/>
        <v>C</v>
      </c>
      <c r="G36" s="173" t="str">
        <f t="shared" si="1"/>
        <v>C</v>
      </c>
      <c r="I36" s="182" t="s">
        <v>156</v>
      </c>
      <c r="J36" s="171">
        <f>ФЕВРАЛЬ!U37</f>
        <v>8</v>
      </c>
      <c r="K36" s="172">
        <f t="shared" si="2"/>
        <v>1.026167265264238E-3</v>
      </c>
      <c r="L36" s="172">
        <f t="shared" si="6"/>
        <v>0.98653155464340692</v>
      </c>
      <c r="M36" s="173" t="str">
        <f t="shared" si="4"/>
        <v>C</v>
      </c>
    </row>
    <row r="37" spans="2:13" ht="15" outlineLevel="1" thickBot="1">
      <c r="B37" s="182" t="s">
        <v>161</v>
      </c>
      <c r="C37" s="171">
        <f>ФЕВРАЛЬ!AO42</f>
        <v>650.48093999698619</v>
      </c>
      <c r="D37" s="172">
        <f t="shared" si="0"/>
        <v>3.3446036494133525E-4</v>
      </c>
      <c r="E37" s="172">
        <f t="shared" si="5"/>
        <v>1.0416356565025031</v>
      </c>
      <c r="F37" s="173" t="str">
        <f t="shared" si="3"/>
        <v>C</v>
      </c>
      <c r="G37" s="173" t="str">
        <f t="shared" si="1"/>
        <v>C</v>
      </c>
      <c r="I37" s="182" t="s">
        <v>208</v>
      </c>
      <c r="J37" s="171">
        <f>ФЕВРАЛЬ!U89</f>
        <v>8</v>
      </c>
      <c r="K37" s="172">
        <f t="shared" si="2"/>
        <v>1.026167265264238E-3</v>
      </c>
      <c r="L37" s="172">
        <f t="shared" si="6"/>
        <v>0.98755772190867119</v>
      </c>
      <c r="M37" s="173" t="str">
        <f t="shared" si="4"/>
        <v>C</v>
      </c>
    </row>
    <row r="38" spans="2:13" ht="15" outlineLevel="1" thickBot="1">
      <c r="B38" s="182" t="s">
        <v>258</v>
      </c>
      <c r="C38" s="171">
        <f>ФЕВРАЛЬ!AO101</f>
        <v>618.20774280592673</v>
      </c>
      <c r="D38" s="172">
        <f t="shared" si="0"/>
        <v>3.178663271354075E-4</v>
      </c>
      <c r="E38" s="172">
        <f t="shared" si="5"/>
        <v>1.0419535228296386</v>
      </c>
      <c r="F38" s="173" t="str">
        <f t="shared" si="3"/>
        <v>C</v>
      </c>
      <c r="G38" s="173" t="str">
        <f t="shared" si="1"/>
        <v>C</v>
      </c>
      <c r="I38" s="182" t="s">
        <v>144</v>
      </c>
      <c r="J38" s="171">
        <f>ФЕВРАЛЬ!U25</f>
        <v>7</v>
      </c>
      <c r="K38" s="172">
        <f t="shared" si="2"/>
        <v>8.9789635710620834E-4</v>
      </c>
      <c r="L38" s="172">
        <f t="shared" si="6"/>
        <v>0.98845561826577744</v>
      </c>
      <c r="M38" s="173" t="str">
        <f t="shared" si="4"/>
        <v>C</v>
      </c>
    </row>
    <row r="39" spans="2:13" ht="26.5" outlineLevel="1" thickBot="1">
      <c r="B39" s="182" t="s">
        <v>214</v>
      </c>
      <c r="C39" s="171">
        <f>ФЕВРАЛЬ!AO95</f>
        <v>547.11839305152046</v>
      </c>
      <c r="D39" s="172">
        <f t="shared" si="0"/>
        <v>2.8131403420825251E-4</v>
      </c>
      <c r="E39" s="172">
        <f>E35+D39</f>
        <v>1.0412211399280584</v>
      </c>
      <c r="F39" s="173" t="str">
        <f t="shared" si="3"/>
        <v>C</v>
      </c>
      <c r="G39" s="173" t="str">
        <f t="shared" si="1"/>
        <v>C</v>
      </c>
      <c r="I39" s="182" t="s">
        <v>162</v>
      </c>
      <c r="J39" s="171">
        <f>ФЕВРАЛЬ!U43</f>
        <v>7</v>
      </c>
      <c r="K39" s="172">
        <f t="shared" si="2"/>
        <v>8.9789635710620834E-4</v>
      </c>
      <c r="L39" s="172">
        <f>L35+K39</f>
        <v>0.98640328373524888</v>
      </c>
      <c r="M39" s="173" t="str">
        <f t="shared" si="4"/>
        <v>C</v>
      </c>
    </row>
    <row r="40" spans="2:13" ht="26.5" outlineLevel="1" thickBot="1">
      <c r="B40" s="182" t="s">
        <v>172</v>
      </c>
      <c r="C40" s="171">
        <f>ФЕВРАЛЬ!AO53</f>
        <v>489.31534501796045</v>
      </c>
      <c r="D40" s="172">
        <f t="shared" si="0"/>
        <v>2.5159321173478302E-4</v>
      </c>
      <c r="E40" s="172">
        <f t="shared" si="5"/>
        <v>1.0414727331397933</v>
      </c>
      <c r="F40" s="173" t="str">
        <f t="shared" si="3"/>
        <v>C</v>
      </c>
      <c r="G40" s="173" t="str">
        <f t="shared" si="1"/>
        <v>C</v>
      </c>
      <c r="I40" s="182" t="s">
        <v>173</v>
      </c>
      <c r="J40" s="171">
        <f>ФЕВРАЛЬ!U54</f>
        <v>7</v>
      </c>
      <c r="K40" s="172">
        <f t="shared" si="2"/>
        <v>8.9789635710620834E-4</v>
      </c>
      <c r="L40" s="172">
        <f t="shared" si="6"/>
        <v>0.98730118009235512</v>
      </c>
      <c r="M40" s="173" t="str">
        <f t="shared" si="4"/>
        <v>C</v>
      </c>
    </row>
    <row r="41" spans="2:13" ht="15" outlineLevel="1" thickBot="1">
      <c r="B41" s="182" t="s">
        <v>189</v>
      </c>
      <c r="C41" s="171">
        <f>ФЕВРАЛЬ!AO70</f>
        <v>409.15468265203629</v>
      </c>
      <c r="D41" s="172">
        <f t="shared" si="0"/>
        <v>2.1037668602233035E-4</v>
      </c>
      <c r="E41" s="172">
        <f t="shared" si="5"/>
        <v>1.0416831098258157</v>
      </c>
      <c r="F41" s="173" t="str">
        <f t="shared" si="3"/>
        <v>C</v>
      </c>
      <c r="G41" s="173" t="str">
        <f t="shared" si="1"/>
        <v>C</v>
      </c>
      <c r="I41" s="182" t="s">
        <v>192</v>
      </c>
      <c r="J41" s="171">
        <f>ФЕВРАЛЬ!U73</f>
        <v>7</v>
      </c>
      <c r="K41" s="172">
        <f t="shared" si="2"/>
        <v>8.9789635710620834E-4</v>
      </c>
      <c r="L41" s="172">
        <f t="shared" si="6"/>
        <v>0.98819907644946137</v>
      </c>
      <c r="M41" s="173" t="str">
        <f t="shared" si="4"/>
        <v>C</v>
      </c>
    </row>
    <row r="42" spans="2:13" ht="26.5" outlineLevel="1" thickBot="1">
      <c r="B42" s="182" t="s">
        <v>201</v>
      </c>
      <c r="C42" s="171">
        <f>ФЕВРАЛЬ!AO82</f>
        <v>399.23552471635878</v>
      </c>
      <c r="D42" s="172">
        <f t="shared" si="0"/>
        <v>2.0527651324387384E-4</v>
      </c>
      <c r="E42" s="172">
        <f t="shared" si="5"/>
        <v>1.0418883863390596</v>
      </c>
      <c r="F42" s="173" t="str">
        <f t="shared" si="3"/>
        <v>C</v>
      </c>
      <c r="G42" s="173" t="str">
        <f t="shared" si="1"/>
        <v>C</v>
      </c>
      <c r="I42" s="182" t="s">
        <v>186</v>
      </c>
      <c r="J42" s="171">
        <f>ФЕВРАЛЬ!U67</f>
        <v>6</v>
      </c>
      <c r="K42" s="172">
        <f t="shared" si="2"/>
        <v>7.6962544894817856E-4</v>
      </c>
      <c r="L42" s="172">
        <f t="shared" si="6"/>
        <v>0.98896870189840957</v>
      </c>
      <c r="M42" s="173" t="str">
        <f t="shared" si="4"/>
        <v>C</v>
      </c>
    </row>
    <row r="43" spans="2:13" ht="15" outlineLevel="1" thickBot="1">
      <c r="B43" s="182" t="s">
        <v>141</v>
      </c>
      <c r="C43" s="171">
        <f>ФЕВРАЛЬ!AO22</f>
        <v>356.08551204732544</v>
      </c>
      <c r="D43" s="172">
        <f t="shared" si="0"/>
        <v>1.8308990008257967E-4</v>
      </c>
      <c r="E43" s="172">
        <f t="shared" si="5"/>
        <v>1.0420714762391421</v>
      </c>
      <c r="F43" s="173" t="str">
        <f t="shared" si="3"/>
        <v>C</v>
      </c>
      <c r="G43" s="173" t="str">
        <f t="shared" si="1"/>
        <v>C</v>
      </c>
      <c r="I43" s="182" t="s">
        <v>191</v>
      </c>
      <c r="J43" s="171">
        <f>ФЕВРАЛЬ!U72</f>
        <v>6</v>
      </c>
      <c r="K43" s="172">
        <f t="shared" si="2"/>
        <v>7.6962544894817856E-4</v>
      </c>
      <c r="L43" s="172">
        <f t="shared" si="6"/>
        <v>0.98973832734735778</v>
      </c>
      <c r="M43" s="173" t="str">
        <f t="shared" si="4"/>
        <v>C</v>
      </c>
    </row>
    <row r="44" spans="2:13" ht="26.5" outlineLevel="1" thickBot="1">
      <c r="B44" s="182" t="s">
        <v>148</v>
      </c>
      <c r="C44" s="171">
        <f>ФЕВРАЛЬ!AO29</f>
        <v>338.41287525266074</v>
      </c>
      <c r="D44" s="172">
        <f t="shared" si="0"/>
        <v>1.7400309032632974E-4</v>
      </c>
      <c r="E44" s="172">
        <f t="shared" si="5"/>
        <v>1.0422454793294684</v>
      </c>
      <c r="F44" s="173" t="str">
        <f t="shared" si="3"/>
        <v>C</v>
      </c>
      <c r="G44" s="173" t="str">
        <f t="shared" si="1"/>
        <v>C</v>
      </c>
      <c r="I44" s="182" t="s">
        <v>199</v>
      </c>
      <c r="J44" s="171">
        <f>ФЕВРАЛЬ!U80</f>
        <v>6</v>
      </c>
      <c r="K44" s="172">
        <f t="shared" si="2"/>
        <v>7.6962544894817856E-4</v>
      </c>
      <c r="L44" s="172">
        <f t="shared" si="6"/>
        <v>0.99050795279630599</v>
      </c>
      <c r="M44" s="173" t="str">
        <f t="shared" si="4"/>
        <v>C</v>
      </c>
    </row>
    <row r="45" spans="2:13" ht="15" outlineLevel="1" thickBot="1">
      <c r="B45" s="182" t="s">
        <v>160</v>
      </c>
      <c r="C45" s="171">
        <f>ФЕВРАЛЬ!AO41</f>
        <v>317.00276581692913</v>
      </c>
      <c r="D45" s="172">
        <f t="shared" si="0"/>
        <v>1.6299456943816675E-4</v>
      </c>
      <c r="E45" s="172">
        <f t="shared" si="5"/>
        <v>1.0424084738989066</v>
      </c>
      <c r="F45" s="173" t="str">
        <f t="shared" si="3"/>
        <v>C</v>
      </c>
      <c r="G45" s="173" t="str">
        <f t="shared" si="1"/>
        <v>C</v>
      </c>
      <c r="I45" s="182" t="s">
        <v>190</v>
      </c>
      <c r="J45" s="171">
        <f>ФЕВРАЛЬ!U71</f>
        <v>5</v>
      </c>
      <c r="K45" s="172">
        <f t="shared" si="2"/>
        <v>6.4135454079014879E-4</v>
      </c>
      <c r="L45" s="172">
        <f t="shared" si="6"/>
        <v>0.99114930733709616</v>
      </c>
      <c r="M45" s="173" t="str">
        <f t="shared" si="4"/>
        <v>C</v>
      </c>
    </row>
    <row r="46" spans="2:13" ht="15" outlineLevel="1" thickBot="1">
      <c r="B46" s="182" t="s">
        <v>192</v>
      </c>
      <c r="C46" s="171">
        <f>ФЕВРАЛЬ!AO73</f>
        <v>268.99932393619736</v>
      </c>
      <c r="D46" s="172">
        <f t="shared" si="0"/>
        <v>1.3831244932878414E-4</v>
      </c>
      <c r="E46" s="172">
        <f t="shared" si="5"/>
        <v>1.0425467863482354</v>
      </c>
      <c r="F46" s="173" t="str">
        <f t="shared" si="3"/>
        <v>C</v>
      </c>
      <c r="G46" s="173" t="str">
        <f t="shared" si="1"/>
        <v>C</v>
      </c>
      <c r="I46" s="182" t="s">
        <v>197</v>
      </c>
      <c r="J46" s="171">
        <f>ФЕВРАЛЬ!U78</f>
        <v>4</v>
      </c>
      <c r="K46" s="172">
        <f t="shared" si="2"/>
        <v>5.1308363263211901E-4</v>
      </c>
      <c r="L46" s="172">
        <f t="shared" si="6"/>
        <v>0.9916623909697283</v>
      </c>
      <c r="M46" s="173" t="str">
        <f t="shared" si="4"/>
        <v>C</v>
      </c>
    </row>
    <row r="47" spans="2:13" ht="15" outlineLevel="1" thickBot="1">
      <c r="B47" s="182" t="s">
        <v>217</v>
      </c>
      <c r="C47" s="171">
        <f>ФЕВРАЛЬ!AO98</f>
        <v>235.27857966741786</v>
      </c>
      <c r="D47" s="172">
        <f t="shared" si="0"/>
        <v>1.2097412050045339E-4</v>
      </c>
      <c r="E47" s="172">
        <f t="shared" si="5"/>
        <v>1.0426677604687358</v>
      </c>
      <c r="F47" s="173" t="str">
        <f t="shared" si="3"/>
        <v>C</v>
      </c>
      <c r="G47" s="173" t="str">
        <f t="shared" si="1"/>
        <v>C</v>
      </c>
      <c r="I47" s="182" t="s">
        <v>148</v>
      </c>
      <c r="J47" s="171">
        <f>ФЕВРАЛЬ!U29</f>
        <v>3</v>
      </c>
      <c r="K47" s="172">
        <f t="shared" si="2"/>
        <v>3.8481272447408928E-4</v>
      </c>
      <c r="L47" s="172">
        <f t="shared" si="6"/>
        <v>0.99204720369420241</v>
      </c>
      <c r="M47" s="173" t="str">
        <f t="shared" si="4"/>
        <v>C</v>
      </c>
    </row>
    <row r="48" spans="2:13" ht="15" outlineLevel="1" thickBot="1">
      <c r="B48" s="182" t="s">
        <v>193</v>
      </c>
      <c r="C48" s="171">
        <f>ФЕВРАЛЬ!AO74</f>
        <v>182.45374957254955</v>
      </c>
      <c r="D48" s="172">
        <f t="shared" si="0"/>
        <v>9.3812968089783917E-5</v>
      </c>
      <c r="E48" s="172">
        <f t="shared" si="5"/>
        <v>1.0427615734368256</v>
      </c>
      <c r="F48" s="173" t="str">
        <f t="shared" si="3"/>
        <v>C</v>
      </c>
      <c r="G48" s="173" t="str">
        <f t="shared" si="1"/>
        <v>C</v>
      </c>
      <c r="I48" s="182" t="s">
        <v>149</v>
      </c>
      <c r="J48" s="171">
        <f>ФЕВРАЛЬ!U30</f>
        <v>3</v>
      </c>
      <c r="K48" s="172">
        <f t="shared" si="2"/>
        <v>3.8481272447408928E-4</v>
      </c>
      <c r="L48" s="172">
        <f t="shared" si="6"/>
        <v>0.99243201641867651</v>
      </c>
      <c r="M48" s="173" t="str">
        <f t="shared" si="4"/>
        <v>C</v>
      </c>
    </row>
    <row r="49" spans="2:13" ht="26.5" outlineLevel="1" thickBot="1">
      <c r="B49" s="182" t="s">
        <v>213</v>
      </c>
      <c r="C49" s="171">
        <f>ФЕВРАЛЬ!AO94</f>
        <v>176.56560189652456</v>
      </c>
      <c r="D49" s="172">
        <f t="shared" si="0"/>
        <v>9.0785435844856156E-5</v>
      </c>
      <c r="E49" s="172">
        <f t="shared" si="5"/>
        <v>1.0428523588726706</v>
      </c>
      <c r="F49" s="173" t="str">
        <f t="shared" si="3"/>
        <v>C</v>
      </c>
      <c r="G49" s="173" t="str">
        <f t="shared" si="1"/>
        <v>C</v>
      </c>
      <c r="I49" s="182" t="s">
        <v>206</v>
      </c>
      <c r="J49" s="171">
        <f>ФЕВРАЛЬ!U87</f>
        <v>3</v>
      </c>
      <c r="K49" s="172">
        <f t="shared" si="2"/>
        <v>3.8481272447408928E-4</v>
      </c>
      <c r="L49" s="172">
        <f t="shared" si="6"/>
        <v>0.99281682914315061</v>
      </c>
      <c r="M49" s="173" t="str">
        <f t="shared" si="4"/>
        <v>C</v>
      </c>
    </row>
    <row r="50" spans="2:13" ht="26.5" outlineLevel="1" thickBot="1">
      <c r="B50" s="182" t="s">
        <v>198</v>
      </c>
      <c r="C50" s="171">
        <f>ФЕВРАЛЬ!AO79</f>
        <v>159.17481742583482</v>
      </c>
      <c r="D50" s="172">
        <f t="shared" si="0"/>
        <v>8.1843547215944225E-5</v>
      </c>
      <c r="E50" s="172">
        <f t="shared" si="5"/>
        <v>1.0429342024198864</v>
      </c>
      <c r="F50" s="173" t="str">
        <f t="shared" si="3"/>
        <v>C</v>
      </c>
      <c r="G50" s="173" t="str">
        <f t="shared" si="1"/>
        <v>C</v>
      </c>
      <c r="I50" s="182" t="s">
        <v>141</v>
      </c>
      <c r="J50" s="171">
        <f>ФЕВРАЛЬ!U22</f>
        <v>2</v>
      </c>
      <c r="K50" s="172">
        <f t="shared" si="2"/>
        <v>2.565418163160595E-4</v>
      </c>
      <c r="L50" s="172">
        <f t="shared" si="6"/>
        <v>0.99307337095946668</v>
      </c>
      <c r="M50" s="173" t="str">
        <f t="shared" si="4"/>
        <v>C</v>
      </c>
    </row>
    <row r="51" spans="2:13" ht="15" outlineLevel="1" thickBot="1">
      <c r="B51" s="182" t="s">
        <v>175</v>
      </c>
      <c r="C51" s="171">
        <f>ФЕВРАЛЬ!AO56</f>
        <v>121.85616174421648</v>
      </c>
      <c r="D51" s="172">
        <f t="shared" si="0"/>
        <v>6.2655266005964532E-5</v>
      </c>
      <c r="E51" s="172">
        <f t="shared" si="5"/>
        <v>1.0429968576858923</v>
      </c>
      <c r="F51" s="173" t="str">
        <f t="shared" si="3"/>
        <v>C</v>
      </c>
      <c r="G51" s="173" t="str">
        <f t="shared" si="1"/>
        <v>C</v>
      </c>
      <c r="I51" s="182" t="s">
        <v>150</v>
      </c>
      <c r="J51" s="171">
        <f>ФЕВРАЛЬ!U31</f>
        <v>2</v>
      </c>
      <c r="K51" s="172">
        <f t="shared" si="2"/>
        <v>2.565418163160595E-4</v>
      </c>
      <c r="L51" s="172">
        <f t="shared" si="6"/>
        <v>0.99332991277578275</v>
      </c>
      <c r="M51" s="173" t="str">
        <f t="shared" si="4"/>
        <v>C</v>
      </c>
    </row>
    <row r="52" spans="2:13" ht="15" outlineLevel="1" thickBot="1">
      <c r="B52" s="182" t="s">
        <v>151</v>
      </c>
      <c r="C52" s="171">
        <f>ФЕВРАЛЬ!AO32</f>
        <v>12.884379682907937</v>
      </c>
      <c r="D52" s="172">
        <f t="shared" si="0"/>
        <v>6.6248126052826087E-6</v>
      </c>
      <c r="E52" s="172">
        <f t="shared" si="5"/>
        <v>1.0430034824984977</v>
      </c>
      <c r="F52" s="173" t="str">
        <f t="shared" si="3"/>
        <v>C</v>
      </c>
      <c r="G52" s="173" t="str">
        <f t="shared" si="1"/>
        <v>C</v>
      </c>
      <c r="I52" s="182" t="s">
        <v>161</v>
      </c>
      <c r="J52" s="171">
        <f>ФЕВРАЛЬ!U42</f>
        <v>2</v>
      </c>
      <c r="K52" s="172">
        <f t="shared" si="2"/>
        <v>2.565418163160595E-4</v>
      </c>
      <c r="L52" s="172">
        <f t="shared" si="6"/>
        <v>0.99358645459209882</v>
      </c>
      <c r="M52" s="173" t="str">
        <f t="shared" si="4"/>
        <v>C</v>
      </c>
    </row>
    <row r="53" spans="2:13" ht="26.5" outlineLevel="1" thickBot="1">
      <c r="B53" s="182" t="s">
        <v>138</v>
      </c>
      <c r="C53" s="171">
        <f>ФЕВРАЛЬ!AO19</f>
        <v>0</v>
      </c>
      <c r="D53" s="172">
        <f t="shared" si="0"/>
        <v>0</v>
      </c>
      <c r="E53" s="172">
        <f t="shared" si="5"/>
        <v>1.0430034824984977</v>
      </c>
      <c r="F53" s="173" t="str">
        <f t="shared" si="3"/>
        <v>C</v>
      </c>
      <c r="G53" s="173" t="str">
        <f t="shared" si="1"/>
        <v>C</v>
      </c>
      <c r="I53" s="182" t="s">
        <v>172</v>
      </c>
      <c r="J53" s="171">
        <f>ФЕВРАЛЬ!U53</f>
        <v>2</v>
      </c>
      <c r="K53" s="172">
        <f t="shared" si="2"/>
        <v>2.565418163160595E-4</v>
      </c>
      <c r="L53" s="172">
        <f t="shared" si="6"/>
        <v>0.99384299640841489</v>
      </c>
      <c r="M53" s="173" t="str">
        <f t="shared" si="4"/>
        <v>C</v>
      </c>
    </row>
    <row r="54" spans="2:13" ht="15" outlineLevel="1" thickBot="1">
      <c r="B54" s="182" t="s">
        <v>139</v>
      </c>
      <c r="C54" s="171">
        <f>ФЕВРАЛЬ!AO20</f>
        <v>0</v>
      </c>
      <c r="D54" s="172">
        <f t="shared" si="0"/>
        <v>0</v>
      </c>
      <c r="E54" s="172">
        <f t="shared" si="5"/>
        <v>1.0430034824984977</v>
      </c>
      <c r="F54" s="173" t="str">
        <f t="shared" si="3"/>
        <v>C</v>
      </c>
      <c r="G54" s="173" t="str">
        <f t="shared" si="1"/>
        <v>C</v>
      </c>
      <c r="I54" s="182" t="s">
        <v>175</v>
      </c>
      <c r="J54" s="171">
        <f>ФЕВРАЛЬ!U56</f>
        <v>2</v>
      </c>
      <c r="K54" s="172">
        <f t="shared" si="2"/>
        <v>2.565418163160595E-4</v>
      </c>
      <c r="L54" s="172">
        <f t="shared" si="6"/>
        <v>0.99409953822473096</v>
      </c>
      <c r="M54" s="173" t="str">
        <f t="shared" si="4"/>
        <v>C</v>
      </c>
    </row>
    <row r="55" spans="2:13" ht="15" outlineLevel="1" thickBot="1">
      <c r="B55" s="182" t="s">
        <v>142</v>
      </c>
      <c r="C55" s="171">
        <f>ФЕВРАЛЬ!AO23</f>
        <v>0</v>
      </c>
      <c r="D55" s="172">
        <f t="shared" si="0"/>
        <v>0</v>
      </c>
      <c r="E55" s="172">
        <f t="shared" si="5"/>
        <v>1.0430034824984977</v>
      </c>
      <c r="F55" s="173" t="str">
        <f t="shared" si="3"/>
        <v>C</v>
      </c>
      <c r="G55" s="173" t="str">
        <f t="shared" si="1"/>
        <v>C</v>
      </c>
      <c r="I55" s="182" t="s">
        <v>179</v>
      </c>
      <c r="J55" s="171">
        <f>ФЕВРАЛЬ!U60</f>
        <v>2</v>
      </c>
      <c r="K55" s="172">
        <f t="shared" si="2"/>
        <v>2.565418163160595E-4</v>
      </c>
      <c r="L55" s="172">
        <f t="shared" si="6"/>
        <v>0.99435608004104703</v>
      </c>
      <c r="M55" s="173" t="str">
        <f t="shared" si="4"/>
        <v>C</v>
      </c>
    </row>
    <row r="56" spans="2:13" ht="15" outlineLevel="1" thickBot="1">
      <c r="B56" s="182" t="s">
        <v>143</v>
      </c>
      <c r="C56" s="171">
        <f>ФЕВРАЛЬ!AO24</f>
        <v>0</v>
      </c>
      <c r="D56" s="172">
        <f t="shared" si="0"/>
        <v>0</v>
      </c>
      <c r="E56" s="172">
        <f t="shared" si="5"/>
        <v>1.0430034824984977</v>
      </c>
      <c r="F56" s="173" t="str">
        <f t="shared" si="3"/>
        <v>C</v>
      </c>
      <c r="G56" s="173" t="str">
        <f t="shared" si="1"/>
        <v>C</v>
      </c>
      <c r="I56" s="182" t="s">
        <v>189</v>
      </c>
      <c r="J56" s="171">
        <f>ФЕВРАЛЬ!U70</f>
        <v>2</v>
      </c>
      <c r="K56" s="172">
        <f t="shared" si="2"/>
        <v>2.565418163160595E-4</v>
      </c>
      <c r="L56" s="172">
        <f t="shared" si="6"/>
        <v>0.9946126218573631</v>
      </c>
      <c r="M56" s="173" t="str">
        <f t="shared" si="4"/>
        <v>C</v>
      </c>
    </row>
    <row r="57" spans="2:13" ht="15" outlineLevel="1" thickBot="1">
      <c r="B57" s="182" t="s">
        <v>154</v>
      </c>
      <c r="C57" s="171">
        <f>ФЕВРАЛЬ!AO35</f>
        <v>0</v>
      </c>
      <c r="D57" s="172">
        <f t="shared" si="0"/>
        <v>0</v>
      </c>
      <c r="E57" s="172">
        <f t="shared" si="5"/>
        <v>1.0430034824984977</v>
      </c>
      <c r="F57" s="173" t="str">
        <f t="shared" si="3"/>
        <v>C</v>
      </c>
      <c r="G57" s="173" t="str">
        <f t="shared" si="1"/>
        <v>C</v>
      </c>
      <c r="I57" s="182" t="s">
        <v>202</v>
      </c>
      <c r="J57" s="171">
        <f>ФЕВРАЛЬ!U83</f>
        <v>2</v>
      </c>
      <c r="K57" s="172">
        <f t="shared" si="2"/>
        <v>2.565418163160595E-4</v>
      </c>
      <c r="L57" s="172">
        <f t="shared" si="6"/>
        <v>0.99486916367367917</v>
      </c>
      <c r="M57" s="173" t="str">
        <f t="shared" si="4"/>
        <v>C</v>
      </c>
    </row>
    <row r="58" spans="2:13" ht="26.5" outlineLevel="1" thickBot="1">
      <c r="B58" s="182" t="s">
        <v>155</v>
      </c>
      <c r="C58" s="171">
        <f>ФЕВРАЛЬ!AO36</f>
        <v>0</v>
      </c>
      <c r="D58" s="172">
        <f t="shared" si="0"/>
        <v>0</v>
      </c>
      <c r="E58" s="172">
        <f t="shared" si="5"/>
        <v>1.0430034824984977</v>
      </c>
      <c r="F58" s="173" t="str">
        <f t="shared" si="3"/>
        <v>C</v>
      </c>
      <c r="G58" s="173" t="str">
        <f t="shared" si="1"/>
        <v>C</v>
      </c>
      <c r="I58" s="182" t="s">
        <v>205</v>
      </c>
      <c r="J58" s="171">
        <f>ФЕВРАЛЬ!U86</f>
        <v>2</v>
      </c>
      <c r="K58" s="172">
        <f t="shared" si="2"/>
        <v>2.565418163160595E-4</v>
      </c>
      <c r="L58" s="172">
        <f t="shared" si="6"/>
        <v>0.99512570548999524</v>
      </c>
      <c r="M58" s="173" t="str">
        <f t="shared" si="4"/>
        <v>C</v>
      </c>
    </row>
    <row r="59" spans="2:13" ht="26.5" outlineLevel="1" thickBot="1">
      <c r="B59" s="182" t="s">
        <v>165</v>
      </c>
      <c r="C59" s="171">
        <f>ФЕВРАЛЬ!AO46</f>
        <v>0</v>
      </c>
      <c r="D59" s="172">
        <f t="shared" si="0"/>
        <v>0</v>
      </c>
      <c r="E59" s="172">
        <f t="shared" si="5"/>
        <v>1.0430034824984977</v>
      </c>
      <c r="F59" s="173" t="str">
        <f t="shared" si="3"/>
        <v>C</v>
      </c>
      <c r="G59" s="173" t="str">
        <f t="shared" si="1"/>
        <v>C</v>
      </c>
      <c r="I59" s="182" t="s">
        <v>210</v>
      </c>
      <c r="J59" s="171">
        <f>ФЕВРАЛЬ!U91</f>
        <v>2</v>
      </c>
      <c r="K59" s="172">
        <f t="shared" si="2"/>
        <v>2.565418163160595E-4</v>
      </c>
      <c r="L59" s="172">
        <f t="shared" si="6"/>
        <v>0.99538224730631131</v>
      </c>
      <c r="M59" s="173" t="str">
        <f t="shared" si="4"/>
        <v>C</v>
      </c>
    </row>
    <row r="60" spans="2:13" ht="15" outlineLevel="1" thickBot="1">
      <c r="B60" s="182" t="s">
        <v>176</v>
      </c>
      <c r="C60" s="171">
        <f>ФЕВРАЛЬ!AO57</f>
        <v>0</v>
      </c>
      <c r="D60" s="172">
        <f t="shared" si="0"/>
        <v>0</v>
      </c>
      <c r="E60" s="172">
        <f t="shared" si="5"/>
        <v>1.0430034824984977</v>
      </c>
      <c r="F60" s="173" t="str">
        <f t="shared" si="3"/>
        <v>C</v>
      </c>
      <c r="G60" s="173" t="str">
        <f t="shared" si="1"/>
        <v>C</v>
      </c>
      <c r="I60" s="182" t="s">
        <v>217</v>
      </c>
      <c r="J60" s="171">
        <f>ФЕВРАЛЬ!U98</f>
        <v>2</v>
      </c>
      <c r="K60" s="172">
        <f t="shared" si="2"/>
        <v>2.565418163160595E-4</v>
      </c>
      <c r="L60" s="172">
        <f t="shared" si="6"/>
        <v>0.99563878912262738</v>
      </c>
      <c r="M60" s="173" t="str">
        <f t="shared" si="4"/>
        <v>C</v>
      </c>
    </row>
    <row r="61" spans="2:13" ht="15" outlineLevel="1" thickBot="1">
      <c r="B61" s="182" t="s">
        <v>178</v>
      </c>
      <c r="C61" s="171">
        <f>ФЕВРАЛЬ!AO59</f>
        <v>0</v>
      </c>
      <c r="D61" s="172">
        <f t="shared" si="0"/>
        <v>0</v>
      </c>
      <c r="E61" s="172">
        <f t="shared" si="5"/>
        <v>1.0430034824984977</v>
      </c>
      <c r="F61" s="173" t="str">
        <f t="shared" si="3"/>
        <v>C</v>
      </c>
      <c r="G61" s="173" t="str">
        <f t="shared" si="1"/>
        <v>C</v>
      </c>
      <c r="I61" s="182" t="s">
        <v>258</v>
      </c>
      <c r="J61" s="171">
        <f>ФЕВРАЛЬ!U101</f>
        <v>2</v>
      </c>
      <c r="K61" s="172">
        <f t="shared" si="2"/>
        <v>2.565418163160595E-4</v>
      </c>
      <c r="L61" s="172">
        <f t="shared" si="6"/>
        <v>0.99589533093894345</v>
      </c>
      <c r="M61" s="173" t="str">
        <f t="shared" si="4"/>
        <v>C</v>
      </c>
    </row>
    <row r="62" spans="2:13" ht="15" outlineLevel="1" thickBot="1">
      <c r="B62" s="182" t="s">
        <v>181</v>
      </c>
      <c r="C62" s="171">
        <f>ФЕВРАЛЬ!AO62</f>
        <v>0</v>
      </c>
      <c r="D62" s="172">
        <f t="shared" si="0"/>
        <v>0</v>
      </c>
      <c r="E62" s="172">
        <f t="shared" si="5"/>
        <v>1.0430034824984977</v>
      </c>
      <c r="F62" s="173" t="str">
        <f t="shared" si="3"/>
        <v>C</v>
      </c>
      <c r="G62" s="173" t="str">
        <f t="shared" si="1"/>
        <v>C</v>
      </c>
      <c r="I62" s="182" t="s">
        <v>151</v>
      </c>
      <c r="J62" s="171">
        <f>ФЕВРАЛЬ!U32</f>
        <v>1</v>
      </c>
      <c r="K62" s="172">
        <f t="shared" si="2"/>
        <v>1.2827090815802975E-4</v>
      </c>
      <c r="L62" s="172">
        <f t="shared" si="6"/>
        <v>0.99602360184710148</v>
      </c>
      <c r="M62" s="173" t="str">
        <f t="shared" si="4"/>
        <v>C</v>
      </c>
    </row>
    <row r="63" spans="2:13" ht="15" outlineLevel="1" thickBot="1">
      <c r="B63" s="182" t="s">
        <v>182</v>
      </c>
      <c r="C63" s="171">
        <f>ФЕВРАЛЬ!AO63</f>
        <v>0</v>
      </c>
      <c r="D63" s="172">
        <f t="shared" si="0"/>
        <v>0</v>
      </c>
      <c r="E63" s="172">
        <f t="shared" si="5"/>
        <v>1.0430034824984977</v>
      </c>
      <c r="F63" s="173" t="str">
        <f t="shared" si="3"/>
        <v>C</v>
      </c>
      <c r="G63" s="173" t="str">
        <f t="shared" si="1"/>
        <v>C</v>
      </c>
      <c r="I63" s="182" t="s">
        <v>160</v>
      </c>
      <c r="J63" s="171">
        <f>ФЕВРАЛЬ!U41</f>
        <v>1</v>
      </c>
      <c r="K63" s="172">
        <f t="shared" si="2"/>
        <v>1.2827090815802975E-4</v>
      </c>
      <c r="L63" s="172">
        <f t="shared" si="6"/>
        <v>0.99615187275525952</v>
      </c>
      <c r="M63" s="173" t="str">
        <f t="shared" si="4"/>
        <v>C</v>
      </c>
    </row>
    <row r="64" spans="2:13" ht="15" outlineLevel="1" thickBot="1">
      <c r="B64" s="182" t="s">
        <v>183</v>
      </c>
      <c r="C64" s="171">
        <f>ФЕВРАЛЬ!AO64</f>
        <v>0</v>
      </c>
      <c r="D64" s="172">
        <f t="shared" si="0"/>
        <v>0</v>
      </c>
      <c r="E64" s="172">
        <f t="shared" si="5"/>
        <v>1.0430034824984977</v>
      </c>
      <c r="F64" s="173" t="str">
        <f t="shared" si="3"/>
        <v>C</v>
      </c>
      <c r="G64" s="173" t="str">
        <f t="shared" si="1"/>
        <v>C</v>
      </c>
      <c r="I64" s="182" t="s">
        <v>193</v>
      </c>
      <c r="J64" s="171">
        <f>ФЕВРАЛЬ!U74</f>
        <v>1</v>
      </c>
      <c r="K64" s="172">
        <f t="shared" si="2"/>
        <v>1.2827090815802975E-4</v>
      </c>
      <c r="L64" s="172">
        <f t="shared" si="6"/>
        <v>0.99628014366341755</v>
      </c>
      <c r="M64" s="173" t="str">
        <f t="shared" si="4"/>
        <v>C</v>
      </c>
    </row>
    <row r="65" spans="2:13" ht="15" outlineLevel="1" thickBot="1">
      <c r="B65" s="182" t="s">
        <v>185</v>
      </c>
      <c r="C65" s="171">
        <f>ФЕВРАЛЬ!AO66</f>
        <v>0</v>
      </c>
      <c r="D65" s="172">
        <f t="shared" si="0"/>
        <v>0</v>
      </c>
      <c r="E65" s="172">
        <f t="shared" si="5"/>
        <v>1.0430034824984977</v>
      </c>
      <c r="F65" s="173" t="str">
        <f t="shared" si="3"/>
        <v>C</v>
      </c>
      <c r="G65" s="173" t="str">
        <f t="shared" si="1"/>
        <v>C</v>
      </c>
      <c r="I65" s="182" t="s">
        <v>194</v>
      </c>
      <c r="J65" s="171">
        <f>ФЕВРАЛЬ!U75</f>
        <v>1</v>
      </c>
      <c r="K65" s="172">
        <f t="shared" si="2"/>
        <v>1.2827090815802975E-4</v>
      </c>
      <c r="L65" s="172">
        <f t="shared" si="6"/>
        <v>0.99640841457157558</v>
      </c>
      <c r="M65" s="173" t="str">
        <f t="shared" si="4"/>
        <v>C</v>
      </c>
    </row>
    <row r="66" spans="2:13" ht="15" outlineLevel="1" thickBot="1">
      <c r="B66" s="182" t="s">
        <v>187</v>
      </c>
      <c r="C66" s="171">
        <f>ФЕВРАЛЬ!AO68</f>
        <v>0</v>
      </c>
      <c r="D66" s="172">
        <f t="shared" si="0"/>
        <v>0</v>
      </c>
      <c r="E66" s="172">
        <f t="shared" si="5"/>
        <v>1.0430034824984977</v>
      </c>
      <c r="F66" s="173" t="str">
        <f t="shared" si="3"/>
        <v>C</v>
      </c>
      <c r="G66" s="173" t="str">
        <f t="shared" si="1"/>
        <v>C</v>
      </c>
      <c r="I66" s="182" t="s">
        <v>195</v>
      </c>
      <c r="J66" s="171">
        <f>ФЕВРАЛЬ!U76</f>
        <v>1</v>
      </c>
      <c r="K66" s="172">
        <f t="shared" si="2"/>
        <v>1.2827090815802975E-4</v>
      </c>
      <c r="L66" s="172">
        <f t="shared" si="6"/>
        <v>0.99653668547973362</v>
      </c>
      <c r="M66" s="173" t="str">
        <f t="shared" si="4"/>
        <v>C</v>
      </c>
    </row>
    <row r="67" spans="2:13" ht="26.5" outlineLevel="1" thickBot="1">
      <c r="B67" s="182" t="s">
        <v>209</v>
      </c>
      <c r="C67" s="171">
        <f>ФЕВРАЛЬ!AO90</f>
        <v>0</v>
      </c>
      <c r="D67" s="172">
        <f t="shared" si="0"/>
        <v>0</v>
      </c>
      <c r="E67" s="172">
        <f t="shared" si="5"/>
        <v>1.0430034824984977</v>
      </c>
      <c r="F67" s="173" t="str">
        <f t="shared" si="3"/>
        <v>C</v>
      </c>
      <c r="G67" s="173" t="str">
        <f t="shared" si="1"/>
        <v>C</v>
      </c>
      <c r="I67" s="182" t="s">
        <v>198</v>
      </c>
      <c r="J67" s="171">
        <f>ФЕВРАЛЬ!U79</f>
        <v>1</v>
      </c>
      <c r="K67" s="172">
        <f t="shared" si="2"/>
        <v>1.2827090815802975E-4</v>
      </c>
      <c r="L67" s="172">
        <f t="shared" si="6"/>
        <v>0.99666495638789165</v>
      </c>
      <c r="M67" s="173" t="str">
        <f t="shared" si="4"/>
        <v>C</v>
      </c>
    </row>
    <row r="68" spans="2:13" ht="26.5" outlineLevel="1" thickBot="1">
      <c r="B68" s="182" t="s">
        <v>215</v>
      </c>
      <c r="C68" s="171">
        <f>ФЕВРАЛЬ!AO96</f>
        <v>0</v>
      </c>
      <c r="D68" s="172">
        <f t="shared" ref="D68:D104" si="7">C68/C$105</f>
        <v>0</v>
      </c>
      <c r="E68" s="172">
        <f t="shared" si="5"/>
        <v>1.0430034824984977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201</v>
      </c>
      <c r="J68" s="171">
        <f>ФЕВРАЛЬ!U82</f>
        <v>1</v>
      </c>
      <c r="K68" s="172">
        <f t="shared" ref="K68:K104" si="9">J68/J$105</f>
        <v>1.2827090815802975E-4</v>
      </c>
      <c r="L68" s="172">
        <f t="shared" si="6"/>
        <v>0.99679322729604969</v>
      </c>
      <c r="M68" s="173" t="str">
        <f t="shared" si="4"/>
        <v>C</v>
      </c>
    </row>
    <row r="69" spans="2:13" ht="26.5" outlineLevel="1" thickBot="1">
      <c r="B69" s="182" t="s">
        <v>216</v>
      </c>
      <c r="C69" s="171">
        <f>ФЕВРАЛЬ!AO97</f>
        <v>0</v>
      </c>
      <c r="D69" s="172">
        <f t="shared" si="7"/>
        <v>0</v>
      </c>
      <c r="E69" s="172">
        <f t="shared" si="5"/>
        <v>1.0430034824984977</v>
      </c>
      <c r="F69" s="173" t="str">
        <f t="shared" si="3"/>
        <v>C</v>
      </c>
      <c r="G69" s="173" t="str">
        <f t="shared" si="8"/>
        <v>C</v>
      </c>
      <c r="I69" s="182" t="s">
        <v>213</v>
      </c>
      <c r="J69" s="171">
        <f>ФЕВРАЛЬ!U94</f>
        <v>1</v>
      </c>
      <c r="K69" s="172">
        <f t="shared" si="9"/>
        <v>1.2827090815802975E-4</v>
      </c>
      <c r="L69" s="172">
        <f t="shared" si="6"/>
        <v>0.99692149820420772</v>
      </c>
      <c r="M69" s="173" t="str">
        <f t="shared" si="4"/>
        <v>C</v>
      </c>
    </row>
    <row r="70" spans="2:13" ht="26.5" outlineLevel="1" thickBot="1">
      <c r="B70" s="182" t="s">
        <v>257</v>
      </c>
      <c r="C70" s="171">
        <f>ФЕВРАЛЬ!AO100</f>
        <v>0</v>
      </c>
      <c r="D70" s="172">
        <f t="shared" si="7"/>
        <v>0</v>
      </c>
      <c r="E70" s="172">
        <f t="shared" ref="E70:E75" si="10">E69+D70</f>
        <v>1.0430034824984977</v>
      </c>
      <c r="F70" s="173" t="str">
        <f t="shared" si="3"/>
        <v>C</v>
      </c>
      <c r="G70" s="173" t="str">
        <f t="shared" si="8"/>
        <v>C</v>
      </c>
      <c r="I70" s="182" t="s">
        <v>214</v>
      </c>
      <c r="J70" s="171">
        <f>ФЕВРАЛЬ!U95</f>
        <v>1</v>
      </c>
      <c r="K70" s="172">
        <f t="shared" si="9"/>
        <v>1.2827090815802975E-4</v>
      </c>
      <c r="L70" s="172">
        <f t="shared" ref="L70:L75" si="11">L69+K70</f>
        <v>0.99704976911236576</v>
      </c>
      <c r="M70" s="173" t="str">
        <f t="shared" si="4"/>
        <v>C</v>
      </c>
    </row>
    <row r="71" spans="2:13" ht="26.5" outlineLevel="1" thickBot="1">
      <c r="B71" s="182" t="s">
        <v>259</v>
      </c>
      <c r="C71" s="171">
        <f>ФЕВРАЛЬ!AO102</f>
        <v>0</v>
      </c>
      <c r="D71" s="172">
        <f t="shared" si="7"/>
        <v>0</v>
      </c>
      <c r="E71" s="172">
        <f t="shared" si="10"/>
        <v>1.0430034824984977</v>
      </c>
      <c r="F71" s="173" t="str">
        <f t="shared" si="3"/>
        <v>C</v>
      </c>
      <c r="G71" s="173" t="str">
        <f t="shared" si="8"/>
        <v>C</v>
      </c>
      <c r="I71" s="182" t="s">
        <v>138</v>
      </c>
      <c r="J71" s="171">
        <f>ФЕВРАЛЬ!U19</f>
        <v>0</v>
      </c>
      <c r="K71" s="172">
        <f t="shared" si="9"/>
        <v>0</v>
      </c>
      <c r="L71" s="172">
        <f t="shared" si="11"/>
        <v>0.99704976911236576</v>
      </c>
      <c r="M71" s="173" t="str">
        <f t="shared" si="4"/>
        <v>C</v>
      </c>
    </row>
    <row r="72" spans="2:13" ht="15" outlineLevel="1" thickBot="1">
      <c r="B72" s="182" t="s">
        <v>149</v>
      </c>
      <c r="C72" s="171">
        <f>ФЕВРАЛЬ!AO30</f>
        <v>-10.401806233410426</v>
      </c>
      <c r="D72" s="172">
        <f t="shared" si="7"/>
        <v>-5.3483379680450374E-6</v>
      </c>
      <c r="E72" s="172">
        <f t="shared" si="10"/>
        <v>1.0429981341605297</v>
      </c>
      <c r="F72" s="173" t="str">
        <f t="shared" si="3"/>
        <v>C</v>
      </c>
      <c r="G72" s="173" t="str">
        <f t="shared" si="8"/>
        <v>C</v>
      </c>
      <c r="I72" s="182" t="s">
        <v>139</v>
      </c>
      <c r="J72" s="171">
        <f>ФЕВРАЛЬ!U20</f>
        <v>0</v>
      </c>
      <c r="K72" s="172">
        <f t="shared" si="9"/>
        <v>0</v>
      </c>
      <c r="L72" s="172">
        <f t="shared" si="11"/>
        <v>0.99704976911236576</v>
      </c>
      <c r="M72" s="173" t="str">
        <f t="shared" si="4"/>
        <v>C</v>
      </c>
    </row>
    <row r="73" spans="2:13" ht="15" outlineLevel="1" thickBot="1">
      <c r="B73" s="182" t="s">
        <v>194</v>
      </c>
      <c r="C73" s="171">
        <f>ФЕВРАЛЬ!AO75</f>
        <v>-68.11344660342111</v>
      </c>
      <c r="D73" s="172">
        <f t="shared" si="7"/>
        <v>-3.502216100059431E-5</v>
      </c>
      <c r="E73" s="172">
        <f t="shared" si="10"/>
        <v>1.0429631119995291</v>
      </c>
      <c r="F73" s="173" t="str">
        <f t="shared" si="3"/>
        <v>C</v>
      </c>
      <c r="G73" s="173" t="str">
        <f t="shared" si="8"/>
        <v>C</v>
      </c>
      <c r="I73" s="182" t="s">
        <v>140</v>
      </c>
      <c r="J73" s="171">
        <f>ФЕВРАЛЬ!U21</f>
        <v>0</v>
      </c>
      <c r="K73" s="172">
        <f t="shared" si="9"/>
        <v>0</v>
      </c>
      <c r="L73" s="172">
        <f t="shared" si="11"/>
        <v>0.99704976911236576</v>
      </c>
      <c r="M73" s="173" t="str">
        <f t="shared" si="4"/>
        <v>C</v>
      </c>
    </row>
    <row r="74" spans="2:13" ht="15" outlineLevel="1" thickBot="1">
      <c r="B74" s="182" t="s">
        <v>140</v>
      </c>
      <c r="C74" s="171">
        <f>ФЕВРАЛЬ!AO21</f>
        <v>-79.58</v>
      </c>
      <c r="D74" s="172">
        <f t="shared" si="7"/>
        <v>-4.0917964240665959E-5</v>
      </c>
      <c r="E74" s="172">
        <f t="shared" si="10"/>
        <v>1.0429221940352884</v>
      </c>
      <c r="F74" s="173" t="str">
        <f t="shared" si="3"/>
        <v>C</v>
      </c>
      <c r="G74" s="173" t="str">
        <f t="shared" si="8"/>
        <v>C</v>
      </c>
      <c r="I74" s="182" t="s">
        <v>142</v>
      </c>
      <c r="J74" s="171">
        <f>ФЕВРАЛЬ!U23</f>
        <v>0</v>
      </c>
      <c r="K74" s="172">
        <f t="shared" si="9"/>
        <v>0</v>
      </c>
      <c r="L74" s="172">
        <f t="shared" si="11"/>
        <v>0.99704976911236576</v>
      </c>
      <c r="M74" s="173" t="str">
        <f t="shared" si="4"/>
        <v>C</v>
      </c>
    </row>
    <row r="75" spans="2:13" ht="26.5" outlineLevel="1" thickBot="1">
      <c r="B75" s="182" t="s">
        <v>212</v>
      </c>
      <c r="C75" s="171">
        <f>ФЕВРАЛЬ!AO93</f>
        <v>-91.41</v>
      </c>
      <c r="D75" s="172">
        <f t="shared" si="7"/>
        <v>-4.7000642262368374E-5</v>
      </c>
      <c r="E75" s="172">
        <f t="shared" si="10"/>
        <v>1.042875193393026</v>
      </c>
      <c r="F75" s="173" t="str">
        <f t="shared" si="3"/>
        <v>C</v>
      </c>
      <c r="G75" s="173" t="str">
        <f t="shared" si="8"/>
        <v>C</v>
      </c>
      <c r="I75" s="182" t="s">
        <v>143</v>
      </c>
      <c r="J75" s="171">
        <f>ФЕВРАЛЬ!U24</f>
        <v>0</v>
      </c>
      <c r="K75" s="172">
        <f t="shared" si="9"/>
        <v>0</v>
      </c>
      <c r="L75" s="172">
        <f t="shared" si="11"/>
        <v>0.99704976911236576</v>
      </c>
      <c r="M75" s="173" t="str">
        <f t="shared" si="4"/>
        <v>C</v>
      </c>
    </row>
    <row r="76" spans="2:13" ht="15" outlineLevel="1" thickBot="1">
      <c r="B76" s="182" t="s">
        <v>184</v>
      </c>
      <c r="C76" s="171">
        <f>ФЕВРАЛЬ!AO65</f>
        <v>-96.4</v>
      </c>
      <c r="D76" s="172">
        <f t="shared" si="7"/>
        <v>-4.9566370354362886E-5</v>
      </c>
      <c r="E76" s="172">
        <f>E49+D76</f>
        <v>1.0428027925023162</v>
      </c>
      <c r="F76" s="173" t="str">
        <f t="shared" si="3"/>
        <v>C</v>
      </c>
      <c r="G76" s="173" t="str">
        <f t="shared" si="8"/>
        <v>C</v>
      </c>
      <c r="I76" s="182" t="s">
        <v>154</v>
      </c>
      <c r="J76" s="171">
        <f>ФЕВРАЛЬ!U35</f>
        <v>0</v>
      </c>
      <c r="K76" s="172">
        <f t="shared" si="9"/>
        <v>0</v>
      </c>
      <c r="L76" s="172">
        <f>L49+K76</f>
        <v>0.99281682914315061</v>
      </c>
      <c r="M76" s="173" t="str">
        <f t="shared" si="4"/>
        <v>C</v>
      </c>
    </row>
    <row r="77" spans="2:13" ht="15" outlineLevel="1" thickBot="1">
      <c r="B77" s="182" t="s">
        <v>174</v>
      </c>
      <c r="C77" s="171">
        <f>ФЕВРАЛЬ!AO55</f>
        <v>-97.32</v>
      </c>
      <c r="D77" s="172">
        <f t="shared" si="7"/>
        <v>-5.0039410403387923E-5</v>
      </c>
      <c r="E77" s="172">
        <f t="shared" ref="E77:E93" si="12">E76+D77</f>
        <v>1.0427527530919127</v>
      </c>
      <c r="F77" s="173" t="str">
        <f t="shared" si="3"/>
        <v>C</v>
      </c>
      <c r="G77" s="173" t="str">
        <f t="shared" si="8"/>
        <v>C</v>
      </c>
      <c r="I77" s="182" t="s">
        <v>155</v>
      </c>
      <c r="J77" s="171">
        <f>ФЕВРАЛЬ!U36</f>
        <v>0</v>
      </c>
      <c r="K77" s="172">
        <f t="shared" si="9"/>
        <v>0</v>
      </c>
      <c r="L77" s="172">
        <f t="shared" ref="L77:L94" si="13">L76+K77</f>
        <v>0.99281682914315061</v>
      </c>
      <c r="M77" s="173" t="str">
        <f t="shared" si="4"/>
        <v>C</v>
      </c>
    </row>
    <row r="78" spans="2:13" ht="15" outlineLevel="1" thickBot="1">
      <c r="B78" s="182" t="s">
        <v>179</v>
      </c>
      <c r="C78" s="171">
        <f>ФЕВРАЛЬ!AO60</f>
        <v>-99.852359163603097</v>
      </c>
      <c r="D78" s="172">
        <f t="shared" si="7"/>
        <v>-5.1341483558713811E-5</v>
      </c>
      <c r="E78" s="172">
        <f t="shared" si="12"/>
        <v>1.0427014116083539</v>
      </c>
      <c r="F78" s="173" t="str">
        <f t="shared" si="3"/>
        <v>C</v>
      </c>
      <c r="G78" s="173" t="str">
        <f t="shared" si="8"/>
        <v>C</v>
      </c>
      <c r="I78" s="182" t="s">
        <v>157</v>
      </c>
      <c r="J78" s="171">
        <f>ФЕВРАЛЬ!U38</f>
        <v>0</v>
      </c>
      <c r="K78" s="172">
        <f t="shared" si="9"/>
        <v>0</v>
      </c>
      <c r="L78" s="172">
        <f t="shared" si="13"/>
        <v>0.99281682914315061</v>
      </c>
      <c r="M78" s="173" t="str">
        <f t="shared" si="4"/>
        <v>C</v>
      </c>
    </row>
    <row r="79" spans="2:13" ht="15" outlineLevel="1" thickBot="1">
      <c r="B79" s="182" t="s">
        <v>203</v>
      </c>
      <c r="C79" s="171">
        <f>ФЕВРАЛЬ!AO84</f>
        <v>-108</v>
      </c>
      <c r="D79" s="172">
        <f t="shared" si="7"/>
        <v>-5.5530788363809041E-5</v>
      </c>
      <c r="E79" s="172">
        <f t="shared" si="12"/>
        <v>1.0426458808199901</v>
      </c>
      <c r="F79" s="173" t="str">
        <f t="shared" si="3"/>
        <v>C</v>
      </c>
      <c r="G79" s="173" t="str">
        <f t="shared" si="8"/>
        <v>C</v>
      </c>
      <c r="I79" s="182" t="s">
        <v>159</v>
      </c>
      <c r="J79" s="171">
        <f>ФЕВРАЛЬ!U40</f>
        <v>0</v>
      </c>
      <c r="K79" s="172">
        <f t="shared" si="9"/>
        <v>0</v>
      </c>
      <c r="L79" s="172">
        <f t="shared" si="13"/>
        <v>0.99281682914315061</v>
      </c>
      <c r="M79" s="173" t="str">
        <f t="shared" si="4"/>
        <v>C</v>
      </c>
    </row>
    <row r="80" spans="2:13" ht="26.5" outlineLevel="1" thickBot="1">
      <c r="B80" s="182" t="s">
        <v>196</v>
      </c>
      <c r="C80" s="171">
        <f>ФЕВРАЛЬ!AO77</f>
        <v>-115.07</v>
      </c>
      <c r="D80" s="172">
        <f t="shared" si="7"/>
        <v>-5.9165998305773206E-5</v>
      </c>
      <c r="E80" s="172">
        <f t="shared" si="12"/>
        <v>1.0425867148216843</v>
      </c>
      <c r="F80" s="173" t="str">
        <f t="shared" si="3"/>
        <v>C</v>
      </c>
      <c r="G80" s="173" t="str">
        <f t="shared" si="8"/>
        <v>C</v>
      </c>
      <c r="I80" s="182" t="s">
        <v>165</v>
      </c>
      <c r="J80" s="171">
        <f>ФЕВРАЛЬ!U46</f>
        <v>0</v>
      </c>
      <c r="K80" s="172">
        <f t="shared" si="9"/>
        <v>0</v>
      </c>
      <c r="L80" s="172">
        <f t="shared" si="13"/>
        <v>0.99281682914315061</v>
      </c>
      <c r="M80" s="173" t="str">
        <f t="shared" si="4"/>
        <v>C</v>
      </c>
    </row>
    <row r="81" spans="2:13" ht="15" outlineLevel="1" thickBot="1">
      <c r="B81" s="182" t="s">
        <v>150</v>
      </c>
      <c r="C81" s="171">
        <f>ФЕВРАЛЬ!AO31</f>
        <v>-199.30571016629131</v>
      </c>
      <c r="D81" s="172">
        <f t="shared" si="7"/>
        <v>-1.0247780750873135E-4</v>
      </c>
      <c r="E81" s="172">
        <f t="shared" si="12"/>
        <v>1.0424842370141756</v>
      </c>
      <c r="F81" s="173" t="str">
        <f t="shared" si="3"/>
        <v>C</v>
      </c>
      <c r="G81" s="173" t="str">
        <f t="shared" si="8"/>
        <v>C</v>
      </c>
      <c r="I81" s="182" t="s">
        <v>171</v>
      </c>
      <c r="J81" s="171">
        <f>ФЕВРАЛЬ!U52</f>
        <v>0</v>
      </c>
      <c r="K81" s="172">
        <f t="shared" si="9"/>
        <v>0</v>
      </c>
      <c r="L81" s="172">
        <f t="shared" si="13"/>
        <v>0.99281682914315061</v>
      </c>
      <c r="M81" s="173" t="str">
        <f t="shared" si="4"/>
        <v>C</v>
      </c>
    </row>
    <row r="82" spans="2:13" ht="15" outlineLevel="1" thickBot="1">
      <c r="B82" s="182" t="s">
        <v>188</v>
      </c>
      <c r="C82" s="171">
        <f>ФЕВРАЛЬ!AO69</f>
        <v>-220.98000000000002</v>
      </c>
      <c r="D82" s="172">
        <f t="shared" si="7"/>
        <v>-1.1362216307994929E-4</v>
      </c>
      <c r="E82" s="172">
        <f t="shared" si="12"/>
        <v>1.0423706148510956</v>
      </c>
      <c r="F82" s="173" t="str">
        <f t="shared" si="3"/>
        <v>C</v>
      </c>
      <c r="G82" s="173" t="str">
        <f t="shared" si="8"/>
        <v>C</v>
      </c>
      <c r="I82" s="182" t="s">
        <v>174</v>
      </c>
      <c r="J82" s="171">
        <f>ФЕВРАЛЬ!U55</f>
        <v>0</v>
      </c>
      <c r="K82" s="172">
        <f t="shared" si="9"/>
        <v>0</v>
      </c>
      <c r="L82" s="172">
        <f t="shared" si="13"/>
        <v>0.99281682914315061</v>
      </c>
      <c r="M82" s="173" t="str">
        <f t="shared" si="4"/>
        <v>C</v>
      </c>
    </row>
    <row r="83" spans="2:13" ht="15" outlineLevel="1" thickBot="1">
      <c r="B83" s="182" t="s">
        <v>191</v>
      </c>
      <c r="C83" s="171">
        <f>ФЕВРАЛЬ!AO72</f>
        <v>-240.82537377563153</v>
      </c>
      <c r="D83" s="172">
        <f t="shared" si="7"/>
        <v>-1.2382613762749816E-4</v>
      </c>
      <c r="E83" s="172">
        <f t="shared" si="12"/>
        <v>1.0422467887134681</v>
      </c>
      <c r="F83" s="173" t="str">
        <f t="shared" si="3"/>
        <v>C</v>
      </c>
      <c r="G83" s="173" t="str">
        <f t="shared" si="8"/>
        <v>C</v>
      </c>
      <c r="I83" s="182" t="s">
        <v>176</v>
      </c>
      <c r="J83" s="171">
        <f>ФЕВРАЛЬ!U57</f>
        <v>0</v>
      </c>
      <c r="K83" s="172">
        <f t="shared" si="9"/>
        <v>0</v>
      </c>
      <c r="L83" s="172">
        <f t="shared" si="13"/>
        <v>0.99281682914315061</v>
      </c>
      <c r="M83" s="173" t="str">
        <f t="shared" si="4"/>
        <v>C</v>
      </c>
    </row>
    <row r="84" spans="2:13" ht="15" outlineLevel="1" thickBot="1">
      <c r="B84" s="182" t="s">
        <v>180</v>
      </c>
      <c r="C84" s="171">
        <f>ФЕВРАЛЬ!AO61</f>
        <v>-283.83000000000004</v>
      </c>
      <c r="D84" s="172">
        <f t="shared" si="7"/>
        <v>-1.4593799686388816E-4</v>
      </c>
      <c r="E84" s="172">
        <f t="shared" si="12"/>
        <v>1.0421008507166043</v>
      </c>
      <c r="F84" s="173" t="str">
        <f t="shared" si="3"/>
        <v>C</v>
      </c>
      <c r="G84" s="173" t="str">
        <f t="shared" si="8"/>
        <v>C</v>
      </c>
      <c r="I84" s="182" t="s">
        <v>178</v>
      </c>
      <c r="J84" s="171">
        <f>ФЕВРАЛЬ!U59</f>
        <v>0</v>
      </c>
      <c r="K84" s="172">
        <f t="shared" si="9"/>
        <v>0</v>
      </c>
      <c r="L84" s="172">
        <f t="shared" si="13"/>
        <v>0.99281682914315061</v>
      </c>
      <c r="M84" s="173" t="str">
        <f t="shared" si="4"/>
        <v>C</v>
      </c>
    </row>
    <row r="85" spans="2:13" ht="15" outlineLevel="1" thickBot="1">
      <c r="B85" s="182" t="s">
        <v>211</v>
      </c>
      <c r="C85" s="171">
        <f>ФЕВРАЛЬ!AO92</f>
        <v>-324.84000000000003</v>
      </c>
      <c r="D85" s="172">
        <f t="shared" si="7"/>
        <v>-1.6702427122314566E-4</v>
      </c>
      <c r="E85" s="172">
        <f t="shared" si="12"/>
        <v>1.0419338264453812</v>
      </c>
      <c r="F85" s="173" t="str">
        <f t="shared" si="3"/>
        <v>C</v>
      </c>
      <c r="G85" s="173" t="str">
        <f t="shared" si="8"/>
        <v>C</v>
      </c>
      <c r="I85" s="182" t="s">
        <v>180</v>
      </c>
      <c r="J85" s="171">
        <f>ФЕВРАЛЬ!U61</f>
        <v>0</v>
      </c>
      <c r="K85" s="172">
        <f t="shared" si="9"/>
        <v>0</v>
      </c>
      <c r="L85" s="172">
        <f t="shared" si="13"/>
        <v>0.99281682914315061</v>
      </c>
      <c r="M85" s="173" t="str">
        <f t="shared" si="4"/>
        <v>C</v>
      </c>
    </row>
    <row r="86" spans="2:13" ht="26.5" outlineLevel="1" thickBot="1">
      <c r="B86" s="182" t="s">
        <v>260</v>
      </c>
      <c r="C86" s="171">
        <f>ФЕВРАЛЬ!AO103</f>
        <v>-336</v>
      </c>
      <c r="D86" s="172">
        <f t="shared" si="7"/>
        <v>-1.727624526874059E-4</v>
      </c>
      <c r="E86" s="172">
        <f t="shared" si="12"/>
        <v>1.0417610639926937</v>
      </c>
      <c r="F86" s="173" t="str">
        <f t="shared" si="3"/>
        <v>C</v>
      </c>
      <c r="G86" s="173" t="str">
        <f t="shared" si="8"/>
        <v>C</v>
      </c>
      <c r="I86" s="182" t="s">
        <v>181</v>
      </c>
      <c r="J86" s="171">
        <f>ФЕВРАЛЬ!U62</f>
        <v>0</v>
      </c>
      <c r="K86" s="172">
        <f t="shared" si="9"/>
        <v>0</v>
      </c>
      <c r="L86" s="172">
        <f t="shared" si="13"/>
        <v>0.99281682914315061</v>
      </c>
      <c r="M86" s="173" t="str">
        <f t="shared" si="4"/>
        <v>C</v>
      </c>
    </row>
    <row r="87" spans="2:13" ht="15" outlineLevel="1" thickBot="1">
      <c r="B87" s="182" t="s">
        <v>256</v>
      </c>
      <c r="C87" s="171">
        <f>ФЕВРАЛЬ!AO99</f>
        <v>-476</v>
      </c>
      <c r="D87" s="172">
        <f t="shared" si="7"/>
        <v>-2.4474680797382506E-4</v>
      </c>
      <c r="E87" s="172">
        <f t="shared" si="12"/>
        <v>1.0415163171847199</v>
      </c>
      <c r="F87" s="173" t="str">
        <f t="shared" si="3"/>
        <v>C</v>
      </c>
      <c r="G87" s="173" t="str">
        <f t="shared" si="8"/>
        <v>C</v>
      </c>
      <c r="I87" s="182" t="s">
        <v>182</v>
      </c>
      <c r="J87" s="171">
        <f>ФЕВРАЛЬ!U63</f>
        <v>0</v>
      </c>
      <c r="K87" s="172">
        <f t="shared" si="9"/>
        <v>0</v>
      </c>
      <c r="L87" s="172">
        <f t="shared" si="13"/>
        <v>0.99281682914315061</v>
      </c>
      <c r="M87" s="173" t="str">
        <f t="shared" si="4"/>
        <v>C</v>
      </c>
    </row>
    <row r="88" spans="2:13" ht="15" outlineLevel="1" thickBot="1">
      <c r="B88" s="182" t="s">
        <v>157</v>
      </c>
      <c r="C88" s="171">
        <f>ФЕВРАЛЬ!AO38</f>
        <v>-536.63</v>
      </c>
      <c r="D88" s="172">
        <f t="shared" si="7"/>
        <v>-2.7592117555250785E-4</v>
      </c>
      <c r="E88" s="172">
        <f t="shared" si="12"/>
        <v>1.0412403960091674</v>
      </c>
      <c r="F88" s="173" t="str">
        <f t="shared" si="3"/>
        <v>C</v>
      </c>
      <c r="G88" s="173" t="str">
        <f t="shared" si="8"/>
        <v>C</v>
      </c>
      <c r="I88" s="182" t="s">
        <v>183</v>
      </c>
      <c r="J88" s="171">
        <f>ФЕВРАЛЬ!U64</f>
        <v>0</v>
      </c>
      <c r="K88" s="172">
        <f t="shared" si="9"/>
        <v>0</v>
      </c>
      <c r="L88" s="172">
        <f t="shared" si="13"/>
        <v>0.99281682914315061</v>
      </c>
      <c r="M88" s="173" t="str">
        <f t="shared" si="4"/>
        <v>C</v>
      </c>
    </row>
    <row r="89" spans="2:13" ht="15" outlineLevel="1" thickBot="1">
      <c r="B89" s="182" t="s">
        <v>195</v>
      </c>
      <c r="C89" s="171">
        <f>ФЕВРАЛЬ!AO76</f>
        <v>-815.70205736043988</v>
      </c>
      <c r="D89" s="172">
        <f t="shared" si="7"/>
        <v>-4.1941276217783525E-4</v>
      </c>
      <c r="E89" s="172">
        <f t="shared" si="12"/>
        <v>1.0408209832469895</v>
      </c>
      <c r="F89" s="173" t="str">
        <f t="shared" si="3"/>
        <v>C</v>
      </c>
      <c r="G89" s="173" t="str">
        <f t="shared" si="8"/>
        <v>C</v>
      </c>
      <c r="I89" s="182" t="s">
        <v>184</v>
      </c>
      <c r="J89" s="171">
        <f>ФЕВРАЛЬ!U65</f>
        <v>0</v>
      </c>
      <c r="K89" s="172">
        <f t="shared" si="9"/>
        <v>0</v>
      </c>
      <c r="L89" s="172">
        <f t="shared" si="13"/>
        <v>0.99281682914315061</v>
      </c>
      <c r="M89" s="173" t="str">
        <f t="shared" si="4"/>
        <v>C</v>
      </c>
    </row>
    <row r="90" spans="2:13" ht="15" outlineLevel="1" thickBot="1">
      <c r="B90" s="182" t="s">
        <v>171</v>
      </c>
      <c r="C90" s="171">
        <f>ФЕВРАЛЬ!AO52</f>
        <v>-839.02</v>
      </c>
      <c r="D90" s="172">
        <f t="shared" si="7"/>
        <v>-4.3140224123150981E-4</v>
      </c>
      <c r="E90" s="172">
        <f t="shared" si="12"/>
        <v>1.040389581005758</v>
      </c>
      <c r="F90" s="173" t="str">
        <f t="shared" si="3"/>
        <v>C</v>
      </c>
      <c r="G90" s="173" t="str">
        <f t="shared" si="8"/>
        <v>C</v>
      </c>
      <c r="I90" s="182" t="s">
        <v>185</v>
      </c>
      <c r="J90" s="171">
        <f>ФЕВРАЛЬ!U66</f>
        <v>0</v>
      </c>
      <c r="K90" s="172">
        <f t="shared" si="9"/>
        <v>0</v>
      </c>
      <c r="L90" s="172">
        <f t="shared" si="13"/>
        <v>0.99281682914315061</v>
      </c>
      <c r="M90" s="173" t="str">
        <f t="shared" si="4"/>
        <v>C</v>
      </c>
    </row>
    <row r="91" spans="2:13" ht="15" outlineLevel="1" thickBot="1">
      <c r="B91" s="182" t="s">
        <v>159</v>
      </c>
      <c r="C91" s="171">
        <f>ФЕВРАЛЬ!AO40</f>
        <v>-843.03</v>
      </c>
      <c r="D91" s="172">
        <f t="shared" si="7"/>
        <v>-4.3346407883649939E-4</v>
      </c>
      <c r="E91" s="172">
        <f t="shared" si="12"/>
        <v>1.0399561169269214</v>
      </c>
      <c r="F91" s="173" t="str">
        <f t="shared" si="3"/>
        <v>C</v>
      </c>
      <c r="G91" s="173" t="str">
        <f t="shared" si="8"/>
        <v>C</v>
      </c>
      <c r="I91" s="182" t="s">
        <v>187</v>
      </c>
      <c r="J91" s="171">
        <f>ФЕВРАЛЬ!U68</f>
        <v>0</v>
      </c>
      <c r="K91" s="172">
        <f t="shared" si="9"/>
        <v>0</v>
      </c>
      <c r="L91" s="172">
        <f t="shared" si="13"/>
        <v>0.99281682914315061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ФЕВРАЛЬ!AO91</f>
        <v>-1210.8766708766295</v>
      </c>
      <c r="D92" s="172">
        <f t="shared" si="7"/>
        <v>-6.2260126060299781E-4</v>
      </c>
      <c r="E92" s="172">
        <f t="shared" si="12"/>
        <v>1.0393335156663184</v>
      </c>
      <c r="F92" s="173" t="str">
        <f t="shared" si="3"/>
        <v>C</v>
      </c>
      <c r="G92" s="173" t="str">
        <f t="shared" si="8"/>
        <v>C</v>
      </c>
      <c r="I92" s="182" t="s">
        <v>188</v>
      </c>
      <c r="J92" s="171">
        <f>ФЕВРАЛЬ!U69</f>
        <v>0</v>
      </c>
      <c r="K92" s="172">
        <f t="shared" si="9"/>
        <v>0</v>
      </c>
      <c r="L92" s="172">
        <f t="shared" si="13"/>
        <v>0.99281682914315061</v>
      </c>
      <c r="M92" s="173" t="str">
        <f t="shared" si="4"/>
        <v>C</v>
      </c>
    </row>
    <row r="93" spans="2:13" ht="26.5" outlineLevel="1" thickBot="1">
      <c r="B93" s="182" t="s">
        <v>190</v>
      </c>
      <c r="C93" s="171">
        <f>ФЕВРАЛЬ!AO71</f>
        <v>-1473.928442899735</v>
      </c>
      <c r="D93" s="172">
        <f t="shared" si="7"/>
        <v>-7.5785563357466472E-4</v>
      </c>
      <c r="E93" s="172">
        <f t="shared" si="12"/>
        <v>1.0385756600327438</v>
      </c>
      <c r="F93" s="173" t="str">
        <f t="shared" si="3"/>
        <v>C</v>
      </c>
      <c r="G93" s="173" t="str">
        <f t="shared" si="8"/>
        <v>C</v>
      </c>
      <c r="I93" s="182" t="s">
        <v>196</v>
      </c>
      <c r="J93" s="171">
        <f>ФЕВРАЛЬ!U77</f>
        <v>0</v>
      </c>
      <c r="K93" s="172">
        <f t="shared" si="9"/>
        <v>0</v>
      </c>
      <c r="L93" s="172">
        <f t="shared" si="13"/>
        <v>0.99281682914315061</v>
      </c>
      <c r="M93" s="173" t="str">
        <f t="shared" si="4"/>
        <v>C</v>
      </c>
    </row>
    <row r="94" spans="2:13" ht="15" outlineLevel="1" thickBot="1">
      <c r="B94" s="182" t="s">
        <v>170</v>
      </c>
      <c r="C94" s="171">
        <f>ФЕВРАЛЬ!AO51</f>
        <v>-2320.5946123110789</v>
      </c>
      <c r="D94" s="172">
        <f t="shared" si="7"/>
        <v>-1.1931893360596483E-3</v>
      </c>
      <c r="E94" s="172">
        <f>E93+D94</f>
        <v>1.0373824706966841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ФЕВРАЛЬ!U84</f>
        <v>0</v>
      </c>
      <c r="K94" s="172">
        <f t="shared" si="9"/>
        <v>0</v>
      </c>
      <c r="L94" s="172">
        <f t="shared" si="13"/>
        <v>0.99281682914315061</v>
      </c>
      <c r="M94" s="173" t="str">
        <f t="shared" si="4"/>
        <v>C</v>
      </c>
    </row>
    <row r="95" spans="2:13" ht="26.5" outlineLevel="1" thickBot="1">
      <c r="B95" s="182" t="s">
        <v>204</v>
      </c>
      <c r="C95" s="171">
        <f>ФЕВРАЛЬ!AO85</f>
        <v>-2679.125781594923</v>
      </c>
      <c r="D95" s="172">
        <f t="shared" si="7"/>
        <v>-1.3775367294238162E-3</v>
      </c>
      <c r="E95" s="172">
        <f>E94+D95</f>
        <v>1.0360049339672603</v>
      </c>
      <c r="F95" s="173" t="str">
        <f t="shared" si="3"/>
        <v>C</v>
      </c>
      <c r="G95" s="173" t="str">
        <f t="shared" si="8"/>
        <v>C</v>
      </c>
      <c r="I95" s="182" t="s">
        <v>204</v>
      </c>
      <c r="J95" s="171">
        <f>ФЕВРАЛЬ!U85</f>
        <v>0</v>
      </c>
      <c r="K95" s="172">
        <f t="shared" si="9"/>
        <v>0</v>
      </c>
      <c r="L95" s="172">
        <f>L94+K95</f>
        <v>0.99281682914315061</v>
      </c>
      <c r="M95" s="173" t="str">
        <f t="shared" si="4"/>
        <v>C</v>
      </c>
    </row>
    <row r="96" spans="2:13" ht="26.5" outlineLevel="1" thickBot="1">
      <c r="B96" s="182" t="s">
        <v>152</v>
      </c>
      <c r="C96" s="171">
        <f>ФЕВРАЛЬ!AO33</f>
        <v>-3650.1203190039141</v>
      </c>
      <c r="D96" s="172">
        <f t="shared" si="7"/>
        <v>-1.8767968420096805E-3</v>
      </c>
      <c r="E96" s="172">
        <f t="shared" ref="E96:E98" si="14">E95+D96</f>
        <v>1.0341281371252506</v>
      </c>
      <c r="F96" s="173" t="str">
        <f t="shared" si="3"/>
        <v>C</v>
      </c>
      <c r="G96" s="173" t="str">
        <f t="shared" si="8"/>
        <v>C</v>
      </c>
      <c r="I96" s="182" t="s">
        <v>209</v>
      </c>
      <c r="J96" s="171">
        <f>ФЕВРАЛЬ!U90</f>
        <v>0</v>
      </c>
      <c r="K96" s="172">
        <f t="shared" si="9"/>
        <v>0</v>
      </c>
      <c r="L96" s="172">
        <f t="shared" ref="L96:L98" si="15">L95+K96</f>
        <v>0.99281682914315061</v>
      </c>
      <c r="M96" s="173" t="str">
        <f t="shared" si="4"/>
        <v>C</v>
      </c>
    </row>
    <row r="97" spans="2:13" ht="15" outlineLevel="1" thickBot="1">
      <c r="B97" s="182" t="s">
        <v>158</v>
      </c>
      <c r="C97" s="171">
        <f>ФЕВРАЛЬ!AO39</f>
        <v>-3909.209904644315</v>
      </c>
      <c r="D97" s="172">
        <f t="shared" si="7"/>
        <v>-2.010013961893607E-3</v>
      </c>
      <c r="E97" s="172">
        <f t="shared" si="14"/>
        <v>1.0321181231633569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ФЕВРАЛЬ!U92</f>
        <v>0</v>
      </c>
      <c r="K97" s="172">
        <f t="shared" si="9"/>
        <v>0</v>
      </c>
      <c r="L97" s="172">
        <f t="shared" si="15"/>
        <v>0.99281682914315061</v>
      </c>
      <c r="M97" s="173" t="str">
        <f t="shared" si="4"/>
        <v>C</v>
      </c>
    </row>
    <row r="98" spans="2:13" ht="26.5" outlineLevel="1" thickBot="1">
      <c r="B98" s="182" t="s">
        <v>206</v>
      </c>
      <c r="C98" s="171">
        <f>ФЕВРАЛЬ!AO87</f>
        <v>-4601.4166813949741</v>
      </c>
      <c r="D98" s="172">
        <f t="shared" si="7"/>
        <v>-2.3659286658170818E-3</v>
      </c>
      <c r="E98" s="172">
        <f t="shared" si="14"/>
        <v>1.0297521944975399</v>
      </c>
      <c r="F98" s="173" t="str">
        <f t="shared" si="16"/>
        <v>C</v>
      </c>
      <c r="G98" s="173" t="str">
        <f t="shared" si="8"/>
        <v>C</v>
      </c>
      <c r="I98" s="182" t="s">
        <v>212</v>
      </c>
      <c r="J98" s="171">
        <f>ФЕВРАЛЬ!U93</f>
        <v>0</v>
      </c>
      <c r="K98" s="172">
        <f t="shared" si="9"/>
        <v>0</v>
      </c>
      <c r="L98" s="172">
        <f t="shared" si="15"/>
        <v>0.99281682914315061</v>
      </c>
      <c r="M98" s="173" t="str">
        <f t="shared" si="4"/>
        <v>C</v>
      </c>
    </row>
    <row r="99" spans="2:13" ht="15" outlineLevel="1" thickBot="1">
      <c r="B99" s="182" t="s">
        <v>146</v>
      </c>
      <c r="C99" s="171">
        <f>ФЕВРАЛЬ!AO27</f>
        <v>-4681.6893675332749</v>
      </c>
      <c r="D99" s="172">
        <f t="shared" si="7"/>
        <v>-2.4072027912369009E-3</v>
      </c>
      <c r="E99" s="172">
        <f>E93+D99</f>
        <v>1.0361684572415069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ФЕВРАЛЬ!U96</f>
        <v>0</v>
      </c>
      <c r="K99" s="172">
        <f t="shared" si="9"/>
        <v>0</v>
      </c>
      <c r="L99" s="172">
        <f>L93+K99</f>
        <v>0.99281682914315061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199</v>
      </c>
      <c r="C100" s="171">
        <f>ФЕВРАЛЬ!AO80</f>
        <v>-4698.0891576858739</v>
      </c>
      <c r="D100" s="172">
        <f t="shared" si="7"/>
        <v>-2.4156351363866682E-3</v>
      </c>
      <c r="E100" s="172">
        <f t="shared" ref="E100:E104" si="18">E94+D100</f>
        <v>1.0349668355602974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ФЕВРАЛЬ!U97</f>
        <v>0</v>
      </c>
      <c r="K100" s="172">
        <f t="shared" si="9"/>
        <v>0</v>
      </c>
      <c r="L100" s="172">
        <f t="shared" ref="L100:L104" si="19">L94+K100</f>
        <v>0.99281682914315061</v>
      </c>
      <c r="M100" s="173" t="str">
        <f t="shared" si="17"/>
        <v>C</v>
      </c>
    </row>
    <row r="101" spans="2:13" ht="15" outlineLevel="1" thickBot="1">
      <c r="B101" s="182" t="s">
        <v>177</v>
      </c>
      <c r="C101" s="171">
        <f>ФЕВРАЛЬ!AO58</f>
        <v>-6986.0071013395727</v>
      </c>
      <c r="D101" s="172">
        <f t="shared" si="7"/>
        <v>-3.5920229801162488E-3</v>
      </c>
      <c r="E101" s="172">
        <f t="shared" si="18"/>
        <v>1.0324129109871441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ФЕВРАЛЬ!U99</f>
        <v>0</v>
      </c>
      <c r="K101" s="172">
        <f t="shared" si="9"/>
        <v>0</v>
      </c>
      <c r="L101" s="172">
        <f t="shared" si="19"/>
        <v>0.99281682914315061</v>
      </c>
      <c r="M101" s="173" t="str">
        <f t="shared" si="17"/>
        <v>C</v>
      </c>
    </row>
    <row r="102" spans="2:13" ht="15" outlineLevel="1" thickBot="1">
      <c r="B102" s="182" t="s">
        <v>162</v>
      </c>
      <c r="C102" s="171">
        <f>ФЕВРАЛЬ!AO43</f>
        <v>-7160.6196666761916</v>
      </c>
      <c r="D102" s="172">
        <f t="shared" si="7"/>
        <v>-3.6818042154067076E-3</v>
      </c>
      <c r="E102" s="172">
        <f t="shared" si="18"/>
        <v>1.0304463329098439</v>
      </c>
      <c r="F102" s="173" t="str">
        <f t="shared" si="16"/>
        <v>C</v>
      </c>
      <c r="G102" s="173" t="str">
        <f t="shared" si="8"/>
        <v>C</v>
      </c>
      <c r="I102" s="182" t="s">
        <v>257</v>
      </c>
      <c r="J102" s="171">
        <f>ФЕВРАЛЬ!U100</f>
        <v>0</v>
      </c>
      <c r="K102" s="172">
        <f t="shared" si="9"/>
        <v>0</v>
      </c>
      <c r="L102" s="172">
        <f t="shared" si="19"/>
        <v>0.99281682914315061</v>
      </c>
      <c r="M102" s="173" t="str">
        <f t="shared" si="17"/>
        <v>C</v>
      </c>
    </row>
    <row r="103" spans="2:13" ht="26.5" outlineLevel="1" thickBot="1">
      <c r="B103" s="182" t="s">
        <v>200</v>
      </c>
      <c r="C103" s="171">
        <f>ФЕВРАЛЬ!AO81</f>
        <v>-8784.7800747699457</v>
      </c>
      <c r="D103" s="172">
        <f t="shared" si="7"/>
        <v>-4.5169052143949669E-3</v>
      </c>
      <c r="E103" s="172">
        <f t="shared" si="18"/>
        <v>1.027601217948962</v>
      </c>
      <c r="F103" s="173" t="str">
        <f t="shared" si="16"/>
        <v>C</v>
      </c>
      <c r="G103" s="173" t="str">
        <f t="shared" si="8"/>
        <v>C</v>
      </c>
      <c r="I103" s="182" t="s">
        <v>259</v>
      </c>
      <c r="J103" s="171">
        <f>ФЕВРАЛЬ!U102</f>
        <v>0</v>
      </c>
      <c r="K103" s="172">
        <f t="shared" si="9"/>
        <v>0</v>
      </c>
      <c r="L103" s="172">
        <f t="shared" si="19"/>
        <v>0.99281682914315061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ФЕВРАЛЬ!AO26</f>
        <v>-27568.792946240937</v>
      </c>
      <c r="D104" s="172">
        <f t="shared" si="7"/>
        <v>-1.417515561614238E-2</v>
      </c>
      <c r="E104" s="172">
        <f t="shared" si="18"/>
        <v>1.0155770388813974</v>
      </c>
      <c r="F104" s="173" t="str">
        <f t="shared" si="16"/>
        <v>C</v>
      </c>
      <c r="G104" s="173" t="str">
        <f t="shared" si="8"/>
        <v>B</v>
      </c>
      <c r="I104" s="182" t="s">
        <v>260</v>
      </c>
      <c r="J104" s="171">
        <f>ФЕВРАЛЬ!U103</f>
        <v>0</v>
      </c>
      <c r="K104" s="172">
        <f t="shared" si="9"/>
        <v>0</v>
      </c>
      <c r="L104" s="172">
        <f t="shared" si="19"/>
        <v>0.99281682914315061</v>
      </c>
      <c r="M104" s="173" t="str">
        <f t="shared" si="17"/>
        <v>C</v>
      </c>
    </row>
    <row r="105" spans="2:13" outlineLevel="1">
      <c r="C105" s="178">
        <f>SUM(C4:C104)</f>
        <v>1944867.0401082691</v>
      </c>
      <c r="D105" s="179">
        <f>SUM(D4:D104)</f>
        <v>0.99999999999999967</v>
      </c>
      <c r="J105" s="178">
        <f>SUM(J4:J104)</f>
        <v>7796</v>
      </c>
      <c r="K105" s="179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60" priority="4" operator="equal">
      <formula>"C"</formula>
    </cfRule>
    <cfRule type="cellIs" dxfId="159" priority="5" operator="equal">
      <formula>"B"</formula>
    </cfRule>
    <cfRule type="cellIs" dxfId="158" priority="6" operator="equal">
      <formula>"A"</formula>
    </cfRule>
  </conditionalFormatting>
  <conditionalFormatting sqref="F99:G104 D99:D104 M99:M104 K99:K104">
    <cfRule type="cellIs" dxfId="157" priority="1" operator="equal">
      <formula>"C"</formula>
    </cfRule>
    <cfRule type="cellIs" dxfId="156" priority="2" operator="equal">
      <formula>"B"</formula>
    </cfRule>
    <cfRule type="cellIs" dxfId="155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5F25-16A0-46F6-B466-7D63FBE5DA04}">
  <dimension ref="B1:Q105"/>
  <sheetViews>
    <sheetView zoomScale="80" zoomScaleNormal="80" workbookViewId="0">
      <selection activeCell="E14" sqref="E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9" t="s">
        <v>86</v>
      </c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1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9'!AO4</f>
        <v>233182.08510390078</v>
      </c>
      <c r="D4" s="172">
        <f t="shared" ref="D4:D67" si="0">C4/C$105</f>
        <v>0.31385022446675775</v>
      </c>
      <c r="E4" s="172">
        <f>D4</f>
        <v>0.31385022446675775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9'!U4</f>
        <v>541</v>
      </c>
      <c r="K4" s="172">
        <f t="shared" ref="K4:K67" si="2">J4/J$105</f>
        <v>0.23430056301429189</v>
      </c>
      <c r="L4" s="172">
        <f>K4</f>
        <v>0.23430056301429189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9'!AO7</f>
        <v>69947.749298694718</v>
      </c>
      <c r="D5" s="172">
        <f t="shared" si="0"/>
        <v>9.4145812310401158E-2</v>
      </c>
      <c r="E5" s="172">
        <f>E4+D5</f>
        <v>0.4079960367771589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'Юнит 9'!U7</f>
        <v>180</v>
      </c>
      <c r="K5" s="172">
        <f t="shared" si="2"/>
        <v>7.7955825032481593E-2</v>
      </c>
      <c r="L5" s="172">
        <f>L4+K5</f>
        <v>0.31225638804677347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>
        <f>'Юнит 9'!AO5</f>
        <v>59062.289385139382</v>
      </c>
      <c r="D6" s="172">
        <f t="shared" si="0"/>
        <v>7.949458369748709E-2</v>
      </c>
      <c r="E6" s="172">
        <f t="shared" ref="E6:E69" si="5">E5+D6</f>
        <v>0.48749062047464597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'Юнит 9'!U10</f>
        <v>156</v>
      </c>
      <c r="K6" s="172">
        <f t="shared" si="2"/>
        <v>6.7561715028150712E-2</v>
      </c>
      <c r="L6" s="172">
        <f t="shared" ref="L6:L69" si="6">L5+K6</f>
        <v>0.3798181030749242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'Юнит 9'!AO9</f>
        <v>48626.700443569913</v>
      </c>
      <c r="D7" s="172">
        <f t="shared" si="0"/>
        <v>6.5448856598447597E-2</v>
      </c>
      <c r="E7" s="172">
        <f t="shared" si="5"/>
        <v>0.55293947707309354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'Юнит 9'!U5</f>
        <v>147</v>
      </c>
      <c r="K7" s="172">
        <f t="shared" si="2"/>
        <v>6.3663923776526632E-2</v>
      </c>
      <c r="L7" s="172">
        <f t="shared" si="6"/>
        <v>0.44348202685145083</v>
      </c>
      <c r="M7" s="173" t="str">
        <f t="shared" si="4"/>
        <v>A</v>
      </c>
    </row>
    <row r="8" spans="2:17" ht="15" outlineLevel="1" thickBot="1">
      <c r="B8" s="182" t="s">
        <v>132</v>
      </c>
      <c r="C8" s="171">
        <f>'Юнит 9'!AO13</f>
        <v>38940.896463642814</v>
      </c>
      <c r="D8" s="172">
        <f t="shared" si="0"/>
        <v>5.2412298700414271E-2</v>
      </c>
      <c r="E8" s="172">
        <f t="shared" si="5"/>
        <v>0.60535177577350785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'Юнит 9'!U9</f>
        <v>135</v>
      </c>
      <c r="K8" s="172">
        <f t="shared" si="2"/>
        <v>5.8466868774361198E-2</v>
      </c>
      <c r="L8" s="172">
        <f t="shared" si="6"/>
        <v>0.50194889562581202</v>
      </c>
      <c r="M8" s="173" t="str">
        <f>_xlfn.IFS(L8&lt;80%,"A",L8&lt;=95%,"B",L8&gt;95%,"C")</f>
        <v>A</v>
      </c>
    </row>
    <row r="9" spans="2:17" ht="15" outlineLevel="1" thickBot="1">
      <c r="B9" s="182" t="s">
        <v>129</v>
      </c>
      <c r="C9" s="171">
        <f>'Юнит 9'!AO10</f>
        <v>38435.99307770063</v>
      </c>
      <c r="D9" s="172">
        <f t="shared" si="0"/>
        <v>5.1732726592885636E-2</v>
      </c>
      <c r="E9" s="172">
        <f t="shared" si="5"/>
        <v>0.65708450236639349</v>
      </c>
      <c r="F9" s="173" t="str">
        <f t="shared" si="3"/>
        <v>A</v>
      </c>
      <c r="G9" s="173" t="str">
        <f t="shared" si="1"/>
        <v>A</v>
      </c>
      <c r="I9" s="182" t="s">
        <v>132</v>
      </c>
      <c r="J9" s="171">
        <f>'Юнит 9'!U13</f>
        <v>122</v>
      </c>
      <c r="K9" s="172">
        <f t="shared" si="2"/>
        <v>5.2836725855348633E-2</v>
      </c>
      <c r="L9" s="172">
        <f t="shared" si="6"/>
        <v>0.55478562148116062</v>
      </c>
      <c r="M9" s="173" t="str">
        <f t="shared" si="4"/>
        <v>A</v>
      </c>
    </row>
    <row r="10" spans="2:17" ht="15" outlineLevel="1" thickBot="1">
      <c r="B10" s="182" t="s">
        <v>125</v>
      </c>
      <c r="C10" s="171">
        <f>'Юнит 9'!AO6</f>
        <v>36585.849823933037</v>
      </c>
      <c r="D10" s="172">
        <f t="shared" si="0"/>
        <v>4.9242535825306369E-2</v>
      </c>
      <c r="E10" s="172">
        <f t="shared" si="5"/>
        <v>0.70632703819169984</v>
      </c>
      <c r="F10" s="173" t="str">
        <f t="shared" si="3"/>
        <v>A</v>
      </c>
      <c r="G10" s="173" t="str">
        <f t="shared" si="1"/>
        <v>A</v>
      </c>
      <c r="I10" s="182" t="s">
        <v>125</v>
      </c>
      <c r="J10" s="171">
        <f>'Юнит 9'!U6</f>
        <v>121</v>
      </c>
      <c r="K10" s="172">
        <f t="shared" si="2"/>
        <v>5.2403637938501516E-2</v>
      </c>
      <c r="L10" s="172">
        <f t="shared" si="6"/>
        <v>0.60718925941966218</v>
      </c>
      <c r="M10" s="173" t="str">
        <f t="shared" si="4"/>
        <v>A</v>
      </c>
    </row>
    <row r="11" spans="2:17" ht="26.5" outlineLevel="1" thickBot="1">
      <c r="B11" s="182" t="s">
        <v>135</v>
      </c>
      <c r="C11" s="171">
        <f>'Юнит 9'!AO16</f>
        <v>31216.063101878713</v>
      </c>
      <c r="D11" s="172">
        <f t="shared" si="0"/>
        <v>4.2015099089313425E-2</v>
      </c>
      <c r="E11" s="172">
        <f t="shared" si="5"/>
        <v>0.74834213728101329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9'!U3</f>
        <v>105</v>
      </c>
      <c r="K11" s="172">
        <f t="shared" si="2"/>
        <v>4.5474231268947597E-2</v>
      </c>
      <c r="L11" s="172">
        <f t="shared" si="6"/>
        <v>0.65266349068860974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9'!AO11</f>
        <v>29898.234114337138</v>
      </c>
      <c r="D12" s="172">
        <f t="shared" si="0"/>
        <v>4.024137396216898E-2</v>
      </c>
      <c r="E12" s="172">
        <f t="shared" si="5"/>
        <v>0.78858351124318227</v>
      </c>
      <c r="F12" s="173" t="str">
        <f t="shared" si="3"/>
        <v>A</v>
      </c>
      <c r="G12" s="173" t="str">
        <f t="shared" si="1"/>
        <v>A</v>
      </c>
      <c r="I12" s="182" t="s">
        <v>135</v>
      </c>
      <c r="J12" s="171">
        <f>'Юнит 9'!U16</f>
        <v>98</v>
      </c>
      <c r="K12" s="172">
        <f t="shared" si="2"/>
        <v>4.2442615851017759E-2</v>
      </c>
      <c r="L12" s="172">
        <f t="shared" si="6"/>
        <v>0.69510610653962746</v>
      </c>
      <c r="M12" s="173" t="str">
        <f t="shared" si="4"/>
        <v>A</v>
      </c>
    </row>
    <row r="13" spans="2:17" ht="15" outlineLevel="1" thickBot="1">
      <c r="B13" s="182" t="s">
        <v>131</v>
      </c>
      <c r="C13" s="171">
        <f>'Юнит 9'!AO12</f>
        <v>28687.23534216149</v>
      </c>
      <c r="D13" s="172">
        <f t="shared" si="0"/>
        <v>3.8611436412262674E-2</v>
      </c>
      <c r="E13" s="172">
        <f t="shared" si="5"/>
        <v>0.82719494765544499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'Юнит 9'!U28</f>
        <v>87</v>
      </c>
      <c r="K13" s="172">
        <f t="shared" si="2"/>
        <v>3.7678648765699436E-2</v>
      </c>
      <c r="L13" s="172">
        <f t="shared" si="6"/>
        <v>0.73278475530532694</v>
      </c>
      <c r="M13" s="173" t="str">
        <f t="shared" si="4"/>
        <v>A</v>
      </c>
    </row>
    <row r="14" spans="2:17" ht="26.5" outlineLevel="1" thickBot="1">
      <c r="B14" s="182" t="s">
        <v>137</v>
      </c>
      <c r="C14" s="171">
        <f>'Юнит 9'!AO18</f>
        <v>20921.801781015369</v>
      </c>
      <c r="D14" s="172">
        <f t="shared" si="0"/>
        <v>2.8159591172258715E-2</v>
      </c>
      <c r="E14" s="172">
        <f t="shared" si="5"/>
        <v>0.85535453882770374</v>
      </c>
      <c r="F14" s="173" t="str">
        <f t="shared" si="3"/>
        <v>B</v>
      </c>
      <c r="G14" s="173" t="str">
        <f t="shared" si="1"/>
        <v>B</v>
      </c>
      <c r="I14" s="182" t="s">
        <v>131</v>
      </c>
      <c r="J14" s="171">
        <f>'Юнит 9'!U12</f>
        <v>79</v>
      </c>
      <c r="K14" s="172">
        <f t="shared" si="2"/>
        <v>3.4213945430922474E-2</v>
      </c>
      <c r="L14" s="172">
        <f t="shared" si="6"/>
        <v>0.76699870073624943</v>
      </c>
      <c r="M14" s="173" t="str">
        <f t="shared" si="4"/>
        <v>A</v>
      </c>
    </row>
    <row r="15" spans="2:17" ht="26.5" outlineLevel="1" thickBot="1">
      <c r="B15" s="182" t="s">
        <v>122</v>
      </c>
      <c r="C15" s="171">
        <f>'Юнит 9'!AO3</f>
        <v>19130.695961472233</v>
      </c>
      <c r="D15" s="172">
        <f t="shared" si="0"/>
        <v>2.5748861534701642E-2</v>
      </c>
      <c r="E15" s="172">
        <f t="shared" si="5"/>
        <v>0.88110340036240542</v>
      </c>
      <c r="F15" s="173" t="str">
        <f t="shared" si="3"/>
        <v>B</v>
      </c>
      <c r="G15" s="173" t="str">
        <f t="shared" si="1"/>
        <v>A</v>
      </c>
      <c r="I15" s="182" t="s">
        <v>130</v>
      </c>
      <c r="J15" s="171">
        <f>'Юнит 9'!U11</f>
        <v>76</v>
      </c>
      <c r="K15" s="172">
        <f t="shared" si="2"/>
        <v>3.2914681680381121E-2</v>
      </c>
      <c r="L15" s="172">
        <f t="shared" si="6"/>
        <v>0.79991338241663057</v>
      </c>
      <c r="M15" s="173" t="str">
        <f t="shared" si="4"/>
        <v>A</v>
      </c>
    </row>
    <row r="16" spans="2:17" ht="15" outlineLevel="1" thickBot="1">
      <c r="B16" s="182" t="s">
        <v>127</v>
      </c>
      <c r="C16" s="171">
        <f>'Юнит 9'!AO8</f>
        <v>18340.695995632555</v>
      </c>
      <c r="D16" s="172">
        <f t="shared" si="0"/>
        <v>2.4685565156264012E-2</v>
      </c>
      <c r="E16" s="172">
        <f t="shared" si="5"/>
        <v>0.90578896551866939</v>
      </c>
      <c r="F16" s="173" t="str">
        <f t="shared" si="3"/>
        <v>B</v>
      </c>
      <c r="G16" s="173" t="str">
        <f t="shared" si="1"/>
        <v>B</v>
      </c>
      <c r="I16" s="182" t="s">
        <v>127</v>
      </c>
      <c r="J16" s="171">
        <f>'Юнит 9'!U8</f>
        <v>62</v>
      </c>
      <c r="K16" s="172">
        <f t="shared" si="2"/>
        <v>2.6851450844521438E-2</v>
      </c>
      <c r="L16" s="172">
        <f t="shared" si="6"/>
        <v>0.82676483326115202</v>
      </c>
      <c r="M16" s="173" t="str">
        <f t="shared" si="4"/>
        <v>B</v>
      </c>
    </row>
    <row r="17" spans="2:13" ht="26.5" outlineLevel="1" thickBot="1">
      <c r="B17" s="182" t="s">
        <v>147</v>
      </c>
      <c r="C17" s="171">
        <f>'Юнит 9'!AO28</f>
        <v>15602.504893762507</v>
      </c>
      <c r="D17" s="172">
        <f t="shared" si="0"/>
        <v>2.1000110968941377E-2</v>
      </c>
      <c r="E17" s="172">
        <f t="shared" si="5"/>
        <v>0.92678907648761077</v>
      </c>
      <c r="F17" s="173" t="str">
        <f t="shared" si="3"/>
        <v>B</v>
      </c>
      <c r="G17" s="173" t="str">
        <f t="shared" si="1"/>
        <v>A</v>
      </c>
      <c r="I17" s="182" t="s">
        <v>137</v>
      </c>
      <c r="J17" s="171">
        <f>'Юнит 9'!U18</f>
        <v>60</v>
      </c>
      <c r="K17" s="172">
        <f t="shared" si="2"/>
        <v>2.5985275010827199E-2</v>
      </c>
      <c r="L17" s="172">
        <f t="shared" si="6"/>
        <v>0.85275010827197917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'Юнит 9'!AO14</f>
        <v>11020.919989315082</v>
      </c>
      <c r="D18" s="172">
        <f t="shared" si="0"/>
        <v>1.4833550403048752E-2</v>
      </c>
      <c r="E18" s="172">
        <f t="shared" si="5"/>
        <v>0.94162262689065956</v>
      </c>
      <c r="F18" s="173" t="str">
        <f t="shared" si="3"/>
        <v>B</v>
      </c>
      <c r="G18" s="173" t="str">
        <f t="shared" si="1"/>
        <v>B</v>
      </c>
      <c r="I18" s="182" t="s">
        <v>164</v>
      </c>
      <c r="J18" s="171">
        <f>'Юнит 9'!U45</f>
        <v>49</v>
      </c>
      <c r="K18" s="172">
        <f t="shared" si="2"/>
        <v>2.122130792550888E-2</v>
      </c>
      <c r="L18" s="172">
        <f t="shared" si="6"/>
        <v>0.87397141619748808</v>
      </c>
      <c r="M18" s="173" t="str">
        <f t="shared" si="4"/>
        <v>B</v>
      </c>
    </row>
    <row r="19" spans="2:13" ht="15" outlineLevel="1" thickBot="1">
      <c r="B19" s="182" t="s">
        <v>168</v>
      </c>
      <c r="C19" s="171">
        <f>'Юнит 9'!AO49</f>
        <v>9856.2478372512851</v>
      </c>
      <c r="D19" s="172">
        <f t="shared" si="0"/>
        <v>1.3265965928484459E-2</v>
      </c>
      <c r="E19" s="172">
        <f t="shared" si="5"/>
        <v>0.95488859281914407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'Юнит 9'!U14</f>
        <v>39</v>
      </c>
      <c r="K19" s="172">
        <f t="shared" si="2"/>
        <v>1.6890428757037678E-2</v>
      </c>
      <c r="L19" s="172">
        <f t="shared" si="6"/>
        <v>0.89086184495452581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9'!AO15</f>
        <v>8803.0230602599495</v>
      </c>
      <c r="D20" s="172">
        <f t="shared" si="0"/>
        <v>1.1848383473445542E-2</v>
      </c>
      <c r="E20" s="172">
        <f t="shared" si="5"/>
        <v>0.96673697629258959</v>
      </c>
      <c r="F20" s="173" t="str">
        <f t="shared" si="3"/>
        <v>C</v>
      </c>
      <c r="G20" s="173" t="str">
        <f t="shared" si="1"/>
        <v>B</v>
      </c>
      <c r="I20" s="182" t="s">
        <v>145</v>
      </c>
      <c r="J20" s="171">
        <f>'Юнит 9'!U26</f>
        <v>37</v>
      </c>
      <c r="K20" s="172">
        <f t="shared" si="2"/>
        <v>1.6024252923343439E-2</v>
      </c>
      <c r="L20" s="172">
        <f t="shared" si="6"/>
        <v>0.90688609787786922</v>
      </c>
      <c r="M20" s="173" t="str">
        <f t="shared" si="4"/>
        <v>B</v>
      </c>
    </row>
    <row r="21" spans="2:13" ht="26.5" outlineLevel="1" thickBot="1">
      <c r="B21" s="182" t="s">
        <v>136</v>
      </c>
      <c r="C21" s="171">
        <f>'Юнит 9'!AO17</f>
        <v>7973.801584802286</v>
      </c>
      <c r="D21" s="172">
        <f t="shared" si="0"/>
        <v>1.073229710648008E-2</v>
      </c>
      <c r="E21" s="172">
        <f t="shared" si="5"/>
        <v>0.97746927339906964</v>
      </c>
      <c r="F21" s="173" t="str">
        <f t="shared" si="3"/>
        <v>C</v>
      </c>
      <c r="G21" s="173" t="str">
        <f t="shared" si="1"/>
        <v>C</v>
      </c>
      <c r="I21" s="182" t="s">
        <v>168</v>
      </c>
      <c r="J21" s="171">
        <f>'Юнит 9'!U49</f>
        <v>36</v>
      </c>
      <c r="K21" s="172">
        <f t="shared" si="2"/>
        <v>1.5591165006496318E-2</v>
      </c>
      <c r="L21" s="172">
        <f t="shared" si="6"/>
        <v>0.92247726288436549</v>
      </c>
      <c r="M21" s="173" t="str">
        <f t="shared" si="4"/>
        <v>B</v>
      </c>
    </row>
    <row r="22" spans="2:13" ht="15" outlineLevel="1" thickBot="1">
      <c r="B22" s="182" t="s">
        <v>164</v>
      </c>
      <c r="C22" s="171">
        <f>'Юнит 9'!AO45</f>
        <v>7667.3949108412935</v>
      </c>
      <c r="D22" s="172">
        <f t="shared" si="0"/>
        <v>1.0319890624404405E-2</v>
      </c>
      <c r="E22" s="172">
        <f t="shared" si="5"/>
        <v>0.98778916402347405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'Юнит 9'!U15</f>
        <v>28</v>
      </c>
      <c r="K22" s="172">
        <f t="shared" si="2"/>
        <v>1.2126461671719359E-2</v>
      </c>
      <c r="L22" s="172">
        <f t="shared" si="6"/>
        <v>0.93460372455608487</v>
      </c>
      <c r="M22" s="173" t="str">
        <f t="shared" si="4"/>
        <v>B</v>
      </c>
    </row>
    <row r="23" spans="2:13" ht="26.5" outlineLevel="1" thickBot="1">
      <c r="B23" s="182" t="s">
        <v>166</v>
      </c>
      <c r="C23" s="171">
        <f>'Юнит 9'!AO47</f>
        <v>6030.9395992946029</v>
      </c>
      <c r="D23" s="172">
        <f t="shared" si="0"/>
        <v>8.1173120402481778E-3</v>
      </c>
      <c r="E23" s="172">
        <f t="shared" si="5"/>
        <v>0.99590647606372218</v>
      </c>
      <c r="F23" s="173" t="str">
        <f t="shared" si="3"/>
        <v>C</v>
      </c>
      <c r="G23" s="173" t="str">
        <f t="shared" si="1"/>
        <v>C</v>
      </c>
      <c r="I23" s="182" t="s">
        <v>167</v>
      </c>
      <c r="J23" s="171">
        <f>'Юнит 9'!U48</f>
        <v>27</v>
      </c>
      <c r="K23" s="172">
        <f t="shared" si="2"/>
        <v>1.1693373754872239E-2</v>
      </c>
      <c r="L23" s="172">
        <f t="shared" si="6"/>
        <v>0.9462970983109571</v>
      </c>
      <c r="M23" s="173" t="str">
        <f t="shared" si="4"/>
        <v>B</v>
      </c>
    </row>
    <row r="24" spans="2:13" ht="26.5" outlineLevel="1" thickBot="1">
      <c r="B24" s="182" t="s">
        <v>167</v>
      </c>
      <c r="C24" s="171">
        <f>'Юнит 9'!AO48</f>
        <v>5263.099140829464</v>
      </c>
      <c r="D24" s="172">
        <f t="shared" si="0"/>
        <v>7.0838411364411227E-3</v>
      </c>
      <c r="E24" s="172">
        <f t="shared" si="5"/>
        <v>1.0029903172001633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'Юнит 9'!U17</f>
        <v>24</v>
      </c>
      <c r="K24" s="172">
        <f t="shared" si="2"/>
        <v>1.0394110004330879E-2</v>
      </c>
      <c r="L24" s="172">
        <f t="shared" si="6"/>
        <v>0.95669120831528798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'Юнит 9'!AO44</f>
        <v>4550.6139687971663</v>
      </c>
      <c r="D25" s="172">
        <f t="shared" si="0"/>
        <v>6.1248753948322174E-3</v>
      </c>
      <c r="E25" s="172">
        <f t="shared" si="5"/>
        <v>1.0091151925949955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9'!U44</f>
        <v>18</v>
      </c>
      <c r="K25" s="172">
        <f t="shared" si="2"/>
        <v>7.795582503248159E-3</v>
      </c>
      <c r="L25" s="172">
        <f t="shared" si="6"/>
        <v>0.96448679081853617</v>
      </c>
      <c r="M25" s="173" t="str">
        <f t="shared" si="4"/>
        <v>C</v>
      </c>
    </row>
    <row r="26" spans="2:13" ht="15" outlineLevel="1" thickBot="1">
      <c r="B26" s="182" t="s">
        <v>169</v>
      </c>
      <c r="C26" s="171">
        <f>'Юнит 9'!AO50</f>
        <v>3746.9085948353695</v>
      </c>
      <c r="D26" s="172">
        <f t="shared" si="0"/>
        <v>5.0431322930383745E-3</v>
      </c>
      <c r="E26" s="172">
        <f t="shared" si="5"/>
        <v>1.0141583248880339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9'!U47</f>
        <v>16</v>
      </c>
      <c r="K26" s="172">
        <f t="shared" si="2"/>
        <v>6.9294066695539192E-3</v>
      </c>
      <c r="L26" s="172">
        <f t="shared" si="6"/>
        <v>0.97141619748809005</v>
      </c>
      <c r="M26" s="173" t="str">
        <f t="shared" si="4"/>
        <v>C</v>
      </c>
    </row>
    <row r="27" spans="2:13" ht="15" outlineLevel="1" thickBot="1">
      <c r="B27" s="182" t="s">
        <v>152</v>
      </c>
      <c r="C27" s="171">
        <f>'Юнит 9'!AO33</f>
        <v>1356.6075161087037</v>
      </c>
      <c r="D27" s="172">
        <f t="shared" si="0"/>
        <v>1.8259188876121977E-3</v>
      </c>
      <c r="E27" s="172">
        <f>E26+D27</f>
        <v>1.0159842437756461</v>
      </c>
      <c r="F27" s="173" t="str">
        <f t="shared" si="3"/>
        <v>C</v>
      </c>
      <c r="G27" s="173" t="str">
        <f t="shared" si="1"/>
        <v>C</v>
      </c>
      <c r="I27" s="182" t="s">
        <v>169</v>
      </c>
      <c r="J27" s="171">
        <f>'Юнит 9'!U50</f>
        <v>14</v>
      </c>
      <c r="K27" s="172">
        <f t="shared" si="2"/>
        <v>6.0632308358596794E-3</v>
      </c>
      <c r="L27" s="172">
        <f>L26+K27</f>
        <v>0.97747942832394974</v>
      </c>
      <c r="M27" s="173" t="str">
        <f t="shared" si="4"/>
        <v>C</v>
      </c>
    </row>
    <row r="28" spans="2:13" ht="15" outlineLevel="1" thickBot="1">
      <c r="B28" s="182" t="s">
        <v>156</v>
      </c>
      <c r="C28" s="171">
        <f>'Юнит 9'!AO37</f>
        <v>1212.1559999999999</v>
      </c>
      <c r="D28" s="172">
        <f t="shared" si="0"/>
        <v>1.6314951147263889E-3</v>
      </c>
      <c r="E28" s="172">
        <f>E27+D28</f>
        <v>1.0176157388903726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'Юнит 9'!U27</f>
        <v>9</v>
      </c>
      <c r="K28" s="172">
        <f t="shared" si="2"/>
        <v>3.8977912516240795E-3</v>
      </c>
      <c r="L28" s="172">
        <f t="shared" si="6"/>
        <v>0.98137721957557378</v>
      </c>
      <c r="M28" s="173" t="str">
        <f t="shared" si="4"/>
        <v>C</v>
      </c>
    </row>
    <row r="29" spans="2:13" ht="26.5" outlineLevel="1" thickBot="1">
      <c r="B29" s="182" t="s">
        <v>208</v>
      </c>
      <c r="C29" s="171">
        <f>'Юнит 9'!AO89</f>
        <v>1151.2595227648685</v>
      </c>
      <c r="D29" s="172">
        <f t="shared" si="0"/>
        <v>1.5495318153547208E-3</v>
      </c>
      <c r="E29" s="172">
        <f t="shared" si="5"/>
        <v>1.0191652707057273</v>
      </c>
      <c r="F29" s="173" t="str">
        <f t="shared" si="3"/>
        <v>C</v>
      </c>
      <c r="G29" s="173" t="str">
        <f t="shared" si="1"/>
        <v>C</v>
      </c>
      <c r="I29" s="182" t="s">
        <v>200</v>
      </c>
      <c r="J29" s="171">
        <f>'Юнит 9'!U81</f>
        <v>5</v>
      </c>
      <c r="K29" s="172">
        <f t="shared" si="2"/>
        <v>2.1654395842355999E-3</v>
      </c>
      <c r="L29" s="172">
        <f t="shared" si="6"/>
        <v>0.98354265915980943</v>
      </c>
      <c r="M29" s="173" t="str">
        <f t="shared" si="4"/>
        <v>C</v>
      </c>
    </row>
    <row r="30" spans="2:13" ht="15" outlineLevel="1" thickBot="1">
      <c r="B30" s="182" t="s">
        <v>202</v>
      </c>
      <c r="C30" s="171">
        <f>'Юнит 9'!AO83</f>
        <v>1136.7326123276882</v>
      </c>
      <c r="D30" s="172">
        <f t="shared" si="0"/>
        <v>1.5299793951956593E-3</v>
      </c>
      <c r="E30" s="172">
        <f t="shared" si="5"/>
        <v>1.020695250100923</v>
      </c>
      <c r="F30" s="173" t="str">
        <f t="shared" si="3"/>
        <v>C</v>
      </c>
      <c r="G30" s="173" t="str">
        <f t="shared" si="1"/>
        <v>C</v>
      </c>
      <c r="I30" s="182" t="s">
        <v>156</v>
      </c>
      <c r="J30" s="171">
        <f>'Юнит 9'!U37</f>
        <v>4</v>
      </c>
      <c r="K30" s="172">
        <f t="shared" si="2"/>
        <v>1.7323516673884798E-3</v>
      </c>
      <c r="L30" s="172">
        <f t="shared" si="6"/>
        <v>0.98527501082719793</v>
      </c>
      <c r="M30" s="173" t="str">
        <f t="shared" si="4"/>
        <v>C</v>
      </c>
    </row>
    <row r="31" spans="2:13" ht="26.5" outlineLevel="1" thickBot="1">
      <c r="B31" s="182" t="s">
        <v>207</v>
      </c>
      <c r="C31" s="171">
        <f>'Юнит 9'!AO88</f>
        <v>1035.2886000000003</v>
      </c>
      <c r="D31" s="172">
        <f t="shared" si="0"/>
        <v>1.3934413501495873E-3</v>
      </c>
      <c r="E31" s="172">
        <f t="shared" si="5"/>
        <v>1.0220886914510725</v>
      </c>
      <c r="F31" s="173" t="str">
        <f t="shared" si="3"/>
        <v>C</v>
      </c>
      <c r="G31" s="173" t="str">
        <f t="shared" si="1"/>
        <v>C</v>
      </c>
      <c r="I31" s="182" t="s">
        <v>190</v>
      </c>
      <c r="J31" s="171">
        <f>'Юнит 9'!U71</f>
        <v>4</v>
      </c>
      <c r="K31" s="172">
        <f t="shared" si="2"/>
        <v>1.7323516673884798E-3</v>
      </c>
      <c r="L31" s="172">
        <f t="shared" si="6"/>
        <v>0.98700736249458643</v>
      </c>
      <c r="M31" s="173" t="str">
        <f t="shared" si="4"/>
        <v>C</v>
      </c>
    </row>
    <row r="32" spans="2:13" ht="26.5" outlineLevel="1" thickBot="1">
      <c r="B32" s="182" t="s">
        <v>173</v>
      </c>
      <c r="C32" s="171">
        <f>'Юнит 9'!AO54</f>
        <v>912.49040606537994</v>
      </c>
      <c r="D32" s="172">
        <f t="shared" si="0"/>
        <v>1.2281617545351971E-3</v>
      </c>
      <c r="E32" s="172">
        <f t="shared" si="5"/>
        <v>1.0233168532056076</v>
      </c>
      <c r="F32" s="173" t="str">
        <f t="shared" si="3"/>
        <v>C</v>
      </c>
      <c r="G32" s="173" t="str">
        <f t="shared" si="1"/>
        <v>C</v>
      </c>
      <c r="I32" s="182" t="s">
        <v>207</v>
      </c>
      <c r="J32" s="171">
        <f>'Юнит 9'!U88</f>
        <v>4</v>
      </c>
      <c r="K32" s="172">
        <f t="shared" si="2"/>
        <v>1.7323516673884798E-3</v>
      </c>
      <c r="L32" s="172">
        <f t="shared" si="6"/>
        <v>0.98873971416197493</v>
      </c>
      <c r="M32" s="173" t="str">
        <f t="shared" si="4"/>
        <v>C</v>
      </c>
    </row>
    <row r="33" spans="2:13" ht="26.5" outlineLevel="1" thickBot="1">
      <c r="B33" s="182" t="s">
        <v>199</v>
      </c>
      <c r="C33" s="171">
        <f>'Юнит 9'!AO80</f>
        <v>878.64222276486805</v>
      </c>
      <c r="D33" s="172">
        <f t="shared" si="0"/>
        <v>1.1826039668435563E-3</v>
      </c>
      <c r="E33" s="172">
        <f t="shared" si="5"/>
        <v>1.0244994571724513</v>
      </c>
      <c r="F33" s="173" t="str">
        <f t="shared" si="3"/>
        <v>C</v>
      </c>
      <c r="G33" s="173" t="str">
        <f t="shared" si="1"/>
        <v>C</v>
      </c>
      <c r="I33" s="182" t="s">
        <v>153</v>
      </c>
      <c r="J33" s="171">
        <f>'Юнит 9'!U34</f>
        <v>3</v>
      </c>
      <c r="K33" s="172">
        <f t="shared" si="2"/>
        <v>1.2992637505413599E-3</v>
      </c>
      <c r="L33" s="172">
        <f t="shared" si="6"/>
        <v>0.99003897791251627</v>
      </c>
      <c r="M33" s="173" t="str">
        <f t="shared" si="4"/>
        <v>C</v>
      </c>
    </row>
    <row r="34" spans="2:13" ht="15" outlineLevel="1" thickBot="1">
      <c r="B34" s="182" t="s">
        <v>170</v>
      </c>
      <c r="C34" s="171">
        <f>'Юнит 9'!AO51</f>
        <v>632.71459373769198</v>
      </c>
      <c r="D34" s="172">
        <f t="shared" si="0"/>
        <v>8.5159894328711515E-4</v>
      </c>
      <c r="E34" s="172">
        <f t="shared" si="5"/>
        <v>1.0253510561157384</v>
      </c>
      <c r="F34" s="173" t="str">
        <f t="shared" si="3"/>
        <v>C</v>
      </c>
      <c r="G34" s="173" t="str">
        <f t="shared" si="1"/>
        <v>C</v>
      </c>
      <c r="I34" s="182" t="s">
        <v>173</v>
      </c>
      <c r="J34" s="171">
        <f>'Юнит 9'!U54</f>
        <v>3</v>
      </c>
      <c r="K34" s="172">
        <f t="shared" si="2"/>
        <v>1.2992637505413599E-3</v>
      </c>
      <c r="L34" s="172">
        <f t="shared" si="6"/>
        <v>0.99133824166305762</v>
      </c>
      <c r="M34" s="173" t="str">
        <f t="shared" si="4"/>
        <v>C</v>
      </c>
    </row>
    <row r="35" spans="2:13" ht="26.5" outlineLevel="1" thickBot="1">
      <c r="B35" s="182" t="s">
        <v>197</v>
      </c>
      <c r="C35" s="171">
        <f>'Юнит 9'!AO78</f>
        <v>619.99255825128023</v>
      </c>
      <c r="D35" s="172">
        <f t="shared" si="0"/>
        <v>8.3447578525674894E-4</v>
      </c>
      <c r="E35" s="172">
        <f t="shared" si="5"/>
        <v>1.0261855319009952</v>
      </c>
      <c r="F35" s="173" t="str">
        <f t="shared" si="3"/>
        <v>C</v>
      </c>
      <c r="G35" s="173" t="str">
        <f t="shared" si="1"/>
        <v>C</v>
      </c>
      <c r="I35" s="182" t="s">
        <v>199</v>
      </c>
      <c r="J35" s="171">
        <f>'Юнит 9'!U80</f>
        <v>3</v>
      </c>
      <c r="K35" s="172">
        <f t="shared" si="2"/>
        <v>1.2992637505413599E-3</v>
      </c>
      <c r="L35" s="172">
        <f t="shared" si="6"/>
        <v>0.99263750541359896</v>
      </c>
      <c r="M35" s="173" t="str">
        <f t="shared" si="4"/>
        <v>C</v>
      </c>
    </row>
    <row r="36" spans="2:13" ht="26.5" outlineLevel="1" thickBot="1">
      <c r="B36" s="182" t="s">
        <v>205</v>
      </c>
      <c r="C36" s="171">
        <f>'Юнит 9'!AO86</f>
        <v>565.46070197794415</v>
      </c>
      <c r="D36" s="172">
        <f t="shared" si="0"/>
        <v>7.610789146337356E-4</v>
      </c>
      <c r="E36" s="172">
        <f t="shared" si="5"/>
        <v>1.0269466108156289</v>
      </c>
      <c r="F36" s="173" t="str">
        <f t="shared" si="3"/>
        <v>C</v>
      </c>
      <c r="G36" s="173" t="str">
        <f t="shared" si="1"/>
        <v>C</v>
      </c>
      <c r="I36" s="182" t="s">
        <v>152</v>
      </c>
      <c r="J36" s="171">
        <f>'Юнит 9'!U33</f>
        <v>2</v>
      </c>
      <c r="K36" s="172">
        <f t="shared" si="2"/>
        <v>8.661758336942399E-4</v>
      </c>
      <c r="L36" s="172">
        <f t="shared" si="6"/>
        <v>0.99350368124729316</v>
      </c>
      <c r="M36" s="173" t="str">
        <f t="shared" si="4"/>
        <v>C</v>
      </c>
    </row>
    <row r="37" spans="2:13" ht="15" outlineLevel="1" thickBot="1">
      <c r="B37" s="182" t="s">
        <v>160</v>
      </c>
      <c r="C37" s="171">
        <f>'Юнит 9'!AO41</f>
        <v>488.45120815281615</v>
      </c>
      <c r="D37" s="172">
        <f t="shared" si="0"/>
        <v>6.5742838370929323E-4</v>
      </c>
      <c r="E37" s="172">
        <f t="shared" si="5"/>
        <v>1.0276040391993382</v>
      </c>
      <c r="F37" s="173" t="str">
        <f t="shared" si="3"/>
        <v>C</v>
      </c>
      <c r="G37" s="173" t="str">
        <f t="shared" si="1"/>
        <v>C</v>
      </c>
      <c r="I37" s="182" t="s">
        <v>162</v>
      </c>
      <c r="J37" s="171">
        <f>'Юнит 9'!U43</f>
        <v>2</v>
      </c>
      <c r="K37" s="172">
        <f t="shared" si="2"/>
        <v>8.661758336942399E-4</v>
      </c>
      <c r="L37" s="172">
        <f t="shared" si="6"/>
        <v>0.99436985708098735</v>
      </c>
      <c r="M37" s="173" t="str">
        <f t="shared" si="4"/>
        <v>C</v>
      </c>
    </row>
    <row r="38" spans="2:13" ht="15" outlineLevel="1" thickBot="1">
      <c r="B38" s="182" t="s">
        <v>175</v>
      </c>
      <c r="C38" s="171">
        <f>'Юнит 9'!AO56</f>
        <v>400.69400000000002</v>
      </c>
      <c r="D38" s="172">
        <f t="shared" si="0"/>
        <v>5.3931202213260978E-4</v>
      </c>
      <c r="E38" s="172">
        <f t="shared" si="5"/>
        <v>1.0281433512214708</v>
      </c>
      <c r="F38" s="173" t="str">
        <f t="shared" si="3"/>
        <v>C</v>
      </c>
      <c r="G38" s="173" t="str">
        <f t="shared" si="1"/>
        <v>C</v>
      </c>
      <c r="I38" s="182" t="s">
        <v>170</v>
      </c>
      <c r="J38" s="171">
        <f>'Юнит 9'!U51</f>
        <v>2</v>
      </c>
      <c r="K38" s="172">
        <f t="shared" si="2"/>
        <v>8.661758336942399E-4</v>
      </c>
      <c r="L38" s="172">
        <f t="shared" si="6"/>
        <v>0.99523603291468155</v>
      </c>
      <c r="M38" s="173" t="str">
        <f t="shared" si="4"/>
        <v>C</v>
      </c>
    </row>
    <row r="39" spans="2:13" ht="15" outlineLevel="1" thickBot="1">
      <c r="B39" s="182" t="s">
        <v>189</v>
      </c>
      <c r="C39" s="171">
        <f>'Юнит 9'!AO70</f>
        <v>340.65289165025598</v>
      </c>
      <c r="D39" s="172">
        <f t="shared" si="0"/>
        <v>4.5850000209940841E-4</v>
      </c>
      <c r="E39" s="172">
        <f>E35+D39</f>
        <v>1.0266440319030945</v>
      </c>
      <c r="F39" s="173" t="str">
        <f t="shared" si="3"/>
        <v>C</v>
      </c>
      <c r="G39" s="173" t="str">
        <f t="shared" si="1"/>
        <v>C</v>
      </c>
      <c r="I39" s="182" t="s">
        <v>197</v>
      </c>
      <c r="J39" s="171">
        <f>'Юнит 9'!U78</f>
        <v>2</v>
      </c>
      <c r="K39" s="172">
        <f t="shared" si="2"/>
        <v>8.661758336942399E-4</v>
      </c>
      <c r="L39" s="172">
        <f>L35+K39</f>
        <v>0.99350368124729316</v>
      </c>
      <c r="M39" s="173" t="str">
        <f t="shared" si="4"/>
        <v>C</v>
      </c>
    </row>
    <row r="40" spans="2:13" ht="15" outlineLevel="1" thickBot="1">
      <c r="B40" s="182" t="s">
        <v>153</v>
      </c>
      <c r="C40" s="171">
        <f>'Юнит 9'!AO34</f>
        <v>176.63069999999993</v>
      </c>
      <c r="D40" s="172">
        <f t="shared" si="0"/>
        <v>2.3773517943292966E-4</v>
      </c>
      <c r="E40" s="172">
        <f t="shared" si="5"/>
        <v>1.0268817670825274</v>
      </c>
      <c r="F40" s="173" t="str">
        <f t="shared" si="3"/>
        <v>C</v>
      </c>
      <c r="G40" s="173" t="str">
        <f t="shared" si="1"/>
        <v>C</v>
      </c>
      <c r="I40" s="182" t="s">
        <v>202</v>
      </c>
      <c r="J40" s="171">
        <f>'Юнит 9'!U83</f>
        <v>2</v>
      </c>
      <c r="K40" s="172">
        <f t="shared" si="2"/>
        <v>8.661758336942399E-4</v>
      </c>
      <c r="L40" s="172">
        <f t="shared" si="6"/>
        <v>0.99436985708098735</v>
      </c>
      <c r="M40" s="173" t="str">
        <f t="shared" si="4"/>
        <v>C</v>
      </c>
    </row>
    <row r="41" spans="2:13" ht="15" outlineLevel="1" thickBot="1">
      <c r="B41" s="182" t="s">
        <v>146</v>
      </c>
      <c r="C41" s="171">
        <f>'Юнит 9'!AO27</f>
        <v>62.179768027176522</v>
      </c>
      <c r="D41" s="172">
        <f t="shared" si="0"/>
        <v>8.3690537992765456E-5</v>
      </c>
      <c r="E41" s="172">
        <f t="shared" si="5"/>
        <v>1.0269654576205203</v>
      </c>
      <c r="F41" s="173" t="str">
        <f t="shared" si="3"/>
        <v>C</v>
      </c>
      <c r="G41" s="173" t="str">
        <f t="shared" si="1"/>
        <v>C</v>
      </c>
      <c r="I41" s="182" t="s">
        <v>208</v>
      </c>
      <c r="J41" s="171">
        <f>'Юнит 9'!U89</f>
        <v>2</v>
      </c>
      <c r="K41" s="172">
        <f t="shared" si="2"/>
        <v>8.661758336942399E-4</v>
      </c>
      <c r="L41" s="172">
        <f t="shared" si="6"/>
        <v>0.99523603291468155</v>
      </c>
      <c r="M41" s="173" t="str">
        <f t="shared" si="4"/>
        <v>C</v>
      </c>
    </row>
    <row r="42" spans="2:13" ht="15" outlineLevel="1" thickBot="1">
      <c r="B42" s="182" t="s">
        <v>190</v>
      </c>
      <c r="C42" s="171">
        <f>'Юнит 9'!AO71</f>
        <v>7.9990662130758778</v>
      </c>
      <c r="D42" s="172">
        <f t="shared" si="0"/>
        <v>1.076630190256552E-5</v>
      </c>
      <c r="E42" s="172">
        <f t="shared" si="5"/>
        <v>1.0269762239224229</v>
      </c>
      <c r="F42" s="173" t="str">
        <f t="shared" si="3"/>
        <v>C</v>
      </c>
      <c r="G42" s="173" t="str">
        <f t="shared" si="1"/>
        <v>C</v>
      </c>
      <c r="I42" s="182" t="s">
        <v>158</v>
      </c>
      <c r="J42" s="171">
        <f>'Юнит 9'!U39</f>
        <v>1</v>
      </c>
      <c r="K42" s="172">
        <f t="shared" si="2"/>
        <v>4.3308791684711995E-4</v>
      </c>
      <c r="L42" s="172">
        <f t="shared" si="6"/>
        <v>0.9956691208315287</v>
      </c>
      <c r="M42" s="173" t="str">
        <f t="shared" si="4"/>
        <v>C</v>
      </c>
    </row>
    <row r="43" spans="2:13" ht="26.5" outlineLevel="1" thickBot="1">
      <c r="B43" s="182" t="s">
        <v>138</v>
      </c>
      <c r="C43" s="171">
        <f>'Юнит 9'!AO19</f>
        <v>0</v>
      </c>
      <c r="D43" s="172">
        <f t="shared" si="0"/>
        <v>0</v>
      </c>
      <c r="E43" s="172">
        <f t="shared" si="5"/>
        <v>1.0269762239224229</v>
      </c>
      <c r="F43" s="173" t="str">
        <f t="shared" si="3"/>
        <v>C</v>
      </c>
      <c r="G43" s="173" t="str">
        <f t="shared" si="1"/>
        <v>C</v>
      </c>
      <c r="I43" s="182" t="s">
        <v>160</v>
      </c>
      <c r="J43" s="171">
        <f>'Юнит 9'!U41</f>
        <v>1</v>
      </c>
      <c r="K43" s="172">
        <f t="shared" si="2"/>
        <v>4.3308791684711995E-4</v>
      </c>
      <c r="L43" s="172">
        <f t="shared" si="6"/>
        <v>0.99610220874837585</v>
      </c>
      <c r="M43" s="173" t="str">
        <f t="shared" si="4"/>
        <v>C</v>
      </c>
    </row>
    <row r="44" spans="2:13" ht="15" outlineLevel="1" thickBot="1">
      <c r="B44" s="182" t="s">
        <v>139</v>
      </c>
      <c r="C44" s="171">
        <f>'Юнит 9'!AO20</f>
        <v>0</v>
      </c>
      <c r="D44" s="172">
        <f t="shared" si="0"/>
        <v>0</v>
      </c>
      <c r="E44" s="172">
        <f t="shared" si="5"/>
        <v>1.0269762239224229</v>
      </c>
      <c r="F44" s="173" t="str">
        <f t="shared" si="3"/>
        <v>C</v>
      </c>
      <c r="G44" s="173" t="str">
        <f t="shared" si="1"/>
        <v>C</v>
      </c>
      <c r="I44" s="182" t="s">
        <v>175</v>
      </c>
      <c r="J44" s="171">
        <f>'Юнит 9'!U56</f>
        <v>1</v>
      </c>
      <c r="K44" s="172">
        <f t="shared" si="2"/>
        <v>4.3308791684711995E-4</v>
      </c>
      <c r="L44" s="172">
        <f t="shared" si="6"/>
        <v>0.996535296665223</v>
      </c>
      <c r="M44" s="173" t="str">
        <f t="shared" si="4"/>
        <v>C</v>
      </c>
    </row>
    <row r="45" spans="2:13" ht="15" outlineLevel="1" thickBot="1">
      <c r="B45" s="182" t="s">
        <v>141</v>
      </c>
      <c r="C45" s="171">
        <f>'Юнит 9'!AO22</f>
        <v>0</v>
      </c>
      <c r="D45" s="172">
        <f t="shared" si="0"/>
        <v>0</v>
      </c>
      <c r="E45" s="172">
        <f t="shared" si="5"/>
        <v>1.0269762239224229</v>
      </c>
      <c r="F45" s="173" t="str">
        <f t="shared" si="3"/>
        <v>C</v>
      </c>
      <c r="G45" s="173" t="str">
        <f t="shared" si="1"/>
        <v>C</v>
      </c>
      <c r="I45" s="182" t="s">
        <v>177</v>
      </c>
      <c r="J45" s="171">
        <f>'Юнит 9'!U58</f>
        <v>1</v>
      </c>
      <c r="K45" s="172">
        <f t="shared" si="2"/>
        <v>4.3308791684711995E-4</v>
      </c>
      <c r="L45" s="172">
        <f t="shared" si="6"/>
        <v>0.99696838458207016</v>
      </c>
      <c r="M45" s="173" t="str">
        <f t="shared" si="4"/>
        <v>C</v>
      </c>
    </row>
    <row r="46" spans="2:13" ht="15" outlineLevel="1" thickBot="1">
      <c r="B46" s="182" t="s">
        <v>142</v>
      </c>
      <c r="C46" s="171">
        <f>'Юнит 9'!AO23</f>
        <v>0</v>
      </c>
      <c r="D46" s="172">
        <f t="shared" si="0"/>
        <v>0</v>
      </c>
      <c r="E46" s="172">
        <f t="shared" si="5"/>
        <v>1.0269762239224229</v>
      </c>
      <c r="F46" s="173" t="str">
        <f t="shared" si="3"/>
        <v>C</v>
      </c>
      <c r="G46" s="173" t="str">
        <f t="shared" si="1"/>
        <v>C</v>
      </c>
      <c r="I46" s="182" t="s">
        <v>189</v>
      </c>
      <c r="J46" s="171">
        <f>'Юнит 9'!U70</f>
        <v>1</v>
      </c>
      <c r="K46" s="172">
        <f t="shared" si="2"/>
        <v>4.3308791684711995E-4</v>
      </c>
      <c r="L46" s="172">
        <f t="shared" si="6"/>
        <v>0.99740147249891731</v>
      </c>
      <c r="M46" s="173" t="str">
        <f t="shared" si="4"/>
        <v>C</v>
      </c>
    </row>
    <row r="47" spans="2:13" ht="26.5" outlineLevel="1" thickBot="1">
      <c r="B47" s="182" t="s">
        <v>143</v>
      </c>
      <c r="C47" s="171">
        <f>'Юнит 9'!AO24</f>
        <v>0</v>
      </c>
      <c r="D47" s="172">
        <f t="shared" si="0"/>
        <v>0</v>
      </c>
      <c r="E47" s="172">
        <f t="shared" si="5"/>
        <v>1.0269762239224229</v>
      </c>
      <c r="F47" s="173" t="str">
        <f t="shared" si="3"/>
        <v>C</v>
      </c>
      <c r="G47" s="173" t="str">
        <f t="shared" si="1"/>
        <v>C</v>
      </c>
      <c r="I47" s="182" t="s">
        <v>205</v>
      </c>
      <c r="J47" s="171">
        <f>'Юнит 9'!U86</f>
        <v>1</v>
      </c>
      <c r="K47" s="172">
        <f t="shared" si="2"/>
        <v>4.3308791684711995E-4</v>
      </c>
      <c r="L47" s="172">
        <f t="shared" si="6"/>
        <v>0.99783456041576446</v>
      </c>
      <c r="M47" s="173" t="str">
        <f t="shared" si="4"/>
        <v>C</v>
      </c>
    </row>
    <row r="48" spans="2:13" ht="26.5" outlineLevel="1" thickBot="1">
      <c r="B48" s="182" t="s">
        <v>144</v>
      </c>
      <c r="C48" s="171">
        <f>'Юнит 9'!AO25</f>
        <v>0</v>
      </c>
      <c r="D48" s="172">
        <f t="shared" si="0"/>
        <v>0</v>
      </c>
      <c r="E48" s="172">
        <f t="shared" si="5"/>
        <v>1.0269762239224229</v>
      </c>
      <c r="F48" s="173" t="str">
        <f t="shared" si="3"/>
        <v>C</v>
      </c>
      <c r="G48" s="173" t="str">
        <f t="shared" si="1"/>
        <v>C</v>
      </c>
      <c r="I48" s="182" t="s">
        <v>206</v>
      </c>
      <c r="J48" s="171">
        <f>'Юнит 9'!U87</f>
        <v>1</v>
      </c>
      <c r="K48" s="172">
        <f t="shared" si="2"/>
        <v>4.3308791684711995E-4</v>
      </c>
      <c r="L48" s="172">
        <f t="shared" si="6"/>
        <v>0.99826764833261161</v>
      </c>
      <c r="M48" s="173" t="str">
        <f t="shared" si="4"/>
        <v>C</v>
      </c>
    </row>
    <row r="49" spans="2:13" ht="26.5" outlineLevel="1" thickBot="1">
      <c r="B49" s="182" t="s">
        <v>148</v>
      </c>
      <c r="C49" s="171">
        <f>'Юнит 9'!AO29</f>
        <v>0</v>
      </c>
      <c r="D49" s="172">
        <f t="shared" si="0"/>
        <v>0</v>
      </c>
      <c r="E49" s="172">
        <f t="shared" si="5"/>
        <v>1.0269762239224229</v>
      </c>
      <c r="F49" s="173" t="str">
        <f t="shared" si="3"/>
        <v>C</v>
      </c>
      <c r="G49" s="173" t="str">
        <f t="shared" si="1"/>
        <v>C</v>
      </c>
      <c r="I49" s="182" t="s">
        <v>138</v>
      </c>
      <c r="J49" s="171">
        <f>'Юнит 9'!U19</f>
        <v>0</v>
      </c>
      <c r="K49" s="172">
        <f t="shared" si="2"/>
        <v>0</v>
      </c>
      <c r="L49" s="172">
        <f t="shared" si="6"/>
        <v>0.99826764833261161</v>
      </c>
      <c r="M49" s="173" t="str">
        <f t="shared" si="4"/>
        <v>C</v>
      </c>
    </row>
    <row r="50" spans="2:13" ht="15" outlineLevel="1" thickBot="1">
      <c r="B50" s="182" t="s">
        <v>150</v>
      </c>
      <c r="C50" s="171">
        <f>'Юнит 9'!AO31</f>
        <v>0</v>
      </c>
      <c r="D50" s="172">
        <f t="shared" si="0"/>
        <v>0</v>
      </c>
      <c r="E50" s="172">
        <f t="shared" si="5"/>
        <v>1.0269762239224229</v>
      </c>
      <c r="F50" s="173" t="str">
        <f t="shared" si="3"/>
        <v>C</v>
      </c>
      <c r="G50" s="173" t="str">
        <f t="shared" si="1"/>
        <v>C</v>
      </c>
      <c r="I50" s="182" t="s">
        <v>139</v>
      </c>
      <c r="J50" s="171">
        <f>'Юнит 9'!U20</f>
        <v>0</v>
      </c>
      <c r="K50" s="172">
        <f t="shared" si="2"/>
        <v>0</v>
      </c>
      <c r="L50" s="172">
        <f t="shared" si="6"/>
        <v>0.99826764833261161</v>
      </c>
      <c r="M50" s="173" t="str">
        <f t="shared" si="4"/>
        <v>C</v>
      </c>
    </row>
    <row r="51" spans="2:13" ht="15" outlineLevel="1" thickBot="1">
      <c r="B51" s="182" t="s">
        <v>151</v>
      </c>
      <c r="C51" s="171">
        <f>'Юнит 9'!AO32</f>
        <v>0</v>
      </c>
      <c r="D51" s="172">
        <f t="shared" si="0"/>
        <v>0</v>
      </c>
      <c r="E51" s="172">
        <f t="shared" si="5"/>
        <v>1.0269762239224229</v>
      </c>
      <c r="F51" s="173" t="str">
        <f t="shared" si="3"/>
        <v>C</v>
      </c>
      <c r="G51" s="173" t="str">
        <f t="shared" si="1"/>
        <v>C</v>
      </c>
      <c r="I51" s="182" t="s">
        <v>140</v>
      </c>
      <c r="J51" s="171">
        <f>'Юнит 9'!U21</f>
        <v>0</v>
      </c>
      <c r="K51" s="172">
        <f t="shared" si="2"/>
        <v>0</v>
      </c>
      <c r="L51" s="172">
        <f t="shared" si="6"/>
        <v>0.99826764833261161</v>
      </c>
      <c r="M51" s="173" t="str">
        <f t="shared" si="4"/>
        <v>C</v>
      </c>
    </row>
    <row r="52" spans="2:13" ht="15" outlineLevel="1" thickBot="1">
      <c r="B52" s="182" t="s">
        <v>154</v>
      </c>
      <c r="C52" s="171">
        <f>'Юнит 9'!AO35</f>
        <v>0</v>
      </c>
      <c r="D52" s="172">
        <f t="shared" si="0"/>
        <v>0</v>
      </c>
      <c r="E52" s="172">
        <f t="shared" si="5"/>
        <v>1.0269762239224229</v>
      </c>
      <c r="F52" s="173" t="str">
        <f t="shared" si="3"/>
        <v>C</v>
      </c>
      <c r="G52" s="173" t="str">
        <f t="shared" si="1"/>
        <v>C</v>
      </c>
      <c r="I52" s="182" t="s">
        <v>141</v>
      </c>
      <c r="J52" s="171">
        <f>'Юнит 9'!U22</f>
        <v>0</v>
      </c>
      <c r="K52" s="172">
        <f t="shared" si="2"/>
        <v>0</v>
      </c>
      <c r="L52" s="172">
        <f t="shared" si="6"/>
        <v>0.99826764833261161</v>
      </c>
      <c r="M52" s="173" t="str">
        <f t="shared" si="4"/>
        <v>C</v>
      </c>
    </row>
    <row r="53" spans="2:13" ht="15" outlineLevel="1" thickBot="1">
      <c r="B53" s="182" t="s">
        <v>155</v>
      </c>
      <c r="C53" s="171">
        <f>'Юнит 9'!AO36</f>
        <v>0</v>
      </c>
      <c r="D53" s="172">
        <f t="shared" si="0"/>
        <v>0</v>
      </c>
      <c r="E53" s="172">
        <f t="shared" si="5"/>
        <v>1.0269762239224229</v>
      </c>
      <c r="F53" s="173" t="str">
        <f t="shared" si="3"/>
        <v>C</v>
      </c>
      <c r="G53" s="173" t="str">
        <f t="shared" si="1"/>
        <v>C</v>
      </c>
      <c r="I53" s="182" t="s">
        <v>142</v>
      </c>
      <c r="J53" s="171">
        <f>'Юнит 9'!U23</f>
        <v>0</v>
      </c>
      <c r="K53" s="172">
        <f t="shared" si="2"/>
        <v>0</v>
      </c>
      <c r="L53" s="172">
        <f t="shared" si="6"/>
        <v>0.99826764833261161</v>
      </c>
      <c r="M53" s="173" t="str">
        <f t="shared" si="4"/>
        <v>C</v>
      </c>
    </row>
    <row r="54" spans="2:13" ht="26.5" outlineLevel="1" thickBot="1">
      <c r="B54" s="182" t="s">
        <v>165</v>
      </c>
      <c r="C54" s="171">
        <f>'Юнит 9'!AO46</f>
        <v>0</v>
      </c>
      <c r="D54" s="172">
        <f t="shared" si="0"/>
        <v>0</v>
      </c>
      <c r="E54" s="172">
        <f t="shared" si="5"/>
        <v>1.0269762239224229</v>
      </c>
      <c r="F54" s="173" t="str">
        <f t="shared" si="3"/>
        <v>C</v>
      </c>
      <c r="G54" s="173" t="str">
        <f t="shared" si="1"/>
        <v>C</v>
      </c>
      <c r="I54" s="182" t="s">
        <v>143</v>
      </c>
      <c r="J54" s="171">
        <f>'Юнит 9'!U24</f>
        <v>0</v>
      </c>
      <c r="K54" s="172">
        <f t="shared" si="2"/>
        <v>0</v>
      </c>
      <c r="L54" s="172">
        <f t="shared" si="6"/>
        <v>0.99826764833261161</v>
      </c>
      <c r="M54" s="173" t="str">
        <f t="shared" si="4"/>
        <v>C</v>
      </c>
    </row>
    <row r="55" spans="2:13" ht="15" outlineLevel="1" thickBot="1">
      <c r="B55" s="182" t="s">
        <v>176</v>
      </c>
      <c r="C55" s="171">
        <f>'Юнит 9'!AO57</f>
        <v>0</v>
      </c>
      <c r="D55" s="172">
        <f t="shared" si="0"/>
        <v>0</v>
      </c>
      <c r="E55" s="172">
        <f t="shared" si="5"/>
        <v>1.0269762239224229</v>
      </c>
      <c r="F55" s="173" t="str">
        <f t="shared" si="3"/>
        <v>C</v>
      </c>
      <c r="G55" s="173" t="str">
        <f t="shared" si="1"/>
        <v>C</v>
      </c>
      <c r="I55" s="182" t="s">
        <v>144</v>
      </c>
      <c r="J55" s="171">
        <f>'Юнит 9'!U25</f>
        <v>0</v>
      </c>
      <c r="K55" s="172">
        <f t="shared" si="2"/>
        <v>0</v>
      </c>
      <c r="L55" s="172">
        <f t="shared" si="6"/>
        <v>0.99826764833261161</v>
      </c>
      <c r="M55" s="173" t="str">
        <f t="shared" si="4"/>
        <v>C</v>
      </c>
    </row>
    <row r="56" spans="2:13" ht="15" outlineLevel="1" thickBot="1">
      <c r="B56" s="182" t="s">
        <v>178</v>
      </c>
      <c r="C56" s="171">
        <f>'Юнит 9'!AO59</f>
        <v>0</v>
      </c>
      <c r="D56" s="172">
        <f t="shared" si="0"/>
        <v>0</v>
      </c>
      <c r="E56" s="172">
        <f t="shared" si="5"/>
        <v>1.0269762239224229</v>
      </c>
      <c r="F56" s="173" t="str">
        <f t="shared" si="3"/>
        <v>C</v>
      </c>
      <c r="G56" s="173" t="str">
        <f t="shared" si="1"/>
        <v>C</v>
      </c>
      <c r="I56" s="182" t="s">
        <v>148</v>
      </c>
      <c r="J56" s="171">
        <f>'Юнит 9'!U29</f>
        <v>0</v>
      </c>
      <c r="K56" s="172">
        <f t="shared" si="2"/>
        <v>0</v>
      </c>
      <c r="L56" s="172">
        <f t="shared" si="6"/>
        <v>0.99826764833261161</v>
      </c>
      <c r="M56" s="173" t="str">
        <f t="shared" si="4"/>
        <v>C</v>
      </c>
    </row>
    <row r="57" spans="2:13" ht="15" outlineLevel="1" thickBot="1">
      <c r="B57" s="182" t="s">
        <v>181</v>
      </c>
      <c r="C57" s="171">
        <f>'Юнит 9'!AO62</f>
        <v>0</v>
      </c>
      <c r="D57" s="172">
        <f t="shared" si="0"/>
        <v>0</v>
      </c>
      <c r="E57" s="172">
        <f t="shared" si="5"/>
        <v>1.0269762239224229</v>
      </c>
      <c r="F57" s="173" t="str">
        <f t="shared" si="3"/>
        <v>C</v>
      </c>
      <c r="G57" s="173" t="str">
        <f t="shared" si="1"/>
        <v>C</v>
      </c>
      <c r="I57" s="182" t="s">
        <v>149</v>
      </c>
      <c r="J57" s="171">
        <f>'Юнит 9'!U30</f>
        <v>0</v>
      </c>
      <c r="K57" s="172">
        <f t="shared" si="2"/>
        <v>0</v>
      </c>
      <c r="L57" s="172">
        <f t="shared" si="6"/>
        <v>0.99826764833261161</v>
      </c>
      <c r="M57" s="173" t="str">
        <f t="shared" si="4"/>
        <v>C</v>
      </c>
    </row>
    <row r="58" spans="2:13" ht="15" outlineLevel="1" thickBot="1">
      <c r="B58" s="182" t="s">
        <v>182</v>
      </c>
      <c r="C58" s="171">
        <f>'Юнит 9'!AO63</f>
        <v>0</v>
      </c>
      <c r="D58" s="172">
        <f t="shared" si="0"/>
        <v>0</v>
      </c>
      <c r="E58" s="172">
        <f t="shared" si="5"/>
        <v>1.0269762239224229</v>
      </c>
      <c r="F58" s="173" t="str">
        <f t="shared" si="3"/>
        <v>C</v>
      </c>
      <c r="G58" s="173" t="str">
        <f t="shared" si="1"/>
        <v>C</v>
      </c>
      <c r="I58" s="182" t="s">
        <v>150</v>
      </c>
      <c r="J58" s="171">
        <f>'Юнит 9'!U31</f>
        <v>0</v>
      </c>
      <c r="K58" s="172">
        <f t="shared" si="2"/>
        <v>0</v>
      </c>
      <c r="L58" s="172">
        <f t="shared" si="6"/>
        <v>0.99826764833261161</v>
      </c>
      <c r="M58" s="173" t="str">
        <f t="shared" si="4"/>
        <v>C</v>
      </c>
    </row>
    <row r="59" spans="2:13" ht="15" outlineLevel="1" thickBot="1">
      <c r="B59" s="182" t="s">
        <v>183</v>
      </c>
      <c r="C59" s="171">
        <f>'Юнит 9'!AO64</f>
        <v>0</v>
      </c>
      <c r="D59" s="172">
        <f t="shared" si="0"/>
        <v>0</v>
      </c>
      <c r="E59" s="172">
        <f t="shared" si="5"/>
        <v>1.0269762239224229</v>
      </c>
      <c r="F59" s="173" t="str">
        <f t="shared" si="3"/>
        <v>C</v>
      </c>
      <c r="G59" s="173" t="str">
        <f t="shared" si="1"/>
        <v>C</v>
      </c>
      <c r="I59" s="182" t="s">
        <v>151</v>
      </c>
      <c r="J59" s="171">
        <f>'Юнит 9'!U32</f>
        <v>0</v>
      </c>
      <c r="K59" s="172">
        <f t="shared" si="2"/>
        <v>0</v>
      </c>
      <c r="L59" s="172">
        <f t="shared" si="6"/>
        <v>0.99826764833261161</v>
      </c>
      <c r="M59" s="173" t="str">
        <f t="shared" si="4"/>
        <v>C</v>
      </c>
    </row>
    <row r="60" spans="2:13" ht="15" outlineLevel="1" thickBot="1">
      <c r="B60" s="182" t="s">
        <v>184</v>
      </c>
      <c r="C60" s="171">
        <f>'Юнит 9'!AO65</f>
        <v>0</v>
      </c>
      <c r="D60" s="172">
        <f t="shared" si="0"/>
        <v>0</v>
      </c>
      <c r="E60" s="172">
        <f t="shared" si="5"/>
        <v>1.0269762239224229</v>
      </c>
      <c r="F60" s="173" t="str">
        <f t="shared" si="3"/>
        <v>C</v>
      </c>
      <c r="G60" s="173" t="str">
        <f t="shared" si="1"/>
        <v>C</v>
      </c>
      <c r="I60" s="182" t="s">
        <v>154</v>
      </c>
      <c r="J60" s="171">
        <f>'Юнит 9'!U35</f>
        <v>0</v>
      </c>
      <c r="K60" s="172">
        <f t="shared" si="2"/>
        <v>0</v>
      </c>
      <c r="L60" s="172">
        <f t="shared" si="6"/>
        <v>0.99826764833261161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9'!AO68</f>
        <v>0</v>
      </c>
      <c r="D61" s="172">
        <f t="shared" si="0"/>
        <v>0</v>
      </c>
      <c r="E61" s="172">
        <f t="shared" si="5"/>
        <v>1.0269762239224229</v>
      </c>
      <c r="F61" s="173" t="str">
        <f t="shared" si="3"/>
        <v>C</v>
      </c>
      <c r="G61" s="173" t="str">
        <f t="shared" si="1"/>
        <v>C</v>
      </c>
      <c r="I61" s="182" t="s">
        <v>155</v>
      </c>
      <c r="J61" s="171">
        <f>'Юнит 9'!U36</f>
        <v>0</v>
      </c>
      <c r="K61" s="172">
        <f t="shared" si="2"/>
        <v>0</v>
      </c>
      <c r="L61" s="172">
        <f t="shared" si="6"/>
        <v>0.99826764833261161</v>
      </c>
      <c r="M61" s="173" t="str">
        <f t="shared" si="4"/>
        <v>C</v>
      </c>
    </row>
    <row r="62" spans="2:13" ht="15" outlineLevel="1" thickBot="1">
      <c r="B62" s="182" t="s">
        <v>193</v>
      </c>
      <c r="C62" s="171">
        <f>'Юнит 9'!AO74</f>
        <v>0</v>
      </c>
      <c r="D62" s="172">
        <f t="shared" si="0"/>
        <v>0</v>
      </c>
      <c r="E62" s="172">
        <f t="shared" si="5"/>
        <v>1.0269762239224229</v>
      </c>
      <c r="F62" s="173" t="str">
        <f t="shared" si="3"/>
        <v>C</v>
      </c>
      <c r="G62" s="173" t="str">
        <f t="shared" si="1"/>
        <v>C</v>
      </c>
      <c r="I62" s="182" t="s">
        <v>157</v>
      </c>
      <c r="J62" s="171">
        <f>'Юнит 9'!U38</f>
        <v>0</v>
      </c>
      <c r="K62" s="172">
        <f t="shared" si="2"/>
        <v>0</v>
      </c>
      <c r="L62" s="172">
        <f t="shared" si="6"/>
        <v>0.99826764833261161</v>
      </c>
      <c r="M62" s="173" t="str">
        <f t="shared" si="4"/>
        <v>C</v>
      </c>
    </row>
    <row r="63" spans="2:13" ht="26.5" outlineLevel="1" thickBot="1">
      <c r="B63" s="182" t="s">
        <v>213</v>
      </c>
      <c r="C63" s="171">
        <f>'Юнит 9'!AO94</f>
        <v>0</v>
      </c>
      <c r="D63" s="172">
        <f t="shared" si="0"/>
        <v>0</v>
      </c>
      <c r="E63" s="172">
        <f t="shared" si="5"/>
        <v>1.0269762239224229</v>
      </c>
      <c r="F63" s="173" t="str">
        <f t="shared" si="3"/>
        <v>C</v>
      </c>
      <c r="G63" s="173" t="str">
        <f t="shared" si="1"/>
        <v>C</v>
      </c>
      <c r="I63" s="182" t="s">
        <v>159</v>
      </c>
      <c r="J63" s="171">
        <f>'Юнит 9'!U40</f>
        <v>0</v>
      </c>
      <c r="K63" s="172">
        <f t="shared" si="2"/>
        <v>0</v>
      </c>
      <c r="L63" s="172">
        <f t="shared" si="6"/>
        <v>0.99826764833261161</v>
      </c>
      <c r="M63" s="173" t="str">
        <f t="shared" si="4"/>
        <v>C</v>
      </c>
    </row>
    <row r="64" spans="2:13" ht="26.5" outlineLevel="1" thickBot="1">
      <c r="B64" s="182" t="s">
        <v>214</v>
      </c>
      <c r="C64" s="171">
        <f>'Юнит 9'!AO95</f>
        <v>0</v>
      </c>
      <c r="D64" s="172">
        <f t="shared" si="0"/>
        <v>0</v>
      </c>
      <c r="E64" s="172">
        <f t="shared" si="5"/>
        <v>1.0269762239224229</v>
      </c>
      <c r="F64" s="173" t="str">
        <f t="shared" si="3"/>
        <v>C</v>
      </c>
      <c r="G64" s="173" t="str">
        <f t="shared" si="1"/>
        <v>C</v>
      </c>
      <c r="I64" s="182" t="s">
        <v>161</v>
      </c>
      <c r="J64" s="171">
        <f>'Юнит 9'!U42</f>
        <v>0</v>
      </c>
      <c r="K64" s="172">
        <f t="shared" si="2"/>
        <v>0</v>
      </c>
      <c r="L64" s="172">
        <f t="shared" si="6"/>
        <v>0.99826764833261161</v>
      </c>
      <c r="M64" s="173" t="str">
        <f t="shared" si="4"/>
        <v>C</v>
      </c>
    </row>
    <row r="65" spans="2:13" ht="26.5" outlineLevel="1" thickBot="1">
      <c r="B65" s="182" t="s">
        <v>215</v>
      </c>
      <c r="C65" s="171">
        <f>'Юнит 9'!AO96</f>
        <v>0</v>
      </c>
      <c r="D65" s="172">
        <f t="shared" si="0"/>
        <v>0</v>
      </c>
      <c r="E65" s="172">
        <f t="shared" si="5"/>
        <v>1.0269762239224229</v>
      </c>
      <c r="F65" s="173" t="str">
        <f t="shared" si="3"/>
        <v>C</v>
      </c>
      <c r="G65" s="173" t="str">
        <f t="shared" si="1"/>
        <v>C</v>
      </c>
      <c r="I65" s="182" t="s">
        <v>165</v>
      </c>
      <c r="J65" s="171">
        <f>'Юнит 9'!U46</f>
        <v>0</v>
      </c>
      <c r="K65" s="172">
        <f t="shared" si="2"/>
        <v>0</v>
      </c>
      <c r="L65" s="172">
        <f t="shared" si="6"/>
        <v>0.99826764833261161</v>
      </c>
      <c r="M65" s="173" t="str">
        <f t="shared" si="4"/>
        <v>C</v>
      </c>
    </row>
    <row r="66" spans="2:13" ht="15" outlineLevel="1" thickBot="1">
      <c r="B66" s="182" t="s">
        <v>256</v>
      </c>
      <c r="C66" s="171">
        <f>'Юнит 9'!AO99</f>
        <v>0</v>
      </c>
      <c r="D66" s="172">
        <f t="shared" si="0"/>
        <v>0</v>
      </c>
      <c r="E66" s="172">
        <f t="shared" si="5"/>
        <v>1.0269762239224229</v>
      </c>
      <c r="F66" s="173" t="str">
        <f t="shared" si="3"/>
        <v>C</v>
      </c>
      <c r="G66" s="173" t="str">
        <f t="shared" si="1"/>
        <v>C</v>
      </c>
      <c r="I66" s="182" t="s">
        <v>171</v>
      </c>
      <c r="J66" s="171">
        <f>'Юнит 9'!U52</f>
        <v>0</v>
      </c>
      <c r="K66" s="172">
        <f t="shared" si="2"/>
        <v>0</v>
      </c>
      <c r="L66" s="172">
        <f t="shared" si="6"/>
        <v>0.99826764833261161</v>
      </c>
      <c r="M66" s="173" t="str">
        <f t="shared" si="4"/>
        <v>C</v>
      </c>
    </row>
    <row r="67" spans="2:13" ht="26.5" outlineLevel="1" thickBot="1">
      <c r="B67" s="182" t="s">
        <v>258</v>
      </c>
      <c r="C67" s="171">
        <f>'Юнит 9'!AO101</f>
        <v>0</v>
      </c>
      <c r="D67" s="172">
        <f t="shared" si="0"/>
        <v>0</v>
      </c>
      <c r="E67" s="172">
        <f t="shared" si="5"/>
        <v>1.0269762239224229</v>
      </c>
      <c r="F67" s="173" t="str">
        <f t="shared" si="3"/>
        <v>C</v>
      </c>
      <c r="G67" s="173" t="str">
        <f t="shared" si="1"/>
        <v>C</v>
      </c>
      <c r="I67" s="182" t="s">
        <v>172</v>
      </c>
      <c r="J67" s="171">
        <f>'Юнит 9'!U53</f>
        <v>0</v>
      </c>
      <c r="K67" s="172">
        <f t="shared" si="2"/>
        <v>0</v>
      </c>
      <c r="L67" s="172">
        <f t="shared" si="6"/>
        <v>0.99826764833261161</v>
      </c>
      <c r="M67" s="173" t="str">
        <f t="shared" si="4"/>
        <v>C</v>
      </c>
    </row>
    <row r="68" spans="2:13" ht="26.5" outlineLevel="1" thickBot="1">
      <c r="B68" s="182" t="s">
        <v>260</v>
      </c>
      <c r="C68" s="171">
        <f>'Юнит 9'!AO103</f>
        <v>0</v>
      </c>
      <c r="D68" s="172">
        <f t="shared" ref="D68:D104" si="7">C68/C$105</f>
        <v>0</v>
      </c>
      <c r="E68" s="172">
        <f t="shared" si="5"/>
        <v>1.0269762239224229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174</v>
      </c>
      <c r="J68" s="171">
        <f>'Юнит 9'!U55</f>
        <v>0</v>
      </c>
      <c r="K68" s="172">
        <f t="shared" ref="K68:K104" si="9">J68/J$105</f>
        <v>0</v>
      </c>
      <c r="L68" s="172">
        <f t="shared" si="6"/>
        <v>0.99826764833261161</v>
      </c>
      <c r="M68" s="173" t="str">
        <f t="shared" si="4"/>
        <v>C</v>
      </c>
    </row>
    <row r="69" spans="2:13" ht="15" outlineLevel="1" thickBot="1">
      <c r="B69" s="182" t="s">
        <v>185</v>
      </c>
      <c r="C69" s="171">
        <f>'Юнит 9'!AO66</f>
        <v>-0.66730208743599839</v>
      </c>
      <c r="D69" s="172">
        <f t="shared" si="7"/>
        <v>-8.9815180199458895E-7</v>
      </c>
      <c r="E69" s="172">
        <f t="shared" si="5"/>
        <v>1.0269753257706209</v>
      </c>
      <c r="F69" s="173" t="str">
        <f t="shared" si="3"/>
        <v>C</v>
      </c>
      <c r="G69" s="173" t="str">
        <f t="shared" si="8"/>
        <v>C</v>
      </c>
      <c r="I69" s="182" t="s">
        <v>176</v>
      </c>
      <c r="J69" s="171">
        <f>'Юнит 9'!U57</f>
        <v>0</v>
      </c>
      <c r="K69" s="172">
        <f t="shared" si="9"/>
        <v>0</v>
      </c>
      <c r="L69" s="172">
        <f t="shared" si="6"/>
        <v>0.99826764833261161</v>
      </c>
      <c r="M69" s="173" t="str">
        <f t="shared" si="4"/>
        <v>C</v>
      </c>
    </row>
    <row r="70" spans="2:13" ht="15" outlineLevel="1" thickBot="1">
      <c r="B70" s="182" t="s">
        <v>216</v>
      </c>
      <c r="C70" s="171">
        <f>'Юнит 9'!AO97</f>
        <v>-2.0019062623079948</v>
      </c>
      <c r="D70" s="172">
        <f t="shared" si="7"/>
        <v>-2.6944554059837666E-6</v>
      </c>
      <c r="E70" s="172">
        <f t="shared" ref="E70:E75" si="10">E69+D70</f>
        <v>1.026972631315215</v>
      </c>
      <c r="F70" s="173" t="str">
        <f t="shared" si="3"/>
        <v>C</v>
      </c>
      <c r="G70" s="173" t="str">
        <f t="shared" si="8"/>
        <v>C</v>
      </c>
      <c r="I70" s="182" t="s">
        <v>178</v>
      </c>
      <c r="J70" s="171">
        <f>'Юнит 9'!U59</f>
        <v>0</v>
      </c>
      <c r="K70" s="172">
        <f t="shared" si="9"/>
        <v>0</v>
      </c>
      <c r="L70" s="172">
        <f t="shared" ref="L70:L75" si="11">L69+K70</f>
        <v>0.99826764833261161</v>
      </c>
      <c r="M70" s="173" t="str">
        <f t="shared" si="4"/>
        <v>C</v>
      </c>
    </row>
    <row r="71" spans="2:13" ht="15" outlineLevel="1" thickBot="1">
      <c r="B71" s="182" t="s">
        <v>188</v>
      </c>
      <c r="C71" s="171">
        <f>'Юнит 9'!AO69</f>
        <v>-7.340322961795982</v>
      </c>
      <c r="D71" s="172">
        <f t="shared" si="7"/>
        <v>-9.8796698219404786E-6</v>
      </c>
      <c r="E71" s="172">
        <f t="shared" si="10"/>
        <v>1.026962751645393</v>
      </c>
      <c r="F71" s="173" t="str">
        <f t="shared" si="3"/>
        <v>C</v>
      </c>
      <c r="G71" s="173" t="str">
        <f t="shared" si="8"/>
        <v>C</v>
      </c>
      <c r="I71" s="182" t="s">
        <v>179</v>
      </c>
      <c r="J71" s="171">
        <f>'Юнит 9'!U60</f>
        <v>0</v>
      </c>
      <c r="K71" s="172">
        <f t="shared" si="9"/>
        <v>0</v>
      </c>
      <c r="L71" s="172">
        <f t="shared" si="11"/>
        <v>0.99826764833261161</v>
      </c>
      <c r="M71" s="173" t="str">
        <f t="shared" si="4"/>
        <v>C</v>
      </c>
    </row>
    <row r="72" spans="2:13" ht="15" outlineLevel="1" thickBot="1">
      <c r="B72" s="182" t="s">
        <v>217</v>
      </c>
      <c r="C72" s="171">
        <f>'Юнит 9'!AO98</f>
        <v>-7.340322961795982</v>
      </c>
      <c r="D72" s="172">
        <f t="shared" si="7"/>
        <v>-9.8796698219404786E-6</v>
      </c>
      <c r="E72" s="172">
        <f t="shared" si="10"/>
        <v>1.0269528719755709</v>
      </c>
      <c r="F72" s="173" t="str">
        <f t="shared" si="3"/>
        <v>C</v>
      </c>
      <c r="G72" s="173" t="str">
        <f t="shared" si="8"/>
        <v>C</v>
      </c>
      <c r="I72" s="182" t="s">
        <v>180</v>
      </c>
      <c r="J72" s="171">
        <f>'Юнит 9'!U61</f>
        <v>0</v>
      </c>
      <c r="K72" s="172">
        <f t="shared" si="9"/>
        <v>0</v>
      </c>
      <c r="L72" s="172">
        <f t="shared" si="11"/>
        <v>0.99826764833261161</v>
      </c>
      <c r="M72" s="173" t="str">
        <f t="shared" si="4"/>
        <v>C</v>
      </c>
    </row>
    <row r="73" spans="2:13" ht="15" outlineLevel="1" thickBot="1">
      <c r="B73" s="182" t="s">
        <v>157</v>
      </c>
      <c r="C73" s="171">
        <f>'Юнит 9'!AO38</f>
        <v>-30.028593934619931</v>
      </c>
      <c r="D73" s="172">
        <f t="shared" si="7"/>
        <v>-4.0416831089756511E-5</v>
      </c>
      <c r="E73" s="172">
        <f t="shared" si="10"/>
        <v>1.0269124551444813</v>
      </c>
      <c r="F73" s="173" t="str">
        <f t="shared" si="3"/>
        <v>C</v>
      </c>
      <c r="G73" s="173" t="str">
        <f t="shared" si="8"/>
        <v>C</v>
      </c>
      <c r="I73" s="182" t="s">
        <v>181</v>
      </c>
      <c r="J73" s="171">
        <f>'Юнит 9'!U62</f>
        <v>0</v>
      </c>
      <c r="K73" s="172">
        <f t="shared" si="9"/>
        <v>0</v>
      </c>
      <c r="L73" s="172">
        <f t="shared" si="11"/>
        <v>0.99826764833261161</v>
      </c>
      <c r="M73" s="173" t="str">
        <f t="shared" si="4"/>
        <v>C</v>
      </c>
    </row>
    <row r="74" spans="2:13" ht="26.5" outlineLevel="1" thickBot="1">
      <c r="B74" s="182" t="s">
        <v>212</v>
      </c>
      <c r="C74" s="171">
        <f>'Юнит 9'!AO93</f>
        <v>-30.695896022055926</v>
      </c>
      <c r="D74" s="172">
        <f t="shared" si="7"/>
        <v>-4.1314982891751094E-5</v>
      </c>
      <c r="E74" s="172">
        <f t="shared" si="10"/>
        <v>1.0268711401615895</v>
      </c>
      <c r="F74" s="173" t="str">
        <f t="shared" si="3"/>
        <v>C</v>
      </c>
      <c r="G74" s="173" t="str">
        <f t="shared" si="8"/>
        <v>C</v>
      </c>
      <c r="I74" s="182" t="s">
        <v>182</v>
      </c>
      <c r="J74" s="171">
        <f>'Юнит 9'!U63</f>
        <v>0</v>
      </c>
      <c r="K74" s="172">
        <f t="shared" si="9"/>
        <v>0</v>
      </c>
      <c r="L74" s="172">
        <f t="shared" si="11"/>
        <v>0.99826764833261161</v>
      </c>
      <c r="M74" s="173" t="str">
        <f t="shared" si="4"/>
        <v>C</v>
      </c>
    </row>
    <row r="75" spans="2:13" ht="26.5" outlineLevel="1" thickBot="1">
      <c r="B75" s="182" t="s">
        <v>201</v>
      </c>
      <c r="C75" s="171">
        <f>'Юнит 9'!AO82</f>
        <v>-32.030500196927918</v>
      </c>
      <c r="D75" s="172">
        <f t="shared" si="7"/>
        <v>-4.3111286495740266E-5</v>
      </c>
      <c r="E75" s="172">
        <f t="shared" si="10"/>
        <v>1.0268280288750937</v>
      </c>
      <c r="F75" s="173" t="str">
        <f t="shared" si="3"/>
        <v>C</v>
      </c>
      <c r="G75" s="173" t="str">
        <f t="shared" si="8"/>
        <v>C</v>
      </c>
      <c r="I75" s="182" t="s">
        <v>183</v>
      </c>
      <c r="J75" s="171">
        <f>'Юнит 9'!U64</f>
        <v>0</v>
      </c>
      <c r="K75" s="172">
        <f t="shared" si="9"/>
        <v>0</v>
      </c>
      <c r="L75" s="172">
        <f t="shared" si="11"/>
        <v>0.99826764833261161</v>
      </c>
      <c r="M75" s="173" t="str">
        <f t="shared" si="4"/>
        <v>C</v>
      </c>
    </row>
    <row r="76" spans="2:13" ht="15" outlineLevel="1" thickBot="1">
      <c r="B76" s="182" t="s">
        <v>203</v>
      </c>
      <c r="C76" s="171">
        <f>'Юнит 9'!AO84</f>
        <v>-32.030500196927918</v>
      </c>
      <c r="D76" s="172">
        <f t="shared" si="7"/>
        <v>-4.3111286495740266E-5</v>
      </c>
      <c r="E76" s="172">
        <f>E49+D76</f>
        <v>1.0269331126359271</v>
      </c>
      <c r="F76" s="173" t="str">
        <f t="shared" si="3"/>
        <v>C</v>
      </c>
      <c r="G76" s="173" t="str">
        <f t="shared" si="8"/>
        <v>C</v>
      </c>
      <c r="I76" s="182" t="s">
        <v>184</v>
      </c>
      <c r="J76" s="171">
        <f>'Юнит 9'!U65</f>
        <v>0</v>
      </c>
      <c r="K76" s="172">
        <f t="shared" si="9"/>
        <v>0</v>
      </c>
      <c r="L76" s="172">
        <f>L49+K76</f>
        <v>0.99826764833261161</v>
      </c>
      <c r="M76" s="173" t="str">
        <f t="shared" si="4"/>
        <v>C</v>
      </c>
    </row>
    <row r="77" spans="2:13" ht="15" outlineLevel="1" thickBot="1">
      <c r="B77" s="182" t="s">
        <v>259</v>
      </c>
      <c r="C77" s="171">
        <f>'Юнит 9'!AO102</f>
        <v>-32.697802284363924</v>
      </c>
      <c r="D77" s="172">
        <f t="shared" si="7"/>
        <v>-4.4009438297734862E-5</v>
      </c>
      <c r="E77" s="172">
        <f t="shared" ref="E77:E93" si="12">E76+D77</f>
        <v>1.0268891031976295</v>
      </c>
      <c r="F77" s="173" t="str">
        <f t="shared" si="3"/>
        <v>C</v>
      </c>
      <c r="G77" s="173" t="str">
        <f t="shared" si="8"/>
        <v>C</v>
      </c>
      <c r="I77" s="182" t="s">
        <v>185</v>
      </c>
      <c r="J77" s="171">
        <f>'Юнит 9'!U66</f>
        <v>0</v>
      </c>
      <c r="K77" s="172">
        <f t="shared" si="9"/>
        <v>0</v>
      </c>
      <c r="L77" s="172">
        <f t="shared" ref="L77:L94" si="13">L76+K77</f>
        <v>0.99826764833261161</v>
      </c>
      <c r="M77" s="173" t="str">
        <f t="shared" si="4"/>
        <v>C</v>
      </c>
    </row>
    <row r="78" spans="2:13" ht="26.5" outlineLevel="1" thickBot="1">
      <c r="B78" s="182" t="s">
        <v>209</v>
      </c>
      <c r="C78" s="171">
        <f>'Юнит 9'!AO90</f>
        <v>-33.365104371799923</v>
      </c>
      <c r="D78" s="172">
        <f t="shared" si="7"/>
        <v>-4.4907590099729452E-5</v>
      </c>
      <c r="E78" s="172">
        <f t="shared" si="12"/>
        <v>1.0268441956075298</v>
      </c>
      <c r="F78" s="173" t="str">
        <f t="shared" si="3"/>
        <v>C</v>
      </c>
      <c r="G78" s="173" t="str">
        <f t="shared" si="8"/>
        <v>C</v>
      </c>
      <c r="I78" s="182" t="s">
        <v>186</v>
      </c>
      <c r="J78" s="171">
        <f>'Юнит 9'!U67</f>
        <v>0</v>
      </c>
      <c r="K78" s="172">
        <f t="shared" si="9"/>
        <v>0</v>
      </c>
      <c r="L78" s="172">
        <f t="shared" si="13"/>
        <v>0.99826764833261161</v>
      </c>
      <c r="M78" s="173" t="str">
        <f t="shared" si="4"/>
        <v>C</v>
      </c>
    </row>
    <row r="79" spans="2:13" ht="15" outlineLevel="1" thickBot="1">
      <c r="B79" s="182" t="s">
        <v>257</v>
      </c>
      <c r="C79" s="171">
        <f>'Юнит 9'!AO100</f>
        <v>-33.365104371799923</v>
      </c>
      <c r="D79" s="172">
        <f t="shared" si="7"/>
        <v>-4.4907590099729452E-5</v>
      </c>
      <c r="E79" s="172">
        <f t="shared" si="12"/>
        <v>1.0267992880174301</v>
      </c>
      <c r="F79" s="173" t="str">
        <f t="shared" si="3"/>
        <v>C</v>
      </c>
      <c r="G79" s="173" t="str">
        <f t="shared" si="8"/>
        <v>C</v>
      </c>
      <c r="I79" s="182" t="s">
        <v>187</v>
      </c>
      <c r="J79" s="171">
        <f>'Юнит 9'!U68</f>
        <v>0</v>
      </c>
      <c r="K79" s="172">
        <f t="shared" si="9"/>
        <v>0</v>
      </c>
      <c r="L79" s="172">
        <f t="shared" si="13"/>
        <v>0.99826764833261161</v>
      </c>
      <c r="M79" s="173" t="str">
        <f t="shared" si="4"/>
        <v>C</v>
      </c>
    </row>
    <row r="80" spans="2:13" ht="15" outlineLevel="1" thickBot="1">
      <c r="B80" s="182" t="s">
        <v>140</v>
      </c>
      <c r="C80" s="171">
        <f>'Юнит 9'!AO21</f>
        <v>-79.58</v>
      </c>
      <c r="D80" s="172">
        <f t="shared" si="7"/>
        <v>-1.0711029044935308E-4</v>
      </c>
      <c r="E80" s="172">
        <f t="shared" si="12"/>
        <v>1.0266921777269808</v>
      </c>
      <c r="F80" s="173" t="str">
        <f t="shared" si="3"/>
        <v>C</v>
      </c>
      <c r="G80" s="173" t="str">
        <f t="shared" si="8"/>
        <v>C</v>
      </c>
      <c r="I80" s="182" t="s">
        <v>188</v>
      </c>
      <c r="J80" s="171">
        <f>'Юнит 9'!U69</f>
        <v>0</v>
      </c>
      <c r="K80" s="172">
        <f t="shared" si="9"/>
        <v>0</v>
      </c>
      <c r="L80" s="172">
        <f t="shared" si="13"/>
        <v>0.99826764833261161</v>
      </c>
      <c r="M80" s="173" t="str">
        <f t="shared" si="4"/>
        <v>C</v>
      </c>
    </row>
    <row r="81" spans="2:13" ht="15" outlineLevel="1" thickBot="1">
      <c r="B81" s="182" t="s">
        <v>186</v>
      </c>
      <c r="C81" s="171">
        <f>'Юнит 9'!AO67</f>
        <v>-85.14</v>
      </c>
      <c r="D81" s="172">
        <f t="shared" si="7"/>
        <v>-1.1459374376549286E-4</v>
      </c>
      <c r="E81" s="172">
        <f t="shared" si="12"/>
        <v>1.0265775839832154</v>
      </c>
      <c r="F81" s="173" t="str">
        <f t="shared" si="3"/>
        <v>C</v>
      </c>
      <c r="G81" s="173" t="str">
        <f t="shared" si="8"/>
        <v>C</v>
      </c>
      <c r="I81" s="182" t="s">
        <v>191</v>
      </c>
      <c r="J81" s="171">
        <f>'Юнит 9'!U72</f>
        <v>0</v>
      </c>
      <c r="K81" s="172">
        <f t="shared" si="9"/>
        <v>0</v>
      </c>
      <c r="L81" s="172">
        <f t="shared" si="13"/>
        <v>0.99826764833261161</v>
      </c>
      <c r="M81" s="173" t="str">
        <f t="shared" si="4"/>
        <v>C</v>
      </c>
    </row>
    <row r="82" spans="2:13" ht="15" outlineLevel="1" thickBot="1">
      <c r="B82" s="182" t="s">
        <v>174</v>
      </c>
      <c r="C82" s="171">
        <f>'Юнит 9'!AO55</f>
        <v>-97.32</v>
      </c>
      <c r="D82" s="172">
        <f t="shared" si="7"/>
        <v>-1.3098735192926665E-4</v>
      </c>
      <c r="E82" s="172">
        <f t="shared" si="12"/>
        <v>1.0264465966312861</v>
      </c>
      <c r="F82" s="173" t="str">
        <f t="shared" si="3"/>
        <v>C</v>
      </c>
      <c r="G82" s="173" t="str">
        <f t="shared" si="8"/>
        <v>C</v>
      </c>
      <c r="I82" s="182" t="s">
        <v>192</v>
      </c>
      <c r="J82" s="171">
        <f>'Юнит 9'!U73</f>
        <v>0</v>
      </c>
      <c r="K82" s="172">
        <f t="shared" si="9"/>
        <v>0</v>
      </c>
      <c r="L82" s="172">
        <f t="shared" si="13"/>
        <v>0.99826764833261161</v>
      </c>
      <c r="M82" s="173" t="str">
        <f t="shared" si="4"/>
        <v>C</v>
      </c>
    </row>
    <row r="83" spans="2:13" ht="15" outlineLevel="1" thickBot="1">
      <c r="B83" s="182" t="s">
        <v>180</v>
      </c>
      <c r="C83" s="171">
        <f>'Юнит 9'!AO61</f>
        <v>-108.77024025206774</v>
      </c>
      <c r="D83" s="172">
        <f t="shared" si="7"/>
        <v>-1.4639874372511801E-4</v>
      </c>
      <c r="E83" s="172">
        <f t="shared" si="12"/>
        <v>1.026300197887561</v>
      </c>
      <c r="F83" s="173" t="str">
        <f t="shared" si="3"/>
        <v>C</v>
      </c>
      <c r="G83" s="173" t="str">
        <f t="shared" si="8"/>
        <v>C</v>
      </c>
      <c r="I83" s="182" t="s">
        <v>193</v>
      </c>
      <c r="J83" s="171">
        <f>'Юнит 9'!U74</f>
        <v>0</v>
      </c>
      <c r="K83" s="172">
        <f t="shared" si="9"/>
        <v>0</v>
      </c>
      <c r="L83" s="172">
        <f t="shared" si="13"/>
        <v>0.99826764833261161</v>
      </c>
      <c r="M83" s="173" t="str">
        <f t="shared" si="4"/>
        <v>C</v>
      </c>
    </row>
    <row r="84" spans="2:13" ht="15" outlineLevel="1" thickBot="1">
      <c r="B84" s="182" t="s">
        <v>159</v>
      </c>
      <c r="C84" s="171">
        <f>'Юнит 9'!AO40</f>
        <v>-126.01398975974793</v>
      </c>
      <c r="D84" s="172">
        <f t="shared" si="7"/>
        <v>-1.6960787941503399E-4</v>
      </c>
      <c r="E84" s="172">
        <f t="shared" si="12"/>
        <v>1.0261305900081459</v>
      </c>
      <c r="F84" s="173" t="str">
        <f t="shared" si="3"/>
        <v>C</v>
      </c>
      <c r="G84" s="173" t="str">
        <f t="shared" si="8"/>
        <v>C</v>
      </c>
      <c r="I84" s="182" t="s">
        <v>194</v>
      </c>
      <c r="J84" s="171">
        <f>'Юнит 9'!U75</f>
        <v>0</v>
      </c>
      <c r="K84" s="172">
        <f t="shared" si="9"/>
        <v>0</v>
      </c>
      <c r="L84" s="172">
        <f t="shared" si="13"/>
        <v>0.99826764833261161</v>
      </c>
      <c r="M84" s="173" t="str">
        <f t="shared" si="4"/>
        <v>C</v>
      </c>
    </row>
    <row r="85" spans="2:13" ht="26.5" outlineLevel="1" thickBot="1">
      <c r="B85" s="182" t="s">
        <v>149</v>
      </c>
      <c r="C85" s="171">
        <f>'Юнит 9'!AO30</f>
        <v>-131.32</v>
      </c>
      <c r="D85" s="172">
        <f t="shared" si="7"/>
        <v>-1.76749476524366E-4</v>
      </c>
      <c r="E85" s="172">
        <f t="shared" si="12"/>
        <v>1.0259538405316215</v>
      </c>
      <c r="F85" s="173" t="str">
        <f t="shared" si="3"/>
        <v>C</v>
      </c>
      <c r="G85" s="173" t="str">
        <f t="shared" si="8"/>
        <v>C</v>
      </c>
      <c r="I85" s="182" t="s">
        <v>196</v>
      </c>
      <c r="J85" s="171">
        <f>'Юнит 9'!U77</f>
        <v>0</v>
      </c>
      <c r="K85" s="172">
        <f t="shared" si="9"/>
        <v>0</v>
      </c>
      <c r="L85" s="172">
        <f t="shared" si="13"/>
        <v>0.99826764833261161</v>
      </c>
      <c r="M85" s="173" t="str">
        <f t="shared" si="4"/>
        <v>C</v>
      </c>
    </row>
    <row r="86" spans="2:13" ht="26.5" outlineLevel="1" thickBot="1">
      <c r="B86" s="182" t="s">
        <v>194</v>
      </c>
      <c r="C86" s="171">
        <f>'Юнит 9'!AO75</f>
        <v>-133.08715636077196</v>
      </c>
      <c r="D86" s="172">
        <f t="shared" si="7"/>
        <v>-1.7912797151144449E-4</v>
      </c>
      <c r="E86" s="172">
        <f t="shared" si="12"/>
        <v>1.02577471256011</v>
      </c>
      <c r="F86" s="173" t="str">
        <f t="shared" si="3"/>
        <v>C</v>
      </c>
      <c r="G86" s="173" t="str">
        <f t="shared" si="8"/>
        <v>C</v>
      </c>
      <c r="I86" s="182" t="s">
        <v>198</v>
      </c>
      <c r="J86" s="171">
        <f>'Юнит 9'!U79</f>
        <v>0</v>
      </c>
      <c r="K86" s="172">
        <f t="shared" si="9"/>
        <v>0</v>
      </c>
      <c r="L86" s="172">
        <f t="shared" si="13"/>
        <v>0.99826764833261161</v>
      </c>
      <c r="M86" s="173" t="str">
        <f t="shared" si="4"/>
        <v>C</v>
      </c>
    </row>
    <row r="87" spans="2:13" ht="26.5" outlineLevel="1" thickBot="1">
      <c r="B87" s="182" t="s">
        <v>161</v>
      </c>
      <c r="C87" s="171">
        <f>'Юнит 9'!AO42</f>
        <v>-136.51938558487592</v>
      </c>
      <c r="D87" s="172">
        <f t="shared" si="7"/>
        <v>-1.8374756272886763E-4</v>
      </c>
      <c r="E87" s="172">
        <f t="shared" si="12"/>
        <v>1.0255909649973811</v>
      </c>
      <c r="F87" s="173" t="str">
        <f t="shared" si="3"/>
        <v>C</v>
      </c>
      <c r="G87" s="173" t="str">
        <f t="shared" si="8"/>
        <v>C</v>
      </c>
      <c r="I87" s="182" t="s">
        <v>201</v>
      </c>
      <c r="J87" s="171">
        <f>'Юнит 9'!U82</f>
        <v>0</v>
      </c>
      <c r="K87" s="172">
        <f t="shared" si="9"/>
        <v>0</v>
      </c>
      <c r="L87" s="172">
        <f t="shared" si="13"/>
        <v>0.99826764833261161</v>
      </c>
      <c r="M87" s="173" t="str">
        <f t="shared" si="4"/>
        <v>C</v>
      </c>
    </row>
    <row r="88" spans="2:13" ht="26.5" outlineLevel="1" thickBot="1">
      <c r="B88" s="182" t="s">
        <v>172</v>
      </c>
      <c r="C88" s="171">
        <f>'Юнит 9'!AO53</f>
        <v>-139.85589602205593</v>
      </c>
      <c r="D88" s="172">
        <f t="shared" si="7"/>
        <v>-1.8823832173884059E-4</v>
      </c>
      <c r="E88" s="172">
        <f t="shared" si="12"/>
        <v>1.0254027266756423</v>
      </c>
      <c r="F88" s="173" t="str">
        <f t="shared" si="3"/>
        <v>C</v>
      </c>
      <c r="G88" s="173" t="str">
        <f t="shared" si="8"/>
        <v>C</v>
      </c>
      <c r="I88" s="182" t="s">
        <v>203</v>
      </c>
      <c r="J88" s="171">
        <f>'Юнит 9'!U84</f>
        <v>0</v>
      </c>
      <c r="K88" s="172">
        <f t="shared" si="9"/>
        <v>0</v>
      </c>
      <c r="L88" s="172">
        <f t="shared" si="13"/>
        <v>0.99826764833261161</v>
      </c>
      <c r="M88" s="173" t="str">
        <f t="shared" si="4"/>
        <v>C</v>
      </c>
    </row>
    <row r="89" spans="2:13" ht="26.5" outlineLevel="1" thickBot="1">
      <c r="B89" s="182" t="s">
        <v>196</v>
      </c>
      <c r="C89" s="171">
        <f>'Юнит 9'!AO77</f>
        <v>-140.42747932256793</v>
      </c>
      <c r="D89" s="172">
        <f t="shared" si="7"/>
        <v>-1.8900764133338496E-4</v>
      </c>
      <c r="E89" s="172">
        <f t="shared" si="12"/>
        <v>1.0252137190343089</v>
      </c>
      <c r="F89" s="173" t="str">
        <f t="shared" si="3"/>
        <v>C</v>
      </c>
      <c r="G89" s="173" t="str">
        <f t="shared" si="8"/>
        <v>C</v>
      </c>
      <c r="I89" s="182" t="s">
        <v>204</v>
      </c>
      <c r="J89" s="171">
        <f>'Юнит 9'!U85</f>
        <v>0</v>
      </c>
      <c r="K89" s="172">
        <f t="shared" si="9"/>
        <v>0</v>
      </c>
      <c r="L89" s="172">
        <f t="shared" si="13"/>
        <v>0.99826764833261161</v>
      </c>
      <c r="M89" s="173" t="str">
        <f t="shared" si="4"/>
        <v>C</v>
      </c>
    </row>
    <row r="90" spans="2:13" ht="26.5" outlineLevel="1" thickBot="1">
      <c r="B90" s="182" t="s">
        <v>211</v>
      </c>
      <c r="C90" s="171">
        <f>'Юнит 9'!AO92</f>
        <v>-140.52319810949191</v>
      </c>
      <c r="D90" s="172">
        <f t="shared" si="7"/>
        <v>-1.8913647354083517E-4</v>
      </c>
      <c r="E90" s="172">
        <f t="shared" si="12"/>
        <v>1.025024582560768</v>
      </c>
      <c r="F90" s="173" t="str">
        <f t="shared" si="3"/>
        <v>C</v>
      </c>
      <c r="G90" s="173" t="str">
        <f t="shared" si="8"/>
        <v>C</v>
      </c>
      <c r="I90" s="182" t="s">
        <v>209</v>
      </c>
      <c r="J90" s="171">
        <f>'Юнит 9'!U90</f>
        <v>0</v>
      </c>
      <c r="K90" s="172">
        <f t="shared" si="9"/>
        <v>0</v>
      </c>
      <c r="L90" s="172">
        <f t="shared" si="13"/>
        <v>0.99826764833261161</v>
      </c>
      <c r="M90" s="173" t="str">
        <f t="shared" si="4"/>
        <v>C</v>
      </c>
    </row>
    <row r="91" spans="2:13" ht="15" outlineLevel="1" thickBot="1">
      <c r="B91" s="182" t="s">
        <v>179</v>
      </c>
      <c r="C91" s="171">
        <f>'Юнит 9'!AO60</f>
        <v>-224.14595009846391</v>
      </c>
      <c r="D91" s="172">
        <f t="shared" si="7"/>
        <v>-3.0168808517331831E-4</v>
      </c>
      <c r="E91" s="172">
        <f t="shared" si="12"/>
        <v>1.0247228944755946</v>
      </c>
      <c r="F91" s="173" t="str">
        <f t="shared" si="3"/>
        <v>C</v>
      </c>
      <c r="G91" s="173" t="str">
        <f t="shared" si="8"/>
        <v>C</v>
      </c>
      <c r="I91" s="182" t="s">
        <v>210</v>
      </c>
      <c r="J91" s="171">
        <f>'Юнит 9'!U91</f>
        <v>0</v>
      </c>
      <c r="K91" s="172">
        <f t="shared" si="9"/>
        <v>0</v>
      </c>
      <c r="L91" s="172">
        <f t="shared" si="13"/>
        <v>0.99826764833261161</v>
      </c>
      <c r="M91" s="173" t="str">
        <f t="shared" si="4"/>
        <v>C</v>
      </c>
    </row>
    <row r="92" spans="2:13" ht="15" outlineLevel="1" thickBot="1">
      <c r="B92" s="182" t="s">
        <v>171</v>
      </c>
      <c r="C92" s="171">
        <f>'Юнит 9'!AO52</f>
        <v>-231.40129184718396</v>
      </c>
      <c r="D92" s="172">
        <f t="shared" si="7"/>
        <v>-3.1145337496993455E-4</v>
      </c>
      <c r="E92" s="172">
        <f t="shared" si="12"/>
        <v>1.0244114411006247</v>
      </c>
      <c r="F92" s="173" t="str">
        <f t="shared" si="3"/>
        <v>C</v>
      </c>
      <c r="G92" s="173" t="str">
        <f t="shared" si="8"/>
        <v>C</v>
      </c>
      <c r="I92" s="182" t="s">
        <v>211</v>
      </c>
      <c r="J92" s="171">
        <f>'Юнит 9'!U92</f>
        <v>0</v>
      </c>
      <c r="K92" s="172">
        <f t="shared" si="9"/>
        <v>0</v>
      </c>
      <c r="L92" s="172">
        <f t="shared" si="13"/>
        <v>0.99826764833261161</v>
      </c>
      <c r="M92" s="173" t="str">
        <f t="shared" si="4"/>
        <v>C</v>
      </c>
    </row>
    <row r="93" spans="2:13" ht="26.5" outlineLevel="1" thickBot="1">
      <c r="B93" s="182" t="s">
        <v>198</v>
      </c>
      <c r="C93" s="171">
        <f>'Юнит 9'!AO79</f>
        <v>-234.22589602205593</v>
      </c>
      <c r="D93" s="172">
        <f t="shared" si="7"/>
        <v>-3.1525513638706187E-4</v>
      </c>
      <c r="E93" s="172">
        <f t="shared" si="12"/>
        <v>1.0240961859642377</v>
      </c>
      <c r="F93" s="173" t="str">
        <f t="shared" si="3"/>
        <v>C</v>
      </c>
      <c r="G93" s="173" t="str">
        <f t="shared" si="8"/>
        <v>C</v>
      </c>
      <c r="I93" s="182" t="s">
        <v>212</v>
      </c>
      <c r="J93" s="171">
        <f>'Юнит 9'!U93</f>
        <v>0</v>
      </c>
      <c r="K93" s="172">
        <f t="shared" si="9"/>
        <v>0</v>
      </c>
      <c r="L93" s="172">
        <f t="shared" si="13"/>
        <v>0.99826764833261161</v>
      </c>
      <c r="M93" s="173" t="str">
        <f t="shared" si="4"/>
        <v>C</v>
      </c>
    </row>
    <row r="94" spans="2:13" ht="26.5" outlineLevel="1" thickBot="1">
      <c r="B94" s="182" t="s">
        <v>158</v>
      </c>
      <c r="C94" s="171">
        <f>'Юнит 9'!AO39</f>
        <v>-294.55636262307991</v>
      </c>
      <c r="D94" s="172">
        <f t="shared" si="7"/>
        <v>-3.964566166657836E-4</v>
      </c>
      <c r="E94" s="172">
        <f>E93+D94</f>
        <v>1.0236997293475718</v>
      </c>
      <c r="F94" s="173" t="str">
        <f t="shared" si="3"/>
        <v>C</v>
      </c>
      <c r="G94" s="173" t="str">
        <f t="shared" si="8"/>
        <v>C</v>
      </c>
      <c r="I94" s="182" t="s">
        <v>213</v>
      </c>
      <c r="J94" s="171">
        <f>'Юнит 9'!U94</f>
        <v>0</v>
      </c>
      <c r="K94" s="172">
        <f t="shared" si="9"/>
        <v>0</v>
      </c>
      <c r="L94" s="172">
        <f t="shared" si="13"/>
        <v>0.99826764833261161</v>
      </c>
      <c r="M94" s="173" t="str">
        <f t="shared" si="4"/>
        <v>C</v>
      </c>
    </row>
    <row r="95" spans="2:13" ht="26.5" outlineLevel="1" thickBot="1">
      <c r="B95" s="182" t="s">
        <v>192</v>
      </c>
      <c r="C95" s="171">
        <f>'Юнит 9'!AO73</f>
        <v>-455.1</v>
      </c>
      <c r="D95" s="172">
        <f t="shared" si="7"/>
        <v>-6.1253949715381491E-4</v>
      </c>
      <c r="E95" s="172">
        <f>E94+D95</f>
        <v>1.0230871898504179</v>
      </c>
      <c r="F95" s="173" t="str">
        <f t="shared" si="3"/>
        <v>C</v>
      </c>
      <c r="G95" s="173" t="str">
        <f t="shared" si="8"/>
        <v>C</v>
      </c>
      <c r="I95" s="182" t="s">
        <v>214</v>
      </c>
      <c r="J95" s="171">
        <f>'Юнит 9'!U95</f>
        <v>0</v>
      </c>
      <c r="K95" s="172">
        <f t="shared" si="9"/>
        <v>0</v>
      </c>
      <c r="L95" s="172">
        <f>L94+K95</f>
        <v>0.99826764833261161</v>
      </c>
      <c r="M95" s="173" t="str">
        <f t="shared" si="4"/>
        <v>C</v>
      </c>
    </row>
    <row r="96" spans="2:13" ht="15" outlineLevel="1" thickBot="1">
      <c r="B96" s="182" t="s">
        <v>191</v>
      </c>
      <c r="C96" s="171">
        <f>'Юнит 9'!AO72</f>
        <v>-574.61</v>
      </c>
      <c r="D96" s="172">
        <f t="shared" si="7"/>
        <v>-7.7339336510558903E-4</v>
      </c>
      <c r="E96" s="172">
        <f t="shared" ref="E96:E98" si="14">E95+D96</f>
        <v>1.0223137964853124</v>
      </c>
      <c r="F96" s="173" t="str">
        <f t="shared" si="3"/>
        <v>C</v>
      </c>
      <c r="G96" s="173" t="str">
        <f t="shared" si="8"/>
        <v>C</v>
      </c>
      <c r="I96" s="182" t="s">
        <v>215</v>
      </c>
      <c r="J96" s="171">
        <f>'Юнит 9'!U96</f>
        <v>0</v>
      </c>
      <c r="K96" s="172">
        <f t="shared" si="9"/>
        <v>0</v>
      </c>
      <c r="L96" s="172">
        <f t="shared" ref="L96:L98" si="15">L95+K96</f>
        <v>0.99826764833261161</v>
      </c>
      <c r="M96" s="173" t="str">
        <f t="shared" si="4"/>
        <v>C</v>
      </c>
    </row>
    <row r="97" spans="2:13" ht="26.5" outlineLevel="1" thickBot="1">
      <c r="B97" s="182" t="s">
        <v>204</v>
      </c>
      <c r="C97" s="171">
        <f>'Юнит 9'!AO85</f>
        <v>-575.82478141000388</v>
      </c>
      <c r="D97" s="172">
        <f t="shared" si="7"/>
        <v>-7.7502839387736571E-4</v>
      </c>
      <c r="E97" s="172">
        <f t="shared" si="14"/>
        <v>1.021538768091435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216</v>
      </c>
      <c r="J97" s="171">
        <f>'Юнит 9'!U97</f>
        <v>0</v>
      </c>
      <c r="K97" s="172">
        <f t="shared" si="9"/>
        <v>0</v>
      </c>
      <c r="L97" s="172">
        <f t="shared" si="15"/>
        <v>0.99826764833261161</v>
      </c>
      <c r="M97" s="173" t="str">
        <f t="shared" si="4"/>
        <v>C</v>
      </c>
    </row>
    <row r="98" spans="2:13" ht="15" outlineLevel="1" thickBot="1">
      <c r="B98" s="182" t="s">
        <v>210</v>
      </c>
      <c r="C98" s="171">
        <f>'Юнит 9'!AO91</f>
        <v>-828.20906262307994</v>
      </c>
      <c r="D98" s="172">
        <f t="shared" si="7"/>
        <v>-1.114723715133759E-3</v>
      </c>
      <c r="E98" s="172">
        <f t="shared" si="14"/>
        <v>1.0204240443763013</v>
      </c>
      <c r="F98" s="173" t="str">
        <f t="shared" si="16"/>
        <v>C</v>
      </c>
      <c r="G98" s="173" t="str">
        <f t="shared" si="8"/>
        <v>C</v>
      </c>
      <c r="I98" s="182" t="s">
        <v>217</v>
      </c>
      <c r="J98" s="171">
        <f>'Юнит 9'!U98</f>
        <v>0</v>
      </c>
      <c r="K98" s="172">
        <f t="shared" si="9"/>
        <v>0</v>
      </c>
      <c r="L98" s="172">
        <f t="shared" si="15"/>
        <v>0.99826764833261161</v>
      </c>
      <c r="M98" s="173" t="str">
        <f t="shared" si="4"/>
        <v>C</v>
      </c>
    </row>
    <row r="99" spans="2:13" ht="26.5" outlineLevel="1" thickBot="1">
      <c r="B99" s="182" t="s">
        <v>200</v>
      </c>
      <c r="C99" s="171">
        <f>'Юнит 9'!AO81</f>
        <v>-1380.5552417487197</v>
      </c>
      <c r="D99" s="172">
        <f t="shared" si="7"/>
        <v>-1.858151205391835E-3</v>
      </c>
      <c r="E99" s="172">
        <f>E93+D99</f>
        <v>1.0222380347588458</v>
      </c>
      <c r="F99" s="173" t="str">
        <f t="shared" si="16"/>
        <v>C</v>
      </c>
      <c r="G99" s="173" t="str">
        <f t="shared" si="8"/>
        <v>C</v>
      </c>
      <c r="I99" s="182" t="s">
        <v>256</v>
      </c>
      <c r="J99" s="171">
        <f>'Юнит 9'!U99</f>
        <v>0</v>
      </c>
      <c r="K99" s="172">
        <f t="shared" si="9"/>
        <v>0</v>
      </c>
      <c r="L99" s="172">
        <f>L93+K99</f>
        <v>0.99826764833261161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195</v>
      </c>
      <c r="C100" s="171">
        <f>'Юнит 9'!AO76</f>
        <v>-1506.428996022056</v>
      </c>
      <c r="D100" s="172">
        <f t="shared" si="7"/>
        <v>-2.0275703355774033E-3</v>
      </c>
      <c r="E100" s="172">
        <f t="shared" ref="E100:E104" si="18">E94+D100</f>
        <v>1.0216721590119944</v>
      </c>
      <c r="F100" s="173" t="str">
        <f t="shared" si="16"/>
        <v>C</v>
      </c>
      <c r="G100" s="173" t="str">
        <f t="shared" si="8"/>
        <v>C</v>
      </c>
      <c r="I100" s="182" t="s">
        <v>257</v>
      </c>
      <c r="J100" s="171">
        <f>'Юнит 9'!U100</f>
        <v>0</v>
      </c>
      <c r="K100" s="172">
        <f t="shared" si="9"/>
        <v>0</v>
      </c>
      <c r="L100" s="172">
        <f t="shared" ref="L100:L104" si="19">L94+K100</f>
        <v>0.99826764833261161</v>
      </c>
      <c r="M100" s="173" t="str">
        <f t="shared" si="17"/>
        <v>C</v>
      </c>
    </row>
    <row r="101" spans="2:13" ht="26.5" outlineLevel="1" thickBot="1">
      <c r="B101" s="182" t="s">
        <v>206</v>
      </c>
      <c r="C101" s="171">
        <f>'Юнит 9'!AO87</f>
        <v>-1531.831177972824</v>
      </c>
      <c r="D101" s="172">
        <f t="shared" si="7"/>
        <v>-2.0617602713250043E-3</v>
      </c>
      <c r="E101" s="172">
        <f t="shared" si="18"/>
        <v>1.0210254295790928</v>
      </c>
      <c r="F101" s="173" t="str">
        <f t="shared" si="16"/>
        <v>C</v>
      </c>
      <c r="G101" s="173" t="str">
        <f t="shared" si="8"/>
        <v>C</v>
      </c>
      <c r="I101" s="182" t="s">
        <v>258</v>
      </c>
      <c r="J101" s="171">
        <f>'Юнит 9'!U101</f>
        <v>0</v>
      </c>
      <c r="K101" s="172">
        <f t="shared" si="9"/>
        <v>0</v>
      </c>
      <c r="L101" s="172">
        <f t="shared" si="19"/>
        <v>0.99826764833261161</v>
      </c>
      <c r="M101" s="173" t="str">
        <f t="shared" si="17"/>
        <v>C</v>
      </c>
    </row>
    <row r="102" spans="2:13" ht="15" outlineLevel="1" thickBot="1">
      <c r="B102" s="182" t="s">
        <v>177</v>
      </c>
      <c r="C102" s="171">
        <f>'Юнит 9'!AO58</f>
        <v>-2236.1386584482079</v>
      </c>
      <c r="D102" s="172">
        <f t="shared" si="7"/>
        <v>-3.009719291171328E-3</v>
      </c>
      <c r="E102" s="172">
        <f t="shared" si="18"/>
        <v>1.0193040771941411</v>
      </c>
      <c r="F102" s="173" t="str">
        <f t="shared" si="16"/>
        <v>C</v>
      </c>
      <c r="G102" s="173" t="str">
        <f t="shared" si="8"/>
        <v>C</v>
      </c>
      <c r="I102" s="182" t="s">
        <v>259</v>
      </c>
      <c r="J102" s="171">
        <f>'Юнит 9'!U102</f>
        <v>0</v>
      </c>
      <c r="K102" s="172">
        <f t="shared" si="9"/>
        <v>0</v>
      </c>
      <c r="L102" s="172">
        <f t="shared" si="19"/>
        <v>0.99826764833261161</v>
      </c>
      <c r="M102" s="173" t="str">
        <f t="shared" si="17"/>
        <v>C</v>
      </c>
    </row>
    <row r="103" spans="2:13" ht="26.5" outlineLevel="1" thickBot="1">
      <c r="B103" s="182" t="s">
        <v>162</v>
      </c>
      <c r="C103" s="171">
        <f>'Юнит 9'!AO43</f>
        <v>-2588.4855653115401</v>
      </c>
      <c r="D103" s="172">
        <f t="shared" si="7"/>
        <v>-3.4839587927177301E-3</v>
      </c>
      <c r="E103" s="172">
        <f t="shared" si="18"/>
        <v>1.0180548092987172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9'!U103</f>
        <v>0</v>
      </c>
      <c r="K103" s="172">
        <f t="shared" si="9"/>
        <v>0</v>
      </c>
      <c r="L103" s="172">
        <f t="shared" si="19"/>
        <v>0.99826764833261161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9'!AO26</f>
        <v>-7275.5646849192508</v>
      </c>
      <c r="D104" s="172">
        <f t="shared" si="7"/>
        <v>-9.7925087532640988E-3</v>
      </c>
      <c r="E104" s="172">
        <f t="shared" si="18"/>
        <v>1.0106315356230371</v>
      </c>
      <c r="F104" s="173" t="str">
        <f t="shared" si="16"/>
        <v>C</v>
      </c>
      <c r="G104" s="173" t="str">
        <f t="shared" si="8"/>
        <v>B</v>
      </c>
      <c r="I104" s="182" t="s">
        <v>195</v>
      </c>
      <c r="J104" s="171">
        <f>'Юнит 9'!U76</f>
        <v>-2</v>
      </c>
      <c r="K104" s="172">
        <f t="shared" si="9"/>
        <v>-8.661758336942399E-4</v>
      </c>
      <c r="L104" s="172">
        <f t="shared" si="19"/>
        <v>0.99740147249891742</v>
      </c>
      <c r="M104" s="173" t="str">
        <f t="shared" si="17"/>
        <v>C</v>
      </c>
    </row>
    <row r="105" spans="2:13" outlineLevel="1">
      <c r="C105" s="178">
        <f>SUM(C4:C104)</f>
        <v>742972.49747099949</v>
      </c>
      <c r="D105" s="179">
        <f>SUM(D4:D104)</f>
        <v>1</v>
      </c>
      <c r="J105" s="178">
        <f>SUM(J4:J104)</f>
        <v>2309</v>
      </c>
      <c r="K105" s="179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54" priority="13" operator="equal">
      <formula>"C"</formula>
    </cfRule>
    <cfRule type="cellIs" dxfId="153" priority="14" operator="equal">
      <formula>"B"</formula>
    </cfRule>
    <cfRule type="cellIs" dxfId="152" priority="15" operator="equal">
      <formula>"A"</formula>
    </cfRule>
  </conditionalFormatting>
  <conditionalFormatting sqref="F99:G104 D99:D104 M99:M104 K99:K104">
    <cfRule type="cellIs" dxfId="151" priority="1" operator="equal">
      <formula>"C"</formula>
    </cfRule>
    <cfRule type="cellIs" dxfId="150" priority="2" operator="equal">
      <formula>"B"</formula>
    </cfRule>
    <cfRule type="cellIs" dxfId="149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D2F3-AD11-4E1B-9FC5-B1FEB5A4E0D6}">
  <dimension ref="B1:Q105"/>
  <sheetViews>
    <sheetView topLeftCell="A100" zoomScale="80" zoomScaleNormal="80" workbookViewId="0">
      <selection activeCell="D112" sqref="D1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9" t="s">
        <v>86</v>
      </c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1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8'!AO4</f>
        <v>187586.52144729253</v>
      </c>
      <c r="D4" s="172">
        <f t="shared" ref="D4:D35" si="0">C4/C$105</f>
        <v>0.32723327968785643</v>
      </c>
      <c r="E4" s="172">
        <f>D4</f>
        <v>0.32723327968785643</v>
      </c>
      <c r="F4" s="173" t="str">
        <f>IF(AND(E4&lt;=0),"C",IF(E4&lt;=0.8,"A",IF(E4&lt;=0.95,"B","C")))</f>
        <v>A</v>
      </c>
      <c r="G4" s="173" t="str">
        <f t="shared" ref="G4:G35" si="1">VLOOKUP(B$4:B$104,I$4:M$104,5,0)</f>
        <v>A</v>
      </c>
      <c r="I4" s="182" t="s">
        <v>123</v>
      </c>
      <c r="J4" s="171">
        <f>'Юнит 8'!U4</f>
        <v>553</v>
      </c>
      <c r="K4" s="172">
        <f t="shared" ref="K4:K35" si="2">J4/J$105</f>
        <v>0.24555950266429841</v>
      </c>
      <c r="L4" s="172">
        <f>K4</f>
        <v>0.24555950266429841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8'!AO7</f>
        <v>67172.510044131675</v>
      </c>
      <c r="D5" s="172">
        <f t="shared" si="0"/>
        <v>0.1171783590687397</v>
      </c>
      <c r="E5" s="172">
        <f>E4+D5</f>
        <v>0.44441163875659612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'Юнит 8'!U7</f>
        <v>206</v>
      </c>
      <c r="K5" s="172">
        <f t="shared" si="2"/>
        <v>9.1474245115452935E-2</v>
      </c>
      <c r="L5" s="172">
        <f>L4+K5</f>
        <v>0.33703374777975137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8'!AO9</f>
        <v>42084.800899307753</v>
      </c>
      <c r="D6" s="172">
        <f t="shared" si="0"/>
        <v>7.3414376027866227E-2</v>
      </c>
      <c r="E6" s="172">
        <f t="shared" ref="E6:E69" si="5">E5+D6</f>
        <v>0.51782601478446233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'Юнит 8'!U10</f>
        <v>165</v>
      </c>
      <c r="K6" s="172">
        <f t="shared" si="2"/>
        <v>7.3268206039076383E-2</v>
      </c>
      <c r="L6" s="172">
        <f t="shared" ref="L6:L69" si="6">L5+K6</f>
        <v>0.41030195381882772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124</v>
      </c>
      <c r="C7" s="171">
        <f>'Юнит 8'!AO5</f>
        <v>41232.197370852744</v>
      </c>
      <c r="D7" s="172">
        <f t="shared" si="0"/>
        <v>7.1927061018572422E-2</v>
      </c>
      <c r="E7" s="172">
        <f t="shared" si="5"/>
        <v>0.58975307580303471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'Юнит 8'!U5</f>
        <v>151</v>
      </c>
      <c r="K7" s="172">
        <f t="shared" si="2"/>
        <v>6.7051509769094145E-2</v>
      </c>
      <c r="L7" s="172">
        <f t="shared" si="6"/>
        <v>0.47735346358792186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8'!AO10</f>
        <v>35943.920347612373</v>
      </c>
      <c r="D8" s="172">
        <f t="shared" si="0"/>
        <v>6.2701983327161037E-2</v>
      </c>
      <c r="E8" s="172">
        <f t="shared" si="5"/>
        <v>0.65245505913019575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'Юнит 8'!U9</f>
        <v>135</v>
      </c>
      <c r="K8" s="172">
        <f t="shared" si="2"/>
        <v>5.9946714031971583E-2</v>
      </c>
      <c r="L8" s="172">
        <f t="shared" si="6"/>
        <v>0.53730017761989346</v>
      </c>
      <c r="M8" s="173" t="str">
        <f>_xlfn.IFS(L8&lt;80%,"A",L8&lt;=95%,"B",L8&gt;95%,"C")</f>
        <v>A</v>
      </c>
    </row>
    <row r="9" spans="2:17" ht="15" outlineLevel="1" thickBot="1">
      <c r="B9" s="182" t="s">
        <v>125</v>
      </c>
      <c r="C9" s="171">
        <f>'Юнит 8'!AO6</f>
        <v>35702.023819253962</v>
      </c>
      <c r="D9" s="172">
        <f t="shared" si="0"/>
        <v>6.2280009542962103E-2</v>
      </c>
      <c r="E9" s="172">
        <f t="shared" si="5"/>
        <v>0.71473506867315784</v>
      </c>
      <c r="F9" s="173" t="str">
        <f t="shared" si="3"/>
        <v>A</v>
      </c>
      <c r="G9" s="173" t="str">
        <f t="shared" si="1"/>
        <v>A</v>
      </c>
      <c r="I9" s="182" t="s">
        <v>125</v>
      </c>
      <c r="J9" s="171">
        <f>'Юнит 8'!U6</f>
        <v>126</v>
      </c>
      <c r="K9" s="172">
        <f t="shared" si="2"/>
        <v>5.5950266429840141E-2</v>
      </c>
      <c r="L9" s="172">
        <f t="shared" si="6"/>
        <v>0.59325044404973359</v>
      </c>
      <c r="M9" s="173" t="str">
        <f t="shared" si="4"/>
        <v>A</v>
      </c>
    </row>
    <row r="10" spans="2:17" ht="15" outlineLevel="1" thickBot="1">
      <c r="B10" s="182" t="s">
        <v>135</v>
      </c>
      <c r="C10" s="171">
        <f>'Юнит 8'!AO16</f>
        <v>24641.241204937149</v>
      </c>
      <c r="D10" s="172">
        <f t="shared" si="0"/>
        <v>4.2985146869076993E-2</v>
      </c>
      <c r="E10" s="172">
        <f t="shared" si="5"/>
        <v>0.75772021554223479</v>
      </c>
      <c r="F10" s="173" t="str">
        <f t="shared" si="3"/>
        <v>A</v>
      </c>
      <c r="G10" s="173" t="str">
        <f t="shared" si="1"/>
        <v>A</v>
      </c>
      <c r="I10" s="182" t="s">
        <v>147</v>
      </c>
      <c r="J10" s="171">
        <f>'Юнит 8'!U28</f>
        <v>96</v>
      </c>
      <c r="K10" s="172">
        <f t="shared" si="2"/>
        <v>4.2628774422735348E-2</v>
      </c>
      <c r="L10" s="172">
        <f t="shared" si="6"/>
        <v>0.63587921847246898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'Юнит 8'!AO13</f>
        <v>22233.993431608349</v>
      </c>
      <c r="D11" s="172">
        <f t="shared" si="0"/>
        <v>3.8785849511196152E-2</v>
      </c>
      <c r="E11" s="172">
        <f t="shared" si="5"/>
        <v>0.79650606505343091</v>
      </c>
      <c r="F11" s="173" t="str">
        <f t="shared" si="3"/>
        <v>A</v>
      </c>
      <c r="G11" s="173" t="str">
        <f t="shared" si="1"/>
        <v>A</v>
      </c>
      <c r="I11" s="182" t="s">
        <v>132</v>
      </c>
      <c r="J11" s="171">
        <f>'Юнит 8'!U13</f>
        <v>92</v>
      </c>
      <c r="K11" s="172">
        <f t="shared" si="2"/>
        <v>4.0852575488454709E-2</v>
      </c>
      <c r="L11" s="172">
        <f t="shared" si="6"/>
        <v>0.67673179396092364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147</v>
      </c>
      <c r="C12" s="171">
        <f>'Юнит 8'!AO28</f>
        <v>21229.533621002993</v>
      </c>
      <c r="D12" s="172">
        <f t="shared" si="0"/>
        <v>3.7033630451942537E-2</v>
      </c>
      <c r="E12" s="172">
        <f t="shared" si="5"/>
        <v>0.83353969550537343</v>
      </c>
      <c r="F12" s="173" t="str">
        <f t="shared" si="3"/>
        <v>B</v>
      </c>
      <c r="G12" s="173" t="str">
        <f t="shared" si="1"/>
        <v>A</v>
      </c>
      <c r="I12" s="182" t="s">
        <v>135</v>
      </c>
      <c r="J12" s="171">
        <f>'Юнит 8'!U16</f>
        <v>85</v>
      </c>
      <c r="K12" s="172">
        <f t="shared" si="2"/>
        <v>3.774422735346359E-2</v>
      </c>
      <c r="L12" s="172">
        <f t="shared" si="6"/>
        <v>0.71447602131438726</v>
      </c>
      <c r="M12" s="173" t="str">
        <f t="shared" si="4"/>
        <v>A</v>
      </c>
    </row>
    <row r="13" spans="2:17" ht="26.5" outlineLevel="1" thickBot="1">
      <c r="B13" s="182" t="s">
        <v>131</v>
      </c>
      <c r="C13" s="171">
        <f>'Юнит 8'!AO12</f>
        <v>16922.862703157374</v>
      </c>
      <c r="D13" s="172">
        <f t="shared" si="0"/>
        <v>2.9520904920759265E-2</v>
      </c>
      <c r="E13" s="172">
        <f t="shared" si="5"/>
        <v>0.86306060042613275</v>
      </c>
      <c r="F13" s="173" t="str">
        <f t="shared" si="3"/>
        <v>B</v>
      </c>
      <c r="G13" s="173" t="str">
        <f t="shared" si="1"/>
        <v>B</v>
      </c>
      <c r="I13" s="182" t="s">
        <v>122</v>
      </c>
      <c r="J13" s="171">
        <f>'Юнит 8'!U3</f>
        <v>74</v>
      </c>
      <c r="K13" s="172">
        <f t="shared" si="2"/>
        <v>3.2859680284191832E-2</v>
      </c>
      <c r="L13" s="172">
        <f t="shared" si="6"/>
        <v>0.74733570159857909</v>
      </c>
      <c r="M13" s="173" t="str">
        <f t="shared" si="4"/>
        <v>A</v>
      </c>
    </row>
    <row r="14" spans="2:17" ht="15" outlineLevel="1" thickBot="1">
      <c r="B14" s="182" t="s">
        <v>127</v>
      </c>
      <c r="C14" s="171">
        <f>'Юнит 8'!AO8</f>
        <v>15508.02510581095</v>
      </c>
      <c r="D14" s="172">
        <f t="shared" si="0"/>
        <v>2.7052806767260296E-2</v>
      </c>
      <c r="E14" s="172">
        <f t="shared" si="5"/>
        <v>0.89011340719339305</v>
      </c>
      <c r="F14" s="173" t="str">
        <f t="shared" si="3"/>
        <v>B</v>
      </c>
      <c r="G14" s="173" t="str">
        <f t="shared" si="1"/>
        <v>A</v>
      </c>
      <c r="I14" s="182" t="s">
        <v>127</v>
      </c>
      <c r="J14" s="171">
        <f>'Юнит 8'!U8</f>
        <v>68</v>
      </c>
      <c r="K14" s="172">
        <f t="shared" si="2"/>
        <v>3.0195381882770871E-2</v>
      </c>
      <c r="L14" s="172">
        <f t="shared" si="6"/>
        <v>0.77753108348134992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'Юнит 8'!AO11</f>
        <v>12076.316054588237</v>
      </c>
      <c r="D15" s="172">
        <f t="shared" si="0"/>
        <v>2.1066399006713175E-2</v>
      </c>
      <c r="E15" s="172">
        <f t="shared" si="5"/>
        <v>0.91117980620010619</v>
      </c>
      <c r="F15" s="173" t="str">
        <f t="shared" si="3"/>
        <v>B</v>
      </c>
      <c r="G15" s="173" t="str">
        <f t="shared" si="1"/>
        <v>B</v>
      </c>
      <c r="I15" s="182" t="s">
        <v>131</v>
      </c>
      <c r="J15" s="171">
        <f>'Юнит 8'!U12</f>
        <v>68</v>
      </c>
      <c r="K15" s="172">
        <f t="shared" si="2"/>
        <v>3.0195381882770871E-2</v>
      </c>
      <c r="L15" s="172">
        <f t="shared" si="6"/>
        <v>0.80772646536412074</v>
      </c>
      <c r="M15" s="173" t="str">
        <f t="shared" si="4"/>
        <v>B</v>
      </c>
    </row>
    <row r="16" spans="2:17" ht="26.5" outlineLevel="1" thickBot="1">
      <c r="B16" s="182" t="s">
        <v>136</v>
      </c>
      <c r="C16" s="171">
        <f>'Юнит 8'!AO17</f>
        <v>9301.513191406746</v>
      </c>
      <c r="D16" s="172">
        <f t="shared" si="0"/>
        <v>1.6225924145296961E-2</v>
      </c>
      <c r="E16" s="172">
        <f t="shared" si="5"/>
        <v>0.92740573034540319</v>
      </c>
      <c r="F16" s="173" t="str">
        <f t="shared" si="3"/>
        <v>B</v>
      </c>
      <c r="G16" s="173" t="str">
        <f t="shared" si="1"/>
        <v>B</v>
      </c>
      <c r="I16" s="182" t="s">
        <v>164</v>
      </c>
      <c r="J16" s="171">
        <f>'Юнит 8'!U45</f>
        <v>67</v>
      </c>
      <c r="K16" s="172">
        <f t="shared" si="2"/>
        <v>2.9751332149200709E-2</v>
      </c>
      <c r="L16" s="172">
        <f t="shared" si="6"/>
        <v>0.83747779751332141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'Юнит 8'!AO14</f>
        <v>9186.5030920150857</v>
      </c>
      <c r="D17" s="172">
        <f t="shared" si="0"/>
        <v>1.6025296020574609E-2</v>
      </c>
      <c r="E17" s="172">
        <f t="shared" si="5"/>
        <v>0.94343102636597775</v>
      </c>
      <c r="F17" s="173" t="str">
        <f t="shared" si="3"/>
        <v>B</v>
      </c>
      <c r="G17" s="173" t="str">
        <f t="shared" si="1"/>
        <v>B</v>
      </c>
      <c r="I17" s="182" t="s">
        <v>130</v>
      </c>
      <c r="J17" s="171">
        <f>'Юнит 8'!U11</f>
        <v>42</v>
      </c>
      <c r="K17" s="172">
        <f t="shared" si="2"/>
        <v>1.8650088809946713E-2</v>
      </c>
      <c r="L17" s="172">
        <f t="shared" si="6"/>
        <v>0.85612788632326808</v>
      </c>
      <c r="M17" s="173" t="str">
        <f t="shared" si="4"/>
        <v>B</v>
      </c>
    </row>
    <row r="18" spans="2:13" ht="26.5" outlineLevel="1" thickBot="1">
      <c r="B18" s="182" t="s">
        <v>167</v>
      </c>
      <c r="C18" s="171">
        <f>'Юнит 8'!AO48</f>
        <v>9125.1250235585758</v>
      </c>
      <c r="D18" s="172">
        <f t="shared" si="0"/>
        <v>1.5918225712500407E-2</v>
      </c>
      <c r="E18" s="172">
        <f t="shared" si="5"/>
        <v>0.95934925207847821</v>
      </c>
      <c r="F18" s="173" t="str">
        <f t="shared" si="3"/>
        <v>C</v>
      </c>
      <c r="G18" s="173" t="str">
        <f t="shared" si="1"/>
        <v>B</v>
      </c>
      <c r="I18" s="182" t="s">
        <v>137</v>
      </c>
      <c r="J18" s="171">
        <f>'Юнит 8'!U18</f>
        <v>41</v>
      </c>
      <c r="K18" s="172">
        <f t="shared" si="2"/>
        <v>1.8206039076376555E-2</v>
      </c>
      <c r="L18" s="172">
        <f t="shared" si="6"/>
        <v>0.87433392539964461</v>
      </c>
      <c r="M18" s="173" t="str">
        <f t="shared" si="4"/>
        <v>B</v>
      </c>
    </row>
    <row r="19" spans="2:13" ht="15" outlineLevel="1" thickBot="1">
      <c r="B19" s="182" t="s">
        <v>164</v>
      </c>
      <c r="C19" s="171">
        <f>'Юнит 8'!AO45</f>
        <v>8595.4514433906388</v>
      </c>
      <c r="D19" s="172">
        <f t="shared" si="0"/>
        <v>1.4994242360897699E-2</v>
      </c>
      <c r="E19" s="172">
        <f t="shared" si="5"/>
        <v>0.97434349443937596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'Юнит 8'!U14</f>
        <v>34</v>
      </c>
      <c r="K19" s="172">
        <f t="shared" si="2"/>
        <v>1.5097690941385435E-2</v>
      </c>
      <c r="L19" s="172">
        <f t="shared" si="6"/>
        <v>0.88943161634103007</v>
      </c>
      <c r="M19" s="173" t="str">
        <f t="shared" si="4"/>
        <v>B</v>
      </c>
    </row>
    <row r="20" spans="2:13" ht="26.5" outlineLevel="1" thickBot="1">
      <c r="B20" s="182" t="s">
        <v>137</v>
      </c>
      <c r="C20" s="171">
        <f>'Юнит 8'!AO18</f>
        <v>7347.9950345987909</v>
      </c>
      <c r="D20" s="172">
        <f t="shared" si="0"/>
        <v>1.2818130512524364E-2</v>
      </c>
      <c r="E20" s="172">
        <f t="shared" si="5"/>
        <v>0.9871616249519003</v>
      </c>
      <c r="F20" s="173" t="str">
        <f t="shared" si="3"/>
        <v>C</v>
      </c>
      <c r="G20" s="173" t="str">
        <f t="shared" si="1"/>
        <v>B</v>
      </c>
      <c r="I20" s="182" t="s">
        <v>134</v>
      </c>
      <c r="J20" s="171">
        <f>'Юнит 8'!U15</f>
        <v>32</v>
      </c>
      <c r="K20" s="172">
        <f t="shared" si="2"/>
        <v>1.4209591474245116E-2</v>
      </c>
      <c r="L20" s="172">
        <f t="shared" si="6"/>
        <v>0.90364120781527524</v>
      </c>
      <c r="M20" s="173" t="str">
        <f t="shared" si="4"/>
        <v>B</v>
      </c>
    </row>
    <row r="21" spans="2:13" ht="26.5" outlineLevel="1" thickBot="1">
      <c r="B21" s="182" t="s">
        <v>134</v>
      </c>
      <c r="C21" s="171">
        <f>'Юнит 8'!AO15</f>
        <v>6832.199578243336</v>
      </c>
      <c r="D21" s="172">
        <f t="shared" si="0"/>
        <v>1.1918356703995615E-2</v>
      </c>
      <c r="E21" s="172">
        <f t="shared" si="5"/>
        <v>0.99907998165589595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8'!U48</f>
        <v>31</v>
      </c>
      <c r="K21" s="172">
        <f t="shared" si="2"/>
        <v>1.3765541740674956E-2</v>
      </c>
      <c r="L21" s="172">
        <f t="shared" si="6"/>
        <v>0.91740674955595014</v>
      </c>
      <c r="M21" s="173" t="str">
        <f t="shared" si="4"/>
        <v>B</v>
      </c>
    </row>
    <row r="22" spans="2:13" ht="26.5" outlineLevel="1" thickBot="1">
      <c r="B22" s="182" t="s">
        <v>168</v>
      </c>
      <c r="C22" s="171">
        <f>'Юнит 8'!AO49</f>
        <v>6086.6702094067405</v>
      </c>
      <c r="D22" s="172">
        <f t="shared" si="0"/>
        <v>1.0617826055067493E-2</v>
      </c>
      <c r="E22" s="172">
        <f t="shared" si="5"/>
        <v>1.0096978077109635</v>
      </c>
      <c r="F22" s="173" t="str">
        <f t="shared" si="3"/>
        <v>C</v>
      </c>
      <c r="G22" s="173" t="str">
        <f t="shared" si="1"/>
        <v>B</v>
      </c>
      <c r="I22" s="182" t="s">
        <v>136</v>
      </c>
      <c r="J22" s="171">
        <f>'Юнит 8'!U17</f>
        <v>30</v>
      </c>
      <c r="K22" s="172">
        <f t="shared" si="2"/>
        <v>1.3321492007104795E-2</v>
      </c>
      <c r="L22" s="172">
        <f t="shared" si="6"/>
        <v>0.93072824156305489</v>
      </c>
      <c r="M22" s="173" t="str">
        <f t="shared" si="4"/>
        <v>B</v>
      </c>
    </row>
    <row r="23" spans="2:13" ht="15" outlineLevel="1" thickBot="1">
      <c r="B23" s="182" t="s">
        <v>166</v>
      </c>
      <c r="C23" s="171">
        <f>'Юнит 8'!AO47</f>
        <v>4570.1747456510811</v>
      </c>
      <c r="D23" s="172">
        <f t="shared" si="0"/>
        <v>7.9723919353460737E-3</v>
      </c>
      <c r="E23" s="172">
        <f t="shared" si="5"/>
        <v>1.0176701996463096</v>
      </c>
      <c r="F23" s="173" t="str">
        <f t="shared" si="3"/>
        <v>C</v>
      </c>
      <c r="G23" s="173" t="str">
        <f t="shared" si="1"/>
        <v>C</v>
      </c>
      <c r="I23" s="182" t="s">
        <v>168</v>
      </c>
      <c r="J23" s="171">
        <f>'Юнит 8'!U49</f>
        <v>29</v>
      </c>
      <c r="K23" s="172">
        <f t="shared" si="2"/>
        <v>1.2877442273534635E-2</v>
      </c>
      <c r="L23" s="172">
        <f t="shared" si="6"/>
        <v>0.94360568383658949</v>
      </c>
      <c r="M23" s="173" t="str">
        <f t="shared" si="4"/>
        <v>B</v>
      </c>
    </row>
    <row r="24" spans="2:13" ht="15" outlineLevel="1" thickBot="1">
      <c r="B24" s="182" t="s">
        <v>208</v>
      </c>
      <c r="C24" s="171">
        <f>'Юнит 8'!AO89</f>
        <v>2625.4827432644543</v>
      </c>
      <c r="D24" s="172">
        <f t="shared" si="0"/>
        <v>4.5799949922505365E-3</v>
      </c>
      <c r="E24" s="172">
        <f t="shared" si="5"/>
        <v>1.02225019463856</v>
      </c>
      <c r="F24" s="173" t="str">
        <f t="shared" si="3"/>
        <v>C</v>
      </c>
      <c r="G24" s="173" t="str">
        <f t="shared" si="1"/>
        <v>C</v>
      </c>
      <c r="I24" s="182" t="s">
        <v>145</v>
      </c>
      <c r="J24" s="171">
        <f>'Юнит 8'!U26</f>
        <v>26</v>
      </c>
      <c r="K24" s="172">
        <f t="shared" si="2"/>
        <v>1.1545293072824156E-2</v>
      </c>
      <c r="L24" s="172">
        <f t="shared" si="6"/>
        <v>0.95515097690941364</v>
      </c>
      <c r="M24" s="173" t="str">
        <f t="shared" si="4"/>
        <v>C</v>
      </c>
    </row>
    <row r="25" spans="2:13" ht="15" outlineLevel="1" thickBot="1">
      <c r="B25" s="182" t="s">
        <v>195</v>
      </c>
      <c r="C25" s="171">
        <f>'Юнит 8'!AO76</f>
        <v>945.21523826043244</v>
      </c>
      <c r="D25" s="172">
        <f t="shared" si="0"/>
        <v>1.6488705054099942E-3</v>
      </c>
      <c r="E25" s="172">
        <f t="shared" si="5"/>
        <v>1.0238990651439701</v>
      </c>
      <c r="F25" s="173" t="str">
        <f t="shared" si="3"/>
        <v>C</v>
      </c>
      <c r="G25" s="173" t="str">
        <f t="shared" si="1"/>
        <v>C</v>
      </c>
      <c r="I25" s="182" t="s">
        <v>166</v>
      </c>
      <c r="J25" s="171">
        <f>'Юнит 8'!U47</f>
        <v>13</v>
      </c>
      <c r="K25" s="172">
        <f t="shared" si="2"/>
        <v>5.7726465364120782E-3</v>
      </c>
      <c r="L25" s="172">
        <f t="shared" si="6"/>
        <v>0.96092362344582571</v>
      </c>
      <c r="M25" s="173" t="str">
        <f t="shared" si="4"/>
        <v>C</v>
      </c>
    </row>
    <row r="26" spans="2:13" ht="15" outlineLevel="1" thickBot="1">
      <c r="B26" s="182" t="s">
        <v>144</v>
      </c>
      <c r="C26" s="171">
        <f>'Юнит 8'!AO25</f>
        <v>749.76309999999978</v>
      </c>
      <c r="D26" s="172">
        <f t="shared" si="0"/>
        <v>1.3079161354930884E-3</v>
      </c>
      <c r="E26" s="172">
        <f t="shared" si="5"/>
        <v>1.0252069812794633</v>
      </c>
      <c r="F26" s="173" t="str">
        <f t="shared" si="3"/>
        <v>C</v>
      </c>
      <c r="G26" s="173" t="str">
        <f t="shared" si="1"/>
        <v>C</v>
      </c>
      <c r="I26" s="182" t="s">
        <v>163</v>
      </c>
      <c r="J26" s="171">
        <f>'Юнит 8'!U44</f>
        <v>9</v>
      </c>
      <c r="K26" s="172">
        <f t="shared" si="2"/>
        <v>3.9964476021314387E-3</v>
      </c>
      <c r="L26" s="172">
        <f t="shared" si="6"/>
        <v>0.96492007104795718</v>
      </c>
      <c r="M26" s="173" t="str">
        <f t="shared" si="4"/>
        <v>C</v>
      </c>
    </row>
    <row r="27" spans="2:13" ht="15" outlineLevel="1" thickBot="1">
      <c r="B27" s="182" t="s">
        <v>186</v>
      </c>
      <c r="C27" s="171">
        <f>'Юнит 8'!AO67</f>
        <v>701.19450000000006</v>
      </c>
      <c r="D27" s="172">
        <f t="shared" si="0"/>
        <v>1.223191166208378E-3</v>
      </c>
      <c r="E27" s="172">
        <f>E26+D27</f>
        <v>1.0264301724456717</v>
      </c>
      <c r="F27" s="173" t="str">
        <f t="shared" si="3"/>
        <v>C</v>
      </c>
      <c r="G27" s="173" t="str">
        <f t="shared" si="1"/>
        <v>C</v>
      </c>
      <c r="I27" s="182" t="s">
        <v>152</v>
      </c>
      <c r="J27" s="171">
        <f>'Юнит 8'!U33</f>
        <v>8</v>
      </c>
      <c r="K27" s="172">
        <f t="shared" si="2"/>
        <v>3.552397868561279E-3</v>
      </c>
      <c r="L27" s="172">
        <f>L26+K27</f>
        <v>0.9684724689165185</v>
      </c>
      <c r="M27" s="173" t="str">
        <f t="shared" si="4"/>
        <v>C</v>
      </c>
    </row>
    <row r="28" spans="2:13" ht="26.5" outlineLevel="1" thickBot="1">
      <c r="B28" s="182" t="s">
        <v>207</v>
      </c>
      <c r="C28" s="171">
        <f>'Юнит 8'!AO88</f>
        <v>653.61642671141317</v>
      </c>
      <c r="D28" s="172">
        <f t="shared" si="0"/>
        <v>1.1401941105386398E-3</v>
      </c>
      <c r="E28" s="172">
        <f>E27+D28</f>
        <v>1.0275703665562104</v>
      </c>
      <c r="F28" s="173" t="str">
        <f t="shared" si="3"/>
        <v>C</v>
      </c>
      <c r="G28" s="173" t="str">
        <f t="shared" si="1"/>
        <v>C</v>
      </c>
      <c r="I28" s="182" t="s">
        <v>169</v>
      </c>
      <c r="J28" s="171">
        <f>'Юнит 8'!U50</f>
        <v>7</v>
      </c>
      <c r="K28" s="172">
        <f t="shared" si="2"/>
        <v>3.1083481349911189E-3</v>
      </c>
      <c r="L28" s="172">
        <f t="shared" si="6"/>
        <v>0.97158081705150967</v>
      </c>
      <c r="M28" s="173" t="str">
        <f t="shared" si="4"/>
        <v>C</v>
      </c>
    </row>
    <row r="29" spans="2:13" ht="15" outlineLevel="1" thickBot="1">
      <c r="B29" s="182" t="s">
        <v>258</v>
      </c>
      <c r="C29" s="171">
        <f>'Юнит 8'!AO101</f>
        <v>617.01292599999999</v>
      </c>
      <c r="D29" s="172">
        <f t="shared" si="0"/>
        <v>1.0763415293753495E-3</v>
      </c>
      <c r="E29" s="172">
        <f t="shared" si="5"/>
        <v>1.0286467080855857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8'!U27</f>
        <v>6</v>
      </c>
      <c r="K29" s="172">
        <f t="shared" si="2"/>
        <v>2.6642984014209592E-3</v>
      </c>
      <c r="L29" s="172">
        <f t="shared" si="6"/>
        <v>0.97424511545293058</v>
      </c>
      <c r="M29" s="173" t="str">
        <f t="shared" si="4"/>
        <v>C</v>
      </c>
    </row>
    <row r="30" spans="2:13" ht="26.5" outlineLevel="1" thickBot="1">
      <c r="B30" s="182" t="s">
        <v>179</v>
      </c>
      <c r="C30" s="171">
        <f>'Юнит 8'!AO60</f>
        <v>587.15632227249876</v>
      </c>
      <c r="D30" s="172">
        <f t="shared" si="0"/>
        <v>1.0242584997274221E-3</v>
      </c>
      <c r="E30" s="172">
        <f t="shared" si="5"/>
        <v>1.029670966585313</v>
      </c>
      <c r="F30" s="173" t="str">
        <f t="shared" si="3"/>
        <v>C</v>
      </c>
      <c r="G30" s="173" t="str">
        <f t="shared" si="1"/>
        <v>C</v>
      </c>
      <c r="I30" s="182" t="s">
        <v>200</v>
      </c>
      <c r="J30" s="171">
        <f>'Юнит 8'!U81</f>
        <v>6</v>
      </c>
      <c r="K30" s="172">
        <f t="shared" si="2"/>
        <v>2.6642984014209592E-3</v>
      </c>
      <c r="L30" s="172">
        <f t="shared" si="6"/>
        <v>0.97690941385435148</v>
      </c>
      <c r="M30" s="173" t="str">
        <f t="shared" si="4"/>
        <v>C</v>
      </c>
    </row>
    <row r="31" spans="2:13" ht="15" outlineLevel="1" thickBot="1">
      <c r="B31" s="182" t="s">
        <v>170</v>
      </c>
      <c r="C31" s="171">
        <f>'Юнит 8'!AO51</f>
        <v>506.35830628456506</v>
      </c>
      <c r="D31" s="172">
        <f t="shared" si="0"/>
        <v>8.8331127409515642E-4</v>
      </c>
      <c r="E31" s="172">
        <f t="shared" si="5"/>
        <v>1.0305542778594081</v>
      </c>
      <c r="F31" s="173" t="str">
        <f t="shared" si="3"/>
        <v>C</v>
      </c>
      <c r="G31" s="173" t="str">
        <f t="shared" si="1"/>
        <v>C</v>
      </c>
      <c r="I31" s="182" t="s">
        <v>153</v>
      </c>
      <c r="J31" s="171">
        <f>'Юнит 8'!U34</f>
        <v>5</v>
      </c>
      <c r="K31" s="172">
        <f t="shared" si="2"/>
        <v>2.2202486678507992E-3</v>
      </c>
      <c r="L31" s="172">
        <f t="shared" si="6"/>
        <v>0.97912966252220224</v>
      </c>
      <c r="M31" s="173" t="str">
        <f t="shared" si="4"/>
        <v>C</v>
      </c>
    </row>
    <row r="32" spans="2:13" ht="15" outlineLevel="1" thickBot="1">
      <c r="B32" s="182" t="s">
        <v>158</v>
      </c>
      <c r="C32" s="171">
        <f>'Юнит 8'!AO39</f>
        <v>506.1873834107592</v>
      </c>
      <c r="D32" s="172">
        <f t="shared" si="0"/>
        <v>8.8301310953547681E-4</v>
      </c>
      <c r="E32" s="172">
        <f t="shared" si="5"/>
        <v>1.0314372909689435</v>
      </c>
      <c r="F32" s="173" t="str">
        <f t="shared" si="3"/>
        <v>C</v>
      </c>
      <c r="G32" s="173" t="str">
        <f t="shared" si="1"/>
        <v>C</v>
      </c>
      <c r="I32" s="182" t="s">
        <v>208</v>
      </c>
      <c r="J32" s="171">
        <f>'Юнит 8'!U89</f>
        <v>4</v>
      </c>
      <c r="K32" s="172">
        <f t="shared" si="2"/>
        <v>1.7761989342806395E-3</v>
      </c>
      <c r="L32" s="172">
        <f t="shared" si="6"/>
        <v>0.98090586145648284</v>
      </c>
      <c r="M32" s="173" t="str">
        <f t="shared" si="4"/>
        <v>C</v>
      </c>
    </row>
    <row r="33" spans="2:13" ht="15" outlineLevel="1" thickBot="1">
      <c r="B33" s="182" t="s">
        <v>191</v>
      </c>
      <c r="C33" s="171">
        <f>'Юнит 8'!AO72</f>
        <v>459.07380000000018</v>
      </c>
      <c r="D33" s="172">
        <f t="shared" si="0"/>
        <v>8.0082632821237452E-4</v>
      </c>
      <c r="E33" s="172">
        <f t="shared" si="5"/>
        <v>1.032238117297156</v>
      </c>
      <c r="F33" s="173" t="str">
        <f t="shared" si="3"/>
        <v>C</v>
      </c>
      <c r="G33" s="173" t="str">
        <f t="shared" si="1"/>
        <v>C</v>
      </c>
      <c r="I33" s="182" t="s">
        <v>191</v>
      </c>
      <c r="J33" s="171">
        <f>'Юнит 8'!U72</f>
        <v>3</v>
      </c>
      <c r="K33" s="172">
        <f t="shared" si="2"/>
        <v>1.3321492007104796E-3</v>
      </c>
      <c r="L33" s="172">
        <f t="shared" si="6"/>
        <v>0.98223801065719329</v>
      </c>
      <c r="M33" s="173" t="str">
        <f t="shared" si="4"/>
        <v>C</v>
      </c>
    </row>
    <row r="34" spans="2:13" ht="15" outlineLevel="1" thickBot="1">
      <c r="B34" s="182" t="s">
        <v>152</v>
      </c>
      <c r="C34" s="171">
        <f>'Юнит 8'!AO33</f>
        <v>436.78676063499222</v>
      </c>
      <c r="D34" s="172">
        <f t="shared" si="0"/>
        <v>7.619479432960409E-4</v>
      </c>
      <c r="E34" s="172">
        <f t="shared" si="5"/>
        <v>1.0330000652404521</v>
      </c>
      <c r="F34" s="173" t="str">
        <f t="shared" si="3"/>
        <v>C</v>
      </c>
      <c r="G34" s="173" t="str">
        <f t="shared" si="1"/>
        <v>C</v>
      </c>
      <c r="I34" s="182" t="s">
        <v>192</v>
      </c>
      <c r="J34" s="171">
        <f>'Юнит 8'!U73</f>
        <v>3</v>
      </c>
      <c r="K34" s="172">
        <f t="shared" si="2"/>
        <v>1.3321492007104796E-3</v>
      </c>
      <c r="L34" s="172">
        <f t="shared" si="6"/>
        <v>0.98357015985790375</v>
      </c>
      <c r="M34" s="173" t="str">
        <f t="shared" si="4"/>
        <v>C</v>
      </c>
    </row>
    <row r="35" spans="2:13" ht="26.5" outlineLevel="1" thickBot="1">
      <c r="B35" s="182" t="s">
        <v>206</v>
      </c>
      <c r="C35" s="171">
        <f>'Юнит 8'!AO87</f>
        <v>430.51833197586734</v>
      </c>
      <c r="D35" s="172">
        <f t="shared" si="0"/>
        <v>7.5101305067801693E-4</v>
      </c>
      <c r="E35" s="172">
        <f t="shared" si="5"/>
        <v>1.0337510782911301</v>
      </c>
      <c r="F35" s="173" t="str">
        <f t="shared" si="3"/>
        <v>C</v>
      </c>
      <c r="G35" s="173" t="str">
        <f t="shared" si="1"/>
        <v>C</v>
      </c>
      <c r="I35" s="182" t="s">
        <v>195</v>
      </c>
      <c r="J35" s="171">
        <f>'Юнит 8'!U76</f>
        <v>3</v>
      </c>
      <c r="K35" s="172">
        <f t="shared" si="2"/>
        <v>1.3321492007104796E-3</v>
      </c>
      <c r="L35" s="172">
        <f t="shared" si="6"/>
        <v>0.9849023090586142</v>
      </c>
      <c r="M35" s="173" t="str">
        <f t="shared" si="4"/>
        <v>C</v>
      </c>
    </row>
    <row r="36" spans="2:13" ht="26.5" outlineLevel="1" thickBot="1">
      <c r="B36" s="182" t="s">
        <v>162</v>
      </c>
      <c r="C36" s="171">
        <f>'Юнит 8'!AO43</f>
        <v>376.87501312217194</v>
      </c>
      <c r="D36" s="172">
        <f t="shared" ref="D36:D67" si="7">C36/C$105</f>
        <v>6.5743554294237503E-4</v>
      </c>
      <c r="E36" s="172">
        <f t="shared" si="5"/>
        <v>1.0344085138340724</v>
      </c>
      <c r="F36" s="173" t="str">
        <f t="shared" si="3"/>
        <v>C</v>
      </c>
      <c r="G36" s="173" t="str">
        <f t="shared" ref="G36:G67" si="8">VLOOKUP(B$4:B$104,I$4:M$104,5,0)</f>
        <v>C</v>
      </c>
      <c r="I36" s="182" t="s">
        <v>207</v>
      </c>
      <c r="J36" s="171">
        <f>'Юнит 8'!U88</f>
        <v>3</v>
      </c>
      <c r="K36" s="172">
        <f t="shared" ref="K36:K67" si="9">J36/J$105</f>
        <v>1.3321492007104796E-3</v>
      </c>
      <c r="L36" s="172">
        <f t="shared" si="6"/>
        <v>0.98623445825932465</v>
      </c>
      <c r="M36" s="173" t="str">
        <f t="shared" si="4"/>
        <v>C</v>
      </c>
    </row>
    <row r="37" spans="2:13" ht="15" outlineLevel="1" thickBot="1">
      <c r="B37" s="182" t="s">
        <v>153</v>
      </c>
      <c r="C37" s="171">
        <f>'Юнит 8'!AO34</f>
        <v>370.30619500000029</v>
      </c>
      <c r="D37" s="172">
        <f t="shared" si="7"/>
        <v>6.4597663917249405E-4</v>
      </c>
      <c r="E37" s="172">
        <f t="shared" si="5"/>
        <v>1.0350544904732448</v>
      </c>
      <c r="F37" s="173" t="str">
        <f t="shared" si="3"/>
        <v>C</v>
      </c>
      <c r="G37" s="173" t="str">
        <f t="shared" si="8"/>
        <v>C</v>
      </c>
      <c r="I37" s="182" t="s">
        <v>144</v>
      </c>
      <c r="J37" s="171">
        <f>'Юнит 8'!U25</f>
        <v>2</v>
      </c>
      <c r="K37" s="172">
        <f t="shared" si="9"/>
        <v>8.8809946714031975E-4</v>
      </c>
      <c r="L37" s="172">
        <f t="shared" si="6"/>
        <v>0.98712255772646496</v>
      </c>
      <c r="M37" s="173" t="str">
        <f t="shared" si="4"/>
        <v>C</v>
      </c>
    </row>
    <row r="38" spans="2:13" ht="15" outlineLevel="1" thickBot="1">
      <c r="B38" s="182" t="s">
        <v>210</v>
      </c>
      <c r="C38" s="171">
        <f>'Юнит 8'!AO91</f>
        <v>324.66858484162867</v>
      </c>
      <c r="D38" s="172">
        <f t="shared" si="7"/>
        <v>5.6636460343550249E-4</v>
      </c>
      <c r="E38" s="172">
        <f t="shared" si="5"/>
        <v>1.0356208550766803</v>
      </c>
      <c r="F38" s="173" t="str">
        <f t="shared" si="3"/>
        <v>C</v>
      </c>
      <c r="G38" s="173" t="str">
        <f t="shared" si="8"/>
        <v>C</v>
      </c>
      <c r="I38" s="182" t="s">
        <v>150</v>
      </c>
      <c r="J38" s="171">
        <f>'Юнит 8'!U31</f>
        <v>2</v>
      </c>
      <c r="K38" s="172">
        <f t="shared" si="9"/>
        <v>8.8809946714031975E-4</v>
      </c>
      <c r="L38" s="172">
        <f t="shared" si="6"/>
        <v>0.98801065719360526</v>
      </c>
      <c r="M38" s="173" t="str">
        <f t="shared" si="4"/>
        <v>C</v>
      </c>
    </row>
    <row r="39" spans="2:13" ht="15" outlineLevel="1" thickBot="1">
      <c r="B39" s="182" t="s">
        <v>141</v>
      </c>
      <c r="C39" s="171">
        <f>'Юнит 8'!AO22</f>
        <v>319.18295314228254</v>
      </c>
      <c r="D39" s="172">
        <f t="shared" si="7"/>
        <v>5.5679525251259472E-4</v>
      </c>
      <c r="E39" s="172">
        <f>E35+D39</f>
        <v>1.0343078735436426</v>
      </c>
      <c r="F39" s="173" t="str">
        <f t="shared" si="3"/>
        <v>C</v>
      </c>
      <c r="G39" s="173" t="str">
        <f t="shared" si="8"/>
        <v>C</v>
      </c>
      <c r="I39" s="182" t="s">
        <v>158</v>
      </c>
      <c r="J39" s="171">
        <f>'Юнит 8'!U39</f>
        <v>2</v>
      </c>
      <c r="K39" s="172">
        <f t="shared" si="9"/>
        <v>8.8809946714031975E-4</v>
      </c>
      <c r="L39" s="172">
        <f>L35+K39</f>
        <v>0.9857904085257545</v>
      </c>
      <c r="M39" s="173" t="str">
        <f t="shared" si="4"/>
        <v>C</v>
      </c>
    </row>
    <row r="40" spans="2:13" ht="15" outlineLevel="1" thickBot="1">
      <c r="B40" s="182" t="s">
        <v>192</v>
      </c>
      <c r="C40" s="171">
        <f>'Юнит 8'!AO73</f>
        <v>293.23090000000002</v>
      </c>
      <c r="D40" s="172">
        <f t="shared" si="7"/>
        <v>5.1152347392817866E-4</v>
      </c>
      <c r="E40" s="172">
        <f t="shared" si="5"/>
        <v>1.0348193970175708</v>
      </c>
      <c r="F40" s="173" t="str">
        <f t="shared" si="3"/>
        <v>C</v>
      </c>
      <c r="G40" s="173" t="str">
        <f t="shared" si="8"/>
        <v>C</v>
      </c>
      <c r="I40" s="182" t="s">
        <v>162</v>
      </c>
      <c r="J40" s="171">
        <f>'Юнит 8'!U43</f>
        <v>2</v>
      </c>
      <c r="K40" s="172">
        <f t="shared" si="9"/>
        <v>8.8809946714031975E-4</v>
      </c>
      <c r="L40" s="172">
        <f t="shared" si="6"/>
        <v>0.9866785079928948</v>
      </c>
      <c r="M40" s="173" t="str">
        <f t="shared" si="4"/>
        <v>C</v>
      </c>
    </row>
    <row r="41" spans="2:13" ht="15" outlineLevel="1" thickBot="1">
      <c r="B41" s="182" t="s">
        <v>163</v>
      </c>
      <c r="C41" s="171">
        <f>'Юнит 8'!AO44</f>
        <v>285.1997593262945</v>
      </c>
      <c r="D41" s="172">
        <f t="shared" si="7"/>
        <v>4.9751363738973831E-4</v>
      </c>
      <c r="E41" s="172">
        <f t="shared" si="5"/>
        <v>1.0353169106549605</v>
      </c>
      <c r="F41" s="173" t="str">
        <f t="shared" si="3"/>
        <v>C</v>
      </c>
      <c r="G41" s="173" t="str">
        <f t="shared" si="8"/>
        <v>C</v>
      </c>
      <c r="I41" s="182" t="s">
        <v>170</v>
      </c>
      <c r="J41" s="171">
        <f>'Юнит 8'!U51</f>
        <v>2</v>
      </c>
      <c r="K41" s="172">
        <f t="shared" si="9"/>
        <v>8.8809946714031975E-4</v>
      </c>
      <c r="L41" s="172">
        <f t="shared" si="6"/>
        <v>0.98756660746003511</v>
      </c>
      <c r="M41" s="173" t="str">
        <f t="shared" si="4"/>
        <v>C</v>
      </c>
    </row>
    <row r="42" spans="2:13" ht="15" outlineLevel="1" thickBot="1">
      <c r="B42" s="182" t="s">
        <v>193</v>
      </c>
      <c r="C42" s="171">
        <f>'Юнит 8'!AO74</f>
        <v>275.47580000000005</v>
      </c>
      <c r="D42" s="172">
        <f t="shared" si="7"/>
        <v>4.8055078165072022E-4</v>
      </c>
      <c r="E42" s="172">
        <f t="shared" si="5"/>
        <v>1.0357974614366112</v>
      </c>
      <c r="F42" s="173" t="str">
        <f t="shared" si="3"/>
        <v>C</v>
      </c>
      <c r="G42" s="173" t="str">
        <f t="shared" si="8"/>
        <v>C</v>
      </c>
      <c r="I42" s="182" t="s">
        <v>177</v>
      </c>
      <c r="J42" s="171">
        <f>'Юнит 8'!U58</f>
        <v>2</v>
      </c>
      <c r="K42" s="172">
        <f t="shared" si="9"/>
        <v>8.8809946714031975E-4</v>
      </c>
      <c r="L42" s="172">
        <f t="shared" si="6"/>
        <v>0.98845470692717541</v>
      </c>
      <c r="M42" s="173" t="str">
        <f t="shared" si="4"/>
        <v>C</v>
      </c>
    </row>
    <row r="43" spans="2:13" ht="15" outlineLevel="1" thickBot="1">
      <c r="B43" s="182" t="s">
        <v>150</v>
      </c>
      <c r="C43" s="171">
        <f>'Юнит 8'!AO31</f>
        <v>263.47969999999987</v>
      </c>
      <c r="D43" s="172">
        <f t="shared" si="7"/>
        <v>4.5962431467336576E-4</v>
      </c>
      <c r="E43" s="172">
        <f t="shared" si="5"/>
        <v>1.0362570857512845</v>
      </c>
      <c r="F43" s="173" t="str">
        <f t="shared" si="3"/>
        <v>C</v>
      </c>
      <c r="G43" s="173" t="str">
        <f t="shared" si="8"/>
        <v>C</v>
      </c>
      <c r="I43" s="182" t="s">
        <v>179</v>
      </c>
      <c r="J43" s="171">
        <f>'Юнит 8'!U60</f>
        <v>2</v>
      </c>
      <c r="K43" s="172">
        <f t="shared" si="9"/>
        <v>8.8809946714031975E-4</v>
      </c>
      <c r="L43" s="172">
        <f t="shared" si="6"/>
        <v>0.98934280639431571</v>
      </c>
      <c r="M43" s="173" t="str">
        <f t="shared" si="4"/>
        <v>C</v>
      </c>
    </row>
    <row r="44" spans="2:13" ht="26.5" outlineLevel="1" thickBot="1">
      <c r="B44" s="182" t="s">
        <v>172</v>
      </c>
      <c r="C44" s="171">
        <f>'Юнит 8'!AO53</f>
        <v>251.98579768727998</v>
      </c>
      <c r="D44" s="172">
        <f t="shared" si="7"/>
        <v>4.3957390102325727E-4</v>
      </c>
      <c r="E44" s="172">
        <f t="shared" si="5"/>
        <v>1.0366966596523077</v>
      </c>
      <c r="F44" s="173" t="str">
        <f t="shared" si="3"/>
        <v>C</v>
      </c>
      <c r="G44" s="173" t="str">
        <f t="shared" si="8"/>
        <v>C</v>
      </c>
      <c r="I44" s="182" t="s">
        <v>186</v>
      </c>
      <c r="J44" s="171">
        <f>'Юнит 8'!U67</f>
        <v>2</v>
      </c>
      <c r="K44" s="172">
        <f t="shared" si="9"/>
        <v>8.8809946714031975E-4</v>
      </c>
      <c r="L44" s="172">
        <f t="shared" si="6"/>
        <v>0.99023090586145601</v>
      </c>
      <c r="M44" s="173" t="str">
        <f t="shared" si="4"/>
        <v>C</v>
      </c>
    </row>
    <row r="45" spans="2:13" ht="26.5" outlineLevel="1" thickBot="1">
      <c r="B45" s="182" t="s">
        <v>199</v>
      </c>
      <c r="C45" s="171">
        <f>'Юнит 8'!AO80</f>
        <v>236.69478511814989</v>
      </c>
      <c r="D45" s="172">
        <f t="shared" si="7"/>
        <v>4.1289965942988883E-4</v>
      </c>
      <c r="E45" s="172">
        <f t="shared" si="5"/>
        <v>1.0371095593117376</v>
      </c>
      <c r="F45" s="173" t="str">
        <f t="shared" si="3"/>
        <v>C</v>
      </c>
      <c r="G45" s="173" t="str">
        <f t="shared" si="8"/>
        <v>C</v>
      </c>
      <c r="I45" s="182" t="s">
        <v>210</v>
      </c>
      <c r="J45" s="171">
        <f>'Юнит 8'!U91</f>
        <v>2</v>
      </c>
      <c r="K45" s="172">
        <f t="shared" si="9"/>
        <v>8.8809946714031975E-4</v>
      </c>
      <c r="L45" s="172">
        <f t="shared" si="6"/>
        <v>0.99111900532859631</v>
      </c>
      <c r="M45" s="173" t="str">
        <f t="shared" si="4"/>
        <v>C</v>
      </c>
    </row>
    <row r="46" spans="2:13" ht="15" outlineLevel="1" thickBot="1">
      <c r="B46" s="182" t="s">
        <v>217</v>
      </c>
      <c r="C46" s="171">
        <f>'Юнит 8'!AO98</f>
        <v>225.47693142282566</v>
      </c>
      <c r="D46" s="172">
        <f t="shared" si="7"/>
        <v>3.9333079580654523E-4</v>
      </c>
      <c r="E46" s="172">
        <f t="shared" si="5"/>
        <v>1.0375028901075443</v>
      </c>
      <c r="F46" s="173" t="str">
        <f t="shared" si="3"/>
        <v>C</v>
      </c>
      <c r="G46" s="173" t="str">
        <f t="shared" si="8"/>
        <v>C</v>
      </c>
      <c r="I46" s="182" t="s">
        <v>217</v>
      </c>
      <c r="J46" s="171">
        <f>'Юнит 8'!U98</f>
        <v>2</v>
      </c>
      <c r="K46" s="172">
        <f t="shared" si="9"/>
        <v>8.8809946714031975E-4</v>
      </c>
      <c r="L46" s="172">
        <f t="shared" si="6"/>
        <v>0.99200710479573662</v>
      </c>
      <c r="M46" s="173" t="str">
        <f t="shared" si="4"/>
        <v>C</v>
      </c>
    </row>
    <row r="47" spans="2:13" ht="15" outlineLevel="1" thickBot="1">
      <c r="B47" s="182" t="s">
        <v>175</v>
      </c>
      <c r="C47" s="171">
        <f>'Юнит 8'!AO56</f>
        <v>124.37729999999993</v>
      </c>
      <c r="D47" s="172">
        <f t="shared" si="7"/>
        <v>2.1696863657209121E-4</v>
      </c>
      <c r="E47" s="172">
        <f t="shared" si="5"/>
        <v>1.0377198587441163</v>
      </c>
      <c r="F47" s="173" t="str">
        <f t="shared" si="3"/>
        <v>C</v>
      </c>
      <c r="G47" s="173" t="str">
        <f t="shared" si="8"/>
        <v>C</v>
      </c>
      <c r="I47" s="182" t="s">
        <v>258</v>
      </c>
      <c r="J47" s="171">
        <f>'Юнит 8'!U101</f>
        <v>2</v>
      </c>
      <c r="K47" s="172">
        <f t="shared" si="9"/>
        <v>8.8809946714031975E-4</v>
      </c>
      <c r="L47" s="172">
        <f t="shared" si="6"/>
        <v>0.99289520426287692</v>
      </c>
      <c r="M47" s="173" t="str">
        <f t="shared" si="4"/>
        <v>C</v>
      </c>
    </row>
    <row r="48" spans="2:13" ht="15" outlineLevel="1" thickBot="1">
      <c r="B48" s="182" t="s">
        <v>148</v>
      </c>
      <c r="C48" s="171">
        <f>'Юнит 8'!AO29</f>
        <v>122.92230000000001</v>
      </c>
      <c r="D48" s="172">
        <f t="shared" si="7"/>
        <v>2.1443047754940477E-4</v>
      </c>
      <c r="E48" s="172">
        <f t="shared" si="5"/>
        <v>1.0379342892216656</v>
      </c>
      <c r="F48" s="173" t="str">
        <f t="shared" si="3"/>
        <v>C</v>
      </c>
      <c r="G48" s="173" t="str">
        <f t="shared" si="8"/>
        <v>C</v>
      </c>
      <c r="I48" s="182" t="s">
        <v>141</v>
      </c>
      <c r="J48" s="171">
        <f>'Юнит 8'!U22</f>
        <v>1</v>
      </c>
      <c r="K48" s="172">
        <f t="shared" si="9"/>
        <v>4.4404973357015987E-4</v>
      </c>
      <c r="L48" s="172">
        <f t="shared" si="6"/>
        <v>0.99333925399644707</v>
      </c>
      <c r="M48" s="173" t="str">
        <f t="shared" si="4"/>
        <v>C</v>
      </c>
    </row>
    <row r="49" spans="2:13" ht="15" outlineLevel="1" thickBot="1">
      <c r="B49" s="182" t="s">
        <v>156</v>
      </c>
      <c r="C49" s="171">
        <f>'Юнит 8'!AO37</f>
        <v>87.553265711412735</v>
      </c>
      <c r="D49" s="172">
        <f t="shared" si="7"/>
        <v>1.5273134799388035E-4</v>
      </c>
      <c r="E49" s="172">
        <f t="shared" si="5"/>
        <v>1.0380870205696595</v>
      </c>
      <c r="F49" s="173" t="str">
        <f t="shared" si="3"/>
        <v>C</v>
      </c>
      <c r="G49" s="173" t="str">
        <f t="shared" si="8"/>
        <v>C</v>
      </c>
      <c r="I49" s="182" t="s">
        <v>148</v>
      </c>
      <c r="J49" s="171">
        <f>'Юнит 8'!U29</f>
        <v>1</v>
      </c>
      <c r="K49" s="172">
        <f t="shared" si="9"/>
        <v>4.4404973357015987E-4</v>
      </c>
      <c r="L49" s="172">
        <f t="shared" si="6"/>
        <v>0.99378330373001722</v>
      </c>
      <c r="M49" s="173" t="str">
        <f t="shared" si="4"/>
        <v>C</v>
      </c>
    </row>
    <row r="50" spans="2:13" ht="15" outlineLevel="1" thickBot="1">
      <c r="B50" s="182" t="s">
        <v>149</v>
      </c>
      <c r="C50" s="171">
        <f>'Юнит 8'!AO30</f>
        <v>72.863600000000019</v>
      </c>
      <c r="D50" s="172">
        <f t="shared" si="7"/>
        <v>1.271061194264085E-4</v>
      </c>
      <c r="E50" s="172">
        <f t="shared" si="5"/>
        <v>1.0382141266890859</v>
      </c>
      <c r="F50" s="173" t="str">
        <f t="shared" si="3"/>
        <v>C</v>
      </c>
      <c r="G50" s="173" t="str">
        <f t="shared" si="8"/>
        <v>C</v>
      </c>
      <c r="I50" s="182" t="s">
        <v>149</v>
      </c>
      <c r="J50" s="171">
        <f>'Юнит 8'!U30</f>
        <v>1</v>
      </c>
      <c r="K50" s="172">
        <f t="shared" si="9"/>
        <v>4.4404973357015987E-4</v>
      </c>
      <c r="L50" s="172">
        <f t="shared" si="6"/>
        <v>0.99422735346358737</v>
      </c>
      <c r="M50" s="173" t="str">
        <f t="shared" si="4"/>
        <v>C</v>
      </c>
    </row>
    <row r="51" spans="2:13" ht="26.5" outlineLevel="1" thickBot="1">
      <c r="B51" s="182" t="s">
        <v>138</v>
      </c>
      <c r="C51" s="171">
        <f>'Юнит 8'!AO19</f>
        <v>0</v>
      </c>
      <c r="D51" s="172">
        <f t="shared" si="7"/>
        <v>0</v>
      </c>
      <c r="E51" s="172">
        <f t="shared" si="5"/>
        <v>1.0382141266890859</v>
      </c>
      <c r="F51" s="173" t="str">
        <f t="shared" si="3"/>
        <v>C</v>
      </c>
      <c r="G51" s="173" t="str">
        <f t="shared" si="8"/>
        <v>C</v>
      </c>
      <c r="I51" s="182" t="s">
        <v>156</v>
      </c>
      <c r="J51" s="171">
        <f>'Юнит 8'!U37</f>
        <v>1</v>
      </c>
      <c r="K51" s="172">
        <f t="shared" si="9"/>
        <v>4.4404973357015987E-4</v>
      </c>
      <c r="L51" s="172">
        <f t="shared" si="6"/>
        <v>0.99467140319715752</v>
      </c>
      <c r="M51" s="173" t="str">
        <f t="shared" si="4"/>
        <v>C</v>
      </c>
    </row>
    <row r="52" spans="2:13" ht="26.5" outlineLevel="1" thickBot="1">
      <c r="B52" s="182" t="s">
        <v>139</v>
      </c>
      <c r="C52" s="171">
        <f>'Юнит 8'!AO20</f>
        <v>0</v>
      </c>
      <c r="D52" s="172">
        <f t="shared" si="7"/>
        <v>0</v>
      </c>
      <c r="E52" s="172">
        <f t="shared" si="5"/>
        <v>1.0382141266890859</v>
      </c>
      <c r="F52" s="173" t="str">
        <f t="shared" si="3"/>
        <v>C</v>
      </c>
      <c r="G52" s="173" t="str">
        <f t="shared" si="8"/>
        <v>C</v>
      </c>
      <c r="I52" s="182" t="s">
        <v>172</v>
      </c>
      <c r="J52" s="171">
        <f>'Юнит 8'!U53</f>
        <v>1</v>
      </c>
      <c r="K52" s="172">
        <f t="shared" si="9"/>
        <v>4.4404973357015987E-4</v>
      </c>
      <c r="L52" s="172">
        <f t="shared" si="6"/>
        <v>0.99511545293072767</v>
      </c>
      <c r="M52" s="173" t="str">
        <f t="shared" si="4"/>
        <v>C</v>
      </c>
    </row>
    <row r="53" spans="2:13" ht="15" outlineLevel="1" thickBot="1">
      <c r="B53" s="182" t="s">
        <v>142</v>
      </c>
      <c r="C53" s="171">
        <f>'Юнит 8'!AO23</f>
        <v>0</v>
      </c>
      <c r="D53" s="172">
        <f t="shared" si="7"/>
        <v>0</v>
      </c>
      <c r="E53" s="172">
        <f t="shared" si="5"/>
        <v>1.0382141266890859</v>
      </c>
      <c r="F53" s="173" t="str">
        <f t="shared" si="3"/>
        <v>C</v>
      </c>
      <c r="G53" s="173" t="str">
        <f t="shared" si="8"/>
        <v>C</v>
      </c>
      <c r="I53" s="182" t="s">
        <v>173</v>
      </c>
      <c r="J53" s="171">
        <f>'Юнит 8'!U54</f>
        <v>1</v>
      </c>
      <c r="K53" s="172">
        <f t="shared" si="9"/>
        <v>4.4404973357015987E-4</v>
      </c>
      <c r="L53" s="172">
        <f t="shared" si="6"/>
        <v>0.99555950266429782</v>
      </c>
      <c r="M53" s="173" t="str">
        <f t="shared" si="4"/>
        <v>C</v>
      </c>
    </row>
    <row r="54" spans="2:13" ht="15" outlineLevel="1" thickBot="1">
      <c r="B54" s="182" t="s">
        <v>143</v>
      </c>
      <c r="C54" s="171">
        <f>'Юнит 8'!AO24</f>
        <v>0</v>
      </c>
      <c r="D54" s="172">
        <f t="shared" si="7"/>
        <v>0</v>
      </c>
      <c r="E54" s="172">
        <f t="shared" si="5"/>
        <v>1.0382141266890859</v>
      </c>
      <c r="F54" s="173" t="str">
        <f t="shared" si="3"/>
        <v>C</v>
      </c>
      <c r="G54" s="173" t="str">
        <f t="shared" si="8"/>
        <v>C</v>
      </c>
      <c r="I54" s="182" t="s">
        <v>175</v>
      </c>
      <c r="J54" s="171">
        <f>'Юнит 8'!U56</f>
        <v>1</v>
      </c>
      <c r="K54" s="172">
        <f t="shared" si="9"/>
        <v>4.4404973357015987E-4</v>
      </c>
      <c r="L54" s="172">
        <f t="shared" si="6"/>
        <v>0.99600355239786798</v>
      </c>
      <c r="M54" s="173" t="str">
        <f t="shared" si="4"/>
        <v>C</v>
      </c>
    </row>
    <row r="55" spans="2:13" ht="15" outlineLevel="1" thickBot="1">
      <c r="B55" s="182" t="s">
        <v>151</v>
      </c>
      <c r="C55" s="171">
        <f>'Юнит 8'!AO32</f>
        <v>0</v>
      </c>
      <c r="D55" s="172">
        <f t="shared" si="7"/>
        <v>0</v>
      </c>
      <c r="E55" s="172">
        <f t="shared" si="5"/>
        <v>1.0382141266890859</v>
      </c>
      <c r="F55" s="173" t="str">
        <f t="shared" si="3"/>
        <v>C</v>
      </c>
      <c r="G55" s="173" t="str">
        <f t="shared" si="8"/>
        <v>C</v>
      </c>
      <c r="I55" s="182" t="s">
        <v>190</v>
      </c>
      <c r="J55" s="171">
        <f>'Юнит 8'!U71</f>
        <v>1</v>
      </c>
      <c r="K55" s="172">
        <f t="shared" si="9"/>
        <v>4.4404973357015987E-4</v>
      </c>
      <c r="L55" s="172">
        <f t="shared" si="6"/>
        <v>0.99644760213143813</v>
      </c>
      <c r="M55" s="173" t="str">
        <f t="shared" si="4"/>
        <v>C</v>
      </c>
    </row>
    <row r="56" spans="2:13" ht="15" outlineLevel="1" thickBot="1">
      <c r="B56" s="182" t="s">
        <v>154</v>
      </c>
      <c r="C56" s="171">
        <f>'Юнит 8'!AO35</f>
        <v>0</v>
      </c>
      <c r="D56" s="172">
        <f t="shared" si="7"/>
        <v>0</v>
      </c>
      <c r="E56" s="172">
        <f t="shared" si="5"/>
        <v>1.0382141266890859</v>
      </c>
      <c r="F56" s="173" t="str">
        <f t="shared" si="3"/>
        <v>C</v>
      </c>
      <c r="G56" s="173" t="str">
        <f t="shared" si="8"/>
        <v>C</v>
      </c>
      <c r="I56" s="182" t="s">
        <v>193</v>
      </c>
      <c r="J56" s="171">
        <f>'Юнит 8'!U74</f>
        <v>1</v>
      </c>
      <c r="K56" s="172">
        <f t="shared" si="9"/>
        <v>4.4404973357015987E-4</v>
      </c>
      <c r="L56" s="172">
        <f t="shared" si="6"/>
        <v>0.99689165186500828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8'!AO36</f>
        <v>0</v>
      </c>
      <c r="D57" s="172">
        <f t="shared" si="7"/>
        <v>0</v>
      </c>
      <c r="E57" s="172">
        <f t="shared" si="5"/>
        <v>1.0382141266890859</v>
      </c>
      <c r="F57" s="173" t="str">
        <f t="shared" si="3"/>
        <v>C</v>
      </c>
      <c r="G57" s="173" t="str">
        <f t="shared" si="8"/>
        <v>C</v>
      </c>
      <c r="I57" s="182" t="s">
        <v>199</v>
      </c>
      <c r="J57" s="171">
        <f>'Юнит 8'!U80</f>
        <v>1</v>
      </c>
      <c r="K57" s="172">
        <f t="shared" si="9"/>
        <v>4.4404973357015987E-4</v>
      </c>
      <c r="L57" s="172">
        <f t="shared" si="6"/>
        <v>0.99733570159857843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8'!AO46</f>
        <v>0</v>
      </c>
      <c r="D58" s="172">
        <f t="shared" si="7"/>
        <v>0</v>
      </c>
      <c r="E58" s="172">
        <f t="shared" si="5"/>
        <v>1.0382141266890859</v>
      </c>
      <c r="F58" s="173" t="str">
        <f t="shared" si="3"/>
        <v>C</v>
      </c>
      <c r="G58" s="173" t="str">
        <f t="shared" si="8"/>
        <v>C</v>
      </c>
      <c r="I58" s="182" t="s">
        <v>206</v>
      </c>
      <c r="J58" s="171">
        <f>'Юнит 8'!U87</f>
        <v>1</v>
      </c>
      <c r="K58" s="172">
        <f t="shared" si="9"/>
        <v>4.4404973357015987E-4</v>
      </c>
      <c r="L58" s="172">
        <f t="shared" si="6"/>
        <v>0.99777975133214858</v>
      </c>
      <c r="M58" s="173" t="str">
        <f t="shared" si="4"/>
        <v>C</v>
      </c>
    </row>
    <row r="59" spans="2:13" ht="26.5" outlineLevel="1" thickBot="1">
      <c r="B59" s="182" t="s">
        <v>176</v>
      </c>
      <c r="C59" s="171">
        <f>'Юнит 8'!AO57</f>
        <v>0</v>
      </c>
      <c r="D59" s="172">
        <f t="shared" si="7"/>
        <v>0</v>
      </c>
      <c r="E59" s="172">
        <f t="shared" si="5"/>
        <v>1.0382141266890859</v>
      </c>
      <c r="F59" s="173" t="str">
        <f t="shared" si="3"/>
        <v>C</v>
      </c>
      <c r="G59" s="173" t="str">
        <f t="shared" si="8"/>
        <v>C</v>
      </c>
      <c r="I59" s="182" t="s">
        <v>138</v>
      </c>
      <c r="J59" s="171">
        <f>'Юнит 8'!U19</f>
        <v>0</v>
      </c>
      <c r="K59" s="172">
        <f t="shared" si="9"/>
        <v>0</v>
      </c>
      <c r="L59" s="172">
        <f t="shared" si="6"/>
        <v>0.99777975133214858</v>
      </c>
      <c r="M59" s="173" t="str">
        <f t="shared" si="4"/>
        <v>C</v>
      </c>
    </row>
    <row r="60" spans="2:13" ht="15" outlineLevel="1" thickBot="1">
      <c r="B60" s="182" t="s">
        <v>178</v>
      </c>
      <c r="C60" s="171">
        <f>'Юнит 8'!AO59</f>
        <v>0</v>
      </c>
      <c r="D60" s="172">
        <f t="shared" si="7"/>
        <v>0</v>
      </c>
      <c r="E60" s="172">
        <f t="shared" si="5"/>
        <v>1.0382141266890859</v>
      </c>
      <c r="F60" s="173" t="str">
        <f t="shared" si="3"/>
        <v>C</v>
      </c>
      <c r="G60" s="173" t="str">
        <f t="shared" si="8"/>
        <v>C</v>
      </c>
      <c r="I60" s="182" t="s">
        <v>139</v>
      </c>
      <c r="J60" s="171">
        <f>'Юнит 8'!U20</f>
        <v>0</v>
      </c>
      <c r="K60" s="172">
        <f t="shared" si="9"/>
        <v>0</v>
      </c>
      <c r="L60" s="172">
        <f t="shared" si="6"/>
        <v>0.99777975133214858</v>
      </c>
      <c r="M60" s="173" t="str">
        <f t="shared" si="4"/>
        <v>C</v>
      </c>
    </row>
    <row r="61" spans="2:13" ht="15" outlineLevel="1" thickBot="1">
      <c r="B61" s="182" t="s">
        <v>181</v>
      </c>
      <c r="C61" s="171">
        <f>'Юнит 8'!AO62</f>
        <v>0</v>
      </c>
      <c r="D61" s="172">
        <f t="shared" si="7"/>
        <v>0</v>
      </c>
      <c r="E61" s="172">
        <f t="shared" si="5"/>
        <v>1.0382141266890859</v>
      </c>
      <c r="F61" s="173" t="str">
        <f t="shared" si="3"/>
        <v>C</v>
      </c>
      <c r="G61" s="173" t="str">
        <f t="shared" si="8"/>
        <v>C</v>
      </c>
      <c r="I61" s="182" t="s">
        <v>140</v>
      </c>
      <c r="J61" s="171">
        <f>'Юнит 8'!U21</f>
        <v>0</v>
      </c>
      <c r="K61" s="172">
        <f t="shared" si="9"/>
        <v>0</v>
      </c>
      <c r="L61" s="172">
        <f t="shared" si="6"/>
        <v>0.99777975133214858</v>
      </c>
      <c r="M61" s="173" t="str">
        <f t="shared" si="4"/>
        <v>C</v>
      </c>
    </row>
    <row r="62" spans="2:13" ht="15" outlineLevel="1" thickBot="1">
      <c r="B62" s="182" t="s">
        <v>182</v>
      </c>
      <c r="C62" s="171">
        <f>'Юнит 8'!AO63</f>
        <v>0</v>
      </c>
      <c r="D62" s="172">
        <f t="shared" si="7"/>
        <v>0</v>
      </c>
      <c r="E62" s="172">
        <f t="shared" si="5"/>
        <v>1.0382141266890859</v>
      </c>
      <c r="F62" s="173" t="str">
        <f t="shared" si="3"/>
        <v>C</v>
      </c>
      <c r="G62" s="173" t="str">
        <f t="shared" si="8"/>
        <v>C</v>
      </c>
      <c r="I62" s="182" t="s">
        <v>142</v>
      </c>
      <c r="J62" s="171">
        <f>'Юнит 8'!U23</f>
        <v>0</v>
      </c>
      <c r="K62" s="172">
        <f t="shared" si="9"/>
        <v>0</v>
      </c>
      <c r="L62" s="172">
        <f t="shared" si="6"/>
        <v>0.99777975133214858</v>
      </c>
      <c r="M62" s="173" t="str">
        <f t="shared" si="4"/>
        <v>C</v>
      </c>
    </row>
    <row r="63" spans="2:13" ht="15" outlineLevel="1" thickBot="1">
      <c r="B63" s="182" t="s">
        <v>183</v>
      </c>
      <c r="C63" s="171">
        <f>'Юнит 8'!AO64</f>
        <v>0</v>
      </c>
      <c r="D63" s="172">
        <f t="shared" si="7"/>
        <v>0</v>
      </c>
      <c r="E63" s="172">
        <f t="shared" si="5"/>
        <v>1.0382141266890859</v>
      </c>
      <c r="F63" s="173" t="str">
        <f t="shared" si="3"/>
        <v>C</v>
      </c>
      <c r="G63" s="173" t="str">
        <f t="shared" si="8"/>
        <v>C</v>
      </c>
      <c r="I63" s="182" t="s">
        <v>143</v>
      </c>
      <c r="J63" s="171">
        <f>'Юнит 8'!U24</f>
        <v>0</v>
      </c>
      <c r="K63" s="172">
        <f t="shared" si="9"/>
        <v>0</v>
      </c>
      <c r="L63" s="172">
        <f t="shared" si="6"/>
        <v>0.99777975133214858</v>
      </c>
      <c r="M63" s="173" t="str">
        <f t="shared" si="4"/>
        <v>C</v>
      </c>
    </row>
    <row r="64" spans="2:13" ht="15" outlineLevel="1" thickBot="1">
      <c r="B64" s="182" t="s">
        <v>187</v>
      </c>
      <c r="C64" s="171">
        <f>'Юнит 8'!AO68</f>
        <v>0</v>
      </c>
      <c r="D64" s="172">
        <f t="shared" si="7"/>
        <v>0</v>
      </c>
      <c r="E64" s="172">
        <f t="shared" si="5"/>
        <v>1.0382141266890859</v>
      </c>
      <c r="F64" s="173" t="str">
        <f t="shared" si="3"/>
        <v>C</v>
      </c>
      <c r="G64" s="173" t="str">
        <f t="shared" si="8"/>
        <v>C</v>
      </c>
      <c r="I64" s="182" t="s">
        <v>151</v>
      </c>
      <c r="J64" s="171">
        <f>'Юнит 8'!U32</f>
        <v>0</v>
      </c>
      <c r="K64" s="172">
        <f t="shared" si="9"/>
        <v>0</v>
      </c>
      <c r="L64" s="172">
        <f t="shared" si="6"/>
        <v>0.99777975133214858</v>
      </c>
      <c r="M64" s="173" t="str">
        <f t="shared" si="4"/>
        <v>C</v>
      </c>
    </row>
    <row r="65" spans="2:13" ht="26.5" outlineLevel="1" thickBot="1">
      <c r="B65" s="182" t="s">
        <v>213</v>
      </c>
      <c r="C65" s="171">
        <f>'Юнит 8'!AO94</f>
        <v>0</v>
      </c>
      <c r="D65" s="172">
        <f t="shared" si="7"/>
        <v>0</v>
      </c>
      <c r="E65" s="172">
        <f t="shared" si="5"/>
        <v>1.0382141266890859</v>
      </c>
      <c r="F65" s="173" t="str">
        <f t="shared" si="3"/>
        <v>C</v>
      </c>
      <c r="G65" s="173" t="str">
        <f t="shared" si="8"/>
        <v>C</v>
      </c>
      <c r="I65" s="182" t="s">
        <v>154</v>
      </c>
      <c r="J65" s="171">
        <f>'Юнит 8'!U35</f>
        <v>0</v>
      </c>
      <c r="K65" s="172">
        <f t="shared" si="9"/>
        <v>0</v>
      </c>
      <c r="L65" s="172">
        <f t="shared" si="6"/>
        <v>0.99777975133214858</v>
      </c>
      <c r="M65" s="173" t="str">
        <f t="shared" si="4"/>
        <v>C</v>
      </c>
    </row>
    <row r="66" spans="2:13" ht="26.5" outlineLevel="1" thickBot="1">
      <c r="B66" s="182" t="s">
        <v>214</v>
      </c>
      <c r="C66" s="171">
        <f>'Юнит 8'!AO95</f>
        <v>0</v>
      </c>
      <c r="D66" s="172">
        <f t="shared" si="7"/>
        <v>0</v>
      </c>
      <c r="E66" s="172">
        <f t="shared" si="5"/>
        <v>1.0382141266890859</v>
      </c>
      <c r="F66" s="173" t="str">
        <f t="shared" si="3"/>
        <v>C</v>
      </c>
      <c r="G66" s="173" t="str">
        <f t="shared" si="8"/>
        <v>C</v>
      </c>
      <c r="I66" s="182" t="s">
        <v>155</v>
      </c>
      <c r="J66" s="171">
        <f>'Юнит 8'!U36</f>
        <v>0</v>
      </c>
      <c r="K66" s="172">
        <f t="shared" si="9"/>
        <v>0</v>
      </c>
      <c r="L66" s="172">
        <f t="shared" si="6"/>
        <v>0.99777975133214858</v>
      </c>
      <c r="M66" s="173" t="str">
        <f t="shared" si="4"/>
        <v>C</v>
      </c>
    </row>
    <row r="67" spans="2:13" ht="15" outlineLevel="1" thickBot="1">
      <c r="B67" s="182" t="s">
        <v>215</v>
      </c>
      <c r="C67" s="171">
        <f>'Юнит 8'!AO96</f>
        <v>0</v>
      </c>
      <c r="D67" s="172">
        <f t="shared" si="7"/>
        <v>0</v>
      </c>
      <c r="E67" s="172">
        <f t="shared" si="5"/>
        <v>1.0382141266890859</v>
      </c>
      <c r="F67" s="173" t="str">
        <f t="shared" si="3"/>
        <v>C</v>
      </c>
      <c r="G67" s="173" t="str">
        <f t="shared" si="8"/>
        <v>C</v>
      </c>
      <c r="I67" s="182" t="s">
        <v>157</v>
      </c>
      <c r="J67" s="171">
        <f>'Юнит 8'!U38</f>
        <v>0</v>
      </c>
      <c r="K67" s="172">
        <f t="shared" si="9"/>
        <v>0</v>
      </c>
      <c r="L67" s="172">
        <f t="shared" si="6"/>
        <v>0.99777975133214858</v>
      </c>
      <c r="M67" s="173" t="str">
        <f t="shared" si="4"/>
        <v>C</v>
      </c>
    </row>
    <row r="68" spans="2:13" ht="15" outlineLevel="1" thickBot="1">
      <c r="B68" s="182" t="s">
        <v>256</v>
      </c>
      <c r="C68" s="171">
        <f>'Юнит 8'!AO99</f>
        <v>0</v>
      </c>
      <c r="D68" s="172">
        <f t="shared" ref="D68:D99" si="10">C68/C$105</f>
        <v>0</v>
      </c>
      <c r="E68" s="172">
        <f t="shared" si="5"/>
        <v>1.0382141266890859</v>
      </c>
      <c r="F68" s="173" t="str">
        <f t="shared" si="3"/>
        <v>C</v>
      </c>
      <c r="G68" s="173" t="str">
        <f t="shared" ref="G68:G99" si="11">VLOOKUP(B$4:B$104,I$4:M$104,5,0)</f>
        <v>C</v>
      </c>
      <c r="I68" s="182" t="s">
        <v>159</v>
      </c>
      <c r="J68" s="171">
        <f>'Юнит 8'!U40</f>
        <v>0</v>
      </c>
      <c r="K68" s="172">
        <f t="shared" ref="K68:K99" si="12">J68/J$105</f>
        <v>0</v>
      </c>
      <c r="L68" s="172">
        <f t="shared" si="6"/>
        <v>0.99777975133214858</v>
      </c>
      <c r="M68" s="173" t="str">
        <f t="shared" si="4"/>
        <v>C</v>
      </c>
    </row>
    <row r="69" spans="2:13" ht="15" outlineLevel="1" thickBot="1">
      <c r="B69" s="182" t="s">
        <v>257</v>
      </c>
      <c r="C69" s="171">
        <f>'Юнит 8'!AO100</f>
        <v>0</v>
      </c>
      <c r="D69" s="172">
        <f t="shared" si="10"/>
        <v>0</v>
      </c>
      <c r="E69" s="172">
        <f t="shared" si="5"/>
        <v>1.0382141266890859</v>
      </c>
      <c r="F69" s="173" t="str">
        <f t="shared" si="3"/>
        <v>C</v>
      </c>
      <c r="G69" s="173" t="str">
        <f t="shared" si="11"/>
        <v>C</v>
      </c>
      <c r="I69" s="182" t="s">
        <v>160</v>
      </c>
      <c r="J69" s="171">
        <f>'Юнит 8'!U41</f>
        <v>0</v>
      </c>
      <c r="K69" s="172">
        <f t="shared" si="12"/>
        <v>0</v>
      </c>
      <c r="L69" s="172">
        <f t="shared" si="6"/>
        <v>0.99777975133214858</v>
      </c>
      <c r="M69" s="173" t="str">
        <f t="shared" si="4"/>
        <v>C</v>
      </c>
    </row>
    <row r="70" spans="2:13" ht="15" outlineLevel="1" thickBot="1">
      <c r="B70" s="182" t="s">
        <v>259</v>
      </c>
      <c r="C70" s="171">
        <f>'Юнит 8'!AO102</f>
        <v>0</v>
      </c>
      <c r="D70" s="172">
        <f t="shared" si="10"/>
        <v>0</v>
      </c>
      <c r="E70" s="172">
        <f t="shared" ref="E70:E75" si="13">E69+D70</f>
        <v>1.0382141266890859</v>
      </c>
      <c r="F70" s="173" t="str">
        <f t="shared" si="3"/>
        <v>C</v>
      </c>
      <c r="G70" s="173" t="str">
        <f t="shared" si="11"/>
        <v>C</v>
      </c>
      <c r="I70" s="182" t="s">
        <v>161</v>
      </c>
      <c r="J70" s="171">
        <f>'Юнит 8'!U42</f>
        <v>0</v>
      </c>
      <c r="K70" s="172">
        <f t="shared" si="12"/>
        <v>0</v>
      </c>
      <c r="L70" s="172">
        <f t="shared" ref="L70:L75" si="14">L69+K70</f>
        <v>0.99777975133214858</v>
      </c>
      <c r="M70" s="173" t="str">
        <f t="shared" si="4"/>
        <v>C</v>
      </c>
    </row>
    <row r="71" spans="2:13" ht="26.5" outlineLevel="1" thickBot="1">
      <c r="B71" s="182" t="s">
        <v>140</v>
      </c>
      <c r="C71" s="171">
        <f>'Юнит 8'!AO21</f>
        <v>-0.86724685771744603</v>
      </c>
      <c r="D71" s="172">
        <f t="shared" si="10"/>
        <v>-1.5128594067437124E-6</v>
      </c>
      <c r="E71" s="172">
        <f t="shared" si="13"/>
        <v>1.0382126138296792</v>
      </c>
      <c r="F71" s="173" t="str">
        <f t="shared" si="3"/>
        <v>C</v>
      </c>
      <c r="G71" s="173" t="str">
        <f t="shared" si="11"/>
        <v>C</v>
      </c>
      <c r="I71" s="182" t="s">
        <v>165</v>
      </c>
      <c r="J71" s="171">
        <f>'Юнит 8'!U46</f>
        <v>0</v>
      </c>
      <c r="K71" s="172">
        <f t="shared" si="12"/>
        <v>0</v>
      </c>
      <c r="L71" s="172">
        <f t="shared" si="14"/>
        <v>0.99777975133214858</v>
      </c>
      <c r="M71" s="173" t="str">
        <f t="shared" si="4"/>
        <v>C</v>
      </c>
    </row>
    <row r="72" spans="2:13" ht="15" outlineLevel="1" thickBot="1">
      <c r="B72" s="182" t="s">
        <v>174</v>
      </c>
      <c r="C72" s="171">
        <f>'Юнит 8'!AO55</f>
        <v>-0.86724685771744603</v>
      </c>
      <c r="D72" s="172">
        <f t="shared" si="10"/>
        <v>-1.5128594067437124E-6</v>
      </c>
      <c r="E72" s="172">
        <f t="shared" si="13"/>
        <v>1.0382111009702726</v>
      </c>
      <c r="F72" s="173" t="str">
        <f t="shared" si="3"/>
        <v>C</v>
      </c>
      <c r="G72" s="173" t="str">
        <f t="shared" si="11"/>
        <v>C</v>
      </c>
      <c r="I72" s="182" t="s">
        <v>171</v>
      </c>
      <c r="J72" s="171">
        <f>'Юнит 8'!U52</f>
        <v>0</v>
      </c>
      <c r="K72" s="172">
        <f t="shared" si="12"/>
        <v>0</v>
      </c>
      <c r="L72" s="172">
        <f t="shared" si="14"/>
        <v>0.99777975133214858</v>
      </c>
      <c r="M72" s="173" t="str">
        <f t="shared" si="4"/>
        <v>C</v>
      </c>
    </row>
    <row r="73" spans="2:13" ht="15" outlineLevel="1" thickBot="1">
      <c r="B73" s="182" t="s">
        <v>185</v>
      </c>
      <c r="C73" s="171">
        <f>'Юнит 8'!AO66</f>
        <v>-0.86724685771744603</v>
      </c>
      <c r="D73" s="172">
        <f t="shared" si="10"/>
        <v>-1.5128594067437124E-6</v>
      </c>
      <c r="E73" s="172">
        <f t="shared" si="13"/>
        <v>1.0382095881108659</v>
      </c>
      <c r="F73" s="173" t="str">
        <f t="shared" si="3"/>
        <v>C</v>
      </c>
      <c r="G73" s="173" t="str">
        <f t="shared" si="11"/>
        <v>C</v>
      </c>
      <c r="I73" s="182" t="s">
        <v>174</v>
      </c>
      <c r="J73" s="171">
        <f>'Юнит 8'!U55</f>
        <v>0</v>
      </c>
      <c r="K73" s="172">
        <f t="shared" si="12"/>
        <v>0</v>
      </c>
      <c r="L73" s="172">
        <f t="shared" si="14"/>
        <v>0.99777975133214858</v>
      </c>
      <c r="M73" s="173" t="str">
        <f t="shared" si="4"/>
        <v>C</v>
      </c>
    </row>
    <row r="74" spans="2:13" ht="15" outlineLevel="1" thickBot="1">
      <c r="B74" s="182" t="s">
        <v>216</v>
      </c>
      <c r="C74" s="171">
        <f>'Юнит 8'!AO97</f>
        <v>-2.601740573152338</v>
      </c>
      <c r="D74" s="172">
        <f t="shared" si="10"/>
        <v>-4.5385782202311369E-6</v>
      </c>
      <c r="E74" s="172">
        <f t="shared" si="13"/>
        <v>1.0382050495326458</v>
      </c>
      <c r="F74" s="173" t="str">
        <f t="shared" si="3"/>
        <v>C</v>
      </c>
      <c r="G74" s="173" t="str">
        <f t="shared" si="11"/>
        <v>C</v>
      </c>
      <c r="I74" s="182" t="s">
        <v>176</v>
      </c>
      <c r="J74" s="171">
        <f>'Юнит 8'!U57</f>
        <v>0</v>
      </c>
      <c r="K74" s="172">
        <f t="shared" si="12"/>
        <v>0</v>
      </c>
      <c r="L74" s="172">
        <f t="shared" si="14"/>
        <v>0.99777975133214858</v>
      </c>
      <c r="M74" s="173" t="str">
        <f t="shared" si="4"/>
        <v>C</v>
      </c>
    </row>
    <row r="75" spans="2:13" ht="15" outlineLevel="1" thickBot="1">
      <c r="B75" s="182" t="s">
        <v>188</v>
      </c>
      <c r="C75" s="171">
        <f>'Юнит 8'!AO69</f>
        <v>-10.406962292609352</v>
      </c>
      <c r="D75" s="172">
        <f t="shared" si="10"/>
        <v>-1.8154312880924548E-5</v>
      </c>
      <c r="E75" s="172">
        <f t="shared" si="13"/>
        <v>1.0381868952197648</v>
      </c>
      <c r="F75" s="173" t="str">
        <f t="shared" si="3"/>
        <v>C</v>
      </c>
      <c r="G75" s="173" t="str">
        <f t="shared" si="11"/>
        <v>C</v>
      </c>
      <c r="I75" s="182" t="s">
        <v>178</v>
      </c>
      <c r="J75" s="171">
        <f>'Юнит 8'!U59</f>
        <v>0</v>
      </c>
      <c r="K75" s="172">
        <f t="shared" si="12"/>
        <v>0</v>
      </c>
      <c r="L75" s="172">
        <f t="shared" si="14"/>
        <v>0.99777975133214858</v>
      </c>
      <c r="M75" s="173" t="str">
        <f t="shared" si="4"/>
        <v>C</v>
      </c>
    </row>
    <row r="76" spans="2:13" ht="26.5" outlineLevel="1" thickBot="1">
      <c r="B76" s="182" t="s">
        <v>196</v>
      </c>
      <c r="C76" s="171">
        <f>'Юнит 8'!AO77</f>
        <v>-33.822627450980391</v>
      </c>
      <c r="D76" s="172">
        <f t="shared" si="10"/>
        <v>-5.9001516863004775E-5</v>
      </c>
      <c r="E76" s="172">
        <f>E49+D76</f>
        <v>1.0380280190527964</v>
      </c>
      <c r="F76" s="173" t="str">
        <f t="shared" si="3"/>
        <v>C</v>
      </c>
      <c r="G76" s="173" t="str">
        <f t="shared" si="11"/>
        <v>C</v>
      </c>
      <c r="I76" s="182" t="s">
        <v>180</v>
      </c>
      <c r="J76" s="171">
        <f>'Юнит 8'!U61</f>
        <v>0</v>
      </c>
      <c r="K76" s="172">
        <f t="shared" si="12"/>
        <v>0</v>
      </c>
      <c r="L76" s="172">
        <f>L49+K76</f>
        <v>0.99378330373001722</v>
      </c>
      <c r="M76" s="173" t="str">
        <f t="shared" si="4"/>
        <v>C</v>
      </c>
    </row>
    <row r="77" spans="2:13" ht="15" outlineLevel="1" thickBot="1">
      <c r="B77" s="182" t="s">
        <v>160</v>
      </c>
      <c r="C77" s="171">
        <f>'Юнит 8'!AO41</f>
        <v>-39.893355455002521</v>
      </c>
      <c r="D77" s="172">
        <f t="shared" si="10"/>
        <v>-6.9591532710210774E-5</v>
      </c>
      <c r="E77" s="172">
        <f t="shared" ref="E77:E93" si="15">E76+D77</f>
        <v>1.0379584275200862</v>
      </c>
      <c r="F77" s="173" t="str">
        <f t="shared" si="3"/>
        <v>C</v>
      </c>
      <c r="G77" s="173" t="str">
        <f t="shared" si="11"/>
        <v>C</v>
      </c>
      <c r="I77" s="182" t="s">
        <v>181</v>
      </c>
      <c r="J77" s="171">
        <f>'Юнит 8'!U62</f>
        <v>0</v>
      </c>
      <c r="K77" s="172">
        <f t="shared" si="12"/>
        <v>0</v>
      </c>
      <c r="L77" s="172">
        <f t="shared" ref="L77:L94" si="16">L76+K77</f>
        <v>0.99378330373001722</v>
      </c>
      <c r="M77" s="173" t="str">
        <f t="shared" si="4"/>
        <v>C</v>
      </c>
    </row>
    <row r="78" spans="2:13" ht="26.5" outlineLevel="1" thickBot="1">
      <c r="B78" s="182" t="s">
        <v>205</v>
      </c>
      <c r="C78" s="171">
        <f>'Юнит 8'!AO86</f>
        <v>-39.893355455002521</v>
      </c>
      <c r="D78" s="172">
        <f t="shared" si="10"/>
        <v>-6.9591532710210774E-5</v>
      </c>
      <c r="E78" s="172">
        <f t="shared" si="15"/>
        <v>1.0378888359873759</v>
      </c>
      <c r="F78" s="173" t="str">
        <f t="shared" si="3"/>
        <v>C</v>
      </c>
      <c r="G78" s="173" t="str">
        <f t="shared" si="11"/>
        <v>C</v>
      </c>
      <c r="I78" s="182" t="s">
        <v>182</v>
      </c>
      <c r="J78" s="171">
        <f>'Юнит 8'!U63</f>
        <v>0</v>
      </c>
      <c r="K78" s="172">
        <f t="shared" si="12"/>
        <v>0</v>
      </c>
      <c r="L78" s="172">
        <f t="shared" si="16"/>
        <v>0.99378330373001722</v>
      </c>
      <c r="M78" s="173" t="str">
        <f t="shared" si="4"/>
        <v>C</v>
      </c>
    </row>
    <row r="79" spans="2:13" ht="26.5" outlineLevel="1" thickBot="1">
      <c r="B79" s="182" t="s">
        <v>201</v>
      </c>
      <c r="C79" s="171">
        <f>'Юнит 8'!AO82</f>
        <v>-41.627849170437408</v>
      </c>
      <c r="D79" s="172">
        <f t="shared" si="10"/>
        <v>-7.261725152369819E-5</v>
      </c>
      <c r="E79" s="172">
        <f t="shared" si="15"/>
        <v>1.0378162187358522</v>
      </c>
      <c r="F79" s="173" t="str">
        <f t="shared" si="3"/>
        <v>C</v>
      </c>
      <c r="G79" s="173" t="str">
        <f t="shared" si="11"/>
        <v>C</v>
      </c>
      <c r="I79" s="182" t="s">
        <v>183</v>
      </c>
      <c r="J79" s="171">
        <f>'Юнит 8'!U64</f>
        <v>0</v>
      </c>
      <c r="K79" s="172">
        <f t="shared" si="12"/>
        <v>0</v>
      </c>
      <c r="L79" s="172">
        <f t="shared" si="16"/>
        <v>0.99378330373001722</v>
      </c>
      <c r="M79" s="173" t="str">
        <f t="shared" si="4"/>
        <v>C</v>
      </c>
    </row>
    <row r="80" spans="2:13" ht="15" outlineLevel="1" thickBot="1">
      <c r="B80" s="182" t="s">
        <v>203</v>
      </c>
      <c r="C80" s="171">
        <f>'Юнит 8'!AO84</f>
        <v>-41.627849170437408</v>
      </c>
      <c r="D80" s="172">
        <f t="shared" si="10"/>
        <v>-7.261725152369819E-5</v>
      </c>
      <c r="E80" s="172">
        <f t="shared" si="15"/>
        <v>1.0377436014843284</v>
      </c>
      <c r="F80" s="173" t="str">
        <f t="shared" si="3"/>
        <v>C</v>
      </c>
      <c r="G80" s="173" t="str">
        <f t="shared" si="11"/>
        <v>C</v>
      </c>
      <c r="I80" s="182" t="s">
        <v>184</v>
      </c>
      <c r="J80" s="171">
        <f>'Юнит 8'!U65</f>
        <v>0</v>
      </c>
      <c r="K80" s="172">
        <f t="shared" si="12"/>
        <v>0</v>
      </c>
      <c r="L80" s="172">
        <f t="shared" si="16"/>
        <v>0.99378330373001722</v>
      </c>
      <c r="M80" s="173" t="str">
        <f t="shared" si="4"/>
        <v>C</v>
      </c>
    </row>
    <row r="81" spans="2:13" ht="26.5" outlineLevel="1" thickBot="1">
      <c r="B81" s="182" t="s">
        <v>209</v>
      </c>
      <c r="C81" s="171">
        <f>'Юнит 8'!AO90</f>
        <v>-43.362342885872295</v>
      </c>
      <c r="D81" s="172">
        <f t="shared" si="10"/>
        <v>-7.5642970337185607E-5</v>
      </c>
      <c r="E81" s="172">
        <f t="shared" si="15"/>
        <v>1.0376679585139912</v>
      </c>
      <c r="F81" s="173" t="str">
        <f t="shared" si="3"/>
        <v>C</v>
      </c>
      <c r="G81" s="173" t="str">
        <f t="shared" si="11"/>
        <v>C</v>
      </c>
      <c r="I81" s="182" t="s">
        <v>185</v>
      </c>
      <c r="J81" s="171">
        <f>'Юнит 8'!U66</f>
        <v>0</v>
      </c>
      <c r="K81" s="172">
        <f t="shared" si="12"/>
        <v>0</v>
      </c>
      <c r="L81" s="172">
        <f t="shared" si="16"/>
        <v>0.99378330373001722</v>
      </c>
      <c r="M81" s="173" t="str">
        <f t="shared" si="4"/>
        <v>C</v>
      </c>
    </row>
    <row r="82" spans="2:13" ht="15" outlineLevel="1" thickBot="1">
      <c r="B82" s="182" t="s">
        <v>173</v>
      </c>
      <c r="C82" s="171">
        <f>'Юнит 8'!AO54</f>
        <v>-51.169361739567634</v>
      </c>
      <c r="D82" s="172">
        <f t="shared" si="10"/>
        <v>-8.9261839989275563E-5</v>
      </c>
      <c r="E82" s="172">
        <f t="shared" si="15"/>
        <v>1.0375786966740019</v>
      </c>
      <c r="F82" s="173" t="str">
        <f t="shared" si="3"/>
        <v>C</v>
      </c>
      <c r="G82" s="173" t="str">
        <f t="shared" si="11"/>
        <v>C</v>
      </c>
      <c r="I82" s="182" t="s">
        <v>187</v>
      </c>
      <c r="J82" s="171">
        <f>'Юнит 8'!U68</f>
        <v>0</v>
      </c>
      <c r="K82" s="172">
        <f t="shared" si="12"/>
        <v>0</v>
      </c>
      <c r="L82" s="172">
        <f t="shared" si="16"/>
        <v>0.99378330373001722</v>
      </c>
      <c r="M82" s="173" t="str">
        <f t="shared" si="4"/>
        <v>C</v>
      </c>
    </row>
    <row r="83" spans="2:13" ht="15" outlineLevel="1" thickBot="1">
      <c r="B83" s="182" t="s">
        <v>184</v>
      </c>
      <c r="C83" s="171">
        <f>'Юнит 8'!AO65</f>
        <v>-97.267246857717453</v>
      </c>
      <c r="D83" s="172">
        <f t="shared" si="10"/>
        <v>-1.6967679740467103E-4</v>
      </c>
      <c r="E83" s="172">
        <f t="shared" si="15"/>
        <v>1.0374090198765973</v>
      </c>
      <c r="F83" s="173" t="str">
        <f t="shared" si="3"/>
        <v>C</v>
      </c>
      <c r="G83" s="173" t="str">
        <f t="shared" si="11"/>
        <v>C</v>
      </c>
      <c r="I83" s="182" t="s">
        <v>188</v>
      </c>
      <c r="J83" s="171">
        <f>'Юнит 8'!U69</f>
        <v>0</v>
      </c>
      <c r="K83" s="172">
        <f t="shared" si="12"/>
        <v>0</v>
      </c>
      <c r="L83" s="172">
        <f t="shared" si="16"/>
        <v>0.99378330373001722</v>
      </c>
      <c r="M83" s="173" t="str">
        <f t="shared" si="4"/>
        <v>C</v>
      </c>
    </row>
    <row r="84" spans="2:13" ht="15" outlineLevel="1" thickBot="1">
      <c r="B84" s="182" t="s">
        <v>189</v>
      </c>
      <c r="C84" s="171">
        <f>'Юнит 8'!AO70</f>
        <v>-101.19623428858723</v>
      </c>
      <c r="D84" s="172">
        <f t="shared" si="10"/>
        <v>-1.765306770594368E-4</v>
      </c>
      <c r="E84" s="172">
        <f t="shared" si="15"/>
        <v>1.0372324891995379</v>
      </c>
      <c r="F84" s="173" t="str">
        <f t="shared" si="3"/>
        <v>C</v>
      </c>
      <c r="G84" s="173" t="str">
        <f t="shared" si="11"/>
        <v>C</v>
      </c>
      <c r="I84" s="182" t="s">
        <v>189</v>
      </c>
      <c r="J84" s="171">
        <f>'Юнит 8'!U70</f>
        <v>0</v>
      </c>
      <c r="K84" s="172">
        <f t="shared" si="12"/>
        <v>0</v>
      </c>
      <c r="L84" s="172">
        <f t="shared" si="16"/>
        <v>0.99378330373001722</v>
      </c>
      <c r="M84" s="173" t="str">
        <f t="shared" si="4"/>
        <v>C</v>
      </c>
    </row>
    <row r="85" spans="2:13" ht="26.5" outlineLevel="1" thickBot="1">
      <c r="B85" s="182" t="s">
        <v>161</v>
      </c>
      <c r="C85" s="171">
        <f>'Юнит 8'!AO42</f>
        <v>-122.09161488185018</v>
      </c>
      <c r="D85" s="172">
        <f t="shared" si="10"/>
        <v>-2.1298139787404846E-4</v>
      </c>
      <c r="E85" s="172">
        <f t="shared" si="15"/>
        <v>1.037019507801664</v>
      </c>
      <c r="F85" s="173" t="str">
        <f t="shared" si="3"/>
        <v>C</v>
      </c>
      <c r="G85" s="173" t="str">
        <f t="shared" si="11"/>
        <v>C</v>
      </c>
      <c r="I85" s="182" t="s">
        <v>196</v>
      </c>
      <c r="J85" s="171">
        <f>'Юнит 8'!U77</f>
        <v>0</v>
      </c>
      <c r="K85" s="172">
        <f t="shared" si="12"/>
        <v>0</v>
      </c>
      <c r="L85" s="172">
        <f t="shared" si="16"/>
        <v>0.99378330373001722</v>
      </c>
      <c r="M85" s="173" t="str">
        <f t="shared" si="4"/>
        <v>C</v>
      </c>
    </row>
    <row r="86" spans="2:13" ht="15" outlineLevel="1" thickBot="1">
      <c r="B86" s="182" t="s">
        <v>197</v>
      </c>
      <c r="C86" s="171">
        <f>'Юнит 8'!AO78</f>
        <v>-129.39392458521871</v>
      </c>
      <c r="D86" s="172">
        <f t="shared" si="10"/>
        <v>-2.2571983310432781E-4</v>
      </c>
      <c r="E86" s="172">
        <f t="shared" si="15"/>
        <v>1.0367937879685596</v>
      </c>
      <c r="F86" s="173" t="str">
        <f t="shared" si="3"/>
        <v>C</v>
      </c>
      <c r="G86" s="173" t="str">
        <f t="shared" si="11"/>
        <v>C</v>
      </c>
      <c r="I86" s="182" t="s">
        <v>197</v>
      </c>
      <c r="J86" s="171">
        <f>'Юнит 8'!U78</f>
        <v>0</v>
      </c>
      <c r="K86" s="172">
        <f t="shared" si="12"/>
        <v>0</v>
      </c>
      <c r="L86" s="172">
        <f t="shared" si="16"/>
        <v>0.99378330373001722</v>
      </c>
      <c r="M86" s="173" t="str">
        <f t="shared" si="4"/>
        <v>C</v>
      </c>
    </row>
    <row r="87" spans="2:13" ht="26.5" outlineLevel="1" thickBot="1">
      <c r="B87" s="182" t="s">
        <v>212</v>
      </c>
      <c r="C87" s="171">
        <f>'Юнит 8'!AO93</f>
        <v>-132.17060231271995</v>
      </c>
      <c r="D87" s="172">
        <f t="shared" si="10"/>
        <v>-2.305635785525409E-4</v>
      </c>
      <c r="E87" s="172">
        <f t="shared" si="15"/>
        <v>1.0365632243900071</v>
      </c>
      <c r="F87" s="173" t="str">
        <f t="shared" si="3"/>
        <v>C</v>
      </c>
      <c r="G87" s="173" t="str">
        <f t="shared" si="11"/>
        <v>C</v>
      </c>
      <c r="I87" s="182" t="s">
        <v>198</v>
      </c>
      <c r="J87" s="171">
        <f>'Юнит 8'!U79</f>
        <v>0</v>
      </c>
      <c r="K87" s="172">
        <f t="shared" si="12"/>
        <v>0</v>
      </c>
      <c r="L87" s="172">
        <f t="shared" si="16"/>
        <v>0.99378330373001722</v>
      </c>
      <c r="M87" s="173" t="str">
        <f t="shared" si="4"/>
        <v>C</v>
      </c>
    </row>
    <row r="88" spans="2:13" ht="26.5" outlineLevel="1" thickBot="1">
      <c r="B88" s="182" t="s">
        <v>198</v>
      </c>
      <c r="C88" s="171">
        <f>'Юнит 8'!AO79</f>
        <v>-136.75335545500252</v>
      </c>
      <c r="D88" s="172">
        <f t="shared" si="10"/>
        <v>-2.3855791273592902E-4</v>
      </c>
      <c r="E88" s="172">
        <f t="shared" si="15"/>
        <v>1.0363246664772712</v>
      </c>
      <c r="F88" s="173" t="str">
        <f t="shared" si="3"/>
        <v>C</v>
      </c>
      <c r="G88" s="173" t="str">
        <f t="shared" si="11"/>
        <v>C</v>
      </c>
      <c r="I88" s="182" t="s">
        <v>201</v>
      </c>
      <c r="J88" s="171">
        <f>'Юнит 8'!U82</f>
        <v>0</v>
      </c>
      <c r="K88" s="172">
        <f t="shared" si="12"/>
        <v>0</v>
      </c>
      <c r="L88" s="172">
        <f t="shared" si="16"/>
        <v>0.99378330373001722</v>
      </c>
      <c r="M88" s="173" t="str">
        <f t="shared" si="4"/>
        <v>C</v>
      </c>
    </row>
    <row r="89" spans="2:13" ht="15" outlineLevel="1" thickBot="1">
      <c r="B89" s="182" t="s">
        <v>202</v>
      </c>
      <c r="C89" s="171">
        <f>'Юнит 8'!AO83</f>
        <v>-147.60610859728507</v>
      </c>
      <c r="D89" s="172">
        <f t="shared" si="10"/>
        <v>-2.5748988064594572E-4</v>
      </c>
      <c r="E89" s="172">
        <f t="shared" si="15"/>
        <v>1.0360671765966252</v>
      </c>
      <c r="F89" s="173" t="str">
        <f t="shared" si="3"/>
        <v>C</v>
      </c>
      <c r="G89" s="173" t="str">
        <f t="shared" si="11"/>
        <v>C</v>
      </c>
      <c r="I89" s="182" t="s">
        <v>202</v>
      </c>
      <c r="J89" s="171">
        <f>'Юнит 8'!U83</f>
        <v>0</v>
      </c>
      <c r="K89" s="172">
        <f t="shared" si="12"/>
        <v>0</v>
      </c>
      <c r="L89" s="172">
        <f t="shared" si="16"/>
        <v>0.99378330373001722</v>
      </c>
      <c r="M89" s="173" t="str">
        <f t="shared" si="4"/>
        <v>C</v>
      </c>
    </row>
    <row r="90" spans="2:13" ht="15" outlineLevel="1" thickBot="1">
      <c r="B90" s="182" t="s">
        <v>211</v>
      </c>
      <c r="C90" s="171">
        <f>'Юнит 8'!AO92</f>
        <v>-150.17509602815485</v>
      </c>
      <c r="D90" s="172">
        <f t="shared" si="10"/>
        <v>-2.6197132300115572E-4</v>
      </c>
      <c r="E90" s="172">
        <f t="shared" si="15"/>
        <v>1.035805205273624</v>
      </c>
      <c r="F90" s="173" t="str">
        <f t="shared" si="3"/>
        <v>C</v>
      </c>
      <c r="G90" s="173" t="str">
        <f t="shared" si="11"/>
        <v>C</v>
      </c>
      <c r="I90" s="182" t="s">
        <v>203</v>
      </c>
      <c r="J90" s="171">
        <f>'Юнит 8'!U84</f>
        <v>0</v>
      </c>
      <c r="K90" s="172">
        <f t="shared" si="12"/>
        <v>0</v>
      </c>
      <c r="L90" s="172">
        <f t="shared" si="16"/>
        <v>0.99378330373001722</v>
      </c>
      <c r="M90" s="173" t="str">
        <f t="shared" si="4"/>
        <v>C</v>
      </c>
    </row>
    <row r="91" spans="2:13" ht="26.5" outlineLevel="1" thickBot="1">
      <c r="B91" s="182" t="s">
        <v>200</v>
      </c>
      <c r="C91" s="171">
        <f>'Юнит 8'!AO81</f>
        <v>-179.12461830065351</v>
      </c>
      <c r="D91" s="172">
        <f t="shared" si="10"/>
        <v>-3.1247200420968349E-4</v>
      </c>
      <c r="E91" s="172">
        <f t="shared" si="15"/>
        <v>1.0354927332694144</v>
      </c>
      <c r="F91" s="173" t="str">
        <f t="shared" si="3"/>
        <v>C</v>
      </c>
      <c r="G91" s="173" t="str">
        <f t="shared" si="11"/>
        <v>C</v>
      </c>
      <c r="I91" s="182" t="s">
        <v>205</v>
      </c>
      <c r="J91" s="171">
        <f>'Юнит 8'!U86</f>
        <v>0</v>
      </c>
      <c r="K91" s="172">
        <f t="shared" si="12"/>
        <v>0</v>
      </c>
      <c r="L91" s="172">
        <f t="shared" si="16"/>
        <v>0.99378330373001722</v>
      </c>
      <c r="M91" s="173" t="str">
        <f t="shared" si="4"/>
        <v>C</v>
      </c>
    </row>
    <row r="92" spans="2:13" ht="26.5" outlineLevel="1" thickBot="1">
      <c r="B92" s="182" t="s">
        <v>180</v>
      </c>
      <c r="C92" s="171">
        <f>'Юнит 8'!AO61</f>
        <v>-235.2912378079437</v>
      </c>
      <c r="D92" s="172">
        <f t="shared" si="10"/>
        <v>-4.1045125649575323E-4</v>
      </c>
      <c r="E92" s="172">
        <f t="shared" si="15"/>
        <v>1.0350822820129186</v>
      </c>
      <c r="F92" s="173" t="str">
        <f t="shared" si="3"/>
        <v>C</v>
      </c>
      <c r="G92" s="173" t="str">
        <f t="shared" si="11"/>
        <v>C</v>
      </c>
      <c r="I92" s="182" t="s">
        <v>209</v>
      </c>
      <c r="J92" s="171">
        <f>'Юнит 8'!U90</f>
        <v>0</v>
      </c>
      <c r="K92" s="172">
        <f t="shared" si="12"/>
        <v>0</v>
      </c>
      <c r="L92" s="172">
        <f t="shared" si="16"/>
        <v>0.99378330373001722</v>
      </c>
      <c r="M92" s="173" t="str">
        <f t="shared" si="4"/>
        <v>C</v>
      </c>
    </row>
    <row r="93" spans="2:13" ht="15" outlineLevel="1" thickBot="1">
      <c r="B93" s="182" t="s">
        <v>169</v>
      </c>
      <c r="C93" s="171">
        <f>'Юнит 8'!AO50</f>
        <v>-240.01393438914079</v>
      </c>
      <c r="D93" s="172">
        <f t="shared" si="10"/>
        <v>-4.1868971349848613E-4</v>
      </c>
      <c r="E93" s="172">
        <f t="shared" si="15"/>
        <v>1.0346635922994201</v>
      </c>
      <c r="F93" s="173" t="str">
        <f t="shared" si="3"/>
        <v>C</v>
      </c>
      <c r="G93" s="173" t="str">
        <f t="shared" si="11"/>
        <v>C</v>
      </c>
      <c r="I93" s="182" t="s">
        <v>211</v>
      </c>
      <c r="J93" s="171">
        <f>'Юнит 8'!U92</f>
        <v>0</v>
      </c>
      <c r="K93" s="172">
        <f t="shared" si="12"/>
        <v>0</v>
      </c>
      <c r="L93" s="172">
        <f t="shared" si="16"/>
        <v>0.99378330373001722</v>
      </c>
      <c r="M93" s="173" t="str">
        <f t="shared" si="4"/>
        <v>C</v>
      </c>
    </row>
    <row r="94" spans="2:13" ht="26.5" outlineLevel="1" thickBot="1">
      <c r="B94" s="182" t="s">
        <v>260</v>
      </c>
      <c r="C94" s="171">
        <f>'Юнит 8'!AO103</f>
        <v>-336</v>
      </c>
      <c r="D94" s="172">
        <f t="shared" si="10"/>
        <v>-5.8613156812555576E-4</v>
      </c>
      <c r="E94" s="172">
        <f>E93+D94</f>
        <v>1.0340774607312946</v>
      </c>
      <c r="F94" s="173" t="str">
        <f t="shared" si="3"/>
        <v>C</v>
      </c>
      <c r="G94" s="173" t="str">
        <f t="shared" si="11"/>
        <v>C</v>
      </c>
      <c r="I94" s="182" t="s">
        <v>212</v>
      </c>
      <c r="J94" s="171">
        <f>'Юнит 8'!U93</f>
        <v>0</v>
      </c>
      <c r="K94" s="172">
        <f t="shared" si="12"/>
        <v>0</v>
      </c>
      <c r="L94" s="172">
        <f t="shared" si="16"/>
        <v>0.99378330373001722</v>
      </c>
      <c r="M94" s="173" t="str">
        <f t="shared" si="4"/>
        <v>C</v>
      </c>
    </row>
    <row r="95" spans="2:13" ht="26.5" outlineLevel="1" thickBot="1">
      <c r="B95" s="182" t="s">
        <v>194</v>
      </c>
      <c r="C95" s="171">
        <f>'Юнит 8'!AO75</f>
        <v>-352.32300000000004</v>
      </c>
      <c r="D95" s="172">
        <f t="shared" si="10"/>
        <v>-6.146060490377982E-4</v>
      </c>
      <c r="E95" s="172">
        <f>E94+D95</f>
        <v>1.0334628546822568</v>
      </c>
      <c r="F95" s="173" t="str">
        <f t="shared" si="3"/>
        <v>C</v>
      </c>
      <c r="G95" s="173" t="str">
        <f t="shared" si="11"/>
        <v>C</v>
      </c>
      <c r="I95" s="182" t="s">
        <v>213</v>
      </c>
      <c r="J95" s="171">
        <f>'Юнит 8'!U94</f>
        <v>0</v>
      </c>
      <c r="K95" s="172">
        <f t="shared" si="12"/>
        <v>0</v>
      </c>
      <c r="L95" s="172">
        <f>L94+K95</f>
        <v>0.99378330373001722</v>
      </c>
      <c r="M95" s="173" t="str">
        <f t="shared" si="4"/>
        <v>C</v>
      </c>
    </row>
    <row r="96" spans="2:13" ht="26.5" outlineLevel="1" thickBot="1">
      <c r="B96" s="182" t="s">
        <v>157</v>
      </c>
      <c r="C96" s="171">
        <f>'Юнит 8'!AO38</f>
        <v>-360.5233554550025</v>
      </c>
      <c r="D96" s="172">
        <f t="shared" si="10"/>
        <v>-6.2891107047240396E-4</v>
      </c>
      <c r="E96" s="172">
        <f t="shared" ref="E96:E98" si="17">E95+D96</f>
        <v>1.0328339436117844</v>
      </c>
      <c r="F96" s="173" t="str">
        <f t="shared" si="3"/>
        <v>C</v>
      </c>
      <c r="G96" s="173" t="str">
        <f t="shared" si="11"/>
        <v>C</v>
      </c>
      <c r="I96" s="182" t="s">
        <v>214</v>
      </c>
      <c r="J96" s="171">
        <f>'Юнит 8'!U95</f>
        <v>0</v>
      </c>
      <c r="K96" s="172">
        <f t="shared" si="12"/>
        <v>0</v>
      </c>
      <c r="L96" s="172">
        <f t="shared" ref="L96:L98" si="18">L95+K96</f>
        <v>0.99378330373001722</v>
      </c>
      <c r="M96" s="173" t="str">
        <f t="shared" si="4"/>
        <v>C</v>
      </c>
    </row>
    <row r="97" spans="2:13" ht="15" outlineLevel="1" thickBot="1">
      <c r="B97" s="182" t="s">
        <v>190</v>
      </c>
      <c r="C97" s="171">
        <f>'Юнит 8'!AO71</f>
        <v>-452.54191543489191</v>
      </c>
      <c r="D97" s="172">
        <f t="shared" si="10"/>
        <v>-7.8943185278689237E-4</v>
      </c>
      <c r="E97" s="172">
        <f t="shared" si="17"/>
        <v>1.0320445117589976</v>
      </c>
      <c r="F97" s="173" t="str">
        <f t="shared" ref="F97:F98" si="19">IF(AND(E97&lt;=0),"C",IF(E97&lt;=0.8,"A",IF(E97&lt;=0.95,"B","C")))</f>
        <v>C</v>
      </c>
      <c r="G97" s="173" t="str">
        <f t="shared" si="11"/>
        <v>C</v>
      </c>
      <c r="I97" s="182" t="s">
        <v>215</v>
      </c>
      <c r="J97" s="171">
        <f>'Юнит 8'!U96</f>
        <v>0</v>
      </c>
      <c r="K97" s="172">
        <f t="shared" si="12"/>
        <v>0</v>
      </c>
      <c r="L97" s="172">
        <f t="shared" si="18"/>
        <v>0.99378330373001722</v>
      </c>
      <c r="M97" s="173" t="str">
        <f t="shared" si="4"/>
        <v>C</v>
      </c>
    </row>
    <row r="98" spans="2:13" ht="26.5" outlineLevel="1" thickBot="1">
      <c r="B98" s="182" t="s">
        <v>171</v>
      </c>
      <c r="C98" s="171">
        <f>'Юнит 8'!AO52</f>
        <v>-459.7133554550025</v>
      </c>
      <c r="D98" s="172">
        <f t="shared" si="10"/>
        <v>-8.0194199381280237E-4</v>
      </c>
      <c r="E98" s="172">
        <f t="shared" si="17"/>
        <v>1.0312425697651848</v>
      </c>
      <c r="F98" s="173" t="str">
        <f t="shared" si="19"/>
        <v>C</v>
      </c>
      <c r="G98" s="173" t="str">
        <f t="shared" si="11"/>
        <v>C</v>
      </c>
      <c r="I98" s="182" t="s">
        <v>216</v>
      </c>
      <c r="J98" s="171">
        <f>'Юнит 8'!U97</f>
        <v>0</v>
      </c>
      <c r="K98" s="172">
        <f t="shared" si="12"/>
        <v>0</v>
      </c>
      <c r="L98" s="172">
        <f t="shared" si="18"/>
        <v>0.99378330373001722</v>
      </c>
      <c r="M98" s="173" t="str">
        <f t="shared" si="4"/>
        <v>C</v>
      </c>
    </row>
    <row r="99" spans="2:13" ht="15" outlineLevel="1" thickBot="1">
      <c r="B99" s="182" t="s">
        <v>159</v>
      </c>
      <c r="C99" s="171">
        <f>'Юнит 8'!AO40</f>
        <v>-467.82712116641528</v>
      </c>
      <c r="D99" s="172">
        <f t="shared" si="10"/>
        <v>-8.1609596470516468E-4</v>
      </c>
      <c r="E99" s="172">
        <f>E93+D99</f>
        <v>1.0338474963347148</v>
      </c>
      <c r="F99" s="173" t="str">
        <f t="shared" ref="F99" si="20">IF(AND(E99&lt;=0),"C",IF(E99&lt;=0.8,"A",IF(E99&lt;=0.95,"B","C")))</f>
        <v>C</v>
      </c>
      <c r="G99" s="173" t="str">
        <f t="shared" si="11"/>
        <v>C</v>
      </c>
      <c r="I99" s="182" t="s">
        <v>256</v>
      </c>
      <c r="J99" s="171">
        <f>'Юнит 8'!U99</f>
        <v>0</v>
      </c>
      <c r="K99" s="172">
        <f t="shared" si="12"/>
        <v>0</v>
      </c>
      <c r="L99" s="172">
        <f>L93+K99</f>
        <v>0.99378330373001722</v>
      </c>
      <c r="M99" s="173" t="str">
        <f t="shared" ref="M99" si="21">_xlfn.IFS(L99&lt;80%,"A",L99&lt;=95%,"B",L99&gt;95%,"C")</f>
        <v>C</v>
      </c>
    </row>
    <row r="100" spans="2:13" ht="15" outlineLevel="1" thickBot="1">
      <c r="B100" s="182" t="s">
        <v>146</v>
      </c>
      <c r="C100" s="171">
        <f>'Юнит 8'!AO27</f>
        <v>-479.23771017043771</v>
      </c>
      <c r="D100" s="172">
        <f t="shared" ref="D100:D104" si="22">C100/C$105</f>
        <v>-8.3600104335446201E-4</v>
      </c>
      <c r="E100" s="172">
        <f t="shared" ref="E100:E104" si="23">E94+D100</f>
        <v>1.03324145968794</v>
      </c>
      <c r="F100" s="173" t="str">
        <f t="shared" ref="F100:F104" si="24">IF(AND(E100&lt;=0),"C",IF(E100&lt;=0.8,"A",IF(E100&lt;=0.95,"B","C")))</f>
        <v>C</v>
      </c>
      <c r="G100" s="173" t="str">
        <f t="shared" ref="G100:G104" si="25">VLOOKUP(B$4:B$104,I$4:M$104,5,0)</f>
        <v>C</v>
      </c>
      <c r="I100" s="182" t="s">
        <v>257</v>
      </c>
      <c r="J100" s="171">
        <f>'Юнит 8'!U100</f>
        <v>0</v>
      </c>
      <c r="K100" s="172">
        <f t="shared" ref="K100:K104" si="26">J100/J$105</f>
        <v>0</v>
      </c>
      <c r="L100" s="172">
        <f t="shared" ref="L100:L104" si="27">L94+K100</f>
        <v>0.99378330373001722</v>
      </c>
      <c r="M100" s="173" t="str">
        <f t="shared" ref="M100:M104" si="28">_xlfn.IFS(L100&lt;80%,"A",L100&lt;=95%,"B",L100&gt;95%,"C")</f>
        <v>C</v>
      </c>
    </row>
    <row r="101" spans="2:13" ht="26.5" outlineLevel="1" thickBot="1">
      <c r="B101" s="182" t="s">
        <v>204</v>
      </c>
      <c r="C101" s="171">
        <f>'Юнит 8'!AO85</f>
        <v>-894.03443373554535</v>
      </c>
      <c r="D101" s="172">
        <f t="shared" si="22"/>
        <v>-1.5595887041775548E-3</v>
      </c>
      <c r="E101" s="172">
        <f t="shared" si="23"/>
        <v>1.0319032659780794</v>
      </c>
      <c r="F101" s="173" t="str">
        <f t="shared" si="24"/>
        <v>C</v>
      </c>
      <c r="G101" s="173" t="str">
        <f t="shared" si="25"/>
        <v>C</v>
      </c>
      <c r="I101" s="182" t="s">
        <v>259</v>
      </c>
      <c r="J101" s="171">
        <f>'Юнит 8'!U102</f>
        <v>0</v>
      </c>
      <c r="K101" s="172">
        <f t="shared" si="26"/>
        <v>0</v>
      </c>
      <c r="L101" s="172">
        <f t="shared" si="27"/>
        <v>0.99378330373001722</v>
      </c>
      <c r="M101" s="173" t="str">
        <f t="shared" si="28"/>
        <v>C</v>
      </c>
    </row>
    <row r="102" spans="2:13" ht="26.5" outlineLevel="1" thickBot="1">
      <c r="B102" s="182" t="s">
        <v>177</v>
      </c>
      <c r="C102" s="171">
        <f>'Юнит 8'!AO58</f>
        <v>-2049.7466588738062</v>
      </c>
      <c r="D102" s="172">
        <f t="shared" si="22"/>
        <v>-3.5756584030530434E-3</v>
      </c>
      <c r="E102" s="172">
        <f t="shared" si="23"/>
        <v>1.0292582852087313</v>
      </c>
      <c r="F102" s="173" t="str">
        <f t="shared" si="24"/>
        <v>C</v>
      </c>
      <c r="G102" s="173" t="str">
        <f t="shared" si="25"/>
        <v>C</v>
      </c>
      <c r="I102" s="182" t="s">
        <v>260</v>
      </c>
      <c r="J102" s="171">
        <f>'Юнит 8'!U103</f>
        <v>0</v>
      </c>
      <c r="K102" s="172">
        <f t="shared" si="26"/>
        <v>0</v>
      </c>
      <c r="L102" s="172">
        <f t="shared" si="27"/>
        <v>0.99378330373001722</v>
      </c>
      <c r="M102" s="173" t="str">
        <f t="shared" si="28"/>
        <v>C</v>
      </c>
    </row>
    <row r="103" spans="2:13" ht="26.5" outlineLevel="1" thickBot="1">
      <c r="B103" s="182" t="s">
        <v>122</v>
      </c>
      <c r="C103" s="171">
        <f>'Юнит 8'!AO3</f>
        <v>-6789.2879303323216</v>
      </c>
      <c r="D103" s="172">
        <f t="shared" si="22"/>
        <v>-1.1843499943635691E-2</v>
      </c>
      <c r="E103" s="172">
        <f t="shared" si="23"/>
        <v>1.0202010118153619</v>
      </c>
      <c r="F103" s="173" t="str">
        <f t="shared" si="24"/>
        <v>C</v>
      </c>
      <c r="G103" s="173" t="str">
        <f t="shared" si="25"/>
        <v>A</v>
      </c>
      <c r="I103" s="182" t="s">
        <v>194</v>
      </c>
      <c r="J103" s="171">
        <f>'Юнит 8'!U75</f>
        <v>-1</v>
      </c>
      <c r="K103" s="172">
        <f t="shared" si="26"/>
        <v>-4.4404973357015987E-4</v>
      </c>
      <c r="L103" s="172">
        <f t="shared" si="27"/>
        <v>0.99333925399644707</v>
      </c>
      <c r="M103" s="173" t="str">
        <f t="shared" si="28"/>
        <v>C</v>
      </c>
    </row>
    <row r="104" spans="2:13" ht="26.5" outlineLevel="1" thickBot="1">
      <c r="B104" s="182" t="s">
        <v>145</v>
      </c>
      <c r="C104" s="171">
        <f>'Юнит 8'!AO26</f>
        <v>-8358.7764012629414</v>
      </c>
      <c r="D104" s="172">
        <f t="shared" si="22"/>
        <v>-1.4581377141914098E-2</v>
      </c>
      <c r="E104" s="172">
        <f t="shared" si="23"/>
        <v>1.0166611926232707</v>
      </c>
      <c r="F104" s="173" t="str">
        <f t="shared" si="24"/>
        <v>C</v>
      </c>
      <c r="G104" s="173" t="str">
        <f t="shared" si="25"/>
        <v>C</v>
      </c>
      <c r="I104" s="182" t="s">
        <v>204</v>
      </c>
      <c r="J104" s="171">
        <f>'Юнит 8'!U85</f>
        <v>-1</v>
      </c>
      <c r="K104" s="172">
        <f t="shared" si="26"/>
        <v>-4.4404973357015987E-4</v>
      </c>
      <c r="L104" s="172">
        <f t="shared" si="27"/>
        <v>0.99333925399644707</v>
      </c>
      <c r="M104" s="173" t="str">
        <f t="shared" si="28"/>
        <v>C</v>
      </c>
    </row>
    <row r="105" spans="2:13" outlineLevel="1">
      <c r="C105" s="178">
        <f>SUM(C4:C104)</f>
        <v>573250.13405185705</v>
      </c>
      <c r="D105" s="179">
        <f>SUM(D4:D104)</f>
        <v>1.0000000000000002</v>
      </c>
      <c r="J105" s="178">
        <f>SUM(J4:J104)</f>
        <v>2252</v>
      </c>
      <c r="K105" s="179">
        <f>SUM(K4:K104)</f>
        <v>0.99999999999999944</v>
      </c>
    </row>
  </sheetData>
  <sortState xmlns:xlrd2="http://schemas.microsoft.com/office/spreadsheetml/2017/richdata2" ref="I4:J104">
    <sortCondition descending="1" ref="J4:J104"/>
  </sortState>
  <mergeCells count="1">
    <mergeCell ref="B2:M2"/>
  </mergeCells>
  <conditionalFormatting sqref="D4:D98 F4:G98 K4:K98 M4:M98">
    <cfRule type="cellIs" dxfId="148" priority="13" operator="equal">
      <formula>"C"</formula>
    </cfRule>
    <cfRule type="cellIs" dxfId="147" priority="14" operator="equal">
      <formula>"B"</formula>
    </cfRule>
    <cfRule type="cellIs" dxfId="146" priority="15" operator="equal">
      <formula>"A"</formula>
    </cfRule>
  </conditionalFormatting>
  <conditionalFormatting sqref="F99:G104 D99:D104 M99:M104 K99:K104">
    <cfRule type="cellIs" dxfId="145" priority="1" operator="equal">
      <formula>"C"</formula>
    </cfRule>
    <cfRule type="cellIs" dxfId="144" priority="2" operator="equal">
      <formula>"B"</formula>
    </cfRule>
    <cfRule type="cellIs" dxfId="143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109"/>
  <sheetViews>
    <sheetView topLeftCell="A94" zoomScale="80" zoomScaleNormal="80" workbookViewId="0">
      <selection activeCell="I11" sqref="I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9" t="s">
        <v>86</v>
      </c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1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ЯНВАРЬ!AO4</f>
        <v>95816.616561813324</v>
      </c>
      <c r="D4" s="172">
        <f t="shared" ref="D4:D67" si="0">C4/C$100</f>
        <v>0.50977294411832252</v>
      </c>
      <c r="E4" s="172">
        <f>D4</f>
        <v>0.50977294411832252</v>
      </c>
      <c r="F4" s="173" t="str">
        <f>IF(AND(E4&lt;=0),"C",IF(E4&lt;=0.8,"A",IF(E4&lt;=0.95,"B","C")))</f>
        <v>A</v>
      </c>
      <c r="G4" s="173" t="str">
        <f t="shared" ref="G4:G67" si="1">VLOOKUP(B$4:B$99,I$4:M$99,5,0)</f>
        <v>A</v>
      </c>
      <c r="I4" s="182" t="s">
        <v>123</v>
      </c>
      <c r="J4" s="171">
        <f>ЯНВАРЬ!U4</f>
        <v>602</v>
      </c>
      <c r="K4" s="172">
        <f t="shared" ref="K4:K67" si="2">J4/J$100</f>
        <v>0.26071892594196622</v>
      </c>
      <c r="L4" s="172">
        <f>K4</f>
        <v>0.26071892594196622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124</v>
      </c>
      <c r="C5" s="171">
        <f>ЯНВАРЬ!AO5</f>
        <v>47644.350093096058</v>
      </c>
      <c r="D5" s="172">
        <f t="shared" si="0"/>
        <v>0.25348213586620516</v>
      </c>
      <c r="E5" s="172">
        <f>E4+D5</f>
        <v>0.76325507998452768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124</v>
      </c>
      <c r="J5" s="171">
        <f>ЯНВАРЬ!U5</f>
        <v>201</v>
      </c>
      <c r="K5" s="172">
        <f t="shared" si="2"/>
        <v>8.7050671286271114E-2</v>
      </c>
      <c r="L5" s="172">
        <f>L4+K5</f>
        <v>0.3477695972282373</v>
      </c>
      <c r="M5" s="173" t="str">
        <f t="shared" ref="M5:M99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126</v>
      </c>
      <c r="C6" s="171">
        <f>ЯНВАРЬ!AO7</f>
        <v>29221.212730504052</v>
      </c>
      <c r="D6" s="172">
        <f t="shared" si="0"/>
        <v>0.15546555679856441</v>
      </c>
      <c r="E6" s="172">
        <f t="shared" ref="E6:E69" si="5">E5+D6</f>
        <v>0.91872063678309213</v>
      </c>
      <c r="F6" s="173" t="str">
        <f t="shared" si="3"/>
        <v>B</v>
      </c>
      <c r="G6" s="173" t="str">
        <f t="shared" si="1"/>
        <v>A</v>
      </c>
      <c r="I6" s="182" t="s">
        <v>125</v>
      </c>
      <c r="J6" s="171">
        <f>ЯНВАРЬ!U6</f>
        <v>177</v>
      </c>
      <c r="K6" s="172">
        <f t="shared" si="2"/>
        <v>7.6656561281940233E-2</v>
      </c>
      <c r="L6" s="172">
        <f t="shared" ref="L6:L69" si="6">L5+K6</f>
        <v>0.42442615851017751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125</v>
      </c>
      <c r="C7" s="171">
        <f>ЯНВАРЬ!AO6</f>
        <v>29373.808219423212</v>
      </c>
      <c r="D7" s="172">
        <f t="shared" si="0"/>
        <v>0.15627741025819175</v>
      </c>
      <c r="E7" s="172">
        <f t="shared" si="5"/>
        <v>1.0749980470412839</v>
      </c>
      <c r="F7" s="173" t="str">
        <f t="shared" si="3"/>
        <v>C</v>
      </c>
      <c r="G7" s="173" t="str">
        <f t="shared" si="1"/>
        <v>A</v>
      </c>
      <c r="I7" s="182" t="s">
        <v>126</v>
      </c>
      <c r="J7" s="171">
        <f>ЯНВАРЬ!U7</f>
        <v>159</v>
      </c>
      <c r="K7" s="172">
        <f t="shared" si="2"/>
        <v>6.8860978778692072E-2</v>
      </c>
      <c r="L7" s="172">
        <f t="shared" si="6"/>
        <v>0.49328713728886958</v>
      </c>
      <c r="M7" s="173" t="str">
        <f t="shared" si="4"/>
        <v>A</v>
      </c>
    </row>
    <row r="8" spans="2:17" ht="26.5" outlineLevel="1" thickBot="1">
      <c r="B8" s="182" t="s">
        <v>122</v>
      </c>
      <c r="C8" s="171">
        <f>ЯНВАРЬ!AO3</f>
        <v>22785.148062450884</v>
      </c>
      <c r="D8" s="172">
        <f t="shared" si="0"/>
        <v>0.12122377544477615</v>
      </c>
      <c r="E8" s="172">
        <f t="shared" si="5"/>
        <v>1.1962218224860601</v>
      </c>
      <c r="F8" s="173" t="str">
        <f t="shared" si="3"/>
        <v>C</v>
      </c>
      <c r="G8" s="173" t="str">
        <f t="shared" si="1"/>
        <v>A</v>
      </c>
      <c r="I8" s="182" t="s">
        <v>122</v>
      </c>
      <c r="J8" s="171">
        <f>ЯНВАРЬ!U3</f>
        <v>158</v>
      </c>
      <c r="K8" s="172">
        <f t="shared" si="2"/>
        <v>6.8427890861844948E-2</v>
      </c>
      <c r="L8" s="172">
        <f t="shared" si="6"/>
        <v>0.5617150281507145</v>
      </c>
      <c r="M8" s="173" t="str">
        <f>_xlfn.IFS(L8&lt;80%,"A",L8&lt;=95%,"B",L8&gt;95%,"C")</f>
        <v>A</v>
      </c>
    </row>
    <row r="9" spans="2:17" ht="15" outlineLevel="1" thickBot="1">
      <c r="B9" s="182" t="s">
        <v>130</v>
      </c>
      <c r="C9" s="171">
        <f>ЯНВАРЬ!AO11</f>
        <v>15212.717435300949</v>
      </c>
      <c r="D9" s="172">
        <f t="shared" si="0"/>
        <v>8.0936188662334638E-2</v>
      </c>
      <c r="E9" s="172">
        <f t="shared" si="5"/>
        <v>1.2771580111483947</v>
      </c>
      <c r="F9" s="173" t="str">
        <f t="shared" si="3"/>
        <v>C</v>
      </c>
      <c r="G9" s="173" t="str">
        <f t="shared" si="1"/>
        <v>A</v>
      </c>
      <c r="I9" s="182" t="s">
        <v>128</v>
      </c>
      <c r="J9" s="171">
        <f>ЯНВАРЬ!U9</f>
        <v>122</v>
      </c>
      <c r="K9" s="172">
        <f t="shared" si="2"/>
        <v>5.2836725855348633E-2</v>
      </c>
      <c r="L9" s="172">
        <f t="shared" si="6"/>
        <v>0.6145517540060631</v>
      </c>
      <c r="M9" s="173" t="str">
        <f t="shared" si="4"/>
        <v>A</v>
      </c>
    </row>
    <row r="10" spans="2:17" ht="26.5" outlineLevel="1" thickBot="1">
      <c r="B10" s="182" t="s">
        <v>137</v>
      </c>
      <c r="C10" s="171">
        <f>ЯНВАРЬ!AO18</f>
        <v>6260.1322236812703</v>
      </c>
      <c r="D10" s="172">
        <f t="shared" si="0"/>
        <v>3.3305768339014996E-2</v>
      </c>
      <c r="E10" s="172">
        <f t="shared" si="5"/>
        <v>1.3104637794874097</v>
      </c>
      <c r="F10" s="173" t="str">
        <f t="shared" si="3"/>
        <v>C</v>
      </c>
      <c r="G10" s="173" t="str">
        <f t="shared" si="1"/>
        <v>B</v>
      </c>
      <c r="I10" s="182" t="s">
        <v>127</v>
      </c>
      <c r="J10" s="171">
        <f>ЯНВАРЬ!U8</f>
        <v>119</v>
      </c>
      <c r="K10" s="172">
        <f t="shared" si="2"/>
        <v>5.1537462104807273E-2</v>
      </c>
      <c r="L10" s="172">
        <f t="shared" si="6"/>
        <v>0.66608921611087035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ЯНВАРЬ!AO13</f>
        <v>5883.4141357194694</v>
      </c>
      <c r="D11" s="172">
        <f t="shared" si="0"/>
        <v>3.1301515885798568E-2</v>
      </c>
      <c r="E11" s="172">
        <f t="shared" si="5"/>
        <v>1.3417652953732082</v>
      </c>
      <c r="F11" s="173" t="str">
        <f t="shared" si="3"/>
        <v>C</v>
      </c>
      <c r="G11" s="173" t="str">
        <f t="shared" si="1"/>
        <v>A</v>
      </c>
      <c r="I11" s="182" t="s">
        <v>129</v>
      </c>
      <c r="J11" s="171">
        <f>ЯНВАРЬ!U10</f>
        <v>88</v>
      </c>
      <c r="K11" s="172">
        <f t="shared" si="2"/>
        <v>3.8111736682546554E-2</v>
      </c>
      <c r="L11" s="172">
        <f t="shared" si="6"/>
        <v>0.70420095279341688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128</v>
      </c>
      <c r="C12" s="171">
        <f>ЯНВАРЬ!AO9</f>
        <v>5728.2792430113141</v>
      </c>
      <c r="D12" s="172">
        <f t="shared" si="0"/>
        <v>3.0476152041519031E-2</v>
      </c>
      <c r="E12" s="172">
        <f t="shared" si="5"/>
        <v>1.3722414474147273</v>
      </c>
      <c r="F12" s="173" t="str">
        <f t="shared" si="3"/>
        <v>C</v>
      </c>
      <c r="G12" s="173" t="str">
        <f t="shared" si="1"/>
        <v>A</v>
      </c>
      <c r="I12" s="182" t="s">
        <v>130</v>
      </c>
      <c r="J12" s="171">
        <f>ЯНВАРЬ!U11</f>
        <v>80</v>
      </c>
      <c r="K12" s="172">
        <f t="shared" si="2"/>
        <v>3.4647033347769599E-2</v>
      </c>
      <c r="L12" s="172">
        <f t="shared" si="6"/>
        <v>0.73884798614118652</v>
      </c>
      <c r="M12" s="173" t="str">
        <f t="shared" si="4"/>
        <v>A</v>
      </c>
    </row>
    <row r="13" spans="2:17" ht="15" outlineLevel="1" thickBot="1">
      <c r="B13" s="182" t="s">
        <v>164</v>
      </c>
      <c r="C13" s="171">
        <f>ЯНВАРЬ!AO45</f>
        <v>3517.8232276177532</v>
      </c>
      <c r="D13" s="172">
        <f t="shared" si="0"/>
        <v>1.8715867539255384E-2</v>
      </c>
      <c r="E13" s="172">
        <f t="shared" si="5"/>
        <v>1.3909573149539827</v>
      </c>
      <c r="F13" s="173" t="str">
        <f t="shared" si="3"/>
        <v>C</v>
      </c>
      <c r="G13" s="173" t="str">
        <f t="shared" si="1"/>
        <v>C</v>
      </c>
      <c r="I13" s="182" t="s">
        <v>132</v>
      </c>
      <c r="J13" s="171">
        <f>ЯНВАРЬ!U13</f>
        <v>71</v>
      </c>
      <c r="K13" s="172">
        <f t="shared" si="2"/>
        <v>3.0749242096145518E-2</v>
      </c>
      <c r="L13" s="172">
        <f t="shared" si="6"/>
        <v>0.76959722823733201</v>
      </c>
      <c r="M13" s="173" t="str">
        <f t="shared" si="4"/>
        <v>A</v>
      </c>
    </row>
    <row r="14" spans="2:17" ht="15" outlineLevel="1" thickBot="1">
      <c r="B14" s="182" t="s">
        <v>144</v>
      </c>
      <c r="C14" s="171">
        <f>ЯНВАРЬ!AO25</f>
        <v>1750.6579594449197</v>
      </c>
      <c r="D14" s="172">
        <f t="shared" si="0"/>
        <v>9.3140218696271832E-3</v>
      </c>
      <c r="E14" s="172">
        <f t="shared" si="5"/>
        <v>1.4002713368236099</v>
      </c>
      <c r="F14" s="173" t="str">
        <f t="shared" si="3"/>
        <v>C</v>
      </c>
      <c r="G14" s="173" t="str">
        <f t="shared" si="1"/>
        <v>C</v>
      </c>
      <c r="I14" s="182" t="s">
        <v>147</v>
      </c>
      <c r="J14" s="171">
        <f>ЯНВАРЬ!U28</f>
        <v>62</v>
      </c>
      <c r="K14" s="172">
        <f t="shared" si="2"/>
        <v>2.6851450844521438E-2</v>
      </c>
      <c r="L14" s="172">
        <f t="shared" si="6"/>
        <v>0.79644867908185346</v>
      </c>
      <c r="M14" s="173" t="str">
        <f t="shared" si="4"/>
        <v>A</v>
      </c>
    </row>
    <row r="15" spans="2:17" ht="15" outlineLevel="1" thickBot="1">
      <c r="B15" s="182" t="s">
        <v>193</v>
      </c>
      <c r="C15" s="171">
        <f>ЯНВАРЬ!AO74</f>
        <v>1379.4292036952963</v>
      </c>
      <c r="D15" s="172">
        <f t="shared" si="0"/>
        <v>7.3389742990653192E-3</v>
      </c>
      <c r="E15" s="172">
        <f t="shared" si="5"/>
        <v>1.4076103111226752</v>
      </c>
      <c r="F15" s="173" t="str">
        <f t="shared" si="3"/>
        <v>C</v>
      </c>
      <c r="G15" s="173" t="str">
        <f t="shared" si="1"/>
        <v>C</v>
      </c>
      <c r="I15" s="182" t="s">
        <v>135</v>
      </c>
      <c r="J15" s="171">
        <f>ЯНВАРЬ!U16</f>
        <v>58</v>
      </c>
      <c r="K15" s="172">
        <f t="shared" si="2"/>
        <v>2.5119099177132957E-2</v>
      </c>
      <c r="L15" s="172">
        <f t="shared" si="6"/>
        <v>0.82156777825898641</v>
      </c>
      <c r="M15" s="173" t="str">
        <f t="shared" si="4"/>
        <v>B</v>
      </c>
    </row>
    <row r="16" spans="2:17" ht="15" outlineLevel="1" thickBot="1">
      <c r="B16" s="182" t="s">
        <v>143</v>
      </c>
      <c r="C16" s="171">
        <f>ЯНВАРЬ!AO24</f>
        <v>1358.6489870135049</v>
      </c>
      <c r="D16" s="172">
        <f t="shared" si="0"/>
        <v>7.2284173558397188E-3</v>
      </c>
      <c r="E16" s="172">
        <f t="shared" si="5"/>
        <v>1.4148387284785149</v>
      </c>
      <c r="F16" s="173" t="str">
        <f t="shared" si="3"/>
        <v>C</v>
      </c>
      <c r="G16" s="173" t="str">
        <f t="shared" si="1"/>
        <v>C</v>
      </c>
      <c r="I16" s="182" t="s">
        <v>131</v>
      </c>
      <c r="J16" s="171">
        <f>ЯНВАРЬ!U12</f>
        <v>47</v>
      </c>
      <c r="K16" s="172">
        <f t="shared" si="2"/>
        <v>2.0355132091814637E-2</v>
      </c>
      <c r="L16" s="172">
        <f t="shared" si="6"/>
        <v>0.84192291035080102</v>
      </c>
      <c r="M16" s="173" t="str">
        <f t="shared" si="4"/>
        <v>B</v>
      </c>
    </row>
    <row r="17" spans="2:13" ht="26.5" outlineLevel="1" thickBot="1">
      <c r="B17" s="182" t="s">
        <v>166</v>
      </c>
      <c r="C17" s="171">
        <f>ЯНВАРЬ!AO47</f>
        <v>1305.6696934963616</v>
      </c>
      <c r="D17" s="172">
        <f t="shared" si="0"/>
        <v>6.946551731664607E-3</v>
      </c>
      <c r="E17" s="172">
        <f t="shared" si="5"/>
        <v>1.4217852802101796</v>
      </c>
      <c r="F17" s="173" t="str">
        <f t="shared" si="3"/>
        <v>C</v>
      </c>
      <c r="G17" s="173" t="str">
        <f t="shared" si="1"/>
        <v>C</v>
      </c>
      <c r="I17" s="182" t="s">
        <v>137</v>
      </c>
      <c r="J17" s="171">
        <f>ЯНВАРЬ!U18</f>
        <v>32</v>
      </c>
      <c r="K17" s="172">
        <f t="shared" si="2"/>
        <v>1.3858813339107838E-2</v>
      </c>
      <c r="L17" s="172">
        <f t="shared" si="6"/>
        <v>0.8557817236899089</v>
      </c>
      <c r="M17" s="173" t="str">
        <f t="shared" si="4"/>
        <v>B</v>
      </c>
    </row>
    <row r="18" spans="2:13" ht="15" outlineLevel="1" thickBot="1">
      <c r="B18" s="182" t="s">
        <v>135</v>
      </c>
      <c r="C18" s="171">
        <f>ЯНВАРЬ!AO16</f>
        <v>1282.6575015890626</v>
      </c>
      <c r="D18" s="172">
        <f t="shared" si="0"/>
        <v>6.8241200153283102E-3</v>
      </c>
      <c r="E18" s="172">
        <f t="shared" si="5"/>
        <v>1.4286094002255079</v>
      </c>
      <c r="F18" s="173" t="str">
        <f t="shared" si="3"/>
        <v>C</v>
      </c>
      <c r="G18" s="173" t="str">
        <f t="shared" si="1"/>
        <v>B</v>
      </c>
      <c r="I18" s="182" t="s">
        <v>168</v>
      </c>
      <c r="J18" s="171">
        <f>ЯНВАРЬ!U49</f>
        <v>32</v>
      </c>
      <c r="K18" s="172">
        <f t="shared" si="2"/>
        <v>1.3858813339107838E-2</v>
      </c>
      <c r="L18" s="172">
        <f t="shared" si="6"/>
        <v>0.86964053702901678</v>
      </c>
      <c r="M18" s="173" t="str">
        <f t="shared" si="4"/>
        <v>B</v>
      </c>
    </row>
    <row r="19" spans="2:13" ht="26.5" outlineLevel="1" thickBot="1">
      <c r="B19" s="182" t="s">
        <v>205</v>
      </c>
      <c r="C19" s="171">
        <f>ЯНВАРЬ!AO86</f>
        <v>1131.4693345857802</v>
      </c>
      <c r="D19" s="172">
        <f t="shared" si="0"/>
        <v>6.0197539275381471E-3</v>
      </c>
      <c r="E19" s="172">
        <f t="shared" si="5"/>
        <v>1.434629154153046</v>
      </c>
      <c r="F19" s="173" t="str">
        <f t="shared" si="3"/>
        <v>C</v>
      </c>
      <c r="G19" s="173" t="str">
        <f t="shared" si="1"/>
        <v>C</v>
      </c>
      <c r="I19" s="182" t="s">
        <v>134</v>
      </c>
      <c r="J19" s="171">
        <f>ЯНВАРЬ!U15</f>
        <v>29</v>
      </c>
      <c r="K19" s="172">
        <f t="shared" si="2"/>
        <v>1.2559549588566478E-2</v>
      </c>
      <c r="L19" s="172">
        <f t="shared" si="6"/>
        <v>0.88220008661758331</v>
      </c>
      <c r="M19" s="173" t="str">
        <f t="shared" si="4"/>
        <v>B</v>
      </c>
    </row>
    <row r="20" spans="2:13" ht="26.5" outlineLevel="1" thickBot="1">
      <c r="B20" s="182" t="s">
        <v>194</v>
      </c>
      <c r="C20" s="171">
        <f>ЯНВАРЬ!AO75</f>
        <v>1068.0037925073989</v>
      </c>
      <c r="D20" s="172">
        <f t="shared" si="0"/>
        <v>5.6820983371376026E-3</v>
      </c>
      <c r="E20" s="172">
        <f t="shared" si="5"/>
        <v>1.4403112524901835</v>
      </c>
      <c r="F20" s="173" t="str">
        <f t="shared" si="3"/>
        <v>C</v>
      </c>
      <c r="G20" s="173" t="str">
        <f t="shared" si="1"/>
        <v>B</v>
      </c>
      <c r="I20" s="182" t="s">
        <v>136</v>
      </c>
      <c r="J20" s="171">
        <f>ЯНВАРЬ!U17</f>
        <v>29</v>
      </c>
      <c r="K20" s="172">
        <f t="shared" si="2"/>
        <v>1.2559549588566478E-2</v>
      </c>
      <c r="L20" s="172">
        <f t="shared" si="6"/>
        <v>0.89475963620614984</v>
      </c>
      <c r="M20" s="173" t="str">
        <f t="shared" si="4"/>
        <v>B</v>
      </c>
    </row>
    <row r="21" spans="2:13" ht="26.5" outlineLevel="1" thickBot="1">
      <c r="B21" s="182" t="s">
        <v>206</v>
      </c>
      <c r="C21" s="171">
        <f>ЯНВАРЬ!AO87</f>
        <v>1015.2660919153773</v>
      </c>
      <c r="D21" s="172">
        <f t="shared" si="0"/>
        <v>5.4015180592952737E-3</v>
      </c>
      <c r="E21" s="172">
        <f t="shared" si="5"/>
        <v>1.4457127705494788</v>
      </c>
      <c r="F21" s="173" t="str">
        <f t="shared" si="3"/>
        <v>C</v>
      </c>
      <c r="G21" s="173" t="str">
        <f t="shared" si="1"/>
        <v>C</v>
      </c>
      <c r="I21" s="182" t="s">
        <v>169</v>
      </c>
      <c r="J21" s="171">
        <f>ЯНВАРЬ!U50</f>
        <v>26</v>
      </c>
      <c r="K21" s="172">
        <f t="shared" si="2"/>
        <v>1.126028583802512E-2</v>
      </c>
      <c r="L21" s="172">
        <f t="shared" si="6"/>
        <v>0.90601992204417492</v>
      </c>
      <c r="M21" s="173" t="str">
        <f t="shared" si="4"/>
        <v>B</v>
      </c>
    </row>
    <row r="22" spans="2:13" ht="15" outlineLevel="1" thickBot="1">
      <c r="B22" s="182" t="s">
        <v>186</v>
      </c>
      <c r="C22" s="171">
        <f>ЯНВАРЬ!AO67</f>
        <v>860.70407551044138</v>
      </c>
      <c r="D22" s="172">
        <f t="shared" si="0"/>
        <v>4.5792020876101484E-3</v>
      </c>
      <c r="E22" s="172">
        <f t="shared" si="5"/>
        <v>1.4502919726370889</v>
      </c>
      <c r="F22" s="173" t="str">
        <f t="shared" si="3"/>
        <v>C</v>
      </c>
      <c r="G22" s="173" t="str">
        <f t="shared" si="1"/>
        <v>C</v>
      </c>
      <c r="I22" s="182" t="s">
        <v>133</v>
      </c>
      <c r="J22" s="171">
        <f>ЯНВАРЬ!U14</f>
        <v>25</v>
      </c>
      <c r="K22" s="172">
        <f t="shared" si="2"/>
        <v>1.0827197921177999E-2</v>
      </c>
      <c r="L22" s="172">
        <f t="shared" si="6"/>
        <v>0.91684711996535295</v>
      </c>
      <c r="M22" s="173" t="str">
        <f t="shared" si="4"/>
        <v>B</v>
      </c>
    </row>
    <row r="23" spans="2:13" ht="15" outlineLevel="1" thickBot="1">
      <c r="B23" s="182" t="s">
        <v>189</v>
      </c>
      <c r="C23" s="171">
        <f>ЯНВАРЬ!AO70</f>
        <v>905.26124696076386</v>
      </c>
      <c r="D23" s="172">
        <f t="shared" si="0"/>
        <v>4.816259513418567E-3</v>
      </c>
      <c r="E23" s="172">
        <f t="shared" si="5"/>
        <v>1.4551082321505073</v>
      </c>
      <c r="F23" s="173" t="str">
        <f t="shared" si="3"/>
        <v>C</v>
      </c>
      <c r="G23" s="173" t="str">
        <f t="shared" si="1"/>
        <v>C</v>
      </c>
      <c r="I23" s="182" t="s">
        <v>194</v>
      </c>
      <c r="J23" s="171">
        <f>ЯНВАРЬ!U75</f>
        <v>23</v>
      </c>
      <c r="K23" s="172">
        <f t="shared" si="2"/>
        <v>9.9610220874837598E-3</v>
      </c>
      <c r="L23" s="172">
        <f t="shared" si="6"/>
        <v>0.92680814205283668</v>
      </c>
      <c r="M23" s="173" t="str">
        <f t="shared" si="4"/>
        <v>B</v>
      </c>
    </row>
    <row r="24" spans="2:13" ht="15" outlineLevel="1" thickBot="1">
      <c r="B24" s="182" t="s">
        <v>160</v>
      </c>
      <c r="C24" s="171">
        <f>ЯНВАРЬ!AO41</f>
        <v>767.17273311197073</v>
      </c>
      <c r="D24" s="172">
        <f t="shared" si="0"/>
        <v>4.0815874828296914E-3</v>
      </c>
      <c r="E24" s="172">
        <f t="shared" si="5"/>
        <v>1.459189819633337</v>
      </c>
      <c r="F24" s="173" t="str">
        <f t="shared" si="3"/>
        <v>C</v>
      </c>
      <c r="G24" s="173" t="str">
        <f t="shared" si="1"/>
        <v>C</v>
      </c>
      <c r="I24" s="182" t="s">
        <v>145</v>
      </c>
      <c r="J24" s="171">
        <f>ЯНВАРЬ!U26</f>
        <v>22</v>
      </c>
      <c r="K24" s="172">
        <f t="shared" si="2"/>
        <v>9.5279341706366386E-3</v>
      </c>
      <c r="L24" s="172">
        <f t="shared" si="6"/>
        <v>0.93633607622347337</v>
      </c>
      <c r="M24" s="173" t="str">
        <f t="shared" si="4"/>
        <v>B</v>
      </c>
    </row>
    <row r="25" spans="2:13" ht="15" outlineLevel="1" thickBot="1">
      <c r="B25" s="182" t="s">
        <v>167</v>
      </c>
      <c r="C25" s="171">
        <f>ЯНВАРЬ!AO48</f>
        <v>619.52710605448897</v>
      </c>
      <c r="D25" s="172">
        <f t="shared" si="0"/>
        <v>3.2960687628826894E-3</v>
      </c>
      <c r="E25" s="172">
        <f t="shared" si="5"/>
        <v>1.4624858883962197</v>
      </c>
      <c r="F25" s="173" t="str">
        <f t="shared" si="3"/>
        <v>C</v>
      </c>
      <c r="G25" s="173" t="str">
        <f t="shared" si="1"/>
        <v>C</v>
      </c>
      <c r="I25" s="182" t="s">
        <v>149</v>
      </c>
      <c r="J25" s="171">
        <f>ЯНВАРЬ!U30</f>
        <v>17</v>
      </c>
      <c r="K25" s="172">
        <f t="shared" si="2"/>
        <v>7.3624945864010395E-3</v>
      </c>
      <c r="L25" s="172">
        <f t="shared" si="6"/>
        <v>0.9436985708098744</v>
      </c>
      <c r="M25" s="173" t="str">
        <f t="shared" si="4"/>
        <v>B</v>
      </c>
    </row>
    <row r="26" spans="2:13" ht="15" outlineLevel="1" thickBot="1">
      <c r="B26" s="182" t="s">
        <v>197</v>
      </c>
      <c r="C26" s="171">
        <f>ЯНВАРЬ!AO78</f>
        <v>303.89469133605326</v>
      </c>
      <c r="D26" s="172">
        <f t="shared" si="0"/>
        <v>1.6168102888956459E-3</v>
      </c>
      <c r="E26" s="172">
        <f t="shared" si="5"/>
        <v>1.4641026986851153</v>
      </c>
      <c r="F26" s="173" t="str">
        <f t="shared" si="3"/>
        <v>C</v>
      </c>
      <c r="G26" s="173" t="str">
        <f t="shared" si="1"/>
        <v>C</v>
      </c>
      <c r="I26" s="182" t="s">
        <v>150</v>
      </c>
      <c r="J26" s="171">
        <f>ЯНВАРЬ!U31</f>
        <v>17</v>
      </c>
      <c r="K26" s="172">
        <f t="shared" si="2"/>
        <v>7.3624945864010395E-3</v>
      </c>
      <c r="L26" s="172">
        <f t="shared" si="6"/>
        <v>0.95106106539627544</v>
      </c>
      <c r="M26" s="173" t="str">
        <f t="shared" si="4"/>
        <v>C</v>
      </c>
    </row>
    <row r="27" spans="2:13" ht="26.5" outlineLevel="1" thickBot="1">
      <c r="B27" s="182" t="s">
        <v>177</v>
      </c>
      <c r="C27" s="171">
        <f>ЯНВАРЬ!AO58</f>
        <v>249.93861593925902</v>
      </c>
      <c r="D27" s="172">
        <f t="shared" si="0"/>
        <v>1.3297478941350284E-3</v>
      </c>
      <c r="E27" s="172">
        <f>E26+D27</f>
        <v>1.4654324465792503</v>
      </c>
      <c r="F27" s="173" t="str">
        <f t="shared" si="3"/>
        <v>C</v>
      </c>
      <c r="G27" s="173" t="str">
        <f t="shared" si="1"/>
        <v>C</v>
      </c>
      <c r="I27" s="182" t="s">
        <v>207</v>
      </c>
      <c r="J27" s="171">
        <f>ЯНВАРЬ!U88</f>
        <v>17</v>
      </c>
      <c r="K27" s="172">
        <f t="shared" si="2"/>
        <v>7.3624945864010395E-3</v>
      </c>
      <c r="L27" s="172">
        <f>L26+K27</f>
        <v>0.95842355998267648</v>
      </c>
      <c r="M27" s="173" t="str">
        <f t="shared" si="4"/>
        <v>C</v>
      </c>
    </row>
    <row r="28" spans="2:13" ht="26.5" outlineLevel="1" thickBot="1">
      <c r="B28" s="182" t="s">
        <v>156</v>
      </c>
      <c r="C28" s="171">
        <f>ЯНВАРЬ!AO37</f>
        <v>219.37213722614263</v>
      </c>
      <c r="D28" s="172">
        <f t="shared" si="0"/>
        <v>1.167125121550869E-3</v>
      </c>
      <c r="E28" s="172">
        <f>E27+D28</f>
        <v>1.4665995717008011</v>
      </c>
      <c r="F28" s="173" t="str">
        <f t="shared" si="3"/>
        <v>C</v>
      </c>
      <c r="G28" s="173" t="str">
        <f t="shared" si="1"/>
        <v>C</v>
      </c>
      <c r="I28" s="182" t="s">
        <v>167</v>
      </c>
      <c r="J28" s="171">
        <f>ЯНВАРЬ!U48</f>
        <v>13</v>
      </c>
      <c r="K28" s="172">
        <f t="shared" si="2"/>
        <v>5.6301429190125599E-3</v>
      </c>
      <c r="L28" s="172">
        <f t="shared" si="6"/>
        <v>0.96405370290168901</v>
      </c>
      <c r="M28" s="173" t="str">
        <f t="shared" si="4"/>
        <v>C</v>
      </c>
    </row>
    <row r="29" spans="2:13" ht="15" outlineLevel="1" thickBot="1">
      <c r="B29" s="182" t="s">
        <v>151</v>
      </c>
      <c r="C29" s="171">
        <f>ЯНВАРЬ!AO32</f>
        <v>164.8829624502232</v>
      </c>
      <c r="D29" s="172">
        <f t="shared" si="0"/>
        <v>8.7722647928166833E-4</v>
      </c>
      <c r="E29" s="172">
        <f t="shared" si="5"/>
        <v>1.4674767981800827</v>
      </c>
      <c r="F29" s="173" t="str">
        <f t="shared" si="3"/>
        <v>C</v>
      </c>
      <c r="G29" s="173" t="str">
        <f t="shared" si="1"/>
        <v>C</v>
      </c>
      <c r="I29" s="182" t="s">
        <v>164</v>
      </c>
      <c r="J29" s="171">
        <f>ЯНВАРЬ!U45</f>
        <v>12</v>
      </c>
      <c r="K29" s="172">
        <f t="shared" si="2"/>
        <v>5.1970550021654396E-3</v>
      </c>
      <c r="L29" s="172">
        <f t="shared" si="6"/>
        <v>0.9692507579038544</v>
      </c>
      <c r="M29" s="173" t="str">
        <f t="shared" si="4"/>
        <v>C</v>
      </c>
    </row>
    <row r="30" spans="2:13" ht="26.5" outlineLevel="1" thickBot="1">
      <c r="B30" s="182" t="s">
        <v>136</v>
      </c>
      <c r="C30" s="171">
        <f>ЯНВАРЬ!AO17</f>
        <v>173.3005378618243</v>
      </c>
      <c r="D30" s="172">
        <f t="shared" si="0"/>
        <v>9.2201048808813297E-4</v>
      </c>
      <c r="E30" s="172">
        <f t="shared" si="5"/>
        <v>1.4683988086681707</v>
      </c>
      <c r="F30" s="173" t="str">
        <f t="shared" si="3"/>
        <v>C</v>
      </c>
      <c r="G30" s="173" t="str">
        <f t="shared" si="1"/>
        <v>B</v>
      </c>
      <c r="I30" s="182" t="s">
        <v>170</v>
      </c>
      <c r="J30" s="171">
        <f>ЯНВАРЬ!U51</f>
        <v>12</v>
      </c>
      <c r="K30" s="172">
        <f t="shared" si="2"/>
        <v>5.1970550021654396E-3</v>
      </c>
      <c r="L30" s="172">
        <f t="shared" si="6"/>
        <v>0.97444781290601978</v>
      </c>
      <c r="M30" s="173" t="str">
        <f t="shared" si="4"/>
        <v>C</v>
      </c>
    </row>
    <row r="31" spans="2:13" ht="15" outlineLevel="1" thickBot="1">
      <c r="B31" s="182" t="s">
        <v>192</v>
      </c>
      <c r="C31" s="171">
        <f>ЯНВАРЬ!AO73</f>
        <v>141.71059658306507</v>
      </c>
      <c r="D31" s="172">
        <f t="shared" si="0"/>
        <v>7.5394258976269816E-4</v>
      </c>
      <c r="E31" s="172">
        <f t="shared" si="5"/>
        <v>1.4691527512579334</v>
      </c>
      <c r="F31" s="173" t="str">
        <f t="shared" si="3"/>
        <v>C</v>
      </c>
      <c r="G31" s="173" t="str">
        <f t="shared" si="1"/>
        <v>C</v>
      </c>
      <c r="I31" s="182" t="s">
        <v>166</v>
      </c>
      <c r="J31" s="171">
        <f>ЯНВАРЬ!U47</f>
        <v>6</v>
      </c>
      <c r="K31" s="172">
        <f t="shared" si="2"/>
        <v>2.5985275010827198E-3</v>
      </c>
      <c r="L31" s="172">
        <f t="shared" si="6"/>
        <v>0.97704634040710248</v>
      </c>
      <c r="M31" s="173" t="str">
        <f t="shared" si="4"/>
        <v>C</v>
      </c>
    </row>
    <row r="32" spans="2:13" ht="15" outlineLevel="1" thickBot="1">
      <c r="B32" s="182" t="s">
        <v>159</v>
      </c>
      <c r="C32" s="171">
        <f>ЯНВАРЬ!AO40</f>
        <v>118.38020665144143</v>
      </c>
      <c r="D32" s="172">
        <f t="shared" si="0"/>
        <v>6.2981796514500782E-4</v>
      </c>
      <c r="E32" s="172">
        <f t="shared" si="5"/>
        <v>1.4697825692230784</v>
      </c>
      <c r="F32" s="173" t="str">
        <f t="shared" si="3"/>
        <v>C</v>
      </c>
      <c r="G32" s="173" t="str">
        <f t="shared" si="1"/>
        <v>C</v>
      </c>
      <c r="I32" s="182" t="s">
        <v>193</v>
      </c>
      <c r="J32" s="171">
        <f>ЯНВАРЬ!U74</f>
        <v>6</v>
      </c>
      <c r="K32" s="172">
        <f t="shared" si="2"/>
        <v>2.5985275010827198E-3</v>
      </c>
      <c r="L32" s="172">
        <f t="shared" si="6"/>
        <v>0.97964486790818517</v>
      </c>
      <c r="M32" s="173" t="str">
        <f t="shared" si="4"/>
        <v>C</v>
      </c>
    </row>
    <row r="33" spans="2:13" ht="26.5" outlineLevel="1" thickBot="1">
      <c r="B33" s="182" t="s">
        <v>215</v>
      </c>
      <c r="C33" s="171">
        <f>ЯНВАРЬ!AO96</f>
        <v>110.66986063348395</v>
      </c>
      <c r="D33" s="172">
        <f t="shared" si="0"/>
        <v>5.8879662739813067E-4</v>
      </c>
      <c r="E33" s="172">
        <f t="shared" si="5"/>
        <v>1.4703713658504765</v>
      </c>
      <c r="F33" s="173" t="str">
        <f t="shared" si="3"/>
        <v>C</v>
      </c>
      <c r="G33" s="173" t="str">
        <f t="shared" si="1"/>
        <v>C</v>
      </c>
      <c r="I33" s="182" t="s">
        <v>204</v>
      </c>
      <c r="J33" s="171">
        <f>ЯНВАРЬ!U85</f>
        <v>6</v>
      </c>
      <c r="K33" s="172">
        <f t="shared" si="2"/>
        <v>2.5985275010827198E-3</v>
      </c>
      <c r="L33" s="172">
        <f t="shared" si="6"/>
        <v>0.98224339540926786</v>
      </c>
      <c r="M33" s="173" t="str">
        <f t="shared" si="4"/>
        <v>C</v>
      </c>
    </row>
    <row r="34" spans="2:13" ht="15" outlineLevel="1" thickBot="1">
      <c r="B34" s="182" t="s">
        <v>173</v>
      </c>
      <c r="C34" s="171">
        <f>ЯНВАРЬ!AO54</f>
        <v>105.13145841677098</v>
      </c>
      <c r="D34" s="172">
        <f t="shared" si="0"/>
        <v>5.5933067770135936E-4</v>
      </c>
      <c r="E34" s="172">
        <f t="shared" si="5"/>
        <v>1.4709306965281779</v>
      </c>
      <c r="F34" s="173" t="str">
        <f t="shared" si="3"/>
        <v>C</v>
      </c>
      <c r="G34" s="173" t="str">
        <f t="shared" si="1"/>
        <v>C</v>
      </c>
      <c r="I34" s="182" t="s">
        <v>144</v>
      </c>
      <c r="J34" s="171">
        <f>ЯНВАРЬ!U25</f>
        <v>5</v>
      </c>
      <c r="K34" s="172">
        <f t="shared" si="2"/>
        <v>2.1654395842355999E-3</v>
      </c>
      <c r="L34" s="172">
        <f t="shared" si="6"/>
        <v>0.98440883499350351</v>
      </c>
      <c r="M34" s="173" t="str">
        <f t="shared" si="4"/>
        <v>C</v>
      </c>
    </row>
    <row r="35" spans="2:13" ht="15" outlineLevel="1" thickBot="1">
      <c r="B35" s="182" t="s">
        <v>191</v>
      </c>
      <c r="C35" s="171">
        <f>ЯНВАРЬ!AO72</f>
        <v>113.66313179230558</v>
      </c>
      <c r="D35" s="172">
        <f t="shared" si="0"/>
        <v>6.0472172166601873E-4</v>
      </c>
      <c r="E35" s="172">
        <f t="shared" si="5"/>
        <v>1.4715354182498439</v>
      </c>
      <c r="F35" s="173" t="str">
        <f t="shared" si="3"/>
        <v>C</v>
      </c>
      <c r="G35" s="173" t="str">
        <f t="shared" si="1"/>
        <v>C</v>
      </c>
      <c r="I35" s="182" t="s">
        <v>143</v>
      </c>
      <c r="J35" s="171">
        <f>ЯНВАРЬ!U24</f>
        <v>4</v>
      </c>
      <c r="K35" s="172">
        <f t="shared" si="2"/>
        <v>1.7323516673884798E-3</v>
      </c>
      <c r="L35" s="172">
        <f t="shared" si="6"/>
        <v>0.98614118666089201</v>
      </c>
      <c r="M35" s="173" t="str">
        <f t="shared" si="4"/>
        <v>C</v>
      </c>
    </row>
    <row r="36" spans="2:13" ht="26.5" outlineLevel="1" thickBot="1">
      <c r="B36" s="182" t="s">
        <v>172</v>
      </c>
      <c r="C36" s="171">
        <f>ЯНВАРЬ!AO53</f>
        <v>80.670042390160575</v>
      </c>
      <c r="D36" s="172">
        <f t="shared" si="0"/>
        <v>4.2918865732283977E-4</v>
      </c>
      <c r="E36" s="172">
        <f t="shared" si="5"/>
        <v>1.4719646069071668</v>
      </c>
      <c r="F36" s="173" t="str">
        <f t="shared" si="3"/>
        <v>C</v>
      </c>
      <c r="G36" s="173" t="str">
        <f t="shared" si="1"/>
        <v>C</v>
      </c>
      <c r="I36" s="182" t="s">
        <v>151</v>
      </c>
      <c r="J36" s="171">
        <f>ЯНВАРЬ!U32</f>
        <v>4</v>
      </c>
      <c r="K36" s="172">
        <f t="shared" si="2"/>
        <v>1.7323516673884798E-3</v>
      </c>
      <c r="L36" s="172">
        <f t="shared" si="6"/>
        <v>0.98787353832828051</v>
      </c>
      <c r="M36" s="173" t="str">
        <f t="shared" si="4"/>
        <v>C</v>
      </c>
    </row>
    <row r="37" spans="2:13" ht="26.5" outlineLevel="1" thickBot="1">
      <c r="B37" s="182" t="s">
        <v>138</v>
      </c>
      <c r="C37" s="171">
        <f>ЯНВАРЬ!AO19</f>
        <v>0</v>
      </c>
      <c r="D37" s="172">
        <f t="shared" si="0"/>
        <v>0</v>
      </c>
      <c r="E37" s="172">
        <f t="shared" si="5"/>
        <v>1.4719646069071668</v>
      </c>
      <c r="F37" s="173" t="str">
        <f t="shared" si="3"/>
        <v>C</v>
      </c>
      <c r="G37" s="173" t="str">
        <f t="shared" si="1"/>
        <v>C</v>
      </c>
      <c r="I37" s="182" t="s">
        <v>186</v>
      </c>
      <c r="J37" s="171">
        <f>ЯНВАРЬ!U67</f>
        <v>3</v>
      </c>
      <c r="K37" s="172">
        <f t="shared" si="2"/>
        <v>1.2992637505413599E-3</v>
      </c>
      <c r="L37" s="172">
        <f t="shared" si="6"/>
        <v>0.98917280207882186</v>
      </c>
      <c r="M37" s="173" t="str">
        <f t="shared" si="4"/>
        <v>C</v>
      </c>
    </row>
    <row r="38" spans="2:13" ht="15" outlineLevel="1" thickBot="1">
      <c r="B38" s="182" t="s">
        <v>139</v>
      </c>
      <c r="C38" s="171">
        <f>ЯНВАРЬ!AO20</f>
        <v>0</v>
      </c>
      <c r="D38" s="172">
        <f t="shared" si="0"/>
        <v>0</v>
      </c>
      <c r="E38" s="172">
        <f t="shared" si="5"/>
        <v>1.4719646069071668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ЯНВАРЬ!U33</f>
        <v>2</v>
      </c>
      <c r="K38" s="172">
        <f t="shared" si="2"/>
        <v>8.661758336942399E-4</v>
      </c>
      <c r="L38" s="172">
        <f t="shared" si="6"/>
        <v>0.99003897791251605</v>
      </c>
      <c r="M38" s="173" t="str">
        <f t="shared" si="4"/>
        <v>C</v>
      </c>
    </row>
    <row r="39" spans="2:13" ht="15" outlineLevel="1" thickBot="1">
      <c r="B39" s="182" t="s">
        <v>142</v>
      </c>
      <c r="C39" s="171">
        <f>ЯНВАРЬ!AO23</f>
        <v>0</v>
      </c>
      <c r="D39" s="172">
        <f t="shared" si="0"/>
        <v>0</v>
      </c>
      <c r="E39" s="172">
        <f>E35+D39</f>
        <v>1.4715354182498439</v>
      </c>
      <c r="F39" s="173" t="str">
        <f t="shared" si="3"/>
        <v>C</v>
      </c>
      <c r="G39" s="173" t="str">
        <f t="shared" si="1"/>
        <v>C</v>
      </c>
      <c r="I39" s="182" t="s">
        <v>160</v>
      </c>
      <c r="J39" s="171">
        <f>ЯНВАРЬ!U41</f>
        <v>2</v>
      </c>
      <c r="K39" s="172">
        <f t="shared" si="2"/>
        <v>8.661758336942399E-4</v>
      </c>
      <c r="L39" s="172">
        <f>L35+K39</f>
        <v>0.9870073624945862</v>
      </c>
      <c r="M39" s="173" t="str">
        <f t="shared" si="4"/>
        <v>C</v>
      </c>
    </row>
    <row r="40" spans="2:13" ht="15" outlineLevel="1" thickBot="1">
      <c r="B40" s="182" t="s">
        <v>154</v>
      </c>
      <c r="C40" s="171">
        <f>ЯНВАРЬ!AO35</f>
        <v>0</v>
      </c>
      <c r="D40" s="172">
        <f t="shared" si="0"/>
        <v>0</v>
      </c>
      <c r="E40" s="172">
        <f t="shared" si="5"/>
        <v>1.4715354182498439</v>
      </c>
      <c r="F40" s="173" t="str">
        <f t="shared" si="3"/>
        <v>C</v>
      </c>
      <c r="G40" s="173" t="str">
        <f t="shared" si="1"/>
        <v>C</v>
      </c>
      <c r="I40" s="182" t="s">
        <v>189</v>
      </c>
      <c r="J40" s="171">
        <f>ЯНВАРЬ!U70</f>
        <v>2</v>
      </c>
      <c r="K40" s="172">
        <f t="shared" si="2"/>
        <v>8.661758336942399E-4</v>
      </c>
      <c r="L40" s="172">
        <f t="shared" si="6"/>
        <v>0.9878735383282804</v>
      </c>
      <c r="M40" s="173" t="str">
        <f t="shared" si="4"/>
        <v>C</v>
      </c>
    </row>
    <row r="41" spans="2:13" ht="15" outlineLevel="1" thickBot="1">
      <c r="B41" s="182" t="s">
        <v>155</v>
      </c>
      <c r="C41" s="171">
        <f>ЯНВАРЬ!AO36</f>
        <v>0</v>
      </c>
      <c r="D41" s="172">
        <f t="shared" si="0"/>
        <v>0</v>
      </c>
      <c r="E41" s="172">
        <f t="shared" si="5"/>
        <v>1.4715354182498439</v>
      </c>
      <c r="F41" s="173" t="str">
        <f t="shared" si="3"/>
        <v>C</v>
      </c>
      <c r="G41" s="173" t="str">
        <f t="shared" si="1"/>
        <v>C</v>
      </c>
      <c r="I41" s="182" t="s">
        <v>191</v>
      </c>
      <c r="J41" s="171">
        <f>ЯНВАРЬ!U72</f>
        <v>2</v>
      </c>
      <c r="K41" s="172">
        <f t="shared" si="2"/>
        <v>8.661758336942399E-4</v>
      </c>
      <c r="L41" s="172">
        <f t="shared" si="6"/>
        <v>0.98873971416197459</v>
      </c>
      <c r="M41" s="173" t="str">
        <f t="shared" si="4"/>
        <v>C</v>
      </c>
    </row>
    <row r="42" spans="2:13" ht="26.5" outlineLevel="1" thickBot="1">
      <c r="B42" s="182" t="s">
        <v>165</v>
      </c>
      <c r="C42" s="171">
        <f>ЯНВАРЬ!AO46</f>
        <v>0</v>
      </c>
      <c r="D42" s="172">
        <f t="shared" si="0"/>
        <v>0</v>
      </c>
      <c r="E42" s="172">
        <f t="shared" si="5"/>
        <v>1.4715354182498439</v>
      </c>
      <c r="F42" s="173" t="str">
        <f t="shared" si="3"/>
        <v>C</v>
      </c>
      <c r="G42" s="173" t="str">
        <f t="shared" si="1"/>
        <v>C</v>
      </c>
      <c r="I42" s="182" t="s">
        <v>205</v>
      </c>
      <c r="J42" s="171">
        <f>ЯНВАРЬ!U86</f>
        <v>2</v>
      </c>
      <c r="K42" s="172">
        <f t="shared" si="2"/>
        <v>8.661758336942399E-4</v>
      </c>
      <c r="L42" s="172">
        <f t="shared" si="6"/>
        <v>0.98960588999566879</v>
      </c>
      <c r="M42" s="173" t="str">
        <f t="shared" si="4"/>
        <v>C</v>
      </c>
    </row>
    <row r="43" spans="2:13" ht="26.5" outlineLevel="1" thickBot="1">
      <c r="B43" s="182" t="s">
        <v>176</v>
      </c>
      <c r="C43" s="171">
        <f>ЯНВАРЬ!AO57</f>
        <v>0</v>
      </c>
      <c r="D43" s="172">
        <f t="shared" si="0"/>
        <v>0</v>
      </c>
      <c r="E43" s="172">
        <f t="shared" si="5"/>
        <v>1.4715354182498439</v>
      </c>
      <c r="F43" s="173" t="str">
        <f t="shared" si="3"/>
        <v>C</v>
      </c>
      <c r="G43" s="173" t="str">
        <f t="shared" si="1"/>
        <v>C</v>
      </c>
      <c r="I43" s="182" t="s">
        <v>206</v>
      </c>
      <c r="J43" s="171">
        <f>ЯНВАРЬ!U87</f>
        <v>2</v>
      </c>
      <c r="K43" s="172">
        <f t="shared" si="2"/>
        <v>8.661758336942399E-4</v>
      </c>
      <c r="L43" s="172">
        <f t="shared" si="6"/>
        <v>0.99047206582936298</v>
      </c>
      <c r="M43" s="173" t="str">
        <f t="shared" si="4"/>
        <v>C</v>
      </c>
    </row>
    <row r="44" spans="2:13" ht="15" outlineLevel="1" thickBot="1">
      <c r="B44" s="182" t="s">
        <v>178</v>
      </c>
      <c r="C44" s="171">
        <f>ЯНВАРЬ!AO59</f>
        <v>0</v>
      </c>
      <c r="D44" s="172">
        <f t="shared" si="0"/>
        <v>0</v>
      </c>
      <c r="E44" s="172">
        <f t="shared" si="5"/>
        <v>1.4715354182498439</v>
      </c>
      <c r="F44" s="173" t="str">
        <f t="shared" si="3"/>
        <v>C</v>
      </c>
      <c r="G44" s="173" t="str">
        <f t="shared" si="1"/>
        <v>C</v>
      </c>
      <c r="I44" s="182" t="s">
        <v>146</v>
      </c>
      <c r="J44" s="171">
        <f>ЯНВАРЬ!U27</f>
        <v>1</v>
      </c>
      <c r="K44" s="172">
        <f t="shared" si="2"/>
        <v>4.3308791684711995E-4</v>
      </c>
      <c r="L44" s="172">
        <f t="shared" si="6"/>
        <v>0.99090515374621013</v>
      </c>
      <c r="M44" s="173" t="str">
        <f t="shared" si="4"/>
        <v>C</v>
      </c>
    </row>
    <row r="45" spans="2:13" ht="15" outlineLevel="1" thickBot="1">
      <c r="B45" s="182" t="s">
        <v>181</v>
      </c>
      <c r="C45" s="171">
        <f>ЯНВАРЬ!AO62</f>
        <v>0</v>
      </c>
      <c r="D45" s="172">
        <f t="shared" si="0"/>
        <v>0</v>
      </c>
      <c r="E45" s="172">
        <f t="shared" si="5"/>
        <v>1.4715354182498439</v>
      </c>
      <c r="F45" s="173" t="str">
        <f t="shared" si="3"/>
        <v>C</v>
      </c>
      <c r="G45" s="173" t="str">
        <f t="shared" si="1"/>
        <v>C</v>
      </c>
      <c r="I45" s="182" t="s">
        <v>148</v>
      </c>
      <c r="J45" s="171">
        <f>ЯНВАРЬ!U29</f>
        <v>1</v>
      </c>
      <c r="K45" s="172">
        <f t="shared" si="2"/>
        <v>4.3308791684711995E-4</v>
      </c>
      <c r="L45" s="172">
        <f t="shared" si="6"/>
        <v>0.99133824166305728</v>
      </c>
      <c r="M45" s="173" t="str">
        <f t="shared" si="4"/>
        <v>C</v>
      </c>
    </row>
    <row r="46" spans="2:13" ht="15" outlineLevel="1" thickBot="1">
      <c r="B46" s="182" t="s">
        <v>182</v>
      </c>
      <c r="C46" s="171">
        <f>ЯНВАРЬ!AO63</f>
        <v>0</v>
      </c>
      <c r="D46" s="172">
        <f t="shared" si="0"/>
        <v>0</v>
      </c>
      <c r="E46" s="172">
        <f t="shared" si="5"/>
        <v>1.4715354182498439</v>
      </c>
      <c r="F46" s="173" t="str">
        <f t="shared" si="3"/>
        <v>C</v>
      </c>
      <c r="G46" s="173" t="str">
        <f t="shared" si="1"/>
        <v>C</v>
      </c>
      <c r="I46" s="182" t="s">
        <v>153</v>
      </c>
      <c r="J46" s="171">
        <f>ЯНВАРЬ!U34</f>
        <v>1</v>
      </c>
      <c r="K46" s="172">
        <f t="shared" si="2"/>
        <v>4.3308791684711995E-4</v>
      </c>
      <c r="L46" s="172">
        <f t="shared" si="6"/>
        <v>0.99177132957990444</v>
      </c>
      <c r="M46" s="173" t="str">
        <f t="shared" si="4"/>
        <v>C</v>
      </c>
    </row>
    <row r="47" spans="2:13" ht="15" outlineLevel="1" thickBot="1">
      <c r="B47" s="182" t="s">
        <v>183</v>
      </c>
      <c r="C47" s="171">
        <f>ЯНВАРЬ!AO64</f>
        <v>0</v>
      </c>
      <c r="D47" s="172">
        <f t="shared" si="0"/>
        <v>0</v>
      </c>
      <c r="E47" s="172">
        <f t="shared" si="5"/>
        <v>1.4715354182498439</v>
      </c>
      <c r="F47" s="173" t="str">
        <f t="shared" si="3"/>
        <v>C</v>
      </c>
      <c r="G47" s="173" t="str">
        <f t="shared" si="1"/>
        <v>C</v>
      </c>
      <c r="I47" s="182" t="s">
        <v>156</v>
      </c>
      <c r="J47" s="171">
        <f>ЯНВАРЬ!U37</f>
        <v>1</v>
      </c>
      <c r="K47" s="172">
        <f t="shared" si="2"/>
        <v>4.3308791684711995E-4</v>
      </c>
      <c r="L47" s="172">
        <f t="shared" si="6"/>
        <v>0.99220441749675159</v>
      </c>
      <c r="M47" s="173" t="str">
        <f t="shared" si="4"/>
        <v>C</v>
      </c>
    </row>
    <row r="48" spans="2:13" ht="15" outlineLevel="1" thickBot="1">
      <c r="B48" s="182" t="s">
        <v>187</v>
      </c>
      <c r="C48" s="171">
        <f>ЯНВАРЬ!AO68</f>
        <v>0</v>
      </c>
      <c r="D48" s="172">
        <f t="shared" si="0"/>
        <v>0</v>
      </c>
      <c r="E48" s="172">
        <f t="shared" si="5"/>
        <v>1.4715354182498439</v>
      </c>
      <c r="F48" s="173" t="str">
        <f t="shared" si="3"/>
        <v>C</v>
      </c>
      <c r="G48" s="173" t="str">
        <f t="shared" si="1"/>
        <v>C</v>
      </c>
      <c r="I48" s="182" t="s">
        <v>159</v>
      </c>
      <c r="J48" s="171">
        <f>ЯНВАРЬ!U40</f>
        <v>1</v>
      </c>
      <c r="K48" s="172">
        <f t="shared" si="2"/>
        <v>4.3308791684711995E-4</v>
      </c>
      <c r="L48" s="172">
        <f t="shared" si="6"/>
        <v>0.99263750541359874</v>
      </c>
      <c r="M48" s="173" t="str">
        <f t="shared" si="4"/>
        <v>C</v>
      </c>
    </row>
    <row r="49" spans="2:13" ht="15" outlineLevel="1" thickBot="1">
      <c r="B49" s="182" t="s">
        <v>140</v>
      </c>
      <c r="C49" s="171">
        <f>ЯНВАРЬ!AO21</f>
        <v>-3.2097039866316543</v>
      </c>
      <c r="D49" s="172">
        <f t="shared" si="0"/>
        <v>-1.7076581387717598E-5</v>
      </c>
      <c r="E49" s="172">
        <f t="shared" si="5"/>
        <v>1.4715183416684563</v>
      </c>
      <c r="F49" s="173" t="str">
        <f t="shared" si="3"/>
        <v>C</v>
      </c>
      <c r="G49" s="173" t="str">
        <f t="shared" si="1"/>
        <v>C</v>
      </c>
      <c r="I49" s="182" t="s">
        <v>163</v>
      </c>
      <c r="J49" s="171">
        <f>ЯНВАРЬ!U44</f>
        <v>1</v>
      </c>
      <c r="K49" s="172">
        <f t="shared" si="2"/>
        <v>4.3308791684711995E-4</v>
      </c>
      <c r="L49" s="172">
        <f t="shared" si="6"/>
        <v>0.99307059333044589</v>
      </c>
      <c r="M49" s="173" t="str">
        <f t="shared" si="4"/>
        <v>C</v>
      </c>
    </row>
    <row r="50" spans="2:13" ht="26.5" outlineLevel="1" thickBot="1">
      <c r="B50" s="182" t="s">
        <v>214</v>
      </c>
      <c r="C50" s="171">
        <f>ЯНВАРЬ!AO95</f>
        <v>-3.2097039866316543</v>
      </c>
      <c r="D50" s="172">
        <f t="shared" si="0"/>
        <v>-1.7076581387717598E-5</v>
      </c>
      <c r="E50" s="172">
        <f t="shared" si="5"/>
        <v>1.4715012650870687</v>
      </c>
      <c r="F50" s="173" t="str">
        <f t="shared" si="3"/>
        <v>C</v>
      </c>
      <c r="G50" s="173" t="str">
        <f t="shared" si="1"/>
        <v>C</v>
      </c>
      <c r="I50" s="182" t="s">
        <v>172</v>
      </c>
      <c r="J50" s="171">
        <f>ЯНВАРЬ!U53</f>
        <v>1</v>
      </c>
      <c r="K50" s="172">
        <f t="shared" si="2"/>
        <v>4.3308791684711995E-4</v>
      </c>
      <c r="L50" s="172">
        <f t="shared" si="6"/>
        <v>0.99350368124729305</v>
      </c>
      <c r="M50" s="173" t="str">
        <f t="shared" si="4"/>
        <v>C</v>
      </c>
    </row>
    <row r="51" spans="2:13" ht="26.5" outlineLevel="1" thickBot="1">
      <c r="B51" s="182" t="s">
        <v>213</v>
      </c>
      <c r="C51" s="171">
        <f>ЯНВАРЬ!AO94</f>
        <v>-6.4194079732633087</v>
      </c>
      <c r="D51" s="172">
        <f t="shared" si="0"/>
        <v>-3.4153162775435197E-5</v>
      </c>
      <c r="E51" s="172">
        <f t="shared" si="5"/>
        <v>1.4714671119242932</v>
      </c>
      <c r="F51" s="173" t="str">
        <f t="shared" si="3"/>
        <v>C</v>
      </c>
      <c r="G51" s="173" t="str">
        <f t="shared" si="1"/>
        <v>C</v>
      </c>
      <c r="I51" s="182" t="s">
        <v>173</v>
      </c>
      <c r="J51" s="171">
        <f>ЯНВАРЬ!U54</f>
        <v>1</v>
      </c>
      <c r="K51" s="172">
        <f t="shared" si="2"/>
        <v>4.3308791684711995E-4</v>
      </c>
      <c r="L51" s="172">
        <f t="shared" si="6"/>
        <v>0.9939367691641402</v>
      </c>
      <c r="M51" s="173" t="str">
        <f t="shared" si="4"/>
        <v>C</v>
      </c>
    </row>
    <row r="52" spans="2:13" ht="15" outlineLevel="1" thickBot="1">
      <c r="B52" s="182" t="s">
        <v>216</v>
      </c>
      <c r="C52" s="171">
        <f>ЯНВАРЬ!AO97</f>
        <v>-12.838815946526617</v>
      </c>
      <c r="D52" s="172">
        <f t="shared" si="0"/>
        <v>-6.8306325550870393E-5</v>
      </c>
      <c r="E52" s="172">
        <f t="shared" si="5"/>
        <v>1.4713988055987424</v>
      </c>
      <c r="F52" s="173" t="str">
        <f t="shared" si="3"/>
        <v>C</v>
      </c>
      <c r="G52" s="173" t="str">
        <f t="shared" si="1"/>
        <v>C</v>
      </c>
      <c r="I52" s="182" t="s">
        <v>177</v>
      </c>
      <c r="J52" s="171">
        <f>ЯНВАРЬ!U58</f>
        <v>1</v>
      </c>
      <c r="K52" s="172">
        <f t="shared" si="2"/>
        <v>4.3308791684711995E-4</v>
      </c>
      <c r="L52" s="172">
        <f t="shared" si="6"/>
        <v>0.99436985708098735</v>
      </c>
      <c r="M52" s="173" t="str">
        <f t="shared" si="4"/>
        <v>C</v>
      </c>
    </row>
    <row r="53" spans="2:13" ht="15" outlineLevel="1" thickBot="1">
      <c r="B53" s="182" t="s">
        <v>188</v>
      </c>
      <c r="C53" s="171">
        <f>ЯНВАРЬ!AO69</f>
        <v>-38.516447839579847</v>
      </c>
      <c r="D53" s="172">
        <f t="shared" si="0"/>
        <v>-2.0491897665261117E-4</v>
      </c>
      <c r="E53" s="172">
        <f t="shared" si="5"/>
        <v>1.4711938866220897</v>
      </c>
      <c r="F53" s="173" t="str">
        <f t="shared" si="3"/>
        <v>C</v>
      </c>
      <c r="G53" s="173" t="str">
        <f t="shared" si="1"/>
        <v>C</v>
      </c>
      <c r="I53" s="182" t="s">
        <v>190</v>
      </c>
      <c r="J53" s="171">
        <f>ЯНВАРЬ!U71</f>
        <v>1</v>
      </c>
      <c r="K53" s="172">
        <f t="shared" si="2"/>
        <v>4.3308791684711995E-4</v>
      </c>
      <c r="L53" s="172">
        <f t="shared" si="6"/>
        <v>0.9948029449978345</v>
      </c>
      <c r="M53" s="173" t="str">
        <f t="shared" si="4"/>
        <v>C</v>
      </c>
    </row>
    <row r="54" spans="2:13" ht="15" outlineLevel="1" thickBot="1">
      <c r="B54" s="182" t="s">
        <v>217</v>
      </c>
      <c r="C54" s="171">
        <f>ЯНВАРЬ!AO98</f>
        <v>-51.35526378610647</v>
      </c>
      <c r="D54" s="172">
        <f t="shared" si="0"/>
        <v>-2.7322530220348157E-4</v>
      </c>
      <c r="E54" s="172">
        <f t="shared" si="5"/>
        <v>1.4709206613198862</v>
      </c>
      <c r="F54" s="173" t="str">
        <f t="shared" si="3"/>
        <v>C</v>
      </c>
      <c r="G54" s="173" t="str">
        <f t="shared" si="1"/>
        <v>C</v>
      </c>
      <c r="I54" s="182" t="s">
        <v>192</v>
      </c>
      <c r="J54" s="171">
        <f>ЯНВАРЬ!U73</f>
        <v>1</v>
      </c>
      <c r="K54" s="172">
        <f t="shared" si="2"/>
        <v>4.3308791684711995E-4</v>
      </c>
      <c r="L54" s="172">
        <f t="shared" si="6"/>
        <v>0.99523603291468166</v>
      </c>
      <c r="M54" s="173" t="str">
        <f t="shared" si="4"/>
        <v>C</v>
      </c>
    </row>
    <row r="55" spans="2:13" ht="15" outlineLevel="1" thickBot="1">
      <c r="B55" s="182" t="s">
        <v>184</v>
      </c>
      <c r="C55" s="171">
        <f>ЯНВАРЬ!AO65</f>
        <v>-96.86</v>
      </c>
      <c r="D55" s="172">
        <f t="shared" si="0"/>
        <v>-5.1532405483600873E-4</v>
      </c>
      <c r="E55" s="172">
        <f t="shared" si="5"/>
        <v>1.4704053372650501</v>
      </c>
      <c r="F55" s="173" t="str">
        <f t="shared" si="3"/>
        <v>C</v>
      </c>
      <c r="G55" s="173" t="str">
        <f t="shared" si="1"/>
        <v>C</v>
      </c>
      <c r="I55" s="182" t="s">
        <v>197</v>
      </c>
      <c r="J55" s="171">
        <f>ЯНВАРЬ!U78</f>
        <v>1</v>
      </c>
      <c r="K55" s="172">
        <f t="shared" si="2"/>
        <v>4.3308791684711995E-4</v>
      </c>
      <c r="L55" s="172">
        <f t="shared" si="6"/>
        <v>0.99566912083152881</v>
      </c>
      <c r="M55" s="173" t="str">
        <f t="shared" si="4"/>
        <v>C</v>
      </c>
    </row>
    <row r="56" spans="2:13" ht="15" outlineLevel="1" thickBot="1">
      <c r="B56" s="182" t="s">
        <v>174</v>
      </c>
      <c r="C56" s="171">
        <f>ЯНВАРЬ!AO55</f>
        <v>-97.139703986631659</v>
      </c>
      <c r="D56" s="172">
        <f t="shared" si="0"/>
        <v>-5.1681216336940563E-4</v>
      </c>
      <c r="E56" s="172">
        <f t="shared" si="5"/>
        <v>1.4698885251016807</v>
      </c>
      <c r="F56" s="173" t="str">
        <f t="shared" si="3"/>
        <v>C</v>
      </c>
      <c r="G56" s="173" t="str">
        <f t="shared" si="1"/>
        <v>C</v>
      </c>
      <c r="I56" s="182" t="s">
        <v>215</v>
      </c>
      <c r="J56" s="171">
        <f>ЯНВАРЬ!U96</f>
        <v>1</v>
      </c>
      <c r="K56" s="172">
        <f t="shared" si="2"/>
        <v>4.3308791684711995E-4</v>
      </c>
      <c r="L56" s="172">
        <f t="shared" si="6"/>
        <v>0.99610220874837596</v>
      </c>
      <c r="M56" s="173" t="str">
        <f t="shared" si="4"/>
        <v>C</v>
      </c>
    </row>
    <row r="57" spans="2:13" ht="26.5" outlineLevel="1" thickBot="1">
      <c r="B57" s="182" t="s">
        <v>141</v>
      </c>
      <c r="C57" s="171">
        <f>ЯНВАРЬ!AO22</f>
        <v>-106.02911195989496</v>
      </c>
      <c r="D57" s="172">
        <f t="shared" si="0"/>
        <v>-5.6410646196401227E-4</v>
      </c>
      <c r="E57" s="172">
        <f t="shared" si="5"/>
        <v>1.4693244186397167</v>
      </c>
      <c r="F57" s="173" t="str">
        <f t="shared" si="3"/>
        <v>C</v>
      </c>
      <c r="G57" s="173" t="str">
        <f t="shared" si="1"/>
        <v>C</v>
      </c>
      <c r="I57" s="182" t="s">
        <v>138</v>
      </c>
      <c r="J57" s="171">
        <f>ЯНВАРЬ!U19</f>
        <v>0</v>
      </c>
      <c r="K57" s="172">
        <f t="shared" si="2"/>
        <v>0</v>
      </c>
      <c r="L57" s="172">
        <f t="shared" si="6"/>
        <v>0.99610220874837596</v>
      </c>
      <c r="M57" s="173" t="str">
        <f t="shared" si="4"/>
        <v>C</v>
      </c>
    </row>
    <row r="58" spans="2:13" ht="15" outlineLevel="1" thickBot="1">
      <c r="B58" s="182" t="s">
        <v>210</v>
      </c>
      <c r="C58" s="171">
        <f>ЯНВАРЬ!AO91</f>
        <v>-118.7590475053712</v>
      </c>
      <c r="D58" s="172">
        <f t="shared" si="0"/>
        <v>-6.3183351134555113E-4</v>
      </c>
      <c r="E58" s="172">
        <f t="shared" si="5"/>
        <v>1.4686925851283712</v>
      </c>
      <c r="F58" s="173" t="str">
        <f t="shared" si="3"/>
        <v>C</v>
      </c>
      <c r="G58" s="173" t="str">
        <f t="shared" si="1"/>
        <v>C</v>
      </c>
      <c r="I58" s="182" t="s">
        <v>139</v>
      </c>
      <c r="J58" s="171">
        <f>ЯНВАРЬ!U20</f>
        <v>0</v>
      </c>
      <c r="K58" s="172">
        <f t="shared" si="2"/>
        <v>0</v>
      </c>
      <c r="L58" s="172">
        <f t="shared" si="6"/>
        <v>0.99610220874837596</v>
      </c>
      <c r="M58" s="173" t="str">
        <f t="shared" si="4"/>
        <v>C</v>
      </c>
    </row>
    <row r="59" spans="2:13" ht="26.5" outlineLevel="1" thickBot="1">
      <c r="B59" s="182" t="s">
        <v>196</v>
      </c>
      <c r="C59" s="171">
        <f>ЯНВАРЬ!AO77</f>
        <v>-125.17845547863452</v>
      </c>
      <c r="D59" s="172">
        <f t="shared" si="0"/>
        <v>-6.6598667412098638E-4</v>
      </c>
      <c r="E59" s="172">
        <f t="shared" si="5"/>
        <v>1.4680265984542502</v>
      </c>
      <c r="F59" s="173" t="str">
        <f t="shared" si="3"/>
        <v>C</v>
      </c>
      <c r="G59" s="173" t="str">
        <f t="shared" si="1"/>
        <v>C</v>
      </c>
      <c r="I59" s="182" t="s">
        <v>140</v>
      </c>
      <c r="J59" s="171">
        <f>ЯНВАРЬ!U21</f>
        <v>0</v>
      </c>
      <c r="K59" s="172">
        <f t="shared" si="2"/>
        <v>0</v>
      </c>
      <c r="L59" s="172">
        <f t="shared" si="6"/>
        <v>0.99610220874837596</v>
      </c>
      <c r="M59" s="173" t="str">
        <f t="shared" si="4"/>
        <v>C</v>
      </c>
    </row>
    <row r="60" spans="2:13" ht="15" outlineLevel="1" thickBot="1">
      <c r="B60" s="182" t="s">
        <v>157</v>
      </c>
      <c r="C60" s="171">
        <f>ЯНВАРЬ!AO38</f>
        <v>-150.85608737168775</v>
      </c>
      <c r="D60" s="172">
        <f t="shared" si="0"/>
        <v>-8.0259932522272709E-4</v>
      </c>
      <c r="E60" s="172">
        <f t="shared" si="5"/>
        <v>1.4672239991290275</v>
      </c>
      <c r="F60" s="173" t="str">
        <f t="shared" si="3"/>
        <v>C</v>
      </c>
      <c r="G60" s="173" t="str">
        <f t="shared" si="1"/>
        <v>C</v>
      </c>
      <c r="I60" s="182" t="s">
        <v>141</v>
      </c>
      <c r="J60" s="171">
        <f>ЯНВАРЬ!U22</f>
        <v>0</v>
      </c>
      <c r="K60" s="172">
        <f t="shared" si="2"/>
        <v>0</v>
      </c>
      <c r="L60" s="172">
        <f t="shared" si="6"/>
        <v>0.99610220874837596</v>
      </c>
      <c r="M60" s="173" t="str">
        <f t="shared" si="4"/>
        <v>C</v>
      </c>
    </row>
    <row r="61" spans="2:13" ht="15" outlineLevel="1" thickBot="1">
      <c r="B61" s="182" t="s">
        <v>158</v>
      </c>
      <c r="C61" s="171">
        <f>ЯНВАРЬ!AO39</f>
        <v>-157.27549534495105</v>
      </c>
      <c r="D61" s="172">
        <f t="shared" si="0"/>
        <v>-8.3675248799816235E-4</v>
      </c>
      <c r="E61" s="172">
        <f t="shared" si="5"/>
        <v>1.4663872466410293</v>
      </c>
      <c r="F61" s="173" t="str">
        <f t="shared" si="3"/>
        <v>C</v>
      </c>
      <c r="G61" s="173" t="str">
        <f t="shared" si="1"/>
        <v>C</v>
      </c>
      <c r="I61" s="182" t="s">
        <v>142</v>
      </c>
      <c r="J61" s="171">
        <f>ЯНВАРЬ!U23</f>
        <v>0</v>
      </c>
      <c r="K61" s="172">
        <f t="shared" si="2"/>
        <v>0</v>
      </c>
      <c r="L61" s="172">
        <f t="shared" si="6"/>
        <v>0.99610220874837596</v>
      </c>
      <c r="M61" s="173" t="str">
        <f t="shared" si="4"/>
        <v>C</v>
      </c>
    </row>
    <row r="62" spans="2:13" ht="26.5" outlineLevel="1" thickBot="1">
      <c r="B62" s="182" t="s">
        <v>199</v>
      </c>
      <c r="C62" s="171">
        <f>ЯНВАРЬ!AO80</f>
        <v>-157.27549534495105</v>
      </c>
      <c r="D62" s="172">
        <f t="shared" si="0"/>
        <v>-8.3675248799816235E-4</v>
      </c>
      <c r="E62" s="172">
        <f t="shared" si="5"/>
        <v>1.4655504941530311</v>
      </c>
      <c r="F62" s="173" t="str">
        <f t="shared" si="3"/>
        <v>C</v>
      </c>
      <c r="G62" s="173" t="str">
        <f t="shared" si="1"/>
        <v>C</v>
      </c>
      <c r="I62" s="182" t="s">
        <v>154</v>
      </c>
      <c r="J62" s="171">
        <f>ЯНВАРЬ!U35</f>
        <v>0</v>
      </c>
      <c r="K62" s="172">
        <f t="shared" si="2"/>
        <v>0</v>
      </c>
      <c r="L62" s="172">
        <f t="shared" si="6"/>
        <v>0.99610220874837596</v>
      </c>
      <c r="M62" s="173" t="str">
        <f t="shared" si="4"/>
        <v>C</v>
      </c>
    </row>
    <row r="63" spans="2:13" ht="26.5" outlineLevel="1" thickBot="1">
      <c r="B63" s="182" t="s">
        <v>201</v>
      </c>
      <c r="C63" s="171">
        <f>ЯНВАРЬ!AO82</f>
        <v>-157.27549534495105</v>
      </c>
      <c r="D63" s="172">
        <f t="shared" si="0"/>
        <v>-8.3675248799816235E-4</v>
      </c>
      <c r="E63" s="172">
        <f t="shared" si="5"/>
        <v>1.4647137416650329</v>
      </c>
      <c r="F63" s="173" t="str">
        <f t="shared" si="3"/>
        <v>C</v>
      </c>
      <c r="G63" s="173" t="str">
        <f t="shared" si="1"/>
        <v>C</v>
      </c>
      <c r="I63" s="182" t="s">
        <v>155</v>
      </c>
      <c r="J63" s="171">
        <f>ЯНВАРЬ!U36</f>
        <v>0</v>
      </c>
      <c r="K63" s="172">
        <f t="shared" si="2"/>
        <v>0</v>
      </c>
      <c r="L63" s="172">
        <f t="shared" si="6"/>
        <v>0.99610220874837596</v>
      </c>
      <c r="M63" s="173" t="str">
        <f t="shared" si="4"/>
        <v>C</v>
      </c>
    </row>
    <row r="64" spans="2:13" ht="15" outlineLevel="1" thickBot="1">
      <c r="B64" s="182" t="s">
        <v>195</v>
      </c>
      <c r="C64" s="171">
        <f>ЯНВАРЬ!AO76</f>
        <v>-160.48519933158272</v>
      </c>
      <c r="D64" s="172">
        <f t="shared" si="0"/>
        <v>-8.5382906938587992E-4</v>
      </c>
      <c r="E64" s="172">
        <f t="shared" si="5"/>
        <v>1.4638599125956471</v>
      </c>
      <c r="F64" s="173" t="str">
        <f t="shared" si="3"/>
        <v>C</v>
      </c>
      <c r="G64" s="173" t="str">
        <f t="shared" si="1"/>
        <v>C</v>
      </c>
      <c r="I64" s="182" t="s">
        <v>157</v>
      </c>
      <c r="J64" s="171">
        <f>ЯНВАРЬ!U38</f>
        <v>0</v>
      </c>
      <c r="K64" s="172">
        <f t="shared" si="2"/>
        <v>0</v>
      </c>
      <c r="L64" s="172">
        <f t="shared" si="6"/>
        <v>0.99610220874837596</v>
      </c>
      <c r="M64" s="173" t="str">
        <f t="shared" si="4"/>
        <v>C</v>
      </c>
    </row>
    <row r="65" spans="2:13" ht="26.5" outlineLevel="1" thickBot="1">
      <c r="B65" s="182" t="s">
        <v>209</v>
      </c>
      <c r="C65" s="171">
        <f>ЯНВАРЬ!AO90</f>
        <v>-160.48519933158272</v>
      </c>
      <c r="D65" s="172">
        <f t="shared" si="0"/>
        <v>-8.5382906938587992E-4</v>
      </c>
      <c r="E65" s="172">
        <f t="shared" si="5"/>
        <v>1.4630060835262613</v>
      </c>
      <c r="F65" s="173" t="str">
        <f t="shared" si="3"/>
        <v>C</v>
      </c>
      <c r="G65" s="173" t="str">
        <f t="shared" si="1"/>
        <v>C</v>
      </c>
      <c r="I65" s="182" t="s">
        <v>158</v>
      </c>
      <c r="J65" s="171">
        <f>ЯНВАРЬ!U39</f>
        <v>0</v>
      </c>
      <c r="K65" s="172">
        <f t="shared" si="2"/>
        <v>0</v>
      </c>
      <c r="L65" s="172">
        <f t="shared" si="6"/>
        <v>0.99610220874837596</v>
      </c>
      <c r="M65" s="173" t="str">
        <f t="shared" si="4"/>
        <v>C</v>
      </c>
    </row>
    <row r="66" spans="2:13" ht="15" outlineLevel="1" thickBot="1">
      <c r="B66" s="182" t="s">
        <v>153</v>
      </c>
      <c r="C66" s="171">
        <f>ЯНВАРЬ!AO34</f>
        <v>-163.09133652916603</v>
      </c>
      <c r="D66" s="172">
        <f t="shared" si="0"/>
        <v>-8.6769449565180586E-4</v>
      </c>
      <c r="E66" s="172">
        <f t="shared" si="5"/>
        <v>1.4621383890306094</v>
      </c>
      <c r="F66" s="173" t="str">
        <f t="shared" si="3"/>
        <v>C</v>
      </c>
      <c r="G66" s="173" t="str">
        <f t="shared" si="1"/>
        <v>C</v>
      </c>
      <c r="I66" s="182" t="s">
        <v>161</v>
      </c>
      <c r="J66" s="171">
        <f>ЯНВАРЬ!U42</f>
        <v>0</v>
      </c>
      <c r="K66" s="172">
        <f t="shared" si="2"/>
        <v>0</v>
      </c>
      <c r="L66" s="172">
        <f t="shared" si="6"/>
        <v>0.99610220874837596</v>
      </c>
      <c r="M66" s="173" t="str">
        <f t="shared" si="4"/>
        <v>C</v>
      </c>
    </row>
    <row r="67" spans="2:13" ht="15" outlineLevel="1" thickBot="1">
      <c r="B67" s="182" t="s">
        <v>148</v>
      </c>
      <c r="C67" s="171">
        <f>ЯНВАРЬ!AO29</f>
        <v>-174.89405844719246</v>
      </c>
      <c r="D67" s="172">
        <f t="shared" si="0"/>
        <v>-9.3048849231605548E-4</v>
      </c>
      <c r="E67" s="172">
        <f t="shared" si="5"/>
        <v>1.4612079005382934</v>
      </c>
      <c r="F67" s="173" t="str">
        <f t="shared" si="3"/>
        <v>C</v>
      </c>
      <c r="G67" s="173" t="str">
        <f t="shared" si="1"/>
        <v>C</v>
      </c>
      <c r="I67" s="182" t="s">
        <v>162</v>
      </c>
      <c r="J67" s="171">
        <f>ЯНВАРЬ!U43</f>
        <v>0</v>
      </c>
      <c r="K67" s="172">
        <f t="shared" si="2"/>
        <v>0</v>
      </c>
      <c r="L67" s="172">
        <f t="shared" si="6"/>
        <v>0.99610220874837596</v>
      </c>
      <c r="M67" s="173" t="str">
        <f t="shared" si="4"/>
        <v>C</v>
      </c>
    </row>
    <row r="68" spans="2:13" ht="26.5" outlineLevel="1" thickBot="1">
      <c r="B68" s="182" t="s">
        <v>185</v>
      </c>
      <c r="C68" s="171">
        <f>ЯНВАРЬ!AO66</f>
        <v>-202.1694079732633</v>
      </c>
      <c r="D68" s="172">
        <f t="shared" ref="D68:D99" si="7">C68/C$100</f>
        <v>-1.0756014771895247E-3</v>
      </c>
      <c r="E68" s="172">
        <f t="shared" si="5"/>
        <v>1.4601322990611039</v>
      </c>
      <c r="F68" s="173" t="str">
        <f t="shared" si="3"/>
        <v>C</v>
      </c>
      <c r="G68" s="173" t="str">
        <f t="shared" ref="G68:G99" si="8">VLOOKUP(B$4:B$99,I$4:M$99,5,0)</f>
        <v>C</v>
      </c>
      <c r="I68" s="182" t="s">
        <v>165</v>
      </c>
      <c r="J68" s="171">
        <f>ЯНВАРЬ!U46</f>
        <v>0</v>
      </c>
      <c r="K68" s="172">
        <f t="shared" ref="K68:K99" si="9">J68/J$100</f>
        <v>0</v>
      </c>
      <c r="L68" s="172">
        <f t="shared" si="6"/>
        <v>0.99610220874837596</v>
      </c>
      <c r="M68" s="173" t="str">
        <f t="shared" si="4"/>
        <v>C</v>
      </c>
    </row>
    <row r="69" spans="2:13" ht="15" outlineLevel="1" thickBot="1">
      <c r="B69" s="182" t="s">
        <v>161</v>
      </c>
      <c r="C69" s="171">
        <f>ЯНВАРЬ!AO42</f>
        <v>-238.86579135831937</v>
      </c>
      <c r="D69" s="172">
        <f t="shared" si="7"/>
        <v>-1.2708371687423208E-3</v>
      </c>
      <c r="E69" s="172">
        <f t="shared" si="5"/>
        <v>1.4588614618923617</v>
      </c>
      <c r="F69" s="173" t="str">
        <f t="shared" si="3"/>
        <v>C</v>
      </c>
      <c r="G69" s="173" t="str">
        <f t="shared" si="8"/>
        <v>C</v>
      </c>
      <c r="I69" s="182" t="s">
        <v>171</v>
      </c>
      <c r="J69" s="171">
        <f>ЯНВАРЬ!U52</f>
        <v>0</v>
      </c>
      <c r="K69" s="172">
        <f t="shared" si="9"/>
        <v>0</v>
      </c>
      <c r="L69" s="172">
        <f t="shared" si="6"/>
        <v>0.99610220874837596</v>
      </c>
      <c r="M69" s="173" t="str">
        <f t="shared" si="4"/>
        <v>C</v>
      </c>
    </row>
    <row r="70" spans="2:13" ht="15" outlineLevel="1" thickBot="1">
      <c r="B70" s="182" t="s">
        <v>202</v>
      </c>
      <c r="C70" s="171">
        <f>ЯНВАРЬ!AO83</f>
        <v>-239.2057913583194</v>
      </c>
      <c r="D70" s="172">
        <f t="shared" si="7"/>
        <v>-1.2726460700291705E-3</v>
      </c>
      <c r="E70" s="172">
        <f t="shared" ref="E70:E75" si="10">E69+D70</f>
        <v>1.4575888158223325</v>
      </c>
      <c r="F70" s="173" t="str">
        <f t="shared" si="3"/>
        <v>C</v>
      </c>
      <c r="G70" s="173" t="str">
        <f t="shared" si="8"/>
        <v>C</v>
      </c>
      <c r="I70" s="182" t="s">
        <v>174</v>
      </c>
      <c r="J70" s="171">
        <f>ЯНВАРЬ!U55</f>
        <v>0</v>
      </c>
      <c r="K70" s="172">
        <f t="shared" si="9"/>
        <v>0</v>
      </c>
      <c r="L70" s="172">
        <f t="shared" ref="L70:L75" si="11">L69+K70</f>
        <v>0.99610220874837596</v>
      </c>
      <c r="M70" s="173" t="str">
        <f t="shared" si="4"/>
        <v>C</v>
      </c>
    </row>
    <row r="71" spans="2:13" ht="26.5" outlineLevel="1" thickBot="1">
      <c r="B71" s="182" t="s">
        <v>198</v>
      </c>
      <c r="C71" s="171">
        <f>ЯНВАРЬ!AO79</f>
        <v>-242.41549534495107</v>
      </c>
      <c r="D71" s="172">
        <f t="shared" si="7"/>
        <v>-1.2897226514168882E-3</v>
      </c>
      <c r="E71" s="172">
        <f t="shared" si="10"/>
        <v>1.4562990931709157</v>
      </c>
      <c r="F71" s="173" t="str">
        <f t="shared" si="3"/>
        <v>C</v>
      </c>
      <c r="G71" s="173" t="str">
        <f t="shared" si="8"/>
        <v>C</v>
      </c>
      <c r="I71" s="182" t="s">
        <v>175</v>
      </c>
      <c r="J71" s="171">
        <f>ЯНВАРЬ!U56</f>
        <v>0</v>
      </c>
      <c r="K71" s="172">
        <f t="shared" si="9"/>
        <v>0</v>
      </c>
      <c r="L71" s="172">
        <f t="shared" si="11"/>
        <v>0.99610220874837596</v>
      </c>
      <c r="M71" s="173" t="str">
        <f t="shared" si="4"/>
        <v>C</v>
      </c>
    </row>
    <row r="72" spans="2:13" ht="15" outlineLevel="1" thickBot="1">
      <c r="B72" s="182" t="s">
        <v>190</v>
      </c>
      <c r="C72" s="171">
        <f>ЯНВАРЬ!AO71</f>
        <v>-247.16792335009325</v>
      </c>
      <c r="D72" s="172">
        <f t="shared" si="7"/>
        <v>-1.3150069841644215E-3</v>
      </c>
      <c r="E72" s="172">
        <f t="shared" si="10"/>
        <v>1.4549840861867513</v>
      </c>
      <c r="F72" s="173" t="str">
        <f t="shared" si="3"/>
        <v>C</v>
      </c>
      <c r="G72" s="173" t="str">
        <f t="shared" si="8"/>
        <v>C</v>
      </c>
      <c r="I72" s="182" t="s">
        <v>176</v>
      </c>
      <c r="J72" s="171">
        <f>ЯНВАРЬ!U57</f>
        <v>0</v>
      </c>
      <c r="K72" s="172">
        <f t="shared" si="9"/>
        <v>0</v>
      </c>
      <c r="L72" s="172">
        <f t="shared" si="11"/>
        <v>0.99610220874837596</v>
      </c>
      <c r="M72" s="173" t="str">
        <f t="shared" si="4"/>
        <v>C</v>
      </c>
    </row>
    <row r="73" spans="2:13" ht="15" outlineLevel="1" thickBot="1">
      <c r="B73" s="182" t="s">
        <v>211</v>
      </c>
      <c r="C73" s="171">
        <f>ЯНВАРЬ!AO92</f>
        <v>-312.06121538846037</v>
      </c>
      <c r="D73" s="172">
        <f t="shared" si="7"/>
        <v>-1.6602586296823715E-3</v>
      </c>
      <c r="E73" s="172">
        <f t="shared" si="10"/>
        <v>1.453323827557069</v>
      </c>
      <c r="F73" s="173" t="str">
        <f t="shared" si="3"/>
        <v>C</v>
      </c>
      <c r="G73" s="173" t="str">
        <f t="shared" si="8"/>
        <v>C</v>
      </c>
      <c r="I73" s="182" t="s">
        <v>178</v>
      </c>
      <c r="J73" s="171">
        <f>ЯНВАРЬ!U59</f>
        <v>0</v>
      </c>
      <c r="K73" s="172">
        <f t="shared" si="9"/>
        <v>0</v>
      </c>
      <c r="L73" s="172">
        <f t="shared" si="11"/>
        <v>0.99610220874837596</v>
      </c>
      <c r="M73" s="173" t="str">
        <f t="shared" si="4"/>
        <v>C</v>
      </c>
    </row>
    <row r="74" spans="2:13" ht="15" outlineLevel="1" thickBot="1">
      <c r="B74" s="182" t="s">
        <v>208</v>
      </c>
      <c r="C74" s="171">
        <f>ЯНВАРЬ!AO89</f>
        <v>-255.64638338505608</v>
      </c>
      <c r="D74" s="172">
        <f t="shared" si="7"/>
        <v>-1.360114917304852E-3</v>
      </c>
      <c r="E74" s="172">
        <f t="shared" si="10"/>
        <v>1.4519637126397642</v>
      </c>
      <c r="F74" s="173" t="str">
        <f t="shared" si="3"/>
        <v>C</v>
      </c>
      <c r="G74" s="173" t="str">
        <f t="shared" si="8"/>
        <v>C</v>
      </c>
      <c r="I74" s="182" t="s">
        <v>179</v>
      </c>
      <c r="J74" s="171">
        <f>ЯНВАРЬ!U60</f>
        <v>0</v>
      </c>
      <c r="K74" s="172">
        <f t="shared" si="9"/>
        <v>0</v>
      </c>
      <c r="L74" s="172">
        <f t="shared" si="11"/>
        <v>0.99610220874837596</v>
      </c>
      <c r="M74" s="173" t="str">
        <f t="shared" si="4"/>
        <v>C</v>
      </c>
    </row>
    <row r="75" spans="2:13" ht="26.5" outlineLevel="1" thickBot="1">
      <c r="B75" s="182" t="s">
        <v>212</v>
      </c>
      <c r="C75" s="171">
        <f>ЯНВАРЬ!AO93</f>
        <v>-311.88440826580631</v>
      </c>
      <c r="D75" s="172">
        <f t="shared" si="7"/>
        <v>-1.6593179631185682E-3</v>
      </c>
      <c r="E75" s="172">
        <f t="shared" si="10"/>
        <v>1.4503043946766456</v>
      </c>
      <c r="F75" s="173" t="str">
        <f t="shared" si="3"/>
        <v>C</v>
      </c>
      <c r="G75" s="173" t="str">
        <f t="shared" si="8"/>
        <v>C</v>
      </c>
      <c r="I75" s="182" t="s">
        <v>180</v>
      </c>
      <c r="J75" s="171">
        <f>ЯНВАРЬ!U61</f>
        <v>0</v>
      </c>
      <c r="K75" s="172">
        <f t="shared" si="9"/>
        <v>0</v>
      </c>
      <c r="L75" s="172">
        <f t="shared" si="11"/>
        <v>0.99610220874837596</v>
      </c>
      <c r="M75" s="173" t="str">
        <f t="shared" si="4"/>
        <v>C</v>
      </c>
    </row>
    <row r="76" spans="2:13" ht="15" outlineLevel="1" thickBot="1">
      <c r="B76" s="182" t="s">
        <v>162</v>
      </c>
      <c r="C76" s="171">
        <f>ЯНВАРЬ!AO43</f>
        <v>-313.59638111649019</v>
      </c>
      <c r="D76" s="172">
        <f t="shared" si="7"/>
        <v>-1.6684261686851962E-3</v>
      </c>
      <c r="E76" s="172">
        <f>E49+D76</f>
        <v>1.4698499154997711</v>
      </c>
      <c r="F76" s="173" t="str">
        <f t="shared" si="3"/>
        <v>C</v>
      </c>
      <c r="G76" s="173" t="str">
        <f t="shared" si="8"/>
        <v>C</v>
      </c>
      <c r="I76" s="182" t="s">
        <v>181</v>
      </c>
      <c r="J76" s="171">
        <f>ЯНВАРЬ!U62</f>
        <v>0</v>
      </c>
      <c r="K76" s="172">
        <f t="shared" si="9"/>
        <v>0</v>
      </c>
      <c r="L76" s="172">
        <f>L49+K76</f>
        <v>0.99307059333044589</v>
      </c>
      <c r="M76" s="173" t="str">
        <f t="shared" si="4"/>
        <v>C</v>
      </c>
    </row>
    <row r="77" spans="2:13" ht="26.5" outlineLevel="1" thickBot="1">
      <c r="B77" s="182" t="s">
        <v>200</v>
      </c>
      <c r="C77" s="171">
        <f>ЯНВАРЬ!AO81</f>
        <v>-265.27549534495108</v>
      </c>
      <c r="D77" s="172">
        <f t="shared" si="7"/>
        <v>-1.4113446614680051E-3</v>
      </c>
      <c r="E77" s="172">
        <f t="shared" ref="E77:E93" si="12">E76+D77</f>
        <v>1.468438570838303</v>
      </c>
      <c r="F77" s="173" t="str">
        <f t="shared" si="3"/>
        <v>C</v>
      </c>
      <c r="G77" s="173" t="str">
        <f t="shared" si="8"/>
        <v>C</v>
      </c>
      <c r="I77" s="182" t="s">
        <v>182</v>
      </c>
      <c r="J77" s="171">
        <f>ЯНВАРЬ!U63</f>
        <v>0</v>
      </c>
      <c r="K77" s="172">
        <f t="shared" si="9"/>
        <v>0</v>
      </c>
      <c r="L77" s="172">
        <f t="shared" ref="L77:L94" si="13">L76+K77</f>
        <v>0.99307059333044589</v>
      </c>
      <c r="M77" s="173" t="str">
        <f t="shared" si="4"/>
        <v>C</v>
      </c>
    </row>
    <row r="78" spans="2:13" ht="15" outlineLevel="1" thickBot="1">
      <c r="B78" s="182" t="s">
        <v>171</v>
      </c>
      <c r="C78" s="171">
        <f>ЯНВАРЬ!AO52</f>
        <v>-265.85549534495107</v>
      </c>
      <c r="D78" s="172">
        <f t="shared" si="7"/>
        <v>-1.414430434251454E-3</v>
      </c>
      <c r="E78" s="172">
        <f t="shared" si="12"/>
        <v>1.4670241404040516</v>
      </c>
      <c r="F78" s="173" t="str">
        <f t="shared" si="3"/>
        <v>C</v>
      </c>
      <c r="G78" s="173" t="str">
        <f t="shared" si="8"/>
        <v>C</v>
      </c>
      <c r="I78" s="182" t="s">
        <v>183</v>
      </c>
      <c r="J78" s="171">
        <f>ЯНВАРЬ!U64</f>
        <v>0</v>
      </c>
      <c r="K78" s="172">
        <f t="shared" si="9"/>
        <v>0</v>
      </c>
      <c r="L78" s="172">
        <f t="shared" si="13"/>
        <v>0.99307059333044589</v>
      </c>
      <c r="M78" s="173" t="str">
        <f t="shared" si="4"/>
        <v>C</v>
      </c>
    </row>
    <row r="79" spans="2:13" ht="15" outlineLevel="1" thickBot="1">
      <c r="B79" s="182" t="s">
        <v>179</v>
      </c>
      <c r="C79" s="171">
        <f>ЯНВАРЬ!AO60</f>
        <v>-277.27171162568635</v>
      </c>
      <c r="D79" s="172">
        <f t="shared" si="7"/>
        <v>-1.4751681057843197E-3</v>
      </c>
      <c r="E79" s="172">
        <f t="shared" si="12"/>
        <v>1.4655489722982673</v>
      </c>
      <c r="F79" s="173" t="str">
        <f t="shared" si="3"/>
        <v>C</v>
      </c>
      <c r="G79" s="173" t="str">
        <f t="shared" si="8"/>
        <v>C</v>
      </c>
      <c r="I79" s="182" t="s">
        <v>184</v>
      </c>
      <c r="J79" s="171">
        <f>ЯНВАРЬ!U65</f>
        <v>0</v>
      </c>
      <c r="K79" s="172">
        <f t="shared" si="9"/>
        <v>0</v>
      </c>
      <c r="L79" s="172">
        <f t="shared" si="13"/>
        <v>0.99307059333044589</v>
      </c>
      <c r="M79" s="173" t="str">
        <f t="shared" si="4"/>
        <v>C</v>
      </c>
    </row>
    <row r="80" spans="2:13" ht="15" outlineLevel="1" thickBot="1">
      <c r="B80" s="182" t="s">
        <v>175</v>
      </c>
      <c r="C80" s="171">
        <f>ЯНВАРЬ!AO56</f>
        <v>-408.85940797326333</v>
      </c>
      <c r="D80" s="172">
        <f t="shared" si="7"/>
        <v>-2.1752538506569488E-3</v>
      </c>
      <c r="E80" s="172">
        <f t="shared" si="12"/>
        <v>1.4633737184476103</v>
      </c>
      <c r="F80" s="173" t="str">
        <f t="shared" si="3"/>
        <v>C</v>
      </c>
      <c r="G80" s="173" t="str">
        <f t="shared" si="8"/>
        <v>C</v>
      </c>
      <c r="I80" s="182" t="s">
        <v>185</v>
      </c>
      <c r="J80" s="171">
        <f>ЯНВАРЬ!U66</f>
        <v>0</v>
      </c>
      <c r="K80" s="172">
        <f t="shared" si="9"/>
        <v>0</v>
      </c>
      <c r="L80" s="172">
        <f t="shared" si="13"/>
        <v>0.99307059333044589</v>
      </c>
      <c r="M80" s="173" t="str">
        <f t="shared" si="4"/>
        <v>C</v>
      </c>
    </row>
    <row r="81" spans="2:13" ht="15" outlineLevel="1" thickBot="1">
      <c r="B81" s="182" t="s">
        <v>203</v>
      </c>
      <c r="C81" s="171">
        <f>ЯНВАРЬ!AO84</f>
        <v>-458.30638338505605</v>
      </c>
      <c r="D81" s="172">
        <f t="shared" si="7"/>
        <v>-2.4383264902252066E-3</v>
      </c>
      <c r="E81" s="172">
        <f t="shared" si="12"/>
        <v>1.4609353919573851</v>
      </c>
      <c r="F81" s="173" t="str">
        <f t="shared" si="3"/>
        <v>C</v>
      </c>
      <c r="G81" s="173" t="str">
        <f t="shared" si="8"/>
        <v>C</v>
      </c>
      <c r="I81" s="182" t="s">
        <v>187</v>
      </c>
      <c r="J81" s="171">
        <f>ЯНВАРЬ!U68</f>
        <v>0</v>
      </c>
      <c r="K81" s="172">
        <f t="shared" si="9"/>
        <v>0</v>
      </c>
      <c r="L81" s="172">
        <f t="shared" si="13"/>
        <v>0.99307059333044589</v>
      </c>
      <c r="M81" s="173" t="str">
        <f t="shared" si="4"/>
        <v>C</v>
      </c>
    </row>
    <row r="82" spans="2:13" ht="15" outlineLevel="1" thickBot="1">
      <c r="B82" s="182" t="s">
        <v>180</v>
      </c>
      <c r="C82" s="171">
        <f>ЯНВАРЬ!AO61</f>
        <v>-523.18174982095968</v>
      </c>
      <c r="D82" s="172">
        <f t="shared" si="7"/>
        <v>-2.7834827661979687E-3</v>
      </c>
      <c r="E82" s="172">
        <f t="shared" si="12"/>
        <v>1.4581519091911872</v>
      </c>
      <c r="F82" s="173" t="str">
        <f t="shared" si="3"/>
        <v>C</v>
      </c>
      <c r="G82" s="173" t="str">
        <f t="shared" si="8"/>
        <v>C</v>
      </c>
      <c r="I82" s="182" t="s">
        <v>188</v>
      </c>
      <c r="J82" s="171">
        <f>ЯНВАРЬ!U69</f>
        <v>0</v>
      </c>
      <c r="K82" s="172">
        <f t="shared" si="9"/>
        <v>0</v>
      </c>
      <c r="L82" s="172">
        <f t="shared" si="13"/>
        <v>0.99307059333044589</v>
      </c>
      <c r="M82" s="173" t="str">
        <f t="shared" si="4"/>
        <v>C</v>
      </c>
    </row>
    <row r="83" spans="2:13" ht="15" outlineLevel="1" thickBot="1">
      <c r="B83" s="182" t="s">
        <v>152</v>
      </c>
      <c r="C83" s="171">
        <f>ЯНВАРЬ!AO33</f>
        <v>-561.04817310315764</v>
      </c>
      <c r="D83" s="172">
        <f t="shared" si="7"/>
        <v>-2.9849434185613686E-3</v>
      </c>
      <c r="E83" s="172">
        <f t="shared" si="12"/>
        <v>1.4551669657726258</v>
      </c>
      <c r="F83" s="173" t="str">
        <f t="shared" si="3"/>
        <v>C</v>
      </c>
      <c r="G83" s="173" t="str">
        <f t="shared" si="8"/>
        <v>C</v>
      </c>
      <c r="I83" s="182" t="s">
        <v>195</v>
      </c>
      <c r="J83" s="171">
        <f>ЯНВАРЬ!U76</f>
        <v>0</v>
      </c>
      <c r="K83" s="172">
        <f t="shared" si="9"/>
        <v>0</v>
      </c>
      <c r="L83" s="172">
        <f t="shared" si="13"/>
        <v>0.99307059333044589</v>
      </c>
      <c r="M83" s="173" t="str">
        <f t="shared" si="4"/>
        <v>C</v>
      </c>
    </row>
    <row r="84" spans="2:13" ht="26.5" outlineLevel="1" thickBot="1">
      <c r="B84" s="182" t="s">
        <v>146</v>
      </c>
      <c r="C84" s="171">
        <f>ЯНВАРЬ!AO27</f>
        <v>-568.57463620471526</v>
      </c>
      <c r="D84" s="172">
        <f t="shared" si="7"/>
        <v>-3.0249864444138182E-3</v>
      </c>
      <c r="E84" s="172">
        <f t="shared" si="12"/>
        <v>1.452141979328212</v>
      </c>
      <c r="F84" s="173" t="str">
        <f t="shared" si="3"/>
        <v>C</v>
      </c>
      <c r="G84" s="173" t="str">
        <f t="shared" si="8"/>
        <v>C</v>
      </c>
      <c r="I84" s="182" t="s">
        <v>196</v>
      </c>
      <c r="J84" s="171">
        <f>ЯНВАРЬ!U77</f>
        <v>0</v>
      </c>
      <c r="K84" s="172">
        <f t="shared" si="9"/>
        <v>0</v>
      </c>
      <c r="L84" s="172">
        <f t="shared" si="13"/>
        <v>0.99307059333044589</v>
      </c>
      <c r="M84" s="173" t="str">
        <f t="shared" si="4"/>
        <v>C</v>
      </c>
    </row>
    <row r="85" spans="2:13" ht="26.5" outlineLevel="1" thickBot="1">
      <c r="B85" s="182" t="s">
        <v>149</v>
      </c>
      <c r="C85" s="171">
        <f>ЯНВАРЬ!AO30</f>
        <v>-644.83791365291245</v>
      </c>
      <c r="D85" s="172">
        <f t="shared" si="7"/>
        <v>-3.4307297994591261E-3</v>
      </c>
      <c r="E85" s="172">
        <f t="shared" si="12"/>
        <v>1.4487112495287529</v>
      </c>
      <c r="F85" s="173" t="str">
        <f t="shared" si="3"/>
        <v>C</v>
      </c>
      <c r="G85" s="173" t="str">
        <f t="shared" si="8"/>
        <v>B</v>
      </c>
      <c r="I85" s="182" t="s">
        <v>198</v>
      </c>
      <c r="J85" s="171">
        <f>ЯНВАРЬ!U79</f>
        <v>0</v>
      </c>
      <c r="K85" s="172">
        <f t="shared" si="9"/>
        <v>0</v>
      </c>
      <c r="L85" s="172">
        <f t="shared" si="13"/>
        <v>0.99307059333044589</v>
      </c>
      <c r="M85" s="173" t="str">
        <f t="shared" si="4"/>
        <v>C</v>
      </c>
    </row>
    <row r="86" spans="2:13" ht="26.5" outlineLevel="1" thickBot="1">
      <c r="B86" s="182" t="s">
        <v>163</v>
      </c>
      <c r="C86" s="171">
        <f>ЯНВАРЬ!AO44</f>
        <v>-827.80579058547755</v>
      </c>
      <c r="D86" s="172">
        <f t="shared" si="7"/>
        <v>-4.4041734113280636E-3</v>
      </c>
      <c r="E86" s="172">
        <f t="shared" si="12"/>
        <v>1.4443070761174248</v>
      </c>
      <c r="F86" s="173" t="str">
        <f t="shared" si="3"/>
        <v>C</v>
      </c>
      <c r="G86" s="173" t="str">
        <f t="shared" si="8"/>
        <v>C</v>
      </c>
      <c r="I86" s="182" t="s">
        <v>199</v>
      </c>
      <c r="J86" s="171">
        <f>ЯНВАРЬ!U80</f>
        <v>0</v>
      </c>
      <c r="K86" s="172">
        <f t="shared" si="9"/>
        <v>0</v>
      </c>
      <c r="L86" s="172">
        <f t="shared" si="13"/>
        <v>0.99307059333044589</v>
      </c>
      <c r="M86" s="173" t="str">
        <f t="shared" si="4"/>
        <v>C</v>
      </c>
    </row>
    <row r="87" spans="2:13" ht="26.5" outlineLevel="1" thickBot="1">
      <c r="B87" s="182" t="s">
        <v>129</v>
      </c>
      <c r="C87" s="171">
        <f>ЯНВАРЬ!AO10</f>
        <v>-1342.2274043394668</v>
      </c>
      <c r="D87" s="172">
        <f t="shared" si="7"/>
        <v>-7.1410496439833276E-3</v>
      </c>
      <c r="E87" s="172">
        <f t="shared" si="12"/>
        <v>1.4371660264734414</v>
      </c>
      <c r="F87" s="173" t="str">
        <f t="shared" si="3"/>
        <v>C</v>
      </c>
      <c r="G87" s="173" t="str">
        <f t="shared" si="8"/>
        <v>A</v>
      </c>
      <c r="I87" s="182" t="s">
        <v>200</v>
      </c>
      <c r="J87" s="171">
        <f>ЯНВАРЬ!U81</f>
        <v>0</v>
      </c>
      <c r="K87" s="172">
        <f t="shared" si="9"/>
        <v>0</v>
      </c>
      <c r="L87" s="172">
        <f t="shared" si="13"/>
        <v>0.99307059333044589</v>
      </c>
      <c r="M87" s="173" t="str">
        <f t="shared" si="4"/>
        <v>C</v>
      </c>
    </row>
    <row r="88" spans="2:13" ht="26.5" outlineLevel="1" thickBot="1">
      <c r="B88" s="182" t="s">
        <v>168</v>
      </c>
      <c r="C88" s="171">
        <f>ЯНВАРЬ!AO49</f>
        <v>-1408.1218000188464</v>
      </c>
      <c r="D88" s="172">
        <f t="shared" si="7"/>
        <v>-7.49162745910274E-3</v>
      </c>
      <c r="E88" s="172">
        <f t="shared" si="12"/>
        <v>1.4296743990143386</v>
      </c>
      <c r="F88" s="173" t="str">
        <f t="shared" si="3"/>
        <v>C</v>
      </c>
      <c r="G88" s="173" t="str">
        <f t="shared" si="8"/>
        <v>B</v>
      </c>
      <c r="I88" s="182" t="s">
        <v>201</v>
      </c>
      <c r="J88" s="171">
        <f>ЯНВАРЬ!U82</f>
        <v>0</v>
      </c>
      <c r="K88" s="172">
        <f t="shared" si="9"/>
        <v>0</v>
      </c>
      <c r="L88" s="172">
        <f t="shared" si="13"/>
        <v>0.99307059333044589</v>
      </c>
      <c r="M88" s="173" t="str">
        <f t="shared" si="4"/>
        <v>C</v>
      </c>
    </row>
    <row r="89" spans="2:13" ht="15" outlineLevel="1" thickBot="1">
      <c r="B89" s="182" t="s">
        <v>150</v>
      </c>
      <c r="C89" s="171">
        <f>ЯНВАРЬ!AO31</f>
        <v>-1692.6444975152149</v>
      </c>
      <c r="D89" s="172">
        <f t="shared" si="7"/>
        <v>-9.0053729698058964E-3</v>
      </c>
      <c r="E89" s="172">
        <f t="shared" si="12"/>
        <v>1.4206690260445327</v>
      </c>
      <c r="F89" s="173" t="str">
        <f t="shared" si="3"/>
        <v>C</v>
      </c>
      <c r="G89" s="173" t="str">
        <f t="shared" si="8"/>
        <v>C</v>
      </c>
      <c r="I89" s="182" t="s">
        <v>202</v>
      </c>
      <c r="J89" s="171">
        <f>ЯНВАРЬ!U83</f>
        <v>0</v>
      </c>
      <c r="K89" s="172">
        <f t="shared" si="9"/>
        <v>0</v>
      </c>
      <c r="L89" s="172">
        <f t="shared" si="13"/>
        <v>0.99307059333044589</v>
      </c>
      <c r="M89" s="173" t="str">
        <f t="shared" si="4"/>
        <v>C</v>
      </c>
    </row>
    <row r="90" spans="2:13" ht="15" outlineLevel="1" thickBot="1">
      <c r="B90" s="182" t="s">
        <v>169</v>
      </c>
      <c r="C90" s="171">
        <f>ЯНВАРЬ!AO50</f>
        <v>-2841.4344766702152</v>
      </c>
      <c r="D90" s="172">
        <f t="shared" si="7"/>
        <v>-1.5117277886315589E-2</v>
      </c>
      <c r="E90" s="172">
        <f t="shared" si="12"/>
        <v>1.4055517481582172</v>
      </c>
      <c r="F90" s="173" t="str">
        <f t="shared" si="3"/>
        <v>C</v>
      </c>
      <c r="G90" s="173" t="str">
        <f t="shared" si="8"/>
        <v>B</v>
      </c>
      <c r="I90" s="182" t="s">
        <v>203</v>
      </c>
      <c r="J90" s="171">
        <f>ЯНВАРЬ!U84</f>
        <v>0</v>
      </c>
      <c r="K90" s="172">
        <f t="shared" si="9"/>
        <v>0</v>
      </c>
      <c r="L90" s="172">
        <f t="shared" si="13"/>
        <v>0.99307059333044589</v>
      </c>
      <c r="M90" s="173" t="str">
        <f t="shared" si="4"/>
        <v>C</v>
      </c>
    </row>
    <row r="91" spans="2:13" ht="26.5" outlineLevel="1" thickBot="1">
      <c r="B91" s="182" t="s">
        <v>207</v>
      </c>
      <c r="C91" s="171">
        <f>ЯНВАРЬ!AO88</f>
        <v>-3395.3661929438804</v>
      </c>
      <c r="D91" s="172">
        <f t="shared" si="7"/>
        <v>-1.8064359634533785E-2</v>
      </c>
      <c r="E91" s="172">
        <f t="shared" si="12"/>
        <v>1.3874873885236834</v>
      </c>
      <c r="F91" s="173" t="str">
        <f t="shared" si="3"/>
        <v>C</v>
      </c>
      <c r="G91" s="173" t="str">
        <f t="shared" si="8"/>
        <v>C</v>
      </c>
      <c r="I91" s="182" t="s">
        <v>208</v>
      </c>
      <c r="J91" s="171">
        <f>ЯНВАРЬ!U89</f>
        <v>0</v>
      </c>
      <c r="K91" s="172">
        <f t="shared" si="9"/>
        <v>0</v>
      </c>
      <c r="L91" s="172">
        <f t="shared" si="13"/>
        <v>0.99307059333044589</v>
      </c>
      <c r="M91" s="173" t="str">
        <f t="shared" si="4"/>
        <v>C</v>
      </c>
    </row>
    <row r="92" spans="2:13" ht="26.5" outlineLevel="1" thickBot="1">
      <c r="B92" s="182" t="s">
        <v>131</v>
      </c>
      <c r="C92" s="171">
        <f>ЯНВАРЬ!AO12</f>
        <v>-5479.1077109599337</v>
      </c>
      <c r="D92" s="172">
        <f t="shared" si="7"/>
        <v>-2.9150485262183723E-2</v>
      </c>
      <c r="E92" s="172">
        <f t="shared" si="12"/>
        <v>1.3583369032614996</v>
      </c>
      <c r="F92" s="173" t="str">
        <f t="shared" si="3"/>
        <v>C</v>
      </c>
      <c r="G92" s="173" t="str">
        <f t="shared" si="8"/>
        <v>B</v>
      </c>
      <c r="I92" s="182" t="s">
        <v>209</v>
      </c>
      <c r="J92" s="171">
        <f>ЯНВАРЬ!U90</f>
        <v>0</v>
      </c>
      <c r="K92" s="172">
        <f t="shared" si="9"/>
        <v>0</v>
      </c>
      <c r="L92" s="172">
        <f t="shared" si="13"/>
        <v>0.99307059333044589</v>
      </c>
      <c r="M92" s="173" t="str">
        <f t="shared" si="4"/>
        <v>C</v>
      </c>
    </row>
    <row r="93" spans="2:13" ht="15" outlineLevel="1" thickBot="1">
      <c r="B93" s="182" t="s">
        <v>127</v>
      </c>
      <c r="C93" s="171">
        <f>ЯНВАРЬ!AO8</f>
        <v>-5814.5155852191174</v>
      </c>
      <c r="D93" s="172">
        <f t="shared" si="7"/>
        <v>-3.0934955072086354E-2</v>
      </c>
      <c r="E93" s="172">
        <f t="shared" si="12"/>
        <v>1.3274019481894133</v>
      </c>
      <c r="F93" s="173" t="str">
        <f t="shared" si="3"/>
        <v>C</v>
      </c>
      <c r="G93" s="173" t="str">
        <f t="shared" si="8"/>
        <v>A</v>
      </c>
      <c r="I93" s="182" t="s">
        <v>210</v>
      </c>
      <c r="J93" s="171">
        <f>ЯНВАРЬ!U91</f>
        <v>0</v>
      </c>
      <c r="K93" s="172">
        <f t="shared" si="9"/>
        <v>0</v>
      </c>
      <c r="L93" s="172">
        <f t="shared" si="13"/>
        <v>0.99307059333044589</v>
      </c>
      <c r="M93" s="173" t="str">
        <f t="shared" si="4"/>
        <v>C</v>
      </c>
    </row>
    <row r="94" spans="2:13" ht="15" outlineLevel="1" thickBot="1">
      <c r="B94" s="182" t="s">
        <v>134</v>
      </c>
      <c r="C94" s="171">
        <f>ЯНВАРЬ!AO15</f>
        <v>-5872.2056414309409</v>
      </c>
      <c r="D94" s="172">
        <f t="shared" si="7"/>
        <v>-3.1241883357145141E-2</v>
      </c>
      <c r="E94" s="172">
        <f>E93+D94</f>
        <v>1.2961600648322682</v>
      </c>
      <c r="F94" s="173" t="str">
        <f t="shared" si="3"/>
        <v>C</v>
      </c>
      <c r="G94" s="173" t="str">
        <f t="shared" si="8"/>
        <v>B</v>
      </c>
      <c r="I94" s="182" t="s">
        <v>211</v>
      </c>
      <c r="J94" s="171">
        <f>ЯНВАРЬ!U92</f>
        <v>0</v>
      </c>
      <c r="K94" s="172">
        <f t="shared" si="9"/>
        <v>0</v>
      </c>
      <c r="L94" s="172">
        <f t="shared" si="13"/>
        <v>0.99307059333044589</v>
      </c>
      <c r="M94" s="173" t="str">
        <f t="shared" si="4"/>
        <v>C</v>
      </c>
    </row>
    <row r="95" spans="2:13" ht="26.5" outlineLevel="1" thickBot="1">
      <c r="B95" s="182" t="s">
        <v>204</v>
      </c>
      <c r="C95" s="171">
        <f>ЯНВАРЬ!AO85</f>
        <v>-7977.0383041235527</v>
      </c>
      <c r="D95" s="172">
        <f t="shared" si="7"/>
        <v>-4.2440220157579062E-2</v>
      </c>
      <c r="E95" s="172">
        <f>E94+D95</f>
        <v>1.2537198446746891</v>
      </c>
      <c r="F95" s="173" t="str">
        <f t="shared" si="3"/>
        <v>C</v>
      </c>
      <c r="G95" s="173" t="str">
        <f t="shared" si="8"/>
        <v>C</v>
      </c>
      <c r="I95" s="182" t="s">
        <v>212</v>
      </c>
      <c r="J95" s="171">
        <f>ЯНВАРЬ!U93</f>
        <v>0</v>
      </c>
      <c r="K95" s="172">
        <f t="shared" si="9"/>
        <v>0</v>
      </c>
      <c r="L95" s="172">
        <f>L94+K95</f>
        <v>0.99307059333044589</v>
      </c>
      <c r="M95" s="173" t="str">
        <f t="shared" si="4"/>
        <v>C</v>
      </c>
    </row>
    <row r="96" spans="2:13" ht="26.5" outlineLevel="1" thickBot="1">
      <c r="B96" s="182" t="s">
        <v>133</v>
      </c>
      <c r="C96" s="171">
        <f>ЯНВАРЬ!AO14</f>
        <v>-8877.3276222785062</v>
      </c>
      <c r="D96" s="172">
        <f t="shared" si="7"/>
        <v>-4.7230027528600706E-2</v>
      </c>
      <c r="E96" s="172">
        <f t="shared" ref="E96:E98" si="14">E95+D96</f>
        <v>1.2064898171460885</v>
      </c>
      <c r="F96" s="173" t="str">
        <f t="shared" si="3"/>
        <v>C</v>
      </c>
      <c r="G96" s="173" t="str">
        <f t="shared" si="8"/>
        <v>B</v>
      </c>
      <c r="I96" s="182" t="s">
        <v>213</v>
      </c>
      <c r="J96" s="171">
        <f>ЯНВАРЬ!U94</f>
        <v>0</v>
      </c>
      <c r="K96" s="172">
        <f t="shared" si="9"/>
        <v>0</v>
      </c>
      <c r="L96" s="172">
        <f t="shared" ref="L96:L98" si="15">L95+K96</f>
        <v>0.99307059333044589</v>
      </c>
      <c r="M96" s="173" t="str">
        <f t="shared" si="4"/>
        <v>C</v>
      </c>
    </row>
    <row r="97" spans="2:16" ht="26.5" outlineLevel="1" thickBot="1">
      <c r="B97" s="182" t="s">
        <v>147</v>
      </c>
      <c r="C97" s="171">
        <f>ЯНВАРЬ!AO28</f>
        <v>-10078.608379859546</v>
      </c>
      <c r="D97" s="172">
        <f t="shared" si="7"/>
        <v>-5.3621199023470976E-2</v>
      </c>
      <c r="E97" s="172">
        <f t="shared" si="14"/>
        <v>1.1528686181226175</v>
      </c>
      <c r="F97" s="173" t="str">
        <f t="shared" ref="F97:F99" si="16">IF(AND(E97&lt;=0),"C",IF(E97&lt;=0.8,"A",IF(E97&lt;=0.95,"B","C")))</f>
        <v>C</v>
      </c>
      <c r="G97" s="173" t="str">
        <f t="shared" si="8"/>
        <v>A</v>
      </c>
      <c r="I97" s="182" t="s">
        <v>214</v>
      </c>
      <c r="J97" s="171">
        <f>ЯНВАРЬ!U95</f>
        <v>0</v>
      </c>
      <c r="K97" s="172">
        <f t="shared" si="9"/>
        <v>0</v>
      </c>
      <c r="L97" s="172">
        <f t="shared" si="15"/>
        <v>0.99307059333044589</v>
      </c>
      <c r="M97" s="173" t="str">
        <f t="shared" si="4"/>
        <v>C</v>
      </c>
    </row>
    <row r="98" spans="2:16" ht="26.5" outlineLevel="1" thickBot="1">
      <c r="B98" s="182" t="s">
        <v>170</v>
      </c>
      <c r="C98" s="171">
        <f>ЯНВАРЬ!AO51</f>
        <v>-12171.97866003596</v>
      </c>
      <c r="D98" s="172">
        <f t="shared" si="7"/>
        <v>-6.4758552534246339E-2</v>
      </c>
      <c r="E98" s="172">
        <f t="shared" si="14"/>
        <v>1.0881100655883711</v>
      </c>
      <c r="F98" s="173" t="str">
        <f t="shared" si="16"/>
        <v>C</v>
      </c>
      <c r="G98" s="173" t="str">
        <f t="shared" si="8"/>
        <v>C</v>
      </c>
      <c r="I98" s="182" t="s">
        <v>216</v>
      </c>
      <c r="J98" s="171">
        <f>ЯНВАРЬ!U97</f>
        <v>0</v>
      </c>
      <c r="K98" s="172">
        <f t="shared" si="9"/>
        <v>0</v>
      </c>
      <c r="L98" s="172">
        <f t="shared" si="15"/>
        <v>0.99307059333044589</v>
      </c>
      <c r="M98" s="173" t="str">
        <f t="shared" si="4"/>
        <v>C</v>
      </c>
    </row>
    <row r="99" spans="2:16" ht="15" outlineLevel="1" thickBot="1">
      <c r="B99" s="182" t="s">
        <v>145</v>
      </c>
      <c r="C99" s="171">
        <f>ЯНВАРЬ!AO26</f>
        <v>-12654.424336326218</v>
      </c>
      <c r="D99" s="172">
        <f t="shared" si="7"/>
        <v>-6.7325307253882874E-2</v>
      </c>
      <c r="E99" s="172">
        <f>E98+D99</f>
        <v>1.0207847583344882</v>
      </c>
      <c r="F99" s="173" t="str">
        <f t="shared" si="16"/>
        <v>C</v>
      </c>
      <c r="G99" s="173" t="str">
        <f t="shared" si="8"/>
        <v>B</v>
      </c>
      <c r="I99" s="182" t="s">
        <v>217</v>
      </c>
      <c r="J99" s="171">
        <f>ЯНВАРЬ!U98</f>
        <v>0</v>
      </c>
      <c r="K99" s="172">
        <f t="shared" si="9"/>
        <v>0</v>
      </c>
      <c r="L99" s="172">
        <f>L98+K99</f>
        <v>0.99307059333044589</v>
      </c>
      <c r="M99" s="173" t="str">
        <f t="shared" si="4"/>
        <v>C</v>
      </c>
    </row>
    <row r="100" spans="2:16" outlineLevel="1">
      <c r="C100" s="178">
        <f>SUM(C4:C99)</f>
        <v>187959.39970398566</v>
      </c>
      <c r="D100" s="179">
        <f>SUM(D4:D99)</f>
        <v>1.0000000000000007</v>
      </c>
      <c r="J100" s="178">
        <f>SUM(J4:J99)</f>
        <v>2309</v>
      </c>
      <c r="K100" s="179">
        <f>SUM(K4:K99)</f>
        <v>1</v>
      </c>
    </row>
    <row r="101" spans="2:16" ht="15" thickBot="1"/>
    <row r="102" spans="2:16" ht="16" thickBot="1">
      <c r="B102" s="532" t="s">
        <v>237</v>
      </c>
      <c r="C102" s="533"/>
      <c r="D102" s="533"/>
      <c r="E102" s="533"/>
      <c r="F102" s="533"/>
      <c r="G102" s="533"/>
      <c r="H102" s="533"/>
      <c r="I102" s="533"/>
      <c r="J102" s="533"/>
      <c r="K102" s="533"/>
      <c r="L102" s="533"/>
      <c r="M102" s="534"/>
      <c r="O102" s="180"/>
      <c r="P102" s="180"/>
    </row>
    <row r="103" spans="2:16" ht="23.5" thickBot="1">
      <c r="C103" s="167" t="s">
        <v>10</v>
      </c>
      <c r="D103" s="168" t="s">
        <v>87</v>
      </c>
      <c r="E103" s="169" t="s">
        <v>88</v>
      </c>
      <c r="F103" s="181" t="s">
        <v>89</v>
      </c>
      <c r="G103" s="168" t="s">
        <v>90</v>
      </c>
      <c r="J103" s="167" t="s">
        <v>91</v>
      </c>
      <c r="K103" s="168" t="s">
        <v>92</v>
      </c>
      <c r="L103" s="169" t="s">
        <v>88</v>
      </c>
      <c r="M103" s="170" t="s">
        <v>90</v>
      </c>
    </row>
    <row r="104" spans="2:16">
      <c r="B104" s="90" t="s">
        <v>220</v>
      </c>
      <c r="C104" s="171">
        <f>ЯНВАРЬ!AO102</f>
        <v>0</v>
      </c>
      <c r="D104" s="172">
        <f>C104/C$109</f>
        <v>0</v>
      </c>
      <c r="E104" s="172">
        <f>D104</f>
        <v>0</v>
      </c>
      <c r="F104" s="173" t="str">
        <f t="shared" ref="F104:F108" si="17">IF(AND(E104&lt;=0),"C",IF(E104&lt;=0.8,"A",IF(E104&lt;=0.95,"B","C")))</f>
        <v>C</v>
      </c>
      <c r="G104" s="173" t="e">
        <f>VLOOKUP(B104:B108,I$104:M$108,5,0)</f>
        <v>#DIV/0!</v>
      </c>
      <c r="I104" s="90" t="s">
        <v>220</v>
      </c>
      <c r="J104" s="171">
        <f>ЯНВАРЬ!U102</f>
        <v>0</v>
      </c>
      <c r="K104" s="172" t="e">
        <f>J104/J$109</f>
        <v>#DIV/0!</v>
      </c>
      <c r="L104" s="172" t="e">
        <f>K104</f>
        <v>#DIV/0!</v>
      </c>
      <c r="M104" s="173" t="e">
        <f>_xlfn.IFS(L104&lt;80%,"A",L104&lt;=95%,"B",L104&gt;95%,"C")</f>
        <v>#DIV/0!</v>
      </c>
    </row>
    <row r="105" spans="2:16">
      <c r="B105" s="90" t="s">
        <v>222</v>
      </c>
      <c r="C105" s="171">
        <f>ЯНВАРЬ!AO103</f>
        <v>-186.42970398663167</v>
      </c>
      <c r="D105" s="172">
        <f>C105/C$109</f>
        <v>1</v>
      </c>
      <c r="E105" s="172">
        <f t="shared" ref="E105:E108" si="18">D105+E104</f>
        <v>1</v>
      </c>
      <c r="F105" s="173" t="str">
        <f t="shared" si="17"/>
        <v>C</v>
      </c>
      <c r="G105" s="173" t="e">
        <f>VLOOKUP(B105:B109,I$104:M$108,5,0)</f>
        <v>#DIV/0!</v>
      </c>
      <c r="I105" s="90" t="s">
        <v>222</v>
      </c>
      <c r="J105" s="171">
        <f>ЯНВАРЬ!U103</f>
        <v>0</v>
      </c>
      <c r="K105" s="172" t="e">
        <f>J105/J$109</f>
        <v>#DIV/0!</v>
      </c>
      <c r="L105" s="172" t="e">
        <f>K105+L104</f>
        <v>#DIV/0!</v>
      </c>
      <c r="M105" s="173" t="e">
        <f t="shared" ref="M105:M108" si="19">_xlfn.IFS(L105&lt;80%,"A",L105&lt;=95%,"B",L105&gt;95%,"C")</f>
        <v>#DIV/0!</v>
      </c>
    </row>
    <row r="106" spans="2:16">
      <c r="B106" s="90" t="s">
        <v>223</v>
      </c>
      <c r="C106" s="171">
        <f>ЯНВАРЬ!AO104</f>
        <v>0</v>
      </c>
      <c r="D106" s="172">
        <f>C106/C$109</f>
        <v>0</v>
      </c>
      <c r="E106" s="172">
        <f t="shared" si="18"/>
        <v>1</v>
      </c>
      <c r="F106" s="173" t="str">
        <f t="shared" si="17"/>
        <v>C</v>
      </c>
      <c r="G106" s="173" t="e">
        <f>VLOOKUP(B106:B110,I$104:M$108,5,0)</f>
        <v>#DIV/0!</v>
      </c>
      <c r="I106" s="90" t="s">
        <v>223</v>
      </c>
      <c r="J106" s="171">
        <f>ЯНВАРЬ!U104</f>
        <v>0</v>
      </c>
      <c r="K106" s="172" t="e">
        <f>J106/J$109</f>
        <v>#DIV/0!</v>
      </c>
      <c r="L106" s="172" t="e">
        <f t="shared" ref="L106:L108" si="20">K106+L105</f>
        <v>#DIV/0!</v>
      </c>
      <c r="M106" s="173" t="e">
        <f t="shared" si="19"/>
        <v>#DIV/0!</v>
      </c>
    </row>
    <row r="107" spans="2:16">
      <c r="B107" s="90" t="s">
        <v>224</v>
      </c>
      <c r="C107" s="171">
        <f>ЯНВАРЬ!AO105</f>
        <v>0</v>
      </c>
      <c r="D107" s="172">
        <f>C107/C$109</f>
        <v>0</v>
      </c>
      <c r="E107" s="172">
        <f t="shared" si="18"/>
        <v>1</v>
      </c>
      <c r="F107" s="173" t="str">
        <f t="shared" si="17"/>
        <v>C</v>
      </c>
      <c r="G107" s="173" t="e">
        <f>VLOOKUP(B107:B111,I$104:M$108,5,0)</f>
        <v>#DIV/0!</v>
      </c>
      <c r="I107" s="90" t="s">
        <v>224</v>
      </c>
      <c r="J107" s="171">
        <f>ЯНВАРЬ!U105</f>
        <v>0</v>
      </c>
      <c r="K107" s="172" t="e">
        <f>J107/J$109</f>
        <v>#DIV/0!</v>
      </c>
      <c r="L107" s="172" t="e">
        <f t="shared" si="20"/>
        <v>#DIV/0!</v>
      </c>
      <c r="M107" s="173" t="e">
        <f t="shared" si="19"/>
        <v>#DIV/0!</v>
      </c>
    </row>
    <row r="108" spans="2:16">
      <c r="B108" s="90" t="s">
        <v>225</v>
      </c>
      <c r="C108" s="171">
        <f>ЯНВАРЬ!AO106</f>
        <v>0</v>
      </c>
      <c r="D108" s="172">
        <f>C108/C$109</f>
        <v>0</v>
      </c>
      <c r="E108" s="172">
        <f t="shared" si="18"/>
        <v>1</v>
      </c>
      <c r="F108" s="173" t="str">
        <f t="shared" si="17"/>
        <v>C</v>
      </c>
      <c r="G108" s="173" t="e">
        <f>VLOOKUP(B108:B112,I$104:M$108,5,0)</f>
        <v>#DIV/0!</v>
      </c>
      <c r="I108" s="90" t="s">
        <v>225</v>
      </c>
      <c r="J108" s="171">
        <f>ЯНВАРЬ!U106</f>
        <v>0</v>
      </c>
      <c r="K108" s="172" t="e">
        <f>J108/J$109</f>
        <v>#DIV/0!</v>
      </c>
      <c r="L108" s="172" t="e">
        <f t="shared" si="20"/>
        <v>#DIV/0!</v>
      </c>
      <c r="M108" s="173" t="e">
        <f t="shared" si="19"/>
        <v>#DIV/0!</v>
      </c>
    </row>
    <row r="109" spans="2:16">
      <c r="C109" s="178">
        <f>SUM(C104:C108)</f>
        <v>-186.42970398663167</v>
      </c>
      <c r="D109" s="183">
        <f>SUM(D104:D108)</f>
        <v>1</v>
      </c>
      <c r="J109" s="178">
        <f>SUM(J104:J108)</f>
        <v>0</v>
      </c>
      <c r="K109" s="183" t="e">
        <f>SUM(K104:K108)</f>
        <v>#DIV/0!</v>
      </c>
      <c r="L109" s="183"/>
    </row>
  </sheetData>
  <sortState xmlns:xlrd2="http://schemas.microsoft.com/office/spreadsheetml/2017/richdata2" ref="I4:J99">
    <sortCondition descending="1" ref="J4:J99"/>
  </sortState>
  <mergeCells count="2">
    <mergeCell ref="B2:M2"/>
    <mergeCell ref="B102:M102"/>
  </mergeCells>
  <conditionalFormatting sqref="D4:D99 F4:G99 K4:K99 M4:M99">
    <cfRule type="cellIs" dxfId="142" priority="10" operator="equal">
      <formula>"C"</formula>
    </cfRule>
    <cfRule type="cellIs" dxfId="141" priority="11" operator="equal">
      <formula>"B"</formula>
    </cfRule>
    <cfRule type="cellIs" dxfId="140" priority="12" operator="equal">
      <formula>"A"</formula>
    </cfRule>
  </conditionalFormatting>
  <conditionalFormatting sqref="M104:M108 K104:K108 D104:D108">
    <cfRule type="cellIs" dxfId="139" priority="7" operator="equal">
      <formula>"C"</formula>
    </cfRule>
    <cfRule type="cellIs" dxfId="138" priority="8" operator="equal">
      <formula>"B"</formula>
    </cfRule>
    <cfRule type="cellIs" dxfId="137" priority="9" operator="equal">
      <formula>"A"</formula>
    </cfRule>
  </conditionalFormatting>
  <conditionalFormatting sqref="G104:G108">
    <cfRule type="cellIs" dxfId="136" priority="4" operator="equal">
      <formula>"C"</formula>
    </cfRule>
    <cfRule type="cellIs" dxfId="135" priority="5" operator="equal">
      <formula>"B"</formula>
    </cfRule>
    <cfRule type="cellIs" dxfId="134" priority="6" operator="equal">
      <formula>"A"</formula>
    </cfRule>
  </conditionalFormatting>
  <conditionalFormatting sqref="F104:F108">
    <cfRule type="cellIs" dxfId="133" priority="1" operator="equal">
      <formula>"C"</formula>
    </cfRule>
    <cfRule type="cellIs" dxfId="132" priority="2" operator="equal">
      <formula>"B"</formula>
    </cfRule>
    <cfRule type="cellIs" dxfId="131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5DF1-F819-479A-9151-8EBB5AFFDD21}">
  <dimension ref="A1:AZ132"/>
  <sheetViews>
    <sheetView zoomScale="70" zoomScaleNormal="70" workbookViewId="0">
      <pane xSplit="3" ySplit="2" topLeftCell="AF113" activePane="bottomRight" state="frozen"/>
      <selection pane="topRight" activeCell="D1" sqref="D1"/>
      <selection pane="bottomLeft" activeCell="A3" sqref="A3"/>
      <selection pane="bottomRight" activeCell="AJ131" sqref="AJ13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4" width="10.36328125" style="92" customWidth="1"/>
    <col min="35" max="35" width="11.36328125" style="92" customWidth="1"/>
    <col min="36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277</v>
      </c>
      <c r="B1" s="73"/>
      <c r="C1" s="72"/>
      <c r="D1" s="72"/>
      <c r="E1" s="222"/>
      <c r="F1" s="539" t="s">
        <v>42</v>
      </c>
      <c r="G1" s="539"/>
      <c r="H1" s="539"/>
      <c r="I1" s="540" t="s">
        <v>115</v>
      </c>
      <c r="J1" s="541"/>
      <c r="M1" s="307" t="s">
        <v>43</v>
      </c>
      <c r="N1" s="539" t="s">
        <v>116</v>
      </c>
      <c r="O1" s="539"/>
      <c r="P1" s="539"/>
      <c r="R1" s="224"/>
      <c r="S1" s="542"/>
      <c r="T1" s="542"/>
      <c r="U1" s="224"/>
      <c r="V1" s="543"/>
      <c r="W1" s="544"/>
      <c r="X1" s="224"/>
      <c r="Y1" s="542"/>
      <c r="Z1" s="542"/>
      <c r="AA1" s="301"/>
      <c r="AB1" s="224"/>
      <c r="AC1" s="224"/>
      <c r="AD1" s="224"/>
      <c r="AE1" s="225"/>
      <c r="AF1" s="224"/>
      <c r="AG1" s="225"/>
      <c r="AH1" s="535"/>
      <c r="AI1" s="535"/>
      <c r="AJ1" s="283" t="s">
        <v>248</v>
      </c>
      <c r="AK1" s="309"/>
      <c r="AL1" s="308" t="s">
        <v>44</v>
      </c>
      <c r="AM1" s="225"/>
      <c r="AQ1" s="536" t="s">
        <v>45</v>
      </c>
      <c r="AR1" s="537"/>
      <c r="AS1" s="537"/>
      <c r="AT1" s="537"/>
      <c r="AU1" s="537"/>
      <c r="AV1" s="537"/>
      <c r="AW1" s="537"/>
      <c r="AX1" s="538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278</v>
      </c>
      <c r="O2" s="78" t="s">
        <v>57</v>
      </c>
      <c r="P2" s="78" t="s">
        <v>279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8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85" t="s">
        <v>80</v>
      </c>
      <c r="AW2" s="85" t="s">
        <v>81</v>
      </c>
      <c r="AX2" s="85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93">
        <f>ДЕКАБРЬ!N3+ЯНВАРЬ!N3+ФЕВРАЛЬ!N3+МАРТ!N3</f>
        <v>2096</v>
      </c>
      <c r="O3" s="89"/>
      <c r="P3" s="89"/>
      <c r="Q3" s="233"/>
      <c r="R3" s="92"/>
      <c r="S3" s="93">
        <f>ДЕКАБРЬ!S3+ЯНВАРЬ!S3+ФЕВРАЛЬ!S3+МАРТ!S3</f>
        <v>1180</v>
      </c>
      <c r="T3" s="93">
        <f>ДЕКАБРЬ!T3+ЯНВАРЬ!T3+ФЕВРАЛЬ!T3+МАРТ!T3</f>
        <v>-16</v>
      </c>
      <c r="U3" s="92">
        <f t="shared" ref="U3:U66" si="1">S3+T3</f>
        <v>1164</v>
      </c>
      <c r="V3" s="93">
        <f>ДЕКАБРЬ!V3+ЯНВАРЬ!V3+ФЕВРАЛЬ!V3+МАРТ!V3</f>
        <v>1127726.52</v>
      </c>
      <c r="W3" s="93">
        <f>ДЕКАБРЬ!W3+ЯНВАРЬ!W3+ФЕВРАЛЬ!W3+МАРТ!W3</f>
        <v>-14749</v>
      </c>
      <c r="X3" s="92">
        <f t="shared" ref="X3:X66" si="2">V3+W3</f>
        <v>1112977.52</v>
      </c>
      <c r="Y3" s="93">
        <f>ДЕКАБРЬ!Y3+ЯНВАРЬ!Y3+ФЕВРАЛЬ!Y3+МАРТ!Y3</f>
        <v>1711928.47</v>
      </c>
      <c r="Z3" s="93">
        <f>ДЕКАБРЬ!Z3+ЯНВАРЬ!Z3+ФЕВРАЛЬ!Z3+МАРТ!Z3</f>
        <v>-22894.34</v>
      </c>
      <c r="AA3" s="232">
        <f t="shared" ref="AA3:AA66" si="3">Y3+Z3</f>
        <v>1689034.13</v>
      </c>
      <c r="AB3" s="92">
        <f>N3*O3*P3/100</f>
        <v>0</v>
      </c>
      <c r="AC3" s="234">
        <f t="shared" ref="AC3:AC34" si="4">AA3/$AA$126</f>
        <v>5.8129292283112088E-2</v>
      </c>
      <c r="AD3" s="92">
        <f t="shared" ref="AD3:AD66" si="5">U3*K3</f>
        <v>166428.72</v>
      </c>
      <c r="AE3" s="93">
        <f>ДЕКАБРЬ!AE3+ЯНВАРЬ!AE3+ФЕВРАЛЬ!AE3+МАРТ!AE3</f>
        <v>630778.08000000007</v>
      </c>
      <c r="AF3" s="234">
        <f t="shared" ref="AF3:AF66" si="6">IF(AA3=0,0,AE3/AA3)</f>
        <v>0.37345490466791226</v>
      </c>
      <c r="AG3" s="93">
        <f>ДЕКАБРЬ!AG3+ЯНВАРЬ!AG3+ФЕВРАЛЬ!AG3+МАРТ!AG3</f>
        <v>128651.36999999994</v>
      </c>
      <c r="AH3" s="93">
        <f>ДЕКАБРЬ!AH3+ЯНВАРЬ!AH3+ФЕВРАЛЬ!AH3+МАРТ!AH3</f>
        <v>102900</v>
      </c>
      <c r="AI3" s="93">
        <f>ДЕКАБРЬ!AI3+ЯНВАРЬ!AI3+ФЕВРАЛЬ!AI3+МАРТ!AI3</f>
        <v>180463</v>
      </c>
      <c r="AJ3" s="93">
        <f>ДЕКАБРЬ!AJ3+ЯНВАРЬ!AJ3+ФЕВРАЛЬ!AJ3+МАРТ!AJ3</f>
        <v>0</v>
      </c>
      <c r="AK3" s="93"/>
      <c r="AL3" s="93">
        <f>ДЕКАБРЬ!AL3+ЯНВАРЬ!AL3+ФЕВРАЛЬ!AL3+МАРТ!AL3</f>
        <v>4962.6879014644892</v>
      </c>
      <c r="AM3" s="93">
        <f>ДЕКАБРЬ!AM3+ЯНВАРЬ!AM3+ФЕВРАЛЬ!AM3+МАРТ!AM3</f>
        <v>0</v>
      </c>
      <c r="AN3" s="93">
        <f>ДЕКАБРЬ!AN3+ЯНВАРЬ!AN3+ФЕВРАЛЬ!AN3+МАРТ!AN3</f>
        <v>62140.152928175223</v>
      </c>
      <c r="AO3" s="95">
        <f>AA3-AD3-AE3-AG3-AH3-AI3-AK3-AL3-AN3-AM3</f>
        <v>412710.11917036027</v>
      </c>
      <c r="AP3" s="96"/>
      <c r="AQ3" s="97">
        <f t="shared" ref="AQ3:AQ97" si="7">IF(U3=0,0,AA3/U3)</f>
        <v>1451.0602491408933</v>
      </c>
      <c r="AR3" s="98">
        <f t="shared" ref="AR3:AR19" si="8">K3</f>
        <v>142.97999999999999</v>
      </c>
      <c r="AS3" s="98">
        <f t="shared" ref="AS3:AS97" si="9">IF(U3=0,0,AE3/U3)</f>
        <v>541.90556701030937</v>
      </c>
      <c r="AT3" s="98">
        <f t="shared" ref="AT3:AT97" si="10">IF(S3=0,AG3/1,AG3/S3)</f>
        <v>109.02658474576266</v>
      </c>
      <c r="AU3" s="98">
        <f>IF(S3=0,0,(AH3+AI3+AJ3)/S3)</f>
        <v>240.13813559322034</v>
      </c>
      <c r="AV3" s="98">
        <f>_xlfn.IFS(U3=0,AO3,U3&lt;0,AO3/-U3,U3&gt;0,AO3/U3)</f>
        <v>354.56195805013766</v>
      </c>
      <c r="AW3" s="234">
        <f t="shared" ref="AW3" si="11">IF(AQ3=0,0,AV3/AQ3)</f>
        <v>0.24434682037500347</v>
      </c>
      <c r="AX3" s="234">
        <f t="shared" ref="AX3" si="12">IF(AR3=0,0,AV3/AR3)</f>
        <v>2.4798010774243791</v>
      </c>
      <c r="AY3" s="99"/>
      <c r="AZ3" s="94">
        <f t="shared" ref="AZ3:AZ97" si="13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93">
        <f>ДЕКАБРЬ!N4+ЯНВАРЬ!N4+ФЕВРАЛЬ!N4+МАРТ!N4</f>
        <v>8344</v>
      </c>
      <c r="O4" s="89"/>
      <c r="P4" s="89"/>
      <c r="Q4" s="233"/>
      <c r="R4" s="92"/>
      <c r="S4" s="93">
        <f>ДЕКАБРЬ!S4+ЯНВАРЬ!S4+ФЕВРАЛЬ!S4+МАРТ!S4</f>
        <v>5230</v>
      </c>
      <c r="T4" s="93">
        <f>ДЕКАБРЬ!T4+ЯНВАРЬ!T4+ФЕВРАЛЬ!T4+МАРТ!T4</f>
        <v>-79</v>
      </c>
      <c r="U4" s="92">
        <f t="shared" si="1"/>
        <v>5151</v>
      </c>
      <c r="V4" s="93">
        <f>ДЕКАБРЬ!V4+ЯНВАРЬ!V4+ФЕВРАЛЬ!V4+МАРТ!V4</f>
        <v>3966001.0200000014</v>
      </c>
      <c r="W4" s="93">
        <f>ДЕКАБРЬ!W4+ЯНВАРЬ!W4+ФЕВРАЛЬ!W4+МАРТ!W4</f>
        <v>-62854.04</v>
      </c>
      <c r="X4" s="92">
        <f t="shared" si="2"/>
        <v>3903146.9800000014</v>
      </c>
      <c r="Y4" s="93">
        <f>ДЕКАБРЬ!Y4+ЯНВАРЬ!Y4+ФЕВРАЛЬ!Y4+МАРТ!Y4</f>
        <v>5961334.030000004</v>
      </c>
      <c r="Z4" s="93">
        <f>ДЕКАБРЬ!Z4+ЯНВАРЬ!Z4+ФЕВРАЛЬ!Z4+МАРТ!Z4</f>
        <v>-95325.49</v>
      </c>
      <c r="AA4" s="232">
        <f t="shared" si="3"/>
        <v>5866008.5400000038</v>
      </c>
      <c r="AB4" s="92">
        <f t="shared" ref="AB4:AB67" si="14">N4*O4*P4/100</f>
        <v>0</v>
      </c>
      <c r="AC4" s="234">
        <f t="shared" si="4"/>
        <v>0.20188279141339308</v>
      </c>
      <c r="AD4" s="92">
        <f t="shared" si="5"/>
        <v>634036.59</v>
      </c>
      <c r="AE4" s="93">
        <f>ДЕКАБРЬ!AE4+ЯНВАРЬ!AE4+ФЕВРАЛЬ!AE4+МАРТ!AE4</f>
        <v>2202551.0900000036</v>
      </c>
      <c r="AF4" s="234">
        <f t="shared" si="6"/>
        <v>0.37547696614843357</v>
      </c>
      <c r="AG4" s="93">
        <f>ДЕКАБРЬ!AG4+ЯНВАРЬ!AG4+ФЕВРАЛЬ!AG4+МАРТ!AG4</f>
        <v>518527.20000000222</v>
      </c>
      <c r="AH4" s="93">
        <f>ДЕКАБРЬ!AH4+ЯНВАРЬ!AH4+ФЕВРАЛЬ!AH4+МАРТ!AH4</f>
        <v>47647</v>
      </c>
      <c r="AI4" s="93">
        <f>ДЕКАБРЬ!AI4+ЯНВАРЬ!AI4+ФЕВРАЛЬ!AI4+МАРТ!AI4</f>
        <v>136863</v>
      </c>
      <c r="AJ4" s="93">
        <f>ДЕКАБРЬ!AJ4+ЯНВАРЬ!AJ4+ФЕВРАЛЬ!AJ4+МАРТ!AJ4</f>
        <v>0</v>
      </c>
      <c r="AK4" s="93"/>
      <c r="AL4" s="93">
        <f>ДЕКАБРЬ!AL4+ЯНВАРЬ!AL4+ФЕВРАЛЬ!AL4+МАРТ!AL4</f>
        <v>4646.6638426620129</v>
      </c>
      <c r="AM4" s="93">
        <f>ДЕКАБРЬ!AM4+ЯНВАРЬ!AM4+ФЕВРАЛЬ!AM4+МАРТ!AM4</f>
        <v>80</v>
      </c>
      <c r="AN4" s="93">
        <f>ДЕКАБРЬ!AN4+ЯНВАРЬ!AN4+ФЕВРАЛЬ!AN4+МАРТ!AN4</f>
        <v>218230.08460372893</v>
      </c>
      <c r="AO4" s="95">
        <f t="shared" ref="AO4:AO67" si="15">AA4-AD4-AE4-AG4-AH4-AI4-AK4-AL4-AN4-AM4</f>
        <v>2103426.9115536073</v>
      </c>
      <c r="AP4" s="96"/>
      <c r="AQ4" s="97">
        <f t="shared" si="7"/>
        <v>1138.8096563774031</v>
      </c>
      <c r="AR4" s="98">
        <f t="shared" si="8"/>
        <v>123.09</v>
      </c>
      <c r="AS4" s="98">
        <f t="shared" si="9"/>
        <v>427.59679479712747</v>
      </c>
      <c r="AT4" s="98">
        <f t="shared" si="10"/>
        <v>99.144780114723176</v>
      </c>
      <c r="AU4" s="98">
        <f t="shared" ref="AU4:AU70" si="16">IF(S4=0,0,(AH4+AI4+AJ4)/S4)</f>
        <v>35.279158699808796</v>
      </c>
      <c r="AV4" s="98">
        <f t="array" ref="AV4">_xlfn.IFS(U4=0,AO4,U4&lt;0,AO4/-U4,U4&gt;0,AO4/U4)</f>
        <v>408.35311814280863</v>
      </c>
      <c r="AW4" s="234">
        <f>IF(AQ4=0,0,AV4/AQ4)</f>
        <v>0.35857890373163454</v>
      </c>
      <c r="AX4" s="234">
        <f>IF(AR4=0,0,AV4/AR4)</f>
        <v>3.3175165987717006</v>
      </c>
      <c r="AY4" s="99"/>
      <c r="AZ4" s="94">
        <f t="shared" si="13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93">
        <f>ДЕКАБРЬ!N5+ЯНВАРЬ!N5+ФЕВРАЛЬ!N5+МАРТ!N5</f>
        <v>2267</v>
      </c>
      <c r="O5" s="89"/>
      <c r="P5" s="89"/>
      <c r="Q5" s="233"/>
      <c r="R5" s="92"/>
      <c r="S5" s="93">
        <f>ДЕКАБРЬ!S5+ЯНВАРЬ!S5+ФЕВРАЛЬ!S5+МАРТ!S5</f>
        <v>1491</v>
      </c>
      <c r="T5" s="93">
        <f>ДЕКАБРЬ!T5+ЯНВАРЬ!T5+ФЕВРАЛЬ!T5+МАРТ!T5</f>
        <v>-21</v>
      </c>
      <c r="U5" s="92">
        <f t="shared" si="1"/>
        <v>1470</v>
      </c>
      <c r="V5" s="93">
        <f>ДЕКАБРЬ!V5+ЯНВАРЬ!V5+ФЕВРАЛЬ!V5+МАРТ!V5</f>
        <v>1199064.8800000004</v>
      </c>
      <c r="W5" s="93">
        <f>ДЕКАБРЬ!W5+ЯНВАРЬ!W5+ФЕВРАЛЬ!W5+МАРТ!W5</f>
        <v>-16008</v>
      </c>
      <c r="X5" s="92">
        <f t="shared" si="2"/>
        <v>1183056.8800000004</v>
      </c>
      <c r="Y5" s="93">
        <f>ДЕКАБРЬ!Y5+ЯНВАРЬ!Y5+ФЕВРАЛЬ!Y5+МАРТ!Y5</f>
        <v>1827893.03</v>
      </c>
      <c r="Z5" s="93">
        <f>ДЕКАБРЬ!Z5+ЯНВАРЬ!Z5+ФЕВРАЛЬ!Z5+МАРТ!Z5</f>
        <v>-24496.32</v>
      </c>
      <c r="AA5" s="232">
        <f t="shared" si="3"/>
        <v>1803396.71</v>
      </c>
      <c r="AB5" s="92">
        <f t="shared" si="14"/>
        <v>0</v>
      </c>
      <c r="AC5" s="234">
        <f t="shared" si="4"/>
        <v>6.2065160553027271E-2</v>
      </c>
      <c r="AD5" s="92">
        <f t="shared" si="5"/>
        <v>180942.30000000002</v>
      </c>
      <c r="AE5" s="93">
        <f>ДЕКАБРЬ!AE5+ЯНВАРЬ!AE5+ФЕВРАЛЬ!AE5+МАРТ!AE5</f>
        <v>676284.23999999976</v>
      </c>
      <c r="AF5" s="234">
        <f t="shared" si="6"/>
        <v>0.37500580779034459</v>
      </c>
      <c r="AG5" s="93">
        <f>ДЕКАБРЬ!AG5+ЯНВАРЬ!AG5+ФЕВРАЛЬ!AG5+МАРТ!AG5</f>
        <v>132583.15999999992</v>
      </c>
      <c r="AH5" s="93">
        <f>ДЕКАБРЬ!AH5+ЯНВАРЬ!AH5+ФЕВРАЛЬ!AH5+МАРТ!AH5</f>
        <v>57500</v>
      </c>
      <c r="AI5" s="93">
        <f>ДЕКАБРЬ!AI5+ЯНВАРЬ!AI5+ФЕВРАЛЬ!AI5+МАРТ!AI5</f>
        <v>126320</v>
      </c>
      <c r="AJ5" s="93">
        <f>ДЕКАБРЬ!AJ5+ЯНВАРЬ!AJ5+ФЕВРАЛЬ!AJ5+МАРТ!AJ5</f>
        <v>0</v>
      </c>
      <c r="AK5" s="93"/>
      <c r="AL5" s="93">
        <f>ДЕКАБРЬ!AL5+ЯНВАРЬ!AL5+ФЕВРАЛЬ!AL5+МАРТ!AL5</f>
        <v>4044.6168467339635</v>
      </c>
      <c r="AM5" s="93">
        <f>ДЕКАБРЬ!AM5+ЯНВАРЬ!AM5+ФЕВРАЛЬ!AM5+МАРТ!AM5</f>
        <v>50</v>
      </c>
      <c r="AN5" s="93">
        <f>ДЕКАБРЬ!AN5+ЯНВАРЬ!AN5+ФЕВРАЛЬ!AN5+МАРТ!AN5</f>
        <v>66209.615570390684</v>
      </c>
      <c r="AO5" s="95">
        <f t="shared" si="15"/>
        <v>559462.77758287557</v>
      </c>
      <c r="AP5" s="96"/>
      <c r="AQ5" s="97">
        <f t="shared" si="7"/>
        <v>1226.8004829931972</v>
      </c>
      <c r="AR5" s="98">
        <f t="shared" si="8"/>
        <v>123.09</v>
      </c>
      <c r="AS5" s="98">
        <f t="shared" si="9"/>
        <v>460.05730612244884</v>
      </c>
      <c r="AT5" s="98">
        <f t="shared" si="10"/>
        <v>88.922307176391627</v>
      </c>
      <c r="AU5" s="98">
        <f t="shared" si="16"/>
        <v>123.28638497652582</v>
      </c>
      <c r="AV5" s="98">
        <f t="array" ref="AV5">_xlfn.IFS(U5=0,AO5,U5&lt;0,AO5/-U5,U5&gt;0,AO5/U5)</f>
        <v>380.58692352576571</v>
      </c>
      <c r="AW5" s="234">
        <f>IF(AQ5=0,0,AV5/AQ5)</f>
        <v>0.3102272364591791</v>
      </c>
      <c r="AX5" s="234">
        <f>IF(AR5=0,0,AV5/AR5)</f>
        <v>3.0919402349968781</v>
      </c>
      <c r="AY5" s="99"/>
      <c r="AZ5" s="94">
        <f t="shared" si="13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17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18">E6*K6</f>
        <v>0</v>
      </c>
      <c r="M6" s="89"/>
      <c r="N6" s="93">
        <f>ДЕКАБРЬ!N6+ЯНВАРЬ!N6+ФЕВРАЛЬ!N6+МАРТ!N6</f>
        <v>1633</v>
      </c>
      <c r="O6" s="89"/>
      <c r="P6" s="89"/>
      <c r="Q6" s="233"/>
      <c r="R6" s="92"/>
      <c r="S6" s="93">
        <f>ДЕКАБРЬ!S6+ЯНВАРЬ!S6+ФЕВРАЛЬ!S6+МАРТ!S6</f>
        <v>1064</v>
      </c>
      <c r="T6" s="93">
        <f>ДЕКАБРЬ!T6+ЯНВАРЬ!T6+ФЕВРАЛЬ!T6+МАРТ!T6</f>
        <v>-29</v>
      </c>
      <c r="U6" s="92">
        <f t="shared" si="1"/>
        <v>1035</v>
      </c>
      <c r="V6" s="93">
        <f>ДЕКАБРЬ!V6+ЯНВАРЬ!V6+ФЕВРАЛЬ!V6+МАРТ!V6</f>
        <v>784770.73</v>
      </c>
      <c r="W6" s="93">
        <f>ДЕКАБРЬ!W6+ЯНВАРЬ!W6+ФЕВРАЛЬ!W6+МАРТ!W6</f>
        <v>-21026</v>
      </c>
      <c r="X6" s="92">
        <f t="shared" si="2"/>
        <v>763744.73</v>
      </c>
      <c r="Y6" s="93">
        <f>ДЕКАБРЬ!Y6+ЯНВАРЬ!Y6+ФЕВРАЛЬ!Y6+МАРТ!Y6</f>
        <v>1173406.53</v>
      </c>
      <c r="Z6" s="93">
        <f>ДЕКАБРЬ!Z6+ЯНВАРЬ!Z6+ФЕВРАЛЬ!Z6+МАРТ!Z6</f>
        <v>-31980.590000000004</v>
      </c>
      <c r="AA6" s="232">
        <f t="shared" si="3"/>
        <v>1141425.94</v>
      </c>
      <c r="AB6" s="92">
        <f t="shared" si="14"/>
        <v>0</v>
      </c>
      <c r="AC6" s="234">
        <f t="shared" si="4"/>
        <v>3.9282972976861022E-2</v>
      </c>
      <c r="AD6" s="92">
        <f t="shared" si="5"/>
        <v>127398.15000000001</v>
      </c>
      <c r="AE6" s="93">
        <f>ДЕКАБРЬ!AE6+ЯНВАРЬ!AE6+ФЕВРАЛЬ!AE6+МАРТ!AE6</f>
        <v>427328.96000000008</v>
      </c>
      <c r="AF6" s="234">
        <f t="shared" si="6"/>
        <v>0.37438167911270714</v>
      </c>
      <c r="AG6" s="93">
        <f>ДЕКАБРЬ!AG6+ЯНВАРЬ!AG6+ФЕВРАЛЬ!AG6+МАРТ!AG6</f>
        <v>105280.62999999992</v>
      </c>
      <c r="AH6" s="93">
        <f>ДЕКАБРЬ!AH6+ЯНВАРЬ!AH6+ФЕВРАЛЬ!AH6+МАРТ!AH6</f>
        <v>41412</v>
      </c>
      <c r="AI6" s="93">
        <f>ДЕКАБРЬ!AI6+ЯНВАРЬ!AI6+ФЕВРАЛЬ!AI6+МАРТ!AI6</f>
        <v>78727</v>
      </c>
      <c r="AJ6" s="93">
        <f>ДЕКАБРЬ!AJ6+ЯНВАРЬ!AJ6+ФЕВРАЛЬ!AJ6+МАРТ!AJ6</f>
        <v>0</v>
      </c>
      <c r="AK6" s="93"/>
      <c r="AL6" s="93">
        <f>ДЕКАБРЬ!AL6+ЯНВАРЬ!AL6+ФЕВРАЛЬ!AL6+МАРТ!AL6</f>
        <v>2868.1553584683388</v>
      </c>
      <c r="AM6" s="93">
        <f>ДЕКАБРЬ!AM6+ЯНВАРЬ!AM6+ФЕВРАЛЬ!AM6+МАРТ!AM6</f>
        <v>30</v>
      </c>
      <c r="AN6" s="93">
        <f>ДЕКАБРЬ!AN6+ЯНВАРЬ!AN6+ФЕВРАЛЬ!AN6+МАРТ!AN6</f>
        <v>42722.114821040028</v>
      </c>
      <c r="AO6" s="95">
        <f t="shared" si="15"/>
        <v>315658.92982049158</v>
      </c>
      <c r="AP6" s="96"/>
      <c r="AQ6" s="97">
        <f t="shared" si="7"/>
        <v>1102.826995169082</v>
      </c>
      <c r="AR6" s="98">
        <f t="shared" si="8"/>
        <v>123.09</v>
      </c>
      <c r="AS6" s="98">
        <f t="shared" si="9"/>
        <v>412.87822222222229</v>
      </c>
      <c r="AT6" s="98">
        <f t="shared" si="10"/>
        <v>98.947960526315711</v>
      </c>
      <c r="AU6" s="98">
        <f t="shared" si="16"/>
        <v>112.9125939849624</v>
      </c>
      <c r="AV6" s="98">
        <f t="array" ref="AV6">_xlfn.IFS(U6=0,AO6,U6&lt;0,AO6/-U6,U6&gt;0,AO6/U6)</f>
        <v>304.98447325651358</v>
      </c>
      <c r="AW6" s="234">
        <f t="shared" ref="AW6" si="19">IF(AQ6=0,0,AV6/AQ6)</f>
        <v>0.27654788520093698</v>
      </c>
      <c r="AX6" s="234">
        <f t="shared" ref="AX6" si="20">IF(AR6=0,0,AV6/AR6)</f>
        <v>2.4777355858031811</v>
      </c>
      <c r="AY6" s="99"/>
      <c r="AZ6" s="94">
        <f t="shared" si="13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93">
        <f>ДЕКАБРЬ!N7+ЯНВАРЬ!N7+ФЕВРАЛЬ!N7+МАРТ!N7</f>
        <v>2957</v>
      </c>
      <c r="O7" s="89"/>
      <c r="P7" s="89"/>
      <c r="Q7" s="233"/>
      <c r="R7" s="92"/>
      <c r="S7" s="93">
        <f>ДЕКАБРЬ!S7+ЯНВАРЬ!S7+ФЕВРАЛЬ!S7+МАРТ!S7</f>
        <v>1712</v>
      </c>
      <c r="T7" s="93">
        <f>ДЕКАБРЬ!T7+ЯНВАРЬ!T7+ФЕВРАЛЬ!T7+МАРТ!T7</f>
        <v>-40</v>
      </c>
      <c r="U7" s="92">
        <f t="shared" si="1"/>
        <v>1672</v>
      </c>
      <c r="V7" s="93">
        <f>ДЕКАБРЬ!V7+ЯНВАРЬ!V7+ФЕВРАЛЬ!V7+МАРТ!V7</f>
        <v>1418909.74</v>
      </c>
      <c r="W7" s="93">
        <f>ДЕКАБРЬ!W7+ЯНВАРЬ!W7+ФЕВРАЛЬ!W7+МАРТ!W7</f>
        <v>-32166.85</v>
      </c>
      <c r="X7" s="92">
        <f t="shared" si="2"/>
        <v>1386742.89</v>
      </c>
      <c r="Y7" s="93">
        <f>ДЕКАБРЬ!Y7+ЯНВАРЬ!Y7+ФЕВРАЛЬ!Y7+МАРТ!Y7</f>
        <v>2178364.17</v>
      </c>
      <c r="Z7" s="93">
        <f>ДЕКАБРЬ!Z7+ЯНВАРЬ!Z7+ФЕВРАЛЬ!Z7+МАРТ!Z7</f>
        <v>-48459.709999999992</v>
      </c>
      <c r="AA7" s="232">
        <f t="shared" si="3"/>
        <v>2129904.46</v>
      </c>
      <c r="AB7" s="92">
        <f t="shared" si="14"/>
        <v>0</v>
      </c>
      <c r="AC7" s="234">
        <f t="shared" si="4"/>
        <v>7.330215339724605E-2</v>
      </c>
      <c r="AD7" s="92">
        <f t="shared" si="5"/>
        <v>196025.28</v>
      </c>
      <c r="AE7" s="93">
        <f>ДЕКАБРЬ!AE7+ЯНВАРЬ!AE7+ФЕВРАЛЬ!AE7+МАРТ!AE7</f>
        <v>798612.02000000014</v>
      </c>
      <c r="AF7" s="234">
        <f t="shared" si="6"/>
        <v>0.37495203892854428</v>
      </c>
      <c r="AG7" s="93">
        <f>ДЕКАБРЬ!AG7+ЯНВАРЬ!AG7+ФЕВРАЛЬ!AG7+МАРТ!AG7</f>
        <v>180047.51999999979</v>
      </c>
      <c r="AH7" s="93">
        <f>ДЕКАБРЬ!AH7+ЯНВАРЬ!AH7+ФЕВРАЛЬ!AH7+МАРТ!AH7</f>
        <v>79000</v>
      </c>
      <c r="AI7" s="93">
        <f>ДЕКАБРЬ!AI7+ЯНВАРЬ!AI7+ФЕВРАЛЬ!AI7+МАРТ!AI7</f>
        <v>174531</v>
      </c>
      <c r="AJ7" s="93">
        <f>ДЕКАБРЬ!AJ7+ЯНВАРЬ!AJ7+ФЕВРАЛЬ!AJ7+МАРТ!AJ7</f>
        <v>0</v>
      </c>
      <c r="AK7" s="93"/>
      <c r="AL7" s="93">
        <f>ДЕКАБРЬ!AL7+ЯНВАРЬ!AL7+ФЕВРАЛЬ!AL7+МАРТ!AL7</f>
        <v>5114.7637299551379</v>
      </c>
      <c r="AM7" s="93">
        <f>ДЕКАБРЬ!AM7+ЯНВАРЬ!AM7+ФЕВРАЛЬ!AM7+МАРТ!AM7</f>
        <v>0</v>
      </c>
      <c r="AN7" s="93">
        <f>ДЕКАБРЬ!AN7+ЯНВАРЬ!AN7+ФЕВРАЛЬ!AN7+МАРТ!AN7</f>
        <v>77848.996934944167</v>
      </c>
      <c r="AO7" s="95">
        <f t="shared" si="15"/>
        <v>618724.87933510053</v>
      </c>
      <c r="AP7" s="96"/>
      <c r="AQ7" s="97">
        <f t="shared" si="7"/>
        <v>1273.8663038277512</v>
      </c>
      <c r="AR7" s="98">
        <f t="shared" si="8"/>
        <v>117.24</v>
      </c>
      <c r="AS7" s="98">
        <f t="shared" si="9"/>
        <v>477.6387679425838</v>
      </c>
      <c r="AT7" s="98">
        <f t="shared" si="10"/>
        <v>105.16794392523352</v>
      </c>
      <c r="AU7" s="98">
        <f t="shared" si="16"/>
        <v>148.09053738317758</v>
      </c>
      <c r="AV7" s="98">
        <f t="array" ref="AV7">_xlfn.IFS(U7=0,AO7,U7&lt;0,AO7/-U7,U7&gt;0,AO7/U7)</f>
        <v>370.05076515257207</v>
      </c>
      <c r="AW7" s="234">
        <f>IF(AQ7=0,0,AV7/AQ7)</f>
        <v>0.29049419396732024</v>
      </c>
      <c r="AX7" s="234">
        <f>IF(AR7=0,0,AV7/AR7)</f>
        <v>3.1563524833893899</v>
      </c>
      <c r="AY7" s="99"/>
      <c r="AZ7" s="94">
        <f t="shared" si="13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93">
        <f>ДЕКАБРЬ!N8+ЯНВАРЬ!N8+ФЕВРАЛЬ!N8+МАРТ!N8</f>
        <v>1094</v>
      </c>
      <c r="O8" s="89"/>
      <c r="P8" s="89"/>
      <c r="Q8" s="233"/>
      <c r="R8" s="92"/>
      <c r="S8" s="93">
        <f>ДЕКАБРЬ!S8+ЯНВАРЬ!S8+ФЕВРАЛЬ!S8+МАРТ!S8</f>
        <v>545</v>
      </c>
      <c r="T8" s="93">
        <f>ДЕКАБРЬ!T8+ЯНВАРЬ!T8+ФЕВРАЛЬ!T8+МАРТ!T8</f>
        <v>-16</v>
      </c>
      <c r="U8" s="92">
        <f t="shared" si="1"/>
        <v>529</v>
      </c>
      <c r="V8" s="93">
        <f>ДЕКАБРЬ!V8+ЯНВАРЬ!V8+ФЕВРАЛЬ!V8+МАРТ!V8</f>
        <v>488699.66</v>
      </c>
      <c r="W8" s="93">
        <f>ДЕКАБРЬ!W8+ЯНВАРЬ!W8+ФЕВРАЛЬ!W8+МАРТ!W8</f>
        <v>-15967</v>
      </c>
      <c r="X8" s="92">
        <f t="shared" si="2"/>
        <v>472732.66</v>
      </c>
      <c r="Y8" s="93">
        <f>ДЕКАБРЬ!Y8+ЯНВАРЬ!Y8+ФЕВРАЛЬ!Y8+МАРТ!Y8</f>
        <v>737558.71</v>
      </c>
      <c r="Z8" s="93">
        <f>ДЕКАБРЬ!Z8+ЯНВАРЬ!Z8+ФЕВРАЛЬ!Z8+МАРТ!Z8</f>
        <v>-22751</v>
      </c>
      <c r="AA8" s="232">
        <f t="shared" si="3"/>
        <v>714807.71</v>
      </c>
      <c r="AB8" s="92">
        <f t="shared" si="14"/>
        <v>0</v>
      </c>
      <c r="AC8" s="234">
        <f t="shared" si="4"/>
        <v>2.4600607863863606E-2</v>
      </c>
      <c r="AD8" s="92">
        <f t="shared" si="5"/>
        <v>89871.81</v>
      </c>
      <c r="AE8" s="93">
        <f>ДЕКАБРЬ!AE8+ЯНВАРЬ!AE8+ФЕВРАЛЬ!AE8+МАРТ!AE8</f>
        <v>266250.61</v>
      </c>
      <c r="AF8" s="234">
        <f t="shared" si="6"/>
        <v>0.37247864883830084</v>
      </c>
      <c r="AG8" s="93">
        <f>ДЕКАБРЬ!AG8+ЯНВАРЬ!AG8+ФЕВРАЛЬ!AG8+МАРТ!AG8</f>
        <v>77954.979999999967</v>
      </c>
      <c r="AH8" s="93">
        <f>ДЕКАБРЬ!AH8+ЯНВАРЬ!AH8+ФЕВРАЛЬ!AH8+МАРТ!AH8</f>
        <v>45138</v>
      </c>
      <c r="AI8" s="93">
        <f>ДЕКАБРЬ!AI8+ЯНВАРЬ!AI8+ФЕВРАЛЬ!AI8+МАРТ!AI8</f>
        <v>90863</v>
      </c>
      <c r="AJ8" s="93">
        <f>ДЕКАБРЬ!AJ8+ЯНВАРЬ!AJ8+ФЕВРАЛЬ!AJ8+МАРТ!AJ8</f>
        <v>0</v>
      </c>
      <c r="AK8" s="93"/>
      <c r="AL8" s="93">
        <f>ДЕКАБРЬ!AL8+ЯНВАРЬ!AL8+ФЕВРАЛЬ!AL8+МАРТ!AL8</f>
        <v>2633.4893144029911</v>
      </c>
      <c r="AM8" s="93">
        <f>ДЕКАБРЬ!AM8+ЯНВАРЬ!AM8+ФЕВРАЛЬ!AM8+МАРТ!AM8</f>
        <v>40</v>
      </c>
      <c r="AN8" s="93">
        <f>ДЕКАБРЬ!AN8+ЯНВАРЬ!AN8+ФЕВРАЛЬ!AN8+МАРТ!AN8</f>
        <v>26888.546954575955</v>
      </c>
      <c r="AO8" s="95">
        <f t="shared" si="15"/>
        <v>115167.27373102101</v>
      </c>
      <c r="AP8" s="96"/>
      <c r="AQ8" s="97">
        <f t="shared" si="7"/>
        <v>1351.2433081285444</v>
      </c>
      <c r="AR8" s="98">
        <f t="shared" si="8"/>
        <v>169.89</v>
      </c>
      <c r="AS8" s="98">
        <f t="shared" si="9"/>
        <v>503.30928166351606</v>
      </c>
      <c r="AT8" s="98">
        <f t="shared" si="10"/>
        <v>143.03666055045866</v>
      </c>
      <c r="AU8" s="98">
        <f t="shared" si="16"/>
        <v>249.54311926605504</v>
      </c>
      <c r="AV8" s="98">
        <f t="array" ref="AV8">_xlfn.IFS(U8=0,AO8,U8&lt;0,AO8/-U8,U8&gt;0,AO8/U8)</f>
        <v>217.70751177886768</v>
      </c>
      <c r="AW8" s="234">
        <f>IF(AQ8=0,0,AV8/AQ8)</f>
        <v>0.16111644029556005</v>
      </c>
      <c r="AX8" s="234">
        <f>IF(AR8=0,0,AV8/AR8)</f>
        <v>1.2814616032660411</v>
      </c>
      <c r="AY8" s="99"/>
      <c r="AZ8" s="94">
        <f t="shared" si="13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93">
        <f>ДЕКАБРЬ!N9+ЯНВАРЬ!N9+ФЕВРАЛЬ!N9+МАРТ!N9</f>
        <v>3476</v>
      </c>
      <c r="O9" s="89"/>
      <c r="P9" s="89"/>
      <c r="Q9" s="233"/>
      <c r="R9" s="92"/>
      <c r="S9" s="93">
        <f>ДЕКАБРЬ!S9+ЯНВАРЬ!S9+ФЕВРАЛЬ!S9+МАРТ!S9</f>
        <v>1595</v>
      </c>
      <c r="T9" s="93">
        <f>ДЕКАБРЬ!T9+ЯНВАРЬ!T9+ФЕВРАЛЬ!T9+МАРТ!T9</f>
        <v>-35</v>
      </c>
      <c r="U9" s="92">
        <f t="shared" si="1"/>
        <v>1560</v>
      </c>
      <c r="V9" s="93">
        <f>ДЕКАБРЬ!V9+ЯНВАРЬ!V9+ФЕВРАЛЬ!V9+МАРТ!V9</f>
        <v>1558037.39</v>
      </c>
      <c r="W9" s="93">
        <f>ДЕКАБРЬ!W9+ЯНВАРЬ!W9+ФЕВРАЛЬ!W9+МАРТ!W9</f>
        <v>-33442</v>
      </c>
      <c r="X9" s="92">
        <f t="shared" si="2"/>
        <v>1524595.39</v>
      </c>
      <c r="Y9" s="93">
        <f>ДЕКАБРЬ!Y9+ЯНВАРЬ!Y9+ФЕВРАЛЬ!Y9+МАРТ!Y9</f>
        <v>2371894.63</v>
      </c>
      <c r="Z9" s="93">
        <f>ДЕКАБРЬ!Z9+ЯНВАРЬ!Z9+ФЕВРАЛЬ!Z9+МАРТ!Z9</f>
        <v>-51288</v>
      </c>
      <c r="AA9" s="232">
        <f t="shared" si="3"/>
        <v>2320606.63</v>
      </c>
      <c r="AB9" s="92">
        <f t="shared" si="14"/>
        <v>0</v>
      </c>
      <c r="AC9" s="234">
        <f t="shared" si="4"/>
        <v>7.9865302111685424E-2</v>
      </c>
      <c r="AD9" s="92">
        <f t="shared" si="5"/>
        <v>192020.4</v>
      </c>
      <c r="AE9" s="93">
        <f>ДЕКАБРЬ!AE9+ЯНВАРЬ!AE9+ФЕВРАЛЬ!AE9+МАРТ!AE9</f>
        <v>869370.12999999942</v>
      </c>
      <c r="AF9" s="234">
        <f t="shared" si="6"/>
        <v>0.37463054649637001</v>
      </c>
      <c r="AG9" s="93">
        <f>ДЕКАБРЬ!AG9+ЯНВАРЬ!AG9+ФЕВРАЛЬ!AG9+МАРТ!AG9</f>
        <v>232408.24999999994</v>
      </c>
      <c r="AH9" s="93">
        <f>ДЕКАБРЬ!AH9+ЯНВАРЬ!AH9+ФЕВРАЛЬ!AH9+МАРТ!AH9</f>
        <v>114921</v>
      </c>
      <c r="AI9" s="93">
        <f>ДЕКАБРЬ!AI9+ЯНВАРЬ!AI9+ФЕВРАЛЬ!AI9+МАРТ!AI9</f>
        <v>225134</v>
      </c>
      <c r="AJ9" s="93">
        <f>ДЕКАБРЬ!AJ9+ЯНВАРЬ!AJ9+ФЕВРАЛЬ!AJ9+МАРТ!AJ9</f>
        <v>0</v>
      </c>
      <c r="AK9" s="93"/>
      <c r="AL9" s="93">
        <f>ДЕКАБРЬ!AL9+ЯНВАРЬ!AL9+ФЕВРАЛЬ!AL9+МАРТ!AL9</f>
        <v>3335.450942746791</v>
      </c>
      <c r="AM9" s="93">
        <f>ДЕКАБРЬ!AM9+ЯНВАРЬ!AM9+ФЕВРАЛЬ!AM9+МАРТ!AM9</f>
        <v>1592</v>
      </c>
      <c r="AN9" s="93">
        <f>ДЕКАБРЬ!AN9+ЯНВАРЬ!AN9+ФЕВРАЛЬ!AN9+МАРТ!AN9</f>
        <v>85245.252857202955</v>
      </c>
      <c r="AO9" s="95">
        <f t="shared" si="15"/>
        <v>596580.14620005083</v>
      </c>
      <c r="AP9" s="96"/>
      <c r="AQ9" s="97">
        <f t="shared" si="7"/>
        <v>1487.5683525641025</v>
      </c>
      <c r="AR9" s="98">
        <f t="shared" si="8"/>
        <v>123.09</v>
      </c>
      <c r="AS9" s="98">
        <f t="shared" si="9"/>
        <v>557.28854487179456</v>
      </c>
      <c r="AT9" s="98">
        <f t="shared" si="10"/>
        <v>145.71050156739807</v>
      </c>
      <c r="AU9" s="98">
        <f t="shared" si="16"/>
        <v>213.20062695924764</v>
      </c>
      <c r="AV9" s="98">
        <f t="array" ref="AV9">_xlfn.IFS(U9=0,AO9,U9&lt;0,AO9/-U9,U9&gt;0,AO9/U9)</f>
        <v>382.42317064105822</v>
      </c>
      <c r="AW9" s="234">
        <f>IF(AQ9=0,0,AV9/AQ9)</f>
        <v>0.25707939402036906</v>
      </c>
      <c r="AX9" s="234">
        <f>IF(AR9=0,0,AV9/AR9)</f>
        <v>3.1068581577793339</v>
      </c>
      <c r="AY9" s="99"/>
      <c r="AZ9" s="94">
        <f t="shared" si="13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93">
        <f>ДЕКАБРЬ!N10+ЯНВАРЬ!N10+ФЕВРАЛЬ!N10+МАРТ!N10</f>
        <v>2553</v>
      </c>
      <c r="O10" s="89"/>
      <c r="P10" s="89"/>
      <c r="Q10" s="233"/>
      <c r="R10" s="92"/>
      <c r="S10" s="93">
        <f>ДЕКАБРЬ!S10+ЯНВАРЬ!S10+ФЕВРАЛЬ!S10+МАРТ!S10</f>
        <v>1453</v>
      </c>
      <c r="T10" s="93">
        <f>ДЕКАБРЬ!T10+ЯНВАРЬ!T10+ФЕВРАЛЬ!T10+МАРТ!T10</f>
        <v>-20</v>
      </c>
      <c r="U10" s="92">
        <f t="shared" si="1"/>
        <v>1433</v>
      </c>
      <c r="V10" s="93">
        <f>ДЕКАБРЬ!V10+ЯНВАРЬ!V10+ФЕВРАЛЬ!V10+МАРТ!V10</f>
        <v>1096433.9599999997</v>
      </c>
      <c r="W10" s="93">
        <f>ДЕКАБРЬ!W10+ЯНВАРЬ!W10+ФЕВРАЛЬ!W10+МАРТ!W10</f>
        <v>-15180</v>
      </c>
      <c r="X10" s="92">
        <f t="shared" si="2"/>
        <v>1081253.9599999997</v>
      </c>
      <c r="Y10" s="93">
        <f>ДЕКАБРЬ!Y10+ЯНВАРЬ!Y10+ФЕВРАЛЬ!Y10+МАРТ!Y10</f>
        <v>1683389.6999999997</v>
      </c>
      <c r="Z10" s="93">
        <f>ДЕКАБРЬ!Z10+ЯНВАРЬ!Z10+ФЕВРАЛЬ!Z10+МАРТ!Z10</f>
        <v>-23956.52</v>
      </c>
      <c r="AA10" s="232">
        <f t="shared" si="3"/>
        <v>1659433.1799999997</v>
      </c>
      <c r="AB10" s="92">
        <f t="shared" si="14"/>
        <v>0</v>
      </c>
      <c r="AC10" s="234">
        <f t="shared" si="4"/>
        <v>5.7110554861620318E-2</v>
      </c>
      <c r="AD10" s="92">
        <f t="shared" si="5"/>
        <v>176387.97</v>
      </c>
      <c r="AE10" s="93">
        <f>ДЕКАБРЬ!AE10+ЯНВАРЬ!AE10+ФЕВРАЛЬ!AE10+МАРТ!AE10</f>
        <v>623265.73999999929</v>
      </c>
      <c r="AF10" s="234">
        <f t="shared" si="6"/>
        <v>0.37558953714544829</v>
      </c>
      <c r="AG10" s="93">
        <f>ДЕКАБРЬ!AG10+ЯНВАРЬ!AG10+ФЕВРАЛЬ!AG10+МАРТ!AG10</f>
        <v>156591.36999999982</v>
      </c>
      <c r="AH10" s="93">
        <f>ДЕКАБРЬ!AH10+ЯНВАРЬ!AH10+ФЕВРАЛЬ!AH10+МАРТ!AH10</f>
        <v>83500</v>
      </c>
      <c r="AI10" s="93">
        <f>ДЕКАБРЬ!AI10+ЯНВАРЬ!AI10+ФЕВРАЛЬ!AI10+МАРТ!AI10</f>
        <v>173383</v>
      </c>
      <c r="AJ10" s="93">
        <f>ДЕКАБРЬ!AJ10+ЯНВАРЬ!AJ10+ФЕВРАЛЬ!AJ10+МАРТ!AJ10</f>
        <v>0</v>
      </c>
      <c r="AK10" s="93"/>
      <c r="AL10" s="93">
        <f>ДЕКАБРЬ!AL10+ЯНВАРЬ!AL10+ФЕВРАЛЬ!AL10+МАРТ!AL10</f>
        <v>4340.8022335114156</v>
      </c>
      <c r="AM10" s="93">
        <f>ДЕКАБРЬ!AM10+ЯНВАРЬ!AM10+ФЕВРАЛЬ!AM10+МАРТ!AM10</f>
        <v>110</v>
      </c>
      <c r="AN10" s="93">
        <f>ДЕКАБРЬ!AN10+ЯНВАРЬ!AN10+ФЕВРАЛЬ!AN10+МАРТ!AN10</f>
        <v>60514.906609050173</v>
      </c>
      <c r="AO10" s="95">
        <f t="shared" si="15"/>
        <v>381339.39115743898</v>
      </c>
      <c r="AP10" s="96"/>
      <c r="AQ10" s="97">
        <f t="shared" si="7"/>
        <v>1158.013384508025</v>
      </c>
      <c r="AR10" s="98">
        <f t="shared" si="8"/>
        <v>123.09</v>
      </c>
      <c r="AS10" s="98">
        <f t="shared" si="9"/>
        <v>434.93771109560316</v>
      </c>
      <c r="AT10" s="98">
        <f t="shared" si="10"/>
        <v>107.77107364074317</v>
      </c>
      <c r="AU10" s="98">
        <f t="shared" si="16"/>
        <v>176.79490708878183</v>
      </c>
      <c r="AV10" s="98">
        <f t="array" ref="AV10">_xlfn.IFS(U10=0,AO10,U10&lt;0,AO10/-U10,U10&gt;0,AO10/U10)</f>
        <v>266.11262467371876</v>
      </c>
      <c r="AW10" s="234">
        <f>IF(AQ10=0,0,AV10/AQ10)</f>
        <v>0.22980099214205119</v>
      </c>
      <c r="AX10" s="234">
        <f>IF(AR10=0,0,AV10/AR10)</f>
        <v>2.1619353698409194</v>
      </c>
      <c r="AY10" s="99"/>
      <c r="AZ10" s="94">
        <f t="shared" si="13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1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2">E11*K11</f>
        <v>0</v>
      </c>
      <c r="M11" s="89"/>
      <c r="N11" s="93">
        <f>ДЕКАБРЬ!N11+ЯНВАРЬ!N11+ФЕВРАЛЬ!N11+МАРТ!N11</f>
        <v>1145</v>
      </c>
      <c r="O11" s="89"/>
      <c r="P11" s="89"/>
      <c r="Q11" s="233"/>
      <c r="R11" s="92"/>
      <c r="S11" s="93">
        <f>ДЕКАБРЬ!S11+ЯНВАРЬ!S11+ФЕВРАЛЬ!S11+МАРТ!S11</f>
        <v>675</v>
      </c>
      <c r="T11" s="93">
        <f>ДЕКАБРЬ!T11+ЯНВАРЬ!T11+ФЕВРАЛЬ!T11+МАРТ!T11</f>
        <v>-11</v>
      </c>
      <c r="U11" s="92">
        <f t="shared" si="1"/>
        <v>664</v>
      </c>
      <c r="V11" s="93">
        <f>ДЕКАБРЬ!V11+ЯНВАРЬ!V11+ФЕВРАЛЬ!V11+МАРТ!V11</f>
        <v>549323.6100000001</v>
      </c>
      <c r="W11" s="93">
        <f>ДЕКАБРЬ!W11+ЯНВАРЬ!W11+ФЕВРАЛЬ!W11+МАРТ!W11</f>
        <v>-9183</v>
      </c>
      <c r="X11" s="92">
        <f t="shared" si="2"/>
        <v>540140.6100000001</v>
      </c>
      <c r="Y11" s="93">
        <f>ДЕКАБРЬ!Y11+ЯНВАРЬ!Y11+ФЕВРАЛЬ!Y11+МАРТ!Y11</f>
        <v>841178.97</v>
      </c>
      <c r="Z11" s="93">
        <f>ДЕКАБРЬ!Z11+ЯНВАРЬ!Z11+ФЕВРАЛЬ!Z11+МАРТ!Z11</f>
        <v>-13899</v>
      </c>
      <c r="AA11" s="232">
        <f t="shared" si="3"/>
        <v>827279.97</v>
      </c>
      <c r="AB11" s="92">
        <f t="shared" si="14"/>
        <v>0</v>
      </c>
      <c r="AC11" s="234">
        <f t="shared" si="4"/>
        <v>2.8471419447334792E-2</v>
      </c>
      <c r="AD11" s="92">
        <f t="shared" si="5"/>
        <v>81731.760000000009</v>
      </c>
      <c r="AE11" s="93">
        <f>ДЕКАБРЬ!AE11+ЯНВАРЬ!AE11+ФЕВРАЛЬ!AE11+МАРТ!AE11</f>
        <v>309651.13</v>
      </c>
      <c r="AF11" s="234">
        <f t="shared" si="6"/>
        <v>0.37430028675781912</v>
      </c>
      <c r="AG11" s="93">
        <f>ДЕКАБРЬ!AG11+ЯНВАРЬ!AG11+ФЕВРАЛЬ!AG11+МАРТ!AG11</f>
        <v>71606.479999999981</v>
      </c>
      <c r="AH11" s="93">
        <f>ДЕКАБРЬ!AH11+ЯНВАРЬ!AH11+ФЕВРАЛЬ!AH11+МАРТ!AH11</f>
        <v>32249</v>
      </c>
      <c r="AI11" s="93">
        <f>ДЕКАБРЬ!AI11+ЯНВАРЬ!AI11+ФЕВРАЛЬ!AI11+МАРТ!AI11</f>
        <v>70931</v>
      </c>
      <c r="AJ11" s="93">
        <f>ДЕКАБРЬ!AJ11+ЯНВАРЬ!AJ11+ФЕВРАЛЬ!AJ11+МАРТ!AJ11</f>
        <v>0</v>
      </c>
      <c r="AK11" s="93"/>
      <c r="AL11" s="93">
        <f>ДЕКАБРЬ!AL11+ЯНВАРЬ!AL11+ФЕВРАЛЬ!AL11+МАРТ!AL11</f>
        <v>2652.9729227068542</v>
      </c>
      <c r="AM11" s="93">
        <f>ДЕКАБРЬ!AM11+ЯНВАРЬ!AM11+ФЕВРАЛЬ!AM11+МАРТ!AM11</f>
        <v>20</v>
      </c>
      <c r="AN11" s="93">
        <f>ДЕКАБРЬ!AN11+ЯНВАРЬ!AN11+ФЕВРАЛЬ!AN11+МАРТ!AN11</f>
        <v>30262.389859552706</v>
      </c>
      <c r="AO11" s="95">
        <f t="shared" si="15"/>
        <v>228175.23721774042</v>
      </c>
      <c r="AP11" s="96"/>
      <c r="AQ11" s="97">
        <f t="shared" si="7"/>
        <v>1245.9035692771083</v>
      </c>
      <c r="AR11" s="98">
        <f t="shared" si="8"/>
        <v>123.09</v>
      </c>
      <c r="AS11" s="98">
        <f t="shared" si="9"/>
        <v>466.34206325301204</v>
      </c>
      <c r="AT11" s="98">
        <f t="shared" si="10"/>
        <v>106.08367407407404</v>
      </c>
      <c r="AU11" s="98">
        <f t="shared" si="16"/>
        <v>152.85925925925926</v>
      </c>
      <c r="AV11" s="98">
        <f t="array" ref="AV11">_xlfn.IFS(U11=0,AO11,U11&lt;0,AO11/-U11,U11&gt;0,AO11/U11)</f>
        <v>343.63740544840425</v>
      </c>
      <c r="AW11" s="234">
        <f t="shared" ref="AW11:AW28" si="23">IF(AQ11=0,0,AV11/AQ11)</f>
        <v>0.27581380607793565</v>
      </c>
      <c r="AX11" s="234">
        <f t="shared" ref="AX11:AX28" si="24">IF(AR11=0,0,AV11/AR11)</f>
        <v>2.7917572950556848</v>
      </c>
      <c r="AY11" s="99"/>
      <c r="AZ11" s="94">
        <f t="shared" si="13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1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93">
        <f>ДЕКАБРЬ!N12+ЯНВАРЬ!N12+ФЕВРАЛЬ!N12+МАРТ!N12</f>
        <v>1785</v>
      </c>
      <c r="O12" s="89"/>
      <c r="P12" s="89"/>
      <c r="Q12" s="233"/>
      <c r="R12" s="92"/>
      <c r="S12" s="93">
        <f>ДЕКАБРЬ!S12+ЯНВАРЬ!S12+ФЕВРАЛЬ!S12+МАРТ!S12</f>
        <v>913</v>
      </c>
      <c r="T12" s="93">
        <f>ДЕКАБРЬ!T12+ЯНВАРЬ!T12+ФЕВРАЛЬ!T12+МАРТ!T12</f>
        <v>-17</v>
      </c>
      <c r="U12" s="92">
        <f t="shared" si="1"/>
        <v>896</v>
      </c>
      <c r="V12" s="93">
        <f>ДЕКАБРЬ!V12+ЯНВАРЬ!V12+ФЕВРАЛЬ!V12+МАРТ!V12</f>
        <v>762163.94</v>
      </c>
      <c r="W12" s="93">
        <f>ДЕКАБРЬ!W12+ЯНВАРЬ!W12+ФЕВРАЛЬ!W12+МАРТ!W12</f>
        <v>-13638</v>
      </c>
      <c r="X12" s="92">
        <f t="shared" si="2"/>
        <v>748525.94</v>
      </c>
      <c r="Y12" s="93">
        <f>ДЕКАБРЬ!Y12+ЯНВАРЬ!Y12+ФЕВРАЛЬ!Y12+МАРТ!Y12</f>
        <v>1173447.71</v>
      </c>
      <c r="Z12" s="93">
        <f>ДЕКАБРЬ!Z12+ЯНВАРЬ!Z12+ФЕВРАЛЬ!Z12+МАРТ!Z12</f>
        <v>-21133.31</v>
      </c>
      <c r="AA12" s="232">
        <f t="shared" si="3"/>
        <v>1152314.3999999999</v>
      </c>
      <c r="AB12" s="92">
        <f t="shared" si="14"/>
        <v>0</v>
      </c>
      <c r="AC12" s="234">
        <f t="shared" si="4"/>
        <v>3.9657706952102224E-2</v>
      </c>
      <c r="AD12" s="92">
        <f t="shared" si="5"/>
        <v>105047.03999999999</v>
      </c>
      <c r="AE12" s="93">
        <f>ДЕКАБРЬ!AE12+ЯНВАРЬ!AE12+ФЕВРАЛЬ!AE12+МАРТ!AE12</f>
        <v>432069.52000000008</v>
      </c>
      <c r="AF12" s="234">
        <f t="shared" si="6"/>
        <v>0.37495801493064751</v>
      </c>
      <c r="AG12" s="93">
        <f>ДЕКАБРЬ!AG12+ЯНВАРЬ!AG12+ФЕВРАЛЬ!AG12+МАРТ!AG12</f>
        <v>114661.64999999998</v>
      </c>
      <c r="AH12" s="93">
        <f>ДЕКАБРЬ!AH12+ЯНВАРЬ!AH12+ФЕВРАЛЬ!AH12+МАРТ!AH12</f>
        <v>47326</v>
      </c>
      <c r="AI12" s="93">
        <f>ДЕКАБРЬ!AI12+ЯНВАРЬ!AI12+ФЕВРАЛЬ!AI12+МАРТ!AI12</f>
        <v>97805</v>
      </c>
      <c r="AJ12" s="93">
        <f>ДЕКАБРЬ!AJ12+ЯНВАРЬ!AJ12+ФЕВРАЛЬ!AJ12+МАРТ!AJ12</f>
        <v>0</v>
      </c>
      <c r="AK12" s="93"/>
      <c r="AL12" s="93">
        <f>ДЕКАБРЬ!AL12+ЯНВАРЬ!AL12+ФЕВРАЛЬ!AL12+МАРТ!AL12</f>
        <v>3366.6738414743095</v>
      </c>
      <c r="AM12" s="93">
        <f>ДЕКАБРЬ!AM12+ЯНВАРЬ!AM12+ФЕВРАЛЬ!AM12+МАРТ!AM12</f>
        <v>80</v>
      </c>
      <c r="AN12" s="93">
        <f>ДЕКАБРЬ!AN12+ЯНВАРЬ!AN12+ФЕВРАЛЬ!AN12+МАРТ!AN12</f>
        <v>42028.581510256765</v>
      </c>
      <c r="AO12" s="95">
        <f t="shared" si="15"/>
        <v>309929.93464826886</v>
      </c>
      <c r="AP12" s="96"/>
      <c r="AQ12" s="97">
        <f t="shared" si="7"/>
        <v>1286.0651785714285</v>
      </c>
      <c r="AR12" s="98">
        <f t="shared" si="8"/>
        <v>117.24</v>
      </c>
      <c r="AS12" s="98">
        <f t="shared" si="9"/>
        <v>482.22044642857151</v>
      </c>
      <c r="AT12" s="98">
        <f t="shared" si="10"/>
        <v>125.58778751369111</v>
      </c>
      <c r="AU12" s="98">
        <f t="shared" si="16"/>
        <v>158.96056955093098</v>
      </c>
      <c r="AV12" s="98">
        <f t="array" ref="AV12">_xlfn.IFS(U12=0,AO12,U12&lt;0,AO12/-U12,U12&gt;0,AO12/U12)</f>
        <v>345.90394491994294</v>
      </c>
      <c r="AW12" s="234">
        <f t="shared" si="23"/>
        <v>0.26896299711976945</v>
      </c>
      <c r="AX12" s="234">
        <f t="shared" si="24"/>
        <v>2.9503918877511341</v>
      </c>
      <c r="AY12" s="99"/>
      <c r="AZ12" s="94">
        <f t="shared" si="13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1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5">E13*K13</f>
        <v>0</v>
      </c>
      <c r="M13" s="89"/>
      <c r="N13" s="93">
        <f>ДЕКАБРЬ!N13+ЯНВАРЬ!N13+ФЕВРАЛЬ!N13+МАРТ!N13</f>
        <v>2730</v>
      </c>
      <c r="O13" s="89"/>
      <c r="P13" s="89"/>
      <c r="Q13" s="233"/>
      <c r="R13" s="92"/>
      <c r="S13" s="93">
        <f>ДЕКАБРЬ!S13+ЯНВАРЬ!S13+ФЕВРАЛЬ!S13+МАРТ!S13</f>
        <v>1317</v>
      </c>
      <c r="T13" s="93">
        <f>ДЕКАБРЬ!T13+ЯНВАРЬ!T13+ФЕВРАЛЬ!T13+МАРТ!T13</f>
        <v>-24</v>
      </c>
      <c r="U13" s="92">
        <f t="shared" si="1"/>
        <v>1293</v>
      </c>
      <c r="V13" s="93">
        <f>ДЕКАБРЬ!V13+ЯНВАРЬ!V13+ФЕВРАЛЬ!V13+МАРТ!V13</f>
        <v>1344140.92</v>
      </c>
      <c r="W13" s="93">
        <f>ДЕКАБРЬ!W13+ЯНВАРЬ!W13+ФЕВРАЛЬ!W13+МАРТ!W13</f>
        <v>-24617</v>
      </c>
      <c r="X13" s="92">
        <f t="shared" si="2"/>
        <v>1319523.92</v>
      </c>
      <c r="Y13" s="93">
        <f>ДЕКАБРЬ!Y13+ЯНВАРЬ!Y13+ФЕВРАЛЬ!Y13+МАРТ!Y13</f>
        <v>2030945.2499999998</v>
      </c>
      <c r="Z13" s="93">
        <f>ДЕКАБРЬ!Z13+ЯНВАРЬ!Z13+ФЕВРАЛЬ!Z13+МАРТ!Z13</f>
        <v>-36765.909999999996</v>
      </c>
      <c r="AA13" s="232">
        <f t="shared" si="3"/>
        <v>1994179.3399999999</v>
      </c>
      <c r="AB13" s="92">
        <f t="shared" si="14"/>
        <v>0</v>
      </c>
      <c r="AC13" s="234">
        <f t="shared" si="4"/>
        <v>6.8631078354706526E-2</v>
      </c>
      <c r="AD13" s="92">
        <f t="shared" si="5"/>
        <v>159155.37</v>
      </c>
      <c r="AE13" s="93">
        <f>ДЕКАБРЬ!AE13+ЯНВАРЬ!AE13+ФЕВРАЛЬ!AE13+МАРТ!AE13</f>
        <v>749844.30999999959</v>
      </c>
      <c r="AF13" s="234">
        <f t="shared" si="6"/>
        <v>0.37601648706279328</v>
      </c>
      <c r="AG13" s="93">
        <f>ДЕКАБРЬ!AG13+ЯНВАРЬ!AG13+ФЕВРАЛЬ!AG13+МАРТ!AG13</f>
        <v>178705.56000000011</v>
      </c>
      <c r="AH13" s="93">
        <f>ДЕКАБРЬ!AH13+ЯНВАРЬ!AH13+ФЕВРАЛЬ!AH13+МАРТ!AH13</f>
        <v>96500</v>
      </c>
      <c r="AI13" s="93">
        <f>ДЕКАБРЬ!AI13+ЯНВАРЬ!AI13+ФЕВРАЛЬ!AI13+МАРТ!AI13</f>
        <v>229851</v>
      </c>
      <c r="AJ13" s="93">
        <f>ДЕКАБРЬ!AJ13+ЯНВАРЬ!AJ13+ФЕВРАЛЬ!AJ13+МАРТ!AJ13</f>
        <v>0</v>
      </c>
      <c r="AK13" s="93"/>
      <c r="AL13" s="93">
        <f>ДЕКАБРЬ!AL13+ЯНВАРЬ!AL13+ФЕВРАЛЬ!AL13+МАРТ!AL13</f>
        <v>3775.9797766452775</v>
      </c>
      <c r="AM13" s="93">
        <f>ДЕКАБРЬ!AM13+ЯНВАРЬ!AM13+ФЕВРАЛЬ!AM13+МАРТ!AM13</f>
        <v>1392.11</v>
      </c>
      <c r="AN13" s="93">
        <f>ДЕКАБРЬ!AN13+ЯНВАРЬ!AN13+ФЕВРАЛЬ!AN13+МАРТ!AN13</f>
        <v>73779.104517305153</v>
      </c>
      <c r="AO13" s="95">
        <f t="shared" si="15"/>
        <v>501175.90570604964</v>
      </c>
      <c r="AP13" s="96"/>
      <c r="AQ13" s="97">
        <f t="shared" si="7"/>
        <v>1542.2887393658159</v>
      </c>
      <c r="AR13" s="98">
        <f t="shared" si="8"/>
        <v>123.09</v>
      </c>
      <c r="AS13" s="98">
        <f t="shared" si="9"/>
        <v>579.92599381283799</v>
      </c>
      <c r="AT13" s="98">
        <f t="shared" si="10"/>
        <v>135.69138952164019</v>
      </c>
      <c r="AU13" s="98">
        <f t="shared" si="16"/>
        <v>247.79878511769172</v>
      </c>
      <c r="AV13" s="98">
        <f t="array" ref="AV13">_xlfn.IFS(U13=0,AO13,U13&lt;0,AO13/-U13,U13&gt;0,AO13/U13)</f>
        <v>387.60704230939649</v>
      </c>
      <c r="AW13" s="234">
        <f t="shared" si="23"/>
        <v>0.25131937517016384</v>
      </c>
      <c r="AX13" s="234">
        <f t="shared" si="24"/>
        <v>3.1489726404208018</v>
      </c>
      <c r="AY13" s="99"/>
      <c r="AZ13" s="94">
        <f t="shared" si="13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1"/>
        <v>0</v>
      </c>
      <c r="F14" s="93"/>
      <c r="G14" s="93"/>
      <c r="H14" s="93"/>
      <c r="I14" s="93"/>
      <c r="J14" s="93"/>
      <c r="K14" s="92">
        <v>123.09</v>
      </c>
      <c r="L14" s="92">
        <f t="shared" si="25"/>
        <v>0</v>
      </c>
      <c r="M14" s="89"/>
      <c r="N14" s="93">
        <f>ДЕКАБРЬ!N14+ЯНВАРЬ!N14+ФЕВРАЛЬ!N14+МАРТ!N14</f>
        <v>755</v>
      </c>
      <c r="O14" s="89"/>
      <c r="P14" s="89"/>
      <c r="Q14" s="233"/>
      <c r="R14" s="92"/>
      <c r="S14" s="93">
        <f>ДЕКАБРЬ!S14+ЯНВАРЬ!S14+ФЕВРАЛЬ!S14+МАРТ!S14</f>
        <v>435</v>
      </c>
      <c r="T14" s="93">
        <f>ДЕКАБРЬ!T14+ЯНВАРЬ!T14+ФЕВРАЛЬ!T14+МАРТ!T14</f>
        <v>-5</v>
      </c>
      <c r="U14" s="92">
        <f t="shared" si="1"/>
        <v>430</v>
      </c>
      <c r="V14" s="93">
        <f>ДЕКАБРЬ!V14+ЯНВАРЬ!V14+ФЕВРАЛЬ!V14+МАРТ!V14</f>
        <v>334807.80000000005</v>
      </c>
      <c r="W14" s="93">
        <f>ДЕКАБРЬ!W14+ЯНВАРЬ!W14+ФЕВРАЛЬ!W14+МАРТ!W14</f>
        <v>-4017</v>
      </c>
      <c r="X14" s="92">
        <f t="shared" si="2"/>
        <v>330790.80000000005</v>
      </c>
      <c r="Y14" s="93">
        <f>ДЕКАБРЬ!Y14+ЯНВАРЬ!Y14+ФЕВРАЛЬ!Y14+МАРТ!Y14</f>
        <v>513993.46</v>
      </c>
      <c r="Z14" s="93">
        <f>ДЕКАБРЬ!Z14+ЯНВАРЬ!Z14+ФЕВРАЛЬ!Z14+МАРТ!Z14</f>
        <v>-6364.28</v>
      </c>
      <c r="AA14" s="232">
        <f t="shared" si="3"/>
        <v>507629.18</v>
      </c>
      <c r="AB14" s="92">
        <f t="shared" si="14"/>
        <v>0</v>
      </c>
      <c r="AC14" s="234">
        <f t="shared" si="4"/>
        <v>1.7470413682911499E-2</v>
      </c>
      <c r="AD14" s="92">
        <f t="shared" si="5"/>
        <v>52928.700000000004</v>
      </c>
      <c r="AE14" s="93">
        <f>ДЕКАБРЬ!AE14+ЯНВАРЬ!AE14+ФЕВРАЛЬ!AE14+МАРТ!AE14</f>
        <v>191113.66</v>
      </c>
      <c r="AF14" s="234">
        <f t="shared" si="6"/>
        <v>0.37648280975494752</v>
      </c>
      <c r="AG14" s="93">
        <f>ДЕКАБРЬ!AG14+ЯНВАРЬ!AG14+ФЕВРАЛЬ!AG14+МАРТ!AG14</f>
        <v>45346.469999999994</v>
      </c>
      <c r="AH14" s="93">
        <f>ДЕКАБРЬ!AH14+ЯНВАРЬ!AH14+ФЕВРАЛЬ!AH14+МАРТ!AH14</f>
        <v>22162</v>
      </c>
      <c r="AI14" s="93">
        <f>ДЕКАБРЬ!AI14+ЯНВАРЬ!AI14+ФЕВРАЛЬ!AI14+МАРТ!AI14</f>
        <v>42984</v>
      </c>
      <c r="AJ14" s="93">
        <f>ДЕКАБРЬ!AJ14+ЯНВАРЬ!AJ14+ФЕВРАЛЬ!AJ14+МАРТ!AJ14</f>
        <v>0</v>
      </c>
      <c r="AK14" s="93"/>
      <c r="AL14" s="93">
        <f>ДЕКАБРЬ!AL14+ЯНВАРЬ!AL14+ФЕВРАЛЬ!AL14+МАРТ!AL14</f>
        <v>3002.3280039404772</v>
      </c>
      <c r="AM14" s="93">
        <f>ДЕКАБРЬ!AM14+ЯНВАРЬ!AM14+ФЕВРАЛЬ!AM14+МАРТ!AM14</f>
        <v>40</v>
      </c>
      <c r="AN14" s="93">
        <f>ДЕКАБРЬ!AN14+ЯНВАРЬ!AN14+ФЕВРАЛЬ!AN14+МАРТ!AN14</f>
        <v>18512.506265927925</v>
      </c>
      <c r="AO14" s="95">
        <f t="shared" si="15"/>
        <v>131539.51573013156</v>
      </c>
      <c r="AP14" s="96"/>
      <c r="AQ14" s="97">
        <f t="shared" si="7"/>
        <v>1180.532976744186</v>
      </c>
      <c r="AR14" s="98">
        <f t="shared" si="8"/>
        <v>123.09</v>
      </c>
      <c r="AS14" s="98">
        <f t="shared" si="9"/>
        <v>444.45037209302325</v>
      </c>
      <c r="AT14" s="98">
        <f t="shared" si="10"/>
        <v>104.24475862068964</v>
      </c>
      <c r="AU14" s="98">
        <f t="shared" si="16"/>
        <v>149.76091954022988</v>
      </c>
      <c r="AV14" s="98">
        <f t="array" ref="AV14">_xlfn.IFS(U14=0,AO14,U14&lt;0,AO14/-U14,U14&gt;0,AO14/U14)</f>
        <v>305.9058505351897</v>
      </c>
      <c r="AW14" s="234">
        <f t="shared" si="23"/>
        <v>0.25912520578531667</v>
      </c>
      <c r="AX14" s="234">
        <f t="shared" si="24"/>
        <v>2.4852209808691987</v>
      </c>
      <c r="AY14" s="99"/>
      <c r="AZ14" s="94">
        <f t="shared" si="13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1"/>
        <v>0</v>
      </c>
      <c r="F15" s="93"/>
      <c r="G15" s="93"/>
      <c r="H15" s="93"/>
      <c r="I15" s="93"/>
      <c r="J15" s="93"/>
      <c r="K15" s="92">
        <v>123.09</v>
      </c>
      <c r="L15" s="92">
        <f t="shared" si="25"/>
        <v>0</v>
      </c>
      <c r="M15" s="89"/>
      <c r="N15" s="93">
        <f>ДЕКАБРЬ!N15+ЯНВАРЬ!N15+ФЕВРАЛЬ!N15+МАРТ!N15</f>
        <v>614</v>
      </c>
      <c r="O15" s="89"/>
      <c r="P15" s="89"/>
      <c r="Q15" s="233"/>
      <c r="R15" s="92"/>
      <c r="S15" s="93">
        <f>ДЕКАБРЬ!S15+ЯНВАРЬ!S15+ФЕВРАЛЬ!S15+МАРТ!S15</f>
        <v>361</v>
      </c>
      <c r="T15" s="93">
        <f>ДЕКАБРЬ!T15+ЯНВАРЬ!T15+ФЕВРАЛЬ!T15+МАРТ!T15</f>
        <v>-5</v>
      </c>
      <c r="U15" s="92">
        <f t="shared" si="1"/>
        <v>356</v>
      </c>
      <c r="V15" s="93">
        <f>ДЕКАБРЬ!V15+ЯНВАРЬ!V15+ФЕВРАЛЬ!V15+МАРТ!V15</f>
        <v>274892.69</v>
      </c>
      <c r="W15" s="93">
        <f>ДЕКАБРЬ!W15+ЯНВАРЬ!W15+ФЕВРАЛЬ!W15+МАРТ!W15</f>
        <v>-4471</v>
      </c>
      <c r="X15" s="92">
        <f t="shared" si="2"/>
        <v>270421.69</v>
      </c>
      <c r="Y15" s="93">
        <f>ДЕКАБРЬ!Y15+ЯНВАРЬ!Y15+ФЕВРАЛЬ!Y15+МАРТ!Y15</f>
        <v>421369.52999999997</v>
      </c>
      <c r="Z15" s="93">
        <f>ДЕКАБРЬ!Z15+ЯНВАРЬ!Z15+ФЕВРАЛЬ!Z15+МАРТ!Z15</f>
        <v>-6761</v>
      </c>
      <c r="AA15" s="232">
        <f t="shared" si="3"/>
        <v>414608.52999999997</v>
      </c>
      <c r="AB15" s="92">
        <f t="shared" si="14"/>
        <v>0</v>
      </c>
      <c r="AC15" s="234">
        <f t="shared" si="4"/>
        <v>1.4269042878039088E-2</v>
      </c>
      <c r="AD15" s="92">
        <f t="shared" si="5"/>
        <v>43820.04</v>
      </c>
      <c r="AE15" s="93">
        <f>ДЕКАБРЬ!AE15+ЯНВАРЬ!AE15+ФЕВРАЛЬ!AE15+МАРТ!AE15</f>
        <v>155690.99</v>
      </c>
      <c r="AF15" s="234">
        <f t="shared" si="6"/>
        <v>0.37551323413437732</v>
      </c>
      <c r="AG15" s="93">
        <f>ДЕКАБРЬ!AG15+ЯНВАРЬ!AG15+ФЕВРАЛЬ!AG15+МАРТ!AG15</f>
        <v>38418.649999999994</v>
      </c>
      <c r="AH15" s="93">
        <f>ДЕКАБРЬ!AH15+ЯНВАРЬ!AH15+ФЕВРАЛЬ!AH15+МАРТ!AH15</f>
        <v>14135</v>
      </c>
      <c r="AI15" s="93">
        <f>ДЕКАБРЬ!AI15+ЯНВАРЬ!AI15+ФЕВРАЛЬ!AI15+МАРТ!AI15</f>
        <v>29590</v>
      </c>
      <c r="AJ15" s="93">
        <f>ДЕКАБРЬ!AJ15+ЯНВАРЬ!AJ15+ФЕВРАЛЬ!AJ15+МАРТ!AJ15</f>
        <v>0</v>
      </c>
      <c r="AK15" s="93"/>
      <c r="AL15" s="93">
        <f>ДЕКАБРЬ!AL15+ЯНВАРЬ!AL15+ФЕВРАЛЬ!AL15+МАРТ!AL15</f>
        <v>3752.1961044053769</v>
      </c>
      <c r="AM15" s="93">
        <f>ДЕКАБРЬ!AM15+ЯНВАРЬ!AM15+ФЕВРАЛЬ!AM15+МАРТ!AM15</f>
        <v>-1523</v>
      </c>
      <c r="AN15" s="93">
        <f>ДЕКАБРЬ!AN15+ЯНВАРЬ!AN15+ФЕВРАЛЬ!AN15+МАРТ!AN15</f>
        <v>15204.365809960836</v>
      </c>
      <c r="AO15" s="95">
        <f t="shared" si="15"/>
        <v>115520.2880856338</v>
      </c>
      <c r="AP15" s="96"/>
      <c r="AQ15" s="97">
        <f t="shared" si="7"/>
        <v>1164.630702247191</v>
      </c>
      <c r="AR15" s="98">
        <f t="shared" si="8"/>
        <v>123.09</v>
      </c>
      <c r="AS15" s="98">
        <f t="shared" si="9"/>
        <v>437.33424157303369</v>
      </c>
      <c r="AT15" s="98">
        <f t="shared" si="10"/>
        <v>106.42285318559556</v>
      </c>
      <c r="AU15" s="98">
        <f t="shared" si="16"/>
        <v>121.1218836565097</v>
      </c>
      <c r="AV15" s="98">
        <f t="array" ref="AV15">_xlfn.IFS(U15=0,AO15,U15&lt;0,AO15/-U15,U15&gt;0,AO15/U15)</f>
        <v>324.49519125178034</v>
      </c>
      <c r="AW15" s="234">
        <f t="shared" si="23"/>
        <v>0.27862496723266594</v>
      </c>
      <c r="AX15" s="234">
        <f t="shared" si="24"/>
        <v>2.636243328067108</v>
      </c>
      <c r="AY15" s="99"/>
      <c r="AZ15" s="94">
        <f t="shared" si="13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1"/>
        <v>0</v>
      </c>
      <c r="F16" s="93"/>
      <c r="G16" s="93"/>
      <c r="H16" s="93"/>
      <c r="I16" s="93"/>
      <c r="J16" s="93"/>
      <c r="K16" s="92">
        <v>117.24</v>
      </c>
      <c r="L16" s="92">
        <f t="shared" si="25"/>
        <v>0</v>
      </c>
      <c r="M16" s="89"/>
      <c r="N16" s="93">
        <f>ДЕКАБРЬ!N16+ЯНВАРЬ!N16+ФЕВРАЛЬ!N16+МАРТ!N16</f>
        <v>2060</v>
      </c>
      <c r="O16" s="89"/>
      <c r="P16" s="89"/>
      <c r="Q16" s="233"/>
      <c r="R16" s="92"/>
      <c r="S16" s="93">
        <f>ДЕКАБРЬ!S16+ЯНВАРЬ!S16+ФЕВРАЛЬ!S16+МАРТ!S16</f>
        <v>1197</v>
      </c>
      <c r="T16" s="93">
        <f>ДЕКАБРЬ!T16+ЯНВАРЬ!T16+ФЕВРАЛЬ!T16+МАРТ!T16</f>
        <v>-13</v>
      </c>
      <c r="U16" s="92">
        <f t="shared" si="1"/>
        <v>1184</v>
      </c>
      <c r="V16" s="93">
        <f>ДЕКАБРЬ!V16+ЯНВАРЬ!V16+ФЕВРАЛЬ!V16+МАРТ!V16</f>
        <v>991373.38000000012</v>
      </c>
      <c r="W16" s="93">
        <f>ДЕКАБРЬ!W16+ЯНВАРЬ!W16+ФЕВРАЛЬ!W16+МАРТ!W16</f>
        <v>-10353</v>
      </c>
      <c r="X16" s="92">
        <f t="shared" si="2"/>
        <v>981020.38000000012</v>
      </c>
      <c r="Y16" s="93">
        <f>ДЕКАБРЬ!Y16+ЯНВАРЬ!Y16+ФЕВРАЛЬ!Y16+МАРТ!Y16</f>
        <v>1500642.5399999996</v>
      </c>
      <c r="Z16" s="93">
        <f>ДЕКАБРЬ!Z16+ЯНВАРЬ!Z16+ФЕВРАЛЬ!Z16+МАРТ!Z16</f>
        <v>-15521</v>
      </c>
      <c r="AA16" s="232">
        <f t="shared" si="3"/>
        <v>1485121.5399999996</v>
      </c>
      <c r="AB16" s="92">
        <f t="shared" si="14"/>
        <v>0</v>
      </c>
      <c r="AC16" s="234">
        <f t="shared" si="4"/>
        <v>5.1111497714143597E-2</v>
      </c>
      <c r="AD16" s="92">
        <f t="shared" si="5"/>
        <v>138812.16</v>
      </c>
      <c r="AE16" s="93">
        <f>ДЕКАБРЬ!AE16+ЯНВАРЬ!AE16+ФЕВРАЛЬ!AE16+МАРТ!AE16</f>
        <v>556928.16999999923</v>
      </c>
      <c r="AF16" s="234">
        <f t="shared" si="6"/>
        <v>0.37500511237618933</v>
      </c>
      <c r="AG16" s="93">
        <f>ДЕКАБРЬ!AG16+ЯНВАРЬ!AG16+ФЕВРАЛЬ!AG16+МАРТ!AG16</f>
        <v>122056.28999999996</v>
      </c>
      <c r="AH16" s="93">
        <f>ДЕКАБРЬ!AH16+ЯНВАРЬ!AH16+ФЕВРАЛЬ!AH16+МАРТ!AH16</f>
        <v>47000</v>
      </c>
      <c r="AI16" s="93">
        <f>ДЕКАБРЬ!AI16+ЯНВАРЬ!AI16+ФЕВРАЛЬ!AI16+МАРТ!AI16</f>
        <v>125129</v>
      </c>
      <c r="AJ16" s="93">
        <f>ДЕКАБРЬ!AJ16+ЯНВАРЬ!AJ16+ФЕВРАЛЬ!AJ16+МАРТ!AJ16</f>
        <v>0</v>
      </c>
      <c r="AK16" s="93"/>
      <c r="AL16" s="93">
        <f>ДЕКАБРЬ!AL16+ЯНВАРЬ!AL16+ФЕВРАЛЬ!AL16+МАРТ!AL16</f>
        <v>2364.1445977965154</v>
      </c>
      <c r="AM16" s="93">
        <f>ДЕКАБРЬ!AM16+ЯНВАРЬ!AM16+ФЕВРАЛЬ!AM16+МАРТ!AM16</f>
        <v>60</v>
      </c>
      <c r="AN16" s="93">
        <f>ДЕКАБРЬ!AN16+ЯНВАРЬ!AN16+ФЕВРАЛЬ!AN16+МАРТ!AN16</f>
        <v>54821.926188826008</v>
      </c>
      <c r="AO16" s="95">
        <f t="shared" si="15"/>
        <v>437949.84921337804</v>
      </c>
      <c r="AP16" s="96"/>
      <c r="AQ16" s="97">
        <f t="shared" si="7"/>
        <v>1254.3256249999997</v>
      </c>
      <c r="AR16" s="98">
        <f t="shared" si="8"/>
        <v>117.24</v>
      </c>
      <c r="AS16" s="98">
        <f t="shared" si="9"/>
        <v>470.37852195945879</v>
      </c>
      <c r="AT16" s="98">
        <f t="shared" si="10"/>
        <v>101.96849624060147</v>
      </c>
      <c r="AU16" s="98">
        <f t="shared" si="16"/>
        <v>143.80033416875523</v>
      </c>
      <c r="AV16" s="98">
        <f t="array" ref="AV16">_xlfn.IFS(U16=0,AO16,U16&lt;0,AO16/-U16,U16&gt;0,AO16/U16)</f>
        <v>369.89007534913685</v>
      </c>
      <c r="AW16" s="234">
        <f t="shared" si="23"/>
        <v>0.2948915879392458</v>
      </c>
      <c r="AX16" s="234">
        <f t="shared" si="24"/>
        <v>3.1549818777647292</v>
      </c>
      <c r="AY16" s="99"/>
      <c r="AZ16" s="94">
        <f t="shared" si="13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1"/>
        <v>0</v>
      </c>
      <c r="F17" s="93"/>
      <c r="G17" s="93"/>
      <c r="H17" s="93"/>
      <c r="I17" s="93"/>
      <c r="J17" s="93"/>
      <c r="K17" s="93">
        <v>123.09</v>
      </c>
      <c r="L17" s="92">
        <f t="shared" si="25"/>
        <v>0</v>
      </c>
      <c r="M17" s="89"/>
      <c r="N17" s="93">
        <f>ДЕКАБРЬ!N17+ЯНВАРЬ!N17+ФЕВРАЛЬ!N17+МАРТ!N17</f>
        <v>541</v>
      </c>
      <c r="O17" s="89"/>
      <c r="P17" s="89"/>
      <c r="Q17" s="233"/>
      <c r="R17" s="92"/>
      <c r="S17" s="93">
        <f>ДЕКАБРЬ!S17+ЯНВАРЬ!S17+ФЕВРАЛЬ!S17+МАРТ!S17</f>
        <v>244</v>
      </c>
      <c r="T17" s="93">
        <f>ДЕКАБРЬ!T17+ЯНВАРЬ!T17+ФЕВРАЛЬ!T17+МАРТ!T17</f>
        <v>-12</v>
      </c>
      <c r="U17" s="92">
        <f t="shared" si="1"/>
        <v>232</v>
      </c>
      <c r="V17" s="93">
        <f>ДЕКАБРЬ!V17+ЯНВАРЬ!V17+ФЕВРАЛЬ!V17+МАРТ!V17</f>
        <v>220587.91999999998</v>
      </c>
      <c r="W17" s="93">
        <f>ДЕКАБРЬ!W17+ЯНВАРЬ!W17+ФЕВРАЛЬ!W17+МАРТ!W17</f>
        <v>-10763</v>
      </c>
      <c r="X17" s="92">
        <f t="shared" si="2"/>
        <v>209824.91999999998</v>
      </c>
      <c r="Y17" s="93">
        <f>ДЕКАБРЬ!Y17+ЯНВАРЬ!Y17+ФЕВРАЛЬ!Y17+МАРТ!Y17</f>
        <v>331244.65999999997</v>
      </c>
      <c r="Z17" s="93">
        <f>ДЕКАБРЬ!Z17+ЯНВАРЬ!Z17+ФЕВРАЛЬ!Z17+МАРТ!Z17</f>
        <v>-16219.84</v>
      </c>
      <c r="AA17" s="232">
        <f t="shared" si="3"/>
        <v>315024.81999999995</v>
      </c>
      <c r="AB17" s="92">
        <f t="shared" si="14"/>
        <v>0</v>
      </c>
      <c r="AC17" s="234">
        <f t="shared" si="4"/>
        <v>1.084179976766649E-2</v>
      </c>
      <c r="AD17" s="92">
        <f t="shared" si="5"/>
        <v>28556.880000000001</v>
      </c>
      <c r="AE17" s="93">
        <f>ДЕКАБРЬ!AE17+ЯНВАРЬ!AE17+ФЕВРАЛЬ!AE17+МАРТ!AE17</f>
        <v>118023.65999999999</v>
      </c>
      <c r="AF17" s="234">
        <f t="shared" si="6"/>
        <v>0.37464876577026535</v>
      </c>
      <c r="AG17" s="93">
        <f>ДЕКАБРЬ!AG17+ЯНВАРЬ!AG17+ФЕВРАЛЬ!AG17+МАРТ!AG17</f>
        <v>39280.800000000003</v>
      </c>
      <c r="AH17" s="93">
        <f>ДЕКАБРЬ!AH17+ЯНВАРЬ!AH17+ФЕВРАЛЬ!AH17+МАРТ!AH17</f>
        <v>14000</v>
      </c>
      <c r="AI17" s="93">
        <f>ДЕКАБРЬ!AI17+ЯНВАРЬ!AI17+ФЕВРАЛЬ!AI17+МАРТ!AI17</f>
        <v>33977</v>
      </c>
      <c r="AJ17" s="93">
        <f>ДЕКАБРЬ!AJ17+ЯНВАРЬ!AJ17+ФЕВРАЛЬ!AJ17+МАРТ!AJ17</f>
        <v>0</v>
      </c>
      <c r="AK17" s="93"/>
      <c r="AL17" s="93">
        <f>ДЕКАБРЬ!AL17+ЯНВАРЬ!AL17+ФЕВРАЛЬ!AL17+МАРТ!AL17</f>
        <v>941.04754033115182</v>
      </c>
      <c r="AM17" s="93">
        <f>ДЕКАБРЬ!AM17+ЯНВАРЬ!AM17+ФЕВРАЛЬ!AM17+МАРТ!AM17</f>
        <v>0</v>
      </c>
      <c r="AN17" s="93">
        <f>ДЕКАБРЬ!AN17+ЯНВАРЬ!AN17+ФЕВРАЛЬ!AN17+МАРТ!AN17</f>
        <v>11705.103308832091</v>
      </c>
      <c r="AO17" s="95">
        <f t="shared" si="15"/>
        <v>68540.329150836711</v>
      </c>
      <c r="AP17" s="96"/>
      <c r="AQ17" s="97">
        <f t="shared" si="7"/>
        <v>1357.8656034482756</v>
      </c>
      <c r="AR17" s="98">
        <f t="shared" si="8"/>
        <v>123.09</v>
      </c>
      <c r="AS17" s="98">
        <f t="shared" si="9"/>
        <v>508.72267241379308</v>
      </c>
      <c r="AT17" s="98">
        <f t="shared" si="10"/>
        <v>160.98688524590165</v>
      </c>
      <c r="AU17" s="98">
        <f t="shared" si="16"/>
        <v>196.62704918032787</v>
      </c>
      <c r="AV17" s="98">
        <f t="array" ref="AV17">_xlfn.IFS(U17=0,AO17,U17&lt;0,AO17/-U17,U17&gt;0,AO17/U17)</f>
        <v>295.43245323636512</v>
      </c>
      <c r="AW17" s="234">
        <f t="shared" si="23"/>
        <v>0.21757120328117868</v>
      </c>
      <c r="AX17" s="234">
        <f t="shared" si="24"/>
        <v>2.4001336683432051</v>
      </c>
      <c r="AY17" s="99"/>
      <c r="AZ17" s="94">
        <f t="shared" si="13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1"/>
        <v>0</v>
      </c>
      <c r="F18" s="93"/>
      <c r="G18" s="93"/>
      <c r="H18" s="93"/>
      <c r="I18" s="93"/>
      <c r="J18" s="93"/>
      <c r="K18" s="93">
        <v>123.09</v>
      </c>
      <c r="L18" s="92">
        <f t="shared" si="25"/>
        <v>0</v>
      </c>
      <c r="M18" s="89"/>
      <c r="N18" s="93">
        <f>ДЕКАБРЬ!N18+ЯНВАРЬ!N18+ФЕВРАЛЬ!N18+МАРТ!N18</f>
        <v>1081</v>
      </c>
      <c r="O18" s="89"/>
      <c r="P18" s="89"/>
      <c r="Q18" s="233"/>
      <c r="R18" s="92"/>
      <c r="S18" s="93">
        <f>ДЕКАБРЬ!S18+ЯНВАРЬ!S18+ФЕВРАЛЬ!S18+МАРТ!S18</f>
        <v>483</v>
      </c>
      <c r="T18" s="93">
        <f>ДЕКАБРЬ!T18+ЯНВАРЬ!T18+ФЕВРАЛЬ!T18+МАРТ!T18</f>
        <v>-18</v>
      </c>
      <c r="U18" s="92">
        <f t="shared" si="1"/>
        <v>465</v>
      </c>
      <c r="V18" s="93">
        <f>ДЕКАБРЬ!V18+ЯНВАРЬ!V18+ФЕВРАЛЬ!V18+МАРТ!V18</f>
        <v>459097.79</v>
      </c>
      <c r="W18" s="93">
        <f>ДЕКАБРЬ!W18+ЯНВАРЬ!W18+ФЕВРАЛЬ!W18+МАРТ!W18</f>
        <v>-17518</v>
      </c>
      <c r="X18" s="92">
        <f t="shared" si="2"/>
        <v>441579.79</v>
      </c>
      <c r="Y18" s="93">
        <f>ДЕКАБРЬ!Y18+ЯНВАРЬ!Y18+ФЕВРАЛЬ!Y18+МАРТ!Y18</f>
        <v>693519.10000000009</v>
      </c>
      <c r="Z18" s="93">
        <f>ДЕКАБРЬ!Z18+ЯНВАРЬ!Z18+ФЕВРАЛЬ!Z18+МАРТ!Z18</f>
        <v>-26398.16</v>
      </c>
      <c r="AA18" s="232">
        <f t="shared" si="3"/>
        <v>667120.94000000006</v>
      </c>
      <c r="AB18" s="92">
        <f t="shared" si="14"/>
        <v>0</v>
      </c>
      <c r="AC18" s="234">
        <f t="shared" si="4"/>
        <v>2.2959434282979523E-2</v>
      </c>
      <c r="AD18" s="92">
        <f t="shared" si="5"/>
        <v>57236.85</v>
      </c>
      <c r="AE18" s="93">
        <f>ДЕКАБРЬ!AE18+ЯНВАРЬ!AE18+ФЕВРАЛЬ!AE18+МАРТ!AE18</f>
        <v>250811.30000000002</v>
      </c>
      <c r="AF18" s="234">
        <f t="shared" si="6"/>
        <v>0.37596076657404875</v>
      </c>
      <c r="AG18" s="93">
        <f>ДЕКАБРЬ!AG18+ЯНВАРЬ!AG18+ФЕВРАЛЬ!AG18+МАРТ!AG18</f>
        <v>75614.34</v>
      </c>
      <c r="AH18" s="93">
        <f>ДЕКАБРЬ!AH18+ЯНВАРЬ!AH18+ФЕВРАЛЬ!AH18+МАРТ!AH18</f>
        <v>37991</v>
      </c>
      <c r="AI18" s="93">
        <f>ДЕКАБРЬ!AI18+ЯНВАРЬ!AI18+ФЕВРАЛЬ!AI18+МАРТ!AI18</f>
        <v>59334</v>
      </c>
      <c r="AJ18" s="93">
        <f>ДЕКАБРЬ!AJ18+ЯНВАРЬ!AJ18+ФЕВРАЛЬ!AJ18+МАРТ!AJ18</f>
        <v>0</v>
      </c>
      <c r="AK18" s="93"/>
      <c r="AL18" s="93">
        <f>ДЕКАБРЬ!AL18+ЯНВАРЬ!AL18+ФЕВРАЛЬ!AL18+МАРТ!AL18</f>
        <v>1904.0685415712119</v>
      </c>
      <c r="AM18" s="93">
        <f>ДЕКАБРЬ!AM18+ЯНВАРЬ!AM18+ФЕВРАЛЬ!AM18+МАРТ!AM18</f>
        <v>40</v>
      </c>
      <c r="AN18" s="93">
        <f>ДЕКАБРЬ!AN18+ЯНВАРЬ!AN18+ФЕВРАЛЬ!AN18+МАРТ!AN18</f>
        <v>24691.489525613873</v>
      </c>
      <c r="AO18" s="95">
        <f t="shared" si="15"/>
        <v>159497.89193281499</v>
      </c>
      <c r="AP18" s="96"/>
      <c r="AQ18" s="97">
        <f t="shared" si="7"/>
        <v>1434.6686881720432</v>
      </c>
      <c r="AR18" s="98">
        <f t="shared" si="8"/>
        <v>123.09</v>
      </c>
      <c r="AS18" s="98">
        <f t="shared" si="9"/>
        <v>539.37913978494623</v>
      </c>
      <c r="AT18" s="98">
        <f t="shared" si="10"/>
        <v>156.55142857142857</v>
      </c>
      <c r="AU18" s="98">
        <f t="shared" si="16"/>
        <v>201.50103519668738</v>
      </c>
      <c r="AV18" s="98">
        <f t="array" ref="AV18">_xlfn.IFS(U18=0,AO18,U18&lt;0,AO18/-U18,U18&gt;0,AO18/U18)</f>
        <v>343.0062192103548</v>
      </c>
      <c r="AW18" s="234">
        <f t="shared" si="23"/>
        <v>0.23908392372275852</v>
      </c>
      <c r="AX18" s="234">
        <f t="shared" si="24"/>
        <v>2.7866294517048891</v>
      </c>
      <c r="AY18" s="99"/>
      <c r="AZ18" s="94">
        <f t="shared" si="13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1"/>
        <v>0</v>
      </c>
      <c r="F19" s="93"/>
      <c r="G19" s="93"/>
      <c r="H19" s="93"/>
      <c r="I19" s="93"/>
      <c r="J19" s="93"/>
      <c r="K19" s="93">
        <v>123.09</v>
      </c>
      <c r="L19" s="92">
        <f t="shared" si="25"/>
        <v>0</v>
      </c>
      <c r="M19" s="89"/>
      <c r="N19" s="93">
        <f>ДЕКАБРЬ!N19+ЯНВАРЬ!N19+ФЕВРАЛЬ!N19+МАРТ!N19</f>
        <v>0</v>
      </c>
      <c r="O19" s="89"/>
      <c r="P19" s="89"/>
      <c r="Q19" s="233"/>
      <c r="R19" s="92"/>
      <c r="S19" s="93">
        <f>ДЕКАБРЬ!S19+ЯНВАРЬ!S19+ФЕВРАЛЬ!S19+МАРТ!S19</f>
        <v>0</v>
      </c>
      <c r="T19" s="93">
        <f>ДЕКАБРЬ!T19+ЯНВАРЬ!T19+ФЕВРАЛЬ!T19+МАРТ!T19</f>
        <v>0</v>
      </c>
      <c r="U19" s="92">
        <f t="shared" si="1"/>
        <v>0</v>
      </c>
      <c r="V19" s="93">
        <f>ДЕКАБРЬ!V19+ЯНВАРЬ!V19+ФЕВРАЛЬ!V19+МАРТ!V19</f>
        <v>0</v>
      </c>
      <c r="W19" s="93">
        <f>ДЕКАБРЬ!W19+ЯНВАРЬ!W19+ФЕВРАЛЬ!W19+МАРТ!W19</f>
        <v>0</v>
      </c>
      <c r="X19" s="92">
        <f t="shared" si="2"/>
        <v>0</v>
      </c>
      <c r="Y19" s="93">
        <f>ДЕКАБРЬ!Y19+ЯНВАРЬ!Y19+ФЕВРАЛЬ!Y19+МАРТ!Y19</f>
        <v>0</v>
      </c>
      <c r="Z19" s="93">
        <f>ДЕКАБРЬ!Z19+ЯНВАРЬ!Z19+ФЕВРАЛЬ!Z19+МАРТ!Z19</f>
        <v>0</v>
      </c>
      <c r="AA19" s="232">
        <f t="shared" si="3"/>
        <v>0</v>
      </c>
      <c r="AB19" s="92">
        <f t="shared" si="14"/>
        <v>0</v>
      </c>
      <c r="AC19" s="234">
        <f t="shared" si="4"/>
        <v>0</v>
      </c>
      <c r="AD19" s="92">
        <f t="shared" si="5"/>
        <v>0</v>
      </c>
      <c r="AE19" s="93">
        <f>ДЕКАБРЬ!AE19+ЯНВАРЬ!AE19+ФЕВРАЛЬ!AE19+МАРТ!AE19</f>
        <v>0</v>
      </c>
      <c r="AF19" s="234">
        <f t="shared" si="6"/>
        <v>0</v>
      </c>
      <c r="AG19" s="93">
        <f>ДЕКАБРЬ!AG19+ЯНВАРЬ!AG19+ФЕВРАЛЬ!AG19+МАРТ!AG19</f>
        <v>0</v>
      </c>
      <c r="AH19" s="93">
        <f>ДЕКАБРЬ!AH19+ЯНВАРЬ!AH19+ФЕВРАЛЬ!AH19+МАРТ!AH19</f>
        <v>0</v>
      </c>
      <c r="AI19" s="93">
        <f>ДЕКАБРЬ!AI19+ЯНВАРЬ!AI19+ФЕВРАЛЬ!AI19+МАРТ!AI19</f>
        <v>0</v>
      </c>
      <c r="AJ19" s="93">
        <f>ДЕКАБРЬ!AJ19+ЯНВАРЬ!AJ19+ФЕВРАЛЬ!AJ19+МАРТ!AJ19</f>
        <v>0</v>
      </c>
      <c r="AK19" s="93"/>
      <c r="AL19" s="93">
        <f>ДЕКАБРЬ!AL19+ЯНВАРЬ!AL19+ФЕВРАЛЬ!AL19+МАРТ!AL19</f>
        <v>0</v>
      </c>
      <c r="AM19" s="93">
        <f>ДЕКАБРЬ!AM19+ЯНВАРЬ!AM19+ФЕВРАЛЬ!AM19+МАРТ!AM19</f>
        <v>0</v>
      </c>
      <c r="AN19" s="93">
        <f>ДЕКАБРЬ!AN19+ЯНВАРЬ!AN19+ФЕВРАЛЬ!AN19+МАРТ!AN19</f>
        <v>0</v>
      </c>
      <c r="AO19" s="95">
        <f t="shared" si="1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16"/>
        <v>0</v>
      </c>
      <c r="AV19" s="98">
        <f t="array" ref="AV19">_xlfn.IFS(U19=0,AO19,U19&lt;0,AO19/-U19,U19&gt;0,AO19/U19)</f>
        <v>0</v>
      </c>
      <c r="AW19" s="234">
        <f t="shared" si="23"/>
        <v>0</v>
      </c>
      <c r="AX19" s="234">
        <f t="shared" si="2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1"/>
        <v>0</v>
      </c>
      <c r="F20" s="93"/>
      <c r="G20" s="93"/>
      <c r="H20" s="93"/>
      <c r="I20" s="93"/>
      <c r="J20" s="93"/>
      <c r="K20" s="93">
        <v>117.24</v>
      </c>
      <c r="L20" s="92">
        <f t="shared" si="25"/>
        <v>0</v>
      </c>
      <c r="M20" s="89"/>
      <c r="N20" s="93">
        <f>ДЕКАБРЬ!N20+ЯНВАРЬ!N20+ФЕВРАЛЬ!N20+МАРТ!N20</f>
        <v>6</v>
      </c>
      <c r="O20" s="89"/>
      <c r="P20" s="89"/>
      <c r="Q20" s="233"/>
      <c r="R20" s="92"/>
      <c r="S20" s="93">
        <f>ДЕКАБРЬ!S20+ЯНВАРЬ!S20+ФЕВРАЛЬ!S20+МАРТ!S20</f>
        <v>3</v>
      </c>
      <c r="T20" s="93">
        <f>ДЕКАБРЬ!T20+ЯНВАРЬ!T20+ФЕВРАЛЬ!T20+МАРТ!T20</f>
        <v>0</v>
      </c>
      <c r="U20" s="92">
        <f t="shared" si="1"/>
        <v>3</v>
      </c>
      <c r="V20" s="93">
        <f>ДЕКАБРЬ!V20+ЯНВАРЬ!V20+ФЕВРАЛЬ!V20+МАРТ!V20</f>
        <v>2559</v>
      </c>
      <c r="W20" s="93">
        <f>ДЕКАБРЬ!W20+ЯНВАРЬ!W20+ФЕВРАЛЬ!W20+МАРТ!W20</f>
        <v>0</v>
      </c>
      <c r="X20" s="92">
        <f t="shared" si="2"/>
        <v>2559</v>
      </c>
      <c r="Y20" s="93">
        <f>ДЕКАБРЬ!Y20+ЯНВАРЬ!Y20+ФЕВРАЛЬ!Y20+МАРТ!Y20</f>
        <v>3712</v>
      </c>
      <c r="Z20" s="93">
        <f>ДЕКАБРЬ!Z20+ЯНВАРЬ!Z20+ФЕВРАЛЬ!Z20+МАРТ!Z20</f>
        <v>0</v>
      </c>
      <c r="AA20" s="232">
        <f t="shared" si="3"/>
        <v>3712</v>
      </c>
      <c r="AB20" s="92">
        <f t="shared" si="14"/>
        <v>0</v>
      </c>
      <c r="AC20" s="234">
        <f t="shared" si="4"/>
        <v>1.2775107922473545E-4</v>
      </c>
      <c r="AD20" s="92">
        <f t="shared" si="5"/>
        <v>351.71999999999997</v>
      </c>
      <c r="AE20" s="93">
        <f>ДЕКАБРЬ!AE20+ЯНВАРЬ!AE20+ФЕВРАЛЬ!AE20+МАРТ!AE20</f>
        <v>1403.03</v>
      </c>
      <c r="AF20" s="234">
        <f t="shared" si="6"/>
        <v>0.37797144396551724</v>
      </c>
      <c r="AG20" s="93">
        <f>ДЕКАБРЬ!AG20+ЯНВАРЬ!AG20+ФЕВРАЛЬ!AG20+МАРТ!AG20</f>
        <v>143.18</v>
      </c>
      <c r="AH20" s="93">
        <f>ДЕКАБРЬ!AH20+ЯНВАРЬ!AH20+ФЕВРАЛЬ!AH20+МАРТ!AH20</f>
        <v>0</v>
      </c>
      <c r="AI20" s="93">
        <f>ДЕКАБРЬ!AI20+ЯНВАРЬ!AI20+ФЕВРАЛЬ!AI20+МАРТ!AI20</f>
        <v>1433</v>
      </c>
      <c r="AJ20" s="93">
        <f>ДЕКАБРЬ!AJ20+ЯНВАРЬ!AJ20+ФЕВРАЛЬ!AJ20+МАРТ!AJ20</f>
        <v>0</v>
      </c>
      <c r="AK20" s="93"/>
      <c r="AL20" s="93">
        <f>ДЕКАБРЬ!AL20+ЯНВАРЬ!AL20+ФЕВРАЛЬ!AL20+МАРТ!AL20</f>
        <v>54.186309511352938</v>
      </c>
      <c r="AM20" s="93">
        <f>ДЕКАБРЬ!AM20+ЯНВАРЬ!AM20+ФЕВРАЛЬ!AM20+МАРТ!AM20</f>
        <v>0</v>
      </c>
      <c r="AN20" s="93">
        <f>ДЕКАБРЬ!AN20+ЯНВАРЬ!AN20+ФЕВРАЛЬ!AN20+МАРТ!AN20</f>
        <v>139.31479869608654</v>
      </c>
      <c r="AO20" s="95">
        <f t="shared" si="15"/>
        <v>187.56889179256069</v>
      </c>
      <c r="AP20" s="96"/>
      <c r="AQ20" s="97">
        <f t="shared" si="7"/>
        <v>1237.3333333333333</v>
      </c>
      <c r="AR20" s="98">
        <f>K20</f>
        <v>117.24</v>
      </c>
      <c r="AS20" s="98">
        <f t="shared" si="9"/>
        <v>467.67666666666668</v>
      </c>
      <c r="AT20" s="98">
        <f t="shared" si="10"/>
        <v>47.726666666666667</v>
      </c>
      <c r="AU20" s="98">
        <f t="shared" si="16"/>
        <v>477.66666666666669</v>
      </c>
      <c r="AV20" s="98">
        <f t="array" ref="AV20">_xlfn.IFS(U20=0,AO20,U20&lt;0,AO20/-U20,U20&gt;0,AO20/U20)</f>
        <v>62.522963930853564</v>
      </c>
      <c r="AW20" s="234">
        <f t="shared" si="23"/>
        <v>5.053041265963381E-2</v>
      </c>
      <c r="AX20" s="234">
        <f t="shared" si="24"/>
        <v>0.53329037812055247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1"/>
        <v>0</v>
      </c>
      <c r="F21" s="93"/>
      <c r="G21" s="93"/>
      <c r="H21" s="93"/>
      <c r="I21" s="93"/>
      <c r="J21" s="93"/>
      <c r="K21" s="93">
        <v>117.24</v>
      </c>
      <c r="L21" s="92">
        <f t="shared" si="25"/>
        <v>0</v>
      </c>
      <c r="M21" s="89"/>
      <c r="N21" s="93">
        <f>ДЕКАБРЬ!N21+ЯНВАРЬ!N21+ФЕВРАЛЬ!N21+МАРТ!N21</f>
        <v>7</v>
      </c>
      <c r="O21" s="89"/>
      <c r="P21" s="89"/>
      <c r="Q21" s="233"/>
      <c r="R21" s="92"/>
      <c r="S21" s="93">
        <f>ДЕКАБРЬ!S21+ЯНВАРЬ!S21+ФЕВРАЛЬ!S21+МАРТ!S21</f>
        <v>0</v>
      </c>
      <c r="T21" s="93">
        <f>ДЕКАБРЬ!T21+ЯНВАРЬ!T21+ФЕВРАЛЬ!T21+МАРТ!T21</f>
        <v>0</v>
      </c>
      <c r="U21" s="92">
        <f t="shared" si="1"/>
        <v>0</v>
      </c>
      <c r="V21" s="93">
        <f>ДЕКАБРЬ!V21+ЯНВАРЬ!V21+ФЕВРАЛЬ!V21+МАРТ!V21</f>
        <v>0</v>
      </c>
      <c r="W21" s="93">
        <f>ДЕКАБРЬ!W21+ЯНВАРЬ!W21+ФЕВРАЛЬ!W21+МАРТ!W21</f>
        <v>0</v>
      </c>
      <c r="X21" s="92">
        <f t="shared" si="2"/>
        <v>0</v>
      </c>
      <c r="Y21" s="93">
        <f>ДЕКАБРЬ!Y21+ЯНВАРЬ!Y21+ФЕВРАЛЬ!Y21+МАРТ!Y21</f>
        <v>0</v>
      </c>
      <c r="Z21" s="93">
        <f>ДЕКАБРЬ!Z21+ЯНВАРЬ!Z21+ФЕВРАЛЬ!Z21+МАРТ!Z21</f>
        <v>0</v>
      </c>
      <c r="AA21" s="232">
        <f t="shared" si="3"/>
        <v>0</v>
      </c>
      <c r="AB21" s="92">
        <f t="shared" si="14"/>
        <v>0</v>
      </c>
      <c r="AC21" s="234">
        <f t="shared" si="4"/>
        <v>0</v>
      </c>
      <c r="AD21" s="92">
        <f t="shared" si="5"/>
        <v>0</v>
      </c>
      <c r="AE21" s="93">
        <f>ДЕКАБРЬ!AE21+ЯНВАРЬ!AE21+ФЕВРАЛЬ!AE21+МАРТ!AE21</f>
        <v>0</v>
      </c>
      <c r="AF21" s="234">
        <f t="shared" si="6"/>
        <v>0</v>
      </c>
      <c r="AG21" s="93">
        <f>ДЕКАБРЬ!AG21+ЯНВАРЬ!AG21+ФЕВРАЛЬ!AG21+МАРТ!AG21</f>
        <v>79.58</v>
      </c>
      <c r="AH21" s="93">
        <f>ДЕКАБРЬ!AH21+ЯНВАРЬ!AH21+ФЕВРАЛЬ!AH21+МАРТ!AH21</f>
        <v>0</v>
      </c>
      <c r="AI21" s="93">
        <f>ДЕКАБРЬ!AI21+ЯНВАРЬ!AI21+ФЕВРАЛЬ!AI21+МАРТ!AI21</f>
        <v>2000</v>
      </c>
      <c r="AJ21" s="93">
        <f>ДЕКАБРЬ!AJ21+ЯНВАРЬ!AJ21+ФЕВРАЛЬ!AJ21+МАРТ!AJ21</f>
        <v>0</v>
      </c>
      <c r="AK21" s="93"/>
      <c r="AL21" s="93">
        <f>ДЕКАБРЬ!AL21+ЯНВАРЬ!AL21+ФЕВРАЛЬ!AL21+МАРТ!AL21</f>
        <v>44.137191352103066</v>
      </c>
      <c r="AM21" s="93">
        <f>ДЕКАБРЬ!AM21+ЯНВАРЬ!AM21+ФЕВРАЛЬ!AM21+МАРТ!AM21</f>
        <v>0</v>
      </c>
      <c r="AN21" s="93">
        <f>ДЕКАБРЬ!AN21+ЯНВАРЬ!AN21+ФЕВРАЛЬ!AN21+МАРТ!AN21</f>
        <v>0</v>
      </c>
      <c r="AO21" s="95">
        <f t="shared" si="15"/>
        <v>-2123.7171913521029</v>
      </c>
      <c r="AP21" s="96"/>
      <c r="AQ21" s="97">
        <f t="shared" si="7"/>
        <v>0</v>
      </c>
      <c r="AR21" s="98">
        <f t="shared" ref="AR21:AR98" si="26">K21</f>
        <v>117.24</v>
      </c>
      <c r="AS21" s="98">
        <f t="shared" si="9"/>
        <v>0</v>
      </c>
      <c r="AT21" s="98">
        <f t="shared" si="10"/>
        <v>79.58</v>
      </c>
      <c r="AU21" s="98">
        <f t="shared" si="16"/>
        <v>0</v>
      </c>
      <c r="AV21" s="98">
        <f t="array" ref="AV21">_xlfn.IFS(U21=0,AO21,U21&lt;0,AO21/-U21,U21&gt;0,AO21/U21)</f>
        <v>-2123.7171913521029</v>
      </c>
      <c r="AW21" s="234">
        <f t="shared" si="23"/>
        <v>0</v>
      </c>
      <c r="AX21" s="234">
        <f t="shared" si="24"/>
        <v>-18.1142715059033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1"/>
        <v>0</v>
      </c>
      <c r="F22" s="93"/>
      <c r="G22" s="93"/>
      <c r="H22" s="93"/>
      <c r="I22" s="93"/>
      <c r="J22" s="93"/>
      <c r="K22" s="93">
        <v>117.24</v>
      </c>
      <c r="L22" s="92">
        <f t="shared" si="25"/>
        <v>0</v>
      </c>
      <c r="M22" s="89"/>
      <c r="N22" s="93">
        <f>ДЕКАБРЬ!N22+ЯНВАРЬ!N22+ФЕВРАЛЬ!N22+МАРТ!N22</f>
        <v>12</v>
      </c>
      <c r="O22" s="89"/>
      <c r="P22" s="89"/>
      <c r="Q22" s="233"/>
      <c r="R22" s="92"/>
      <c r="S22" s="93">
        <f>ДЕКАБРЬ!S22+ЯНВАРЬ!S22+ФЕВРАЛЬ!S22+МАРТ!S22</f>
        <v>4</v>
      </c>
      <c r="T22" s="93">
        <f>ДЕКАБРЬ!T22+ЯНВАРЬ!T22+ФЕВРАЛЬ!T22+МАРТ!T22</f>
        <v>0</v>
      </c>
      <c r="U22" s="92">
        <f t="shared" si="1"/>
        <v>4</v>
      </c>
      <c r="V22" s="93">
        <f>ДЕКАБРЬ!V22+ЯНВАРЬ!V22+ФЕВРАЛЬ!V22+МАРТ!V22</f>
        <v>2492</v>
      </c>
      <c r="W22" s="93">
        <f>ДЕКАБРЬ!W22+ЯНВАРЬ!W22+ФЕВРАЛЬ!W22+МАРТ!W22</f>
        <v>0</v>
      </c>
      <c r="X22" s="92">
        <f t="shared" si="2"/>
        <v>2492</v>
      </c>
      <c r="Y22" s="93">
        <f>ДЕКАБРЬ!Y22+ЯНВАРЬ!Y22+ФЕВРАЛЬ!Y22+МАРТ!Y22</f>
        <v>3911</v>
      </c>
      <c r="Z22" s="93">
        <f>ДЕКАБРЬ!Z22+ЯНВАРЬ!Z22+ФЕВРАЛЬ!Z22+МАРТ!Z22</f>
        <v>0</v>
      </c>
      <c r="AA22" s="232">
        <f t="shared" si="3"/>
        <v>3911</v>
      </c>
      <c r="AB22" s="92">
        <f t="shared" si="14"/>
        <v>0</v>
      </c>
      <c r="AC22" s="234">
        <f t="shared" si="4"/>
        <v>1.3459980356894942E-4</v>
      </c>
      <c r="AD22" s="92">
        <f t="shared" si="5"/>
        <v>468.96</v>
      </c>
      <c r="AE22" s="93">
        <f>ДЕКАБРЬ!AE22+ЯНВАРЬ!AE22+ФЕВРАЛЬ!AE22+МАРТ!AE22</f>
        <v>1470.3799999999999</v>
      </c>
      <c r="AF22" s="234">
        <f t="shared" si="6"/>
        <v>0.37596011250319611</v>
      </c>
      <c r="AG22" s="93">
        <f>ДЕКАБРЬ!AG22+ЯНВАРЬ!AG22+ФЕВРАЛЬ!AG22+МАРТ!AG22</f>
        <v>697.12</v>
      </c>
      <c r="AH22" s="93">
        <f>ДЕКАБРЬ!AH22+ЯНВАРЬ!AH22+ФЕВРАЛЬ!AH22+МАРТ!AH22</f>
        <v>0</v>
      </c>
      <c r="AI22" s="93">
        <f>ДЕКАБРЬ!AI22+ЯНВАРЬ!AI22+ФЕВРАЛЬ!AI22+МАРТ!AI22</f>
        <v>2000</v>
      </c>
      <c r="AJ22" s="93">
        <f>ДЕКАБРЬ!AJ22+ЯНВАРЬ!AJ22+ФЕВРАЛЬ!AJ22+МАРТ!AJ22</f>
        <v>0</v>
      </c>
      <c r="AK22" s="93"/>
      <c r="AL22" s="93">
        <f>ДЕКАБРЬ!AL22+ЯНВАРЬ!AL22+ФЕВРАЛЬ!AL22+МАРТ!AL22</f>
        <v>55.365415219854249</v>
      </c>
      <c r="AM22" s="93">
        <f>ДЕКАБРЬ!AM22+ЯНВАРЬ!AM22+ФЕВРАЛЬ!AM22+МАРТ!AM22</f>
        <v>0</v>
      </c>
      <c r="AN22" s="93">
        <f>ДЕКАБРЬ!AN22+ЯНВАРЬ!AN22+ФЕВРАЛЬ!AN22+МАРТ!AN22</f>
        <v>139.43960008679647</v>
      </c>
      <c r="AO22" s="95">
        <f t="shared" si="15"/>
        <v>-920.26501530665087</v>
      </c>
      <c r="AP22" s="96"/>
      <c r="AQ22" s="97">
        <f t="shared" si="7"/>
        <v>977.75</v>
      </c>
      <c r="AR22" s="98">
        <f t="shared" si="26"/>
        <v>117.24</v>
      </c>
      <c r="AS22" s="98">
        <f t="shared" si="9"/>
        <v>367.59499999999997</v>
      </c>
      <c r="AT22" s="98">
        <f t="shared" si="10"/>
        <v>174.28</v>
      </c>
      <c r="AU22" s="98">
        <f t="shared" si="16"/>
        <v>500</v>
      </c>
      <c r="AV22" s="98">
        <f t="array" ref="AV22">_xlfn.IFS(U22=0,AO22,U22&lt;0,AO22/-U22,U22&gt;0,AO22/U22)</f>
        <v>-230.06625382666272</v>
      </c>
      <c r="AW22" s="234">
        <f t="shared" si="23"/>
        <v>-0.23530171703059341</v>
      </c>
      <c r="AX22" s="234">
        <f t="shared" si="24"/>
        <v>-1.9623528985556358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1"/>
        <v>0</v>
      </c>
      <c r="F23" s="93"/>
      <c r="G23" s="93"/>
      <c r="H23" s="93"/>
      <c r="I23" s="93"/>
      <c r="J23" s="93"/>
      <c r="K23" s="93">
        <v>117.24</v>
      </c>
      <c r="L23" s="92">
        <f t="shared" si="25"/>
        <v>0</v>
      </c>
      <c r="M23" s="89"/>
      <c r="N23" s="93">
        <f>ДЕКАБРЬ!N23+ЯНВАРЬ!N23+ФЕВРАЛЬ!N23+МАРТ!N23</f>
        <v>0</v>
      </c>
      <c r="O23" s="89"/>
      <c r="P23" s="89"/>
      <c r="Q23" s="233"/>
      <c r="R23" s="92"/>
      <c r="S23" s="93">
        <f>ДЕКАБРЬ!S23+ЯНВАРЬ!S23+ФЕВРАЛЬ!S23+МАРТ!S23</f>
        <v>0</v>
      </c>
      <c r="T23" s="93">
        <f>ДЕКАБРЬ!T23+ЯНВАРЬ!T23+ФЕВРАЛЬ!T23+МАРТ!T23</f>
        <v>0</v>
      </c>
      <c r="U23" s="92">
        <f t="shared" si="1"/>
        <v>0</v>
      </c>
      <c r="V23" s="93">
        <f>ДЕКАБРЬ!V23+ЯНВАРЬ!V23+ФЕВРАЛЬ!V23+МАРТ!V23</f>
        <v>0</v>
      </c>
      <c r="W23" s="93">
        <f>ДЕКАБРЬ!W23+ЯНВАРЬ!W23+ФЕВРАЛЬ!W23+МАРТ!W23</f>
        <v>0</v>
      </c>
      <c r="X23" s="92">
        <f t="shared" si="2"/>
        <v>0</v>
      </c>
      <c r="Y23" s="93">
        <f>ДЕКАБРЬ!Y23+ЯНВАРЬ!Y23+ФЕВРАЛЬ!Y23+МАРТ!Y23</f>
        <v>0</v>
      </c>
      <c r="Z23" s="93">
        <f>ДЕКАБРЬ!Z23+ЯНВАРЬ!Z23+ФЕВРАЛЬ!Z23+МАРТ!Z23</f>
        <v>0</v>
      </c>
      <c r="AA23" s="232">
        <f t="shared" si="3"/>
        <v>0</v>
      </c>
      <c r="AB23" s="92">
        <f t="shared" si="14"/>
        <v>0</v>
      </c>
      <c r="AC23" s="234">
        <f t="shared" si="4"/>
        <v>0</v>
      </c>
      <c r="AD23" s="92">
        <f t="shared" si="5"/>
        <v>0</v>
      </c>
      <c r="AE23" s="93">
        <f>ДЕКАБРЬ!AE23+ЯНВАРЬ!AE23+ФЕВРАЛЬ!AE23+МАРТ!AE23</f>
        <v>0</v>
      </c>
      <c r="AF23" s="234">
        <f t="shared" si="6"/>
        <v>0</v>
      </c>
      <c r="AG23" s="93">
        <f>ДЕКАБРЬ!AG23+ЯНВАРЬ!AG23+ФЕВРАЛЬ!AG23+МАРТ!AG23</f>
        <v>0</v>
      </c>
      <c r="AH23" s="93">
        <f>ДЕКАБРЬ!AH23+ЯНВАРЬ!AH23+ФЕВРАЛЬ!AH23+МАРТ!AH23</f>
        <v>0</v>
      </c>
      <c r="AI23" s="93">
        <f>ДЕКАБРЬ!AI23+ЯНВАРЬ!AI23+ФЕВРАЛЬ!AI23+МАРТ!AI23</f>
        <v>0</v>
      </c>
      <c r="AJ23" s="93">
        <f>ДЕКАБРЬ!AJ23+ЯНВАРЬ!AJ23+ФЕВРАЛЬ!AJ23+МАРТ!AJ23</f>
        <v>0</v>
      </c>
      <c r="AK23" s="93"/>
      <c r="AL23" s="93">
        <f>ДЕКАБРЬ!AL23+ЯНВАРЬ!AL23+ФЕВРАЛЬ!AL23+МАРТ!AL23</f>
        <v>0</v>
      </c>
      <c r="AM23" s="93">
        <f>ДЕКАБРЬ!AM23+ЯНВАРЬ!AM23+ФЕВРАЛЬ!AM23+МАРТ!AM23</f>
        <v>0</v>
      </c>
      <c r="AN23" s="93">
        <f>ДЕКАБРЬ!AN23+ЯНВАРЬ!AN23+ФЕВРАЛЬ!AN23+МАРТ!AN23</f>
        <v>0</v>
      </c>
      <c r="AO23" s="95">
        <f t="shared" si="15"/>
        <v>0</v>
      </c>
      <c r="AP23" s="96"/>
      <c r="AQ23" s="97">
        <f t="shared" si="7"/>
        <v>0</v>
      </c>
      <c r="AR23" s="98">
        <f t="shared" si="26"/>
        <v>117.24</v>
      </c>
      <c r="AS23" s="98">
        <f t="shared" si="9"/>
        <v>0</v>
      </c>
      <c r="AT23" s="98">
        <f t="shared" si="10"/>
        <v>0</v>
      </c>
      <c r="AU23" s="98">
        <f t="shared" si="16"/>
        <v>0</v>
      </c>
      <c r="AV23" s="98">
        <f t="array" ref="AV23">_xlfn.IFS(U23=0,AO23,U23&lt;0,AO23/-U23,U23&gt;0,AO23/U23)</f>
        <v>0</v>
      </c>
      <c r="AW23" s="234">
        <f t="shared" si="23"/>
        <v>0</v>
      </c>
      <c r="AX23" s="234">
        <f t="shared" si="2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1"/>
        <v>0</v>
      </c>
      <c r="F24" s="93"/>
      <c r="G24" s="93"/>
      <c r="H24" s="93"/>
      <c r="I24" s="93"/>
      <c r="J24" s="93"/>
      <c r="K24" s="93">
        <v>117.24</v>
      </c>
      <c r="L24" s="92">
        <f t="shared" si="25"/>
        <v>0</v>
      </c>
      <c r="M24" s="89"/>
      <c r="N24" s="93">
        <f>ДЕКАБРЬ!N24+ЯНВАРЬ!N24+ФЕВРАЛЬ!N24+МАРТ!N24</f>
        <v>5</v>
      </c>
      <c r="O24" s="89"/>
      <c r="P24" s="89"/>
      <c r="Q24" s="233"/>
      <c r="R24" s="92"/>
      <c r="S24" s="93">
        <f>ДЕКАБРЬ!S24+ЯНВАРЬ!S24+ФЕВРАЛЬ!S24+МАРТ!S24</f>
        <v>5</v>
      </c>
      <c r="T24" s="93">
        <f>ДЕКАБРЬ!T24+ЯНВАРЬ!T24+ФЕВРАЛЬ!T24+МАРТ!T24</f>
        <v>0</v>
      </c>
      <c r="U24" s="92">
        <f t="shared" si="1"/>
        <v>5</v>
      </c>
      <c r="V24" s="93">
        <f>ДЕКАБРЬ!V24+ЯНВАРЬ!V24+ФЕВРАЛЬ!V24+МАРТ!V24</f>
        <v>3585</v>
      </c>
      <c r="W24" s="93">
        <f>ДЕКАБРЬ!W24+ЯНВАРЬ!W24+ФЕВРАЛЬ!W24+МАРТ!W24</f>
        <v>0</v>
      </c>
      <c r="X24" s="92">
        <f t="shared" si="2"/>
        <v>3585</v>
      </c>
      <c r="Y24" s="93">
        <f>ДЕКАБРЬ!Y24+ЯНВАРЬ!Y24+ФЕВРАЛЬ!Y24+МАРТ!Y24</f>
        <v>4682.46</v>
      </c>
      <c r="Z24" s="93">
        <f>ДЕКАБРЬ!Z24+ЯНВАРЬ!Z24+ФЕВРАЛЬ!Z24+МАРТ!Z24</f>
        <v>0</v>
      </c>
      <c r="AA24" s="232">
        <f t="shared" si="3"/>
        <v>4682.46</v>
      </c>
      <c r="AB24" s="92">
        <f t="shared" si="14"/>
        <v>0</v>
      </c>
      <c r="AC24" s="234">
        <f t="shared" si="4"/>
        <v>1.6115013966235309E-4</v>
      </c>
      <c r="AD24" s="92">
        <f t="shared" si="5"/>
        <v>586.19999999999993</v>
      </c>
      <c r="AE24" s="93">
        <f>ДЕКАБРЬ!AE24+ЯНВАРЬ!AE24+ФЕВРАЛЬ!AE24+МАРТ!AE24</f>
        <v>1756.48</v>
      </c>
      <c r="AF24" s="234">
        <f t="shared" si="6"/>
        <v>0.37511906134809481</v>
      </c>
      <c r="AG24" s="93">
        <f>ДЕКАБРЬ!AG24+ЯНВАРЬ!AG24+ФЕВРАЛЬ!AG24+МАРТ!AG24</f>
        <v>542.09</v>
      </c>
      <c r="AH24" s="93">
        <f>ДЕКАБРЬ!AH24+ЯНВАРЬ!AH24+ФЕВРАЛЬ!AH24+МАРТ!AH24</f>
        <v>0</v>
      </c>
      <c r="AI24" s="93">
        <f>ДЕКАБРЬ!AI24+ЯНВАРЬ!AI24+ФЕВРАЛЬ!AI24+МАРТ!AI24</f>
        <v>0</v>
      </c>
      <c r="AJ24" s="93">
        <f>ДЕКАБРЬ!AJ24+ЯНВАРЬ!AJ24+ФЕВРАЛЬ!AJ24+МАРТ!AJ24</f>
        <v>0</v>
      </c>
      <c r="AK24" s="93"/>
      <c r="AL24" s="93">
        <f>ДЕКАБРЬ!AL24+ЯНВАРЬ!AL24+ФЕВРАЛЬ!AL24+МАРТ!AL24</f>
        <v>0</v>
      </c>
      <c r="AM24" s="93">
        <f>ДЕКАБРЬ!AM24+ЯНВАРЬ!AM24+ФЕВРАЛЬ!AM24+МАРТ!AM24</f>
        <v>0</v>
      </c>
      <c r="AN24" s="93">
        <f>ДЕКАБРЬ!AN24+ЯНВАРЬ!AN24+ФЕВРАЛЬ!AN24+МАРТ!AN24</f>
        <v>190.07644529169482</v>
      </c>
      <c r="AO24" s="95">
        <f t="shared" si="15"/>
        <v>1607.6135547083052</v>
      </c>
      <c r="AP24" s="96"/>
      <c r="AQ24" s="97">
        <f t="shared" si="7"/>
        <v>936.49199999999996</v>
      </c>
      <c r="AR24" s="98">
        <f t="shared" si="26"/>
        <v>117.24</v>
      </c>
      <c r="AS24" s="98">
        <f t="shared" si="9"/>
        <v>351.29599999999999</v>
      </c>
      <c r="AT24" s="98">
        <f t="shared" si="10"/>
        <v>108.41800000000001</v>
      </c>
      <c r="AU24" s="98">
        <f t="shared" si="16"/>
        <v>0</v>
      </c>
      <c r="AV24" s="98">
        <f t="array" ref="AV24">_xlfn.IFS(U24=0,AO24,U24&lt;0,AO24/-U24,U24&gt;0,AO24/U24)</f>
        <v>321.52271094166105</v>
      </c>
      <c r="AW24" s="234">
        <f t="shared" si="23"/>
        <v>0.34332670320906217</v>
      </c>
      <c r="AX24" s="234">
        <f t="shared" si="24"/>
        <v>2.7424318572301352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1"/>
        <v>0</v>
      </c>
      <c r="F25" s="93"/>
      <c r="G25" s="93"/>
      <c r="H25" s="93"/>
      <c r="I25" s="93"/>
      <c r="J25" s="93"/>
      <c r="K25" s="93">
        <v>117.24</v>
      </c>
      <c r="L25" s="92">
        <f t="shared" si="25"/>
        <v>0</v>
      </c>
      <c r="M25" s="89"/>
      <c r="N25" s="93">
        <f>ДЕКАБРЬ!N25+ЯНВАРЬ!N25+ФЕВРАЛЬ!N25+МАРТ!N25</f>
        <v>15</v>
      </c>
      <c r="O25" s="89"/>
      <c r="P25" s="89"/>
      <c r="Q25" s="233"/>
      <c r="R25" s="92"/>
      <c r="S25" s="93">
        <f>ДЕКАБРЬ!S25+ЯНВАРЬ!S25+ФЕВРАЛЬ!S25+МАРТ!S25</f>
        <v>12</v>
      </c>
      <c r="T25" s="93">
        <f>ДЕКАБРЬ!T25+ЯНВАРЬ!T25+ФЕВРАЛЬ!T25+МАРТ!T25</f>
        <v>0</v>
      </c>
      <c r="U25" s="92">
        <f t="shared" si="1"/>
        <v>12</v>
      </c>
      <c r="V25" s="93">
        <f>ДЕКАБРЬ!V25+ЯНВАРЬ!V25+ФЕВРАЛЬ!V25+МАРТ!V25</f>
        <v>7525.98</v>
      </c>
      <c r="W25" s="93">
        <f>ДЕКАБРЬ!W25+ЯНВАРЬ!W25+ФЕВРАЛЬ!W25+МАРТ!W25</f>
        <v>0</v>
      </c>
      <c r="X25" s="92">
        <f t="shared" si="2"/>
        <v>7525.98</v>
      </c>
      <c r="Y25" s="93">
        <f>ДЕКАБРЬ!Y25+ЯНВАРЬ!Y25+ФЕВРАЛЬ!Y25+МАРТ!Y25</f>
        <v>11000.69</v>
      </c>
      <c r="Z25" s="93">
        <f>ДЕКАБРЬ!Z25+ЯНВАРЬ!Z25+ФЕВРАЛЬ!Z25+МАРТ!Z25</f>
        <v>0</v>
      </c>
      <c r="AA25" s="232">
        <f t="shared" si="3"/>
        <v>11000.69</v>
      </c>
      <c r="AB25" s="92">
        <f t="shared" si="14"/>
        <v>0</v>
      </c>
      <c r="AC25" s="234">
        <f t="shared" si="4"/>
        <v>3.7859644927714303E-4</v>
      </c>
      <c r="AD25" s="92">
        <f t="shared" si="5"/>
        <v>1406.8799999999999</v>
      </c>
      <c r="AE25" s="93">
        <f>ДЕКАБРЬ!AE25+ЯНВАРЬ!AE25+ФЕВРАЛЬ!AE25+МАРТ!AE25</f>
        <v>4097.170000000001</v>
      </c>
      <c r="AF25" s="234">
        <f t="shared" si="6"/>
        <v>0.37244663743819711</v>
      </c>
      <c r="AG25" s="93">
        <f>ДЕКАБРЬ!AG25+ЯНВАРЬ!AG25+ФЕВРАЛЬ!AG25+МАРТ!AG25</f>
        <v>971.49</v>
      </c>
      <c r="AH25" s="93">
        <f>ДЕКАБРЬ!AH25+ЯНВАРЬ!AH25+ФЕВРАЛЬ!AH25+МАРТ!AH25</f>
        <v>0</v>
      </c>
      <c r="AI25" s="93">
        <f>ДЕКАБРЬ!AI25+ЯНВАРЬ!AI25+ФЕВРАЛЬ!AI25+МАРТ!AI25</f>
        <v>0</v>
      </c>
      <c r="AJ25" s="93">
        <f>ДЕКАБРЬ!AJ25+ЯНВАРЬ!AJ25+ФЕВРАЛЬ!AJ25+МАРТ!AJ25</f>
        <v>0</v>
      </c>
      <c r="AK25" s="93"/>
      <c r="AL25" s="93">
        <f>ДЕКАБРЬ!AL25+ЯНВАРЬ!AL25+ФЕВРАЛЬ!AL25+МАРТ!AL25</f>
        <v>38.472051404472026</v>
      </c>
      <c r="AM25" s="93">
        <f>ДЕКАБРЬ!AM25+ЯНВАРЬ!AM25+ФЕВРАЛЬ!AM25+МАРТ!AM25</f>
        <v>0</v>
      </c>
      <c r="AN25" s="93">
        <f>ДЕКАБРЬ!AN25+ЯНВАРЬ!AN25+ФЕВРАЛЬ!AN25+МАРТ!AN25</f>
        <v>428.82955078237967</v>
      </c>
      <c r="AO25" s="95">
        <f t="shared" si="15"/>
        <v>4057.8483978131489</v>
      </c>
      <c r="AP25" s="96"/>
      <c r="AQ25" s="97">
        <f t="shared" si="7"/>
        <v>916.72416666666675</v>
      </c>
      <c r="AR25" s="98">
        <f t="shared" si="26"/>
        <v>117.24</v>
      </c>
      <c r="AS25" s="98">
        <f t="shared" si="9"/>
        <v>341.4308333333334</v>
      </c>
      <c r="AT25" s="98">
        <f t="shared" si="10"/>
        <v>80.957499999999996</v>
      </c>
      <c r="AU25" s="98">
        <f t="shared" si="16"/>
        <v>0</v>
      </c>
      <c r="AV25" s="98">
        <f t="array" ref="AV25">_xlfn.IFS(U25=0,AO25,U25&lt;0,AO25/-U25,U25&gt;0,AO25/U25)</f>
        <v>338.15403315109575</v>
      </c>
      <c r="AW25" s="234">
        <f t="shared" si="23"/>
        <v>0.368872170546861</v>
      </c>
      <c r="AX25" s="234">
        <f t="shared" si="24"/>
        <v>2.8842889214525398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1"/>
        <v>0</v>
      </c>
      <c r="F26" s="93"/>
      <c r="G26" s="93"/>
      <c r="H26" s="93"/>
      <c r="I26" s="93"/>
      <c r="J26" s="93"/>
      <c r="K26" s="93">
        <v>123.09</v>
      </c>
      <c r="L26" s="92">
        <f t="shared" si="25"/>
        <v>0</v>
      </c>
      <c r="M26" s="89"/>
      <c r="N26" s="93">
        <f>ДЕКАБРЬ!N26+ЯНВАРЬ!N26+ФЕВРАЛЬ!N26+МАРТ!N26</f>
        <v>1002</v>
      </c>
      <c r="O26" s="89"/>
      <c r="P26" s="89"/>
      <c r="Q26" s="233"/>
      <c r="R26" s="92"/>
      <c r="S26" s="93">
        <f>ДЕКАБРЬ!S26+ЯНВАРЬ!S26+ФЕВРАЛЬ!S26+МАРТ!S26</f>
        <v>288</v>
      </c>
      <c r="T26" s="93">
        <f>ДЕКАБРЬ!T26+ЯНВАРЬ!T26+ФЕВРАЛЬ!T26+МАРТ!T26</f>
        <v>-11</v>
      </c>
      <c r="U26" s="92">
        <f t="shared" si="1"/>
        <v>277</v>
      </c>
      <c r="V26" s="93">
        <f>ДЕКАБРЬ!V26+ЯНВАРЬ!V26+ФЕВРАЛЬ!V26+МАРТ!V26</f>
        <v>157202.13</v>
      </c>
      <c r="W26" s="93">
        <f>ДЕКАБРЬ!W26+ЯНВАРЬ!W26+ФЕВРАЛЬ!W26+МАРТ!W26</f>
        <v>-6256</v>
      </c>
      <c r="X26" s="92">
        <f t="shared" si="2"/>
        <v>150946.13</v>
      </c>
      <c r="Y26" s="93">
        <f>ДЕКАБРЬ!Y26+ЯНВАРЬ!Y26+ФЕВРАЛЬ!Y26+МАРТ!Y26</f>
        <v>236240.29000000004</v>
      </c>
      <c r="Z26" s="93">
        <f>ДЕКАБРЬ!Z26+ЯНВАРЬ!Z26+ФЕВРАЛЬ!Z26+МАРТ!Z26</f>
        <v>-9354.619999999999</v>
      </c>
      <c r="AA26" s="232">
        <f t="shared" si="3"/>
        <v>226885.67000000004</v>
      </c>
      <c r="AB26" s="92">
        <f t="shared" si="14"/>
        <v>0</v>
      </c>
      <c r="AC26" s="234">
        <f t="shared" si="4"/>
        <v>7.8084292034286597E-3</v>
      </c>
      <c r="AD26" s="92">
        <f t="shared" si="5"/>
        <v>34095.93</v>
      </c>
      <c r="AE26" s="93">
        <f>ДЕКАБРЬ!AE26+ЯНВАРЬ!AE26+ФЕВРАЛЬ!AE26+МАРТ!AE26</f>
        <v>85402.38</v>
      </c>
      <c r="AF26" s="234">
        <f t="shared" si="6"/>
        <v>0.37641152039262765</v>
      </c>
      <c r="AG26" s="93">
        <f>ДЕКАБРЬ!AG26+ЯНВАРЬ!AG26+ФЕВРАЛЬ!AG26+МАРТ!AG26</f>
        <v>83880.199999999924</v>
      </c>
      <c r="AH26" s="93">
        <f>ДЕКАБРЬ!AH26+ЯНВАРЬ!AH26+ФЕВРАЛЬ!AH26+МАРТ!AH26</f>
        <v>23745</v>
      </c>
      <c r="AI26" s="93">
        <f>ДЕКАБРЬ!AI26+ЯНВАРЬ!AI26+ФЕВРАЛЬ!AI26+МАРТ!AI26</f>
        <v>47369</v>
      </c>
      <c r="AJ26" s="93">
        <f>ДЕКАБРЬ!AJ26+ЯНВАРЬ!AJ26+ФЕВРАЛЬ!AJ26+МАРТ!AJ26</f>
        <v>0</v>
      </c>
      <c r="AK26" s="93"/>
      <c r="AL26" s="93">
        <f>ДЕКАБРЬ!AL26+ЯНВАРЬ!AL26+ФЕВРАЛЬ!AL26+МАРТ!AL26</f>
        <v>2532.3548326117543</v>
      </c>
      <c r="AM26" s="93">
        <f>ДЕКАБРЬ!AM26+ЯНВАРЬ!AM26+ФЕВРАЛЬ!AM26+МАРТ!AM26</f>
        <v>10</v>
      </c>
      <c r="AN26" s="93">
        <f>ДЕКАБРЬ!AN26+ЯНВАРЬ!AN26+ФЕВРАЛЬ!AN26+МАРТ!AN26</f>
        <v>8486.009787095516</v>
      </c>
      <c r="AO26" s="95">
        <f t="shared" si="15"/>
        <v>-58635.204619707147</v>
      </c>
      <c r="AP26" s="96"/>
      <c r="AQ26" s="97">
        <f t="shared" si="7"/>
        <v>819.08184115523477</v>
      </c>
      <c r="AR26" s="98">
        <f t="shared" si="26"/>
        <v>123.09</v>
      </c>
      <c r="AS26" s="98">
        <f t="shared" si="9"/>
        <v>308.31184115523467</v>
      </c>
      <c r="AT26" s="98">
        <f t="shared" si="10"/>
        <v>291.25069444444421</v>
      </c>
      <c r="AU26" s="98">
        <f t="shared" si="16"/>
        <v>246.92361111111111</v>
      </c>
      <c r="AV26" s="98">
        <f t="array" ref="AV26">_xlfn.IFS(U26=0,AO26,U26&lt;0,AO26/-U26,U26&gt;0,AO26/U26)</f>
        <v>-211.67943906031462</v>
      </c>
      <c r="AW26" s="234">
        <f t="shared" si="23"/>
        <v>-0.25843502861907119</v>
      </c>
      <c r="AX26" s="234">
        <f t="shared" si="24"/>
        <v>-1.7197127228882494</v>
      </c>
      <c r="AY26" s="99"/>
      <c r="AZ26" s="94">
        <f t="shared" si="13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1"/>
        <v>0</v>
      </c>
      <c r="F27" s="93"/>
      <c r="G27" s="93"/>
      <c r="H27" s="93"/>
      <c r="I27" s="93"/>
      <c r="J27" s="93"/>
      <c r="K27" s="93">
        <v>181.59</v>
      </c>
      <c r="L27" s="92">
        <f t="shared" si="25"/>
        <v>0</v>
      </c>
      <c r="M27" s="89"/>
      <c r="N27" s="93">
        <f>ДЕКАБРЬ!N27+ЯНВАРЬ!N27+ФЕВРАЛЬ!N27+МАРТ!N27</f>
        <v>128</v>
      </c>
      <c r="O27" s="89"/>
      <c r="P27" s="89"/>
      <c r="Q27" s="233"/>
      <c r="R27" s="92"/>
      <c r="S27" s="93">
        <f>ДЕКАБРЬ!S27+ЯНВАРЬ!S27+ФЕВРАЛЬ!S27+МАРТ!S27</f>
        <v>68</v>
      </c>
      <c r="T27" s="93">
        <f>ДЕКАБРЬ!T27+ЯНВАРЬ!T27+ФЕВРАЛЬ!T27+МАРТ!T27</f>
        <v>0</v>
      </c>
      <c r="U27" s="92">
        <f t="shared" si="1"/>
        <v>68</v>
      </c>
      <c r="V27" s="93">
        <f>ДЕКАБРЬ!V27+ЯНВАРЬ!V27+ФЕВРАЛЬ!V27+МАРТ!V27</f>
        <v>20080.87</v>
      </c>
      <c r="W27" s="93">
        <f>ДЕКАБРЬ!W27+ЯНВАРЬ!W27+ФЕВРАЛЬ!W27+МАРТ!W27</f>
        <v>0</v>
      </c>
      <c r="X27" s="92">
        <f t="shared" si="2"/>
        <v>20080.87</v>
      </c>
      <c r="Y27" s="93">
        <f>ДЕКАБРЬ!Y27+ЯНВАРЬ!Y27+ФЕВРАЛЬ!Y27+МАРТ!Y27</f>
        <v>32508.37</v>
      </c>
      <c r="Z27" s="93">
        <f>ДЕКАБРЬ!Z27+ЯНВАРЬ!Z27+ФЕВРАЛЬ!Z27+МАРТ!Z27</f>
        <v>0</v>
      </c>
      <c r="AA27" s="232">
        <f t="shared" si="3"/>
        <v>32508.37</v>
      </c>
      <c r="AB27" s="92">
        <f t="shared" si="14"/>
        <v>0</v>
      </c>
      <c r="AC27" s="234">
        <f t="shared" si="4"/>
        <v>1.1187983166317382E-3</v>
      </c>
      <c r="AD27" s="92">
        <f t="shared" si="5"/>
        <v>12348.12</v>
      </c>
      <c r="AE27" s="93">
        <f>ДЕКАБРЬ!AE27+ЯНВАРЬ!AE27+ФЕВРАЛЬ!AE27+МАРТ!AE27</f>
        <v>12172.21</v>
      </c>
      <c r="AF27" s="234">
        <f t="shared" si="6"/>
        <v>0.37443310753507481</v>
      </c>
      <c r="AG27" s="93">
        <f>ДЕКАБРЬ!AG27+ЯНВАРЬ!AG27+ФЕВРАЛЬ!AG27+МАРТ!AG27</f>
        <v>8416.5600000000013</v>
      </c>
      <c r="AH27" s="93">
        <f>ДЕКАБРЬ!AH27+ЯНВАРЬ!AH27+ФЕВРАЛЬ!AH27+МАРТ!AH27</f>
        <v>2000</v>
      </c>
      <c r="AI27" s="93">
        <f>ДЕКАБРЬ!AI27+ЯНВАРЬ!AI27+ФЕВРАЛЬ!AI27+МАРТ!AI27</f>
        <v>2260</v>
      </c>
      <c r="AJ27" s="93">
        <f>ДЕКАБРЬ!AJ27+ЯНВАРЬ!AJ27+ФЕВРАЛЬ!AJ27+МАРТ!AJ27</f>
        <v>0</v>
      </c>
      <c r="AK27" s="93"/>
      <c r="AL27" s="93">
        <f>ДЕКАБРЬ!AL27+ЯНВАРЬ!AL27+ФЕВРАЛЬ!AL27+МАРТ!AL27</f>
        <v>278.80209763958987</v>
      </c>
      <c r="AM27" s="93">
        <f>ДЕКАБРЬ!AM27+ЯНВАРЬ!AM27+ФЕВРАЛЬ!AM27+МАРТ!AM27</f>
        <v>0</v>
      </c>
      <c r="AN27" s="93">
        <f>ДЕКАБРЬ!AN27+ЯНВАРЬ!AN27+ФЕВРАЛЬ!AN27+МАРТ!AN27</f>
        <v>1123.1475605798682</v>
      </c>
      <c r="AO27" s="95">
        <f t="shared" si="15"/>
        <v>-6090.4696582194592</v>
      </c>
      <c r="AP27" s="96"/>
      <c r="AQ27" s="97">
        <f t="shared" si="7"/>
        <v>478.06426470588235</v>
      </c>
      <c r="AR27" s="98">
        <f t="shared" si="26"/>
        <v>181.59</v>
      </c>
      <c r="AS27" s="98">
        <f t="shared" si="9"/>
        <v>179.00308823529411</v>
      </c>
      <c r="AT27" s="98">
        <f t="shared" si="10"/>
        <v>123.77294117647061</v>
      </c>
      <c r="AU27" s="98">
        <f t="shared" si="16"/>
        <v>62.647058823529413</v>
      </c>
      <c r="AV27" s="98">
        <f t="array" ref="AV27">_xlfn.IFS(U27=0,AO27,U27&lt;0,AO27/-U27,U27&gt;0,AO27/U27)</f>
        <v>-89.565730267933219</v>
      </c>
      <c r="AW27" s="234">
        <f t="shared" si="23"/>
        <v>-0.18735081636573778</v>
      </c>
      <c r="AX27" s="234">
        <f t="shared" si="24"/>
        <v>-0.49323052077720808</v>
      </c>
      <c r="AY27" s="99"/>
      <c r="AZ27" s="94">
        <f t="shared" si="13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27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5"/>
        <v>0</v>
      </c>
      <c r="M28" s="89"/>
      <c r="N28" s="93">
        <f>ДЕКАБРЬ!N28+ЯНВАРЬ!N28+ФЕВРАЛЬ!N28+МАРТ!N28</f>
        <v>2625</v>
      </c>
      <c r="O28" s="89"/>
      <c r="P28" s="89"/>
      <c r="Q28" s="233"/>
      <c r="R28" s="92"/>
      <c r="S28" s="93">
        <f>ДЕКАБРЬ!S28+ЯНВАРЬ!S28+ФЕВРАЛЬ!S28+МАРТ!S28</f>
        <v>977</v>
      </c>
      <c r="T28" s="93">
        <f>ДЕКАБРЬ!T28+ЯНВАРЬ!T28+ФЕВРАЛЬ!T28+МАРТ!T28</f>
        <v>-40</v>
      </c>
      <c r="U28" s="92">
        <f t="shared" si="1"/>
        <v>937</v>
      </c>
      <c r="V28" s="93">
        <f>ДЕКАБРЬ!V28+ЯНВАРЬ!V28+ФЕВРАЛЬ!V28+МАРТ!V28</f>
        <v>849910.30999999994</v>
      </c>
      <c r="W28" s="93">
        <f>ДЕКАБРЬ!W28+ЯНВАРЬ!W28+ФЕВРАЛЬ!W28+МАРТ!W28</f>
        <v>-34909.46</v>
      </c>
      <c r="X28" s="92">
        <f t="shared" si="2"/>
        <v>815000.85</v>
      </c>
      <c r="Y28" s="93">
        <f>ДЕКАБРЬ!Y28+ЯНВАРЬ!Y28+ФЕВРАЛЬ!Y28+МАРТ!Y28</f>
        <v>1298918.5799999996</v>
      </c>
      <c r="Z28" s="93">
        <f>ДЕКАБРЬ!Z28+ЯНВАРЬ!Z28+ФЕВРАЛЬ!Z28+МАРТ!Z28</f>
        <v>-54236.45</v>
      </c>
      <c r="AA28" s="232">
        <f t="shared" si="3"/>
        <v>1244682.1299999997</v>
      </c>
      <c r="AB28" s="92">
        <f t="shared" si="14"/>
        <v>0</v>
      </c>
      <c r="AC28" s="234">
        <f t="shared" si="4"/>
        <v>4.283660705798556E-2</v>
      </c>
      <c r="AD28" s="92">
        <f t="shared" si="5"/>
        <v>125201.94</v>
      </c>
      <c r="AE28" s="93">
        <f>ДЕКАБРЬ!AE28+ЯНВАРЬ!AE28+ФЕВРАЛЬ!AE28+МАРТ!AE28</f>
        <v>464866.66999999993</v>
      </c>
      <c r="AF28" s="234">
        <f t="shared" si="6"/>
        <v>0.37348223999970181</v>
      </c>
      <c r="AG28" s="93">
        <f>ДЕКАБРЬ!AG28+ЯНВАРЬ!AG28+ФЕВРАЛЬ!AG28+МАРТ!AG28</f>
        <v>212674.27000000014</v>
      </c>
      <c r="AH28" s="93">
        <f>ДЕКАБРЬ!AH28+ЯНВАРЬ!AH28+ФЕВРАЛЬ!AH28+МАРТ!AH28</f>
        <v>48439</v>
      </c>
      <c r="AI28" s="93">
        <f>ДЕКАБРЬ!AI28+ЯНВАРЬ!AI28+ФЕВРАЛЬ!AI28+МАРТ!AI28</f>
        <v>107470</v>
      </c>
      <c r="AJ28" s="93">
        <f>ДЕКАБРЬ!AJ28+ЯНВАРЬ!AJ28+ФЕВРАЛЬ!AJ28+МАРТ!AJ28</f>
        <v>0</v>
      </c>
      <c r="AK28" s="93"/>
      <c r="AL28" s="93">
        <f>ДЕКАБРЬ!AL28+ЯНВАРЬ!AL28+ФЕВРАЛЬ!AL28+МАРТ!AL28</f>
        <v>4259.1152305020278</v>
      </c>
      <c r="AM28" s="93">
        <f>ДЕКАБРЬ!AM28+ЯНВАРЬ!AM28+ФЕВРАЛЬ!AM28+МАРТ!AM28</f>
        <v>550</v>
      </c>
      <c r="AN28" s="93">
        <f>ДЕКАБРЬ!AN28+ЯНВАРЬ!AN28+ФЕВРАЛЬ!AN28+МАРТ!AN28</f>
        <v>45627.323598439252</v>
      </c>
      <c r="AO28" s="95">
        <f t="shared" si="15"/>
        <v>235593.81117105836</v>
      </c>
      <c r="AP28" s="96"/>
      <c r="AQ28" s="97">
        <f t="shared" si="7"/>
        <v>1328.3694023479186</v>
      </c>
      <c r="AR28" s="98">
        <f t="shared" si="26"/>
        <v>133.62</v>
      </c>
      <c r="AS28" s="98">
        <f t="shared" si="9"/>
        <v>496.1223799359658</v>
      </c>
      <c r="AT28" s="98">
        <f t="shared" si="10"/>
        <v>217.68093142272275</v>
      </c>
      <c r="AU28" s="98">
        <f t="shared" si="16"/>
        <v>159.57932446264073</v>
      </c>
      <c r="AV28" s="98">
        <f>_xlfn.IFS(U28=0,AO28,U28&lt;0,AO28/-U28,U28&gt;0,AO28/U28)</f>
        <v>251.43416346964605</v>
      </c>
      <c r="AW28" s="234">
        <f t="shared" si="23"/>
        <v>0.1892803033743711</v>
      </c>
      <c r="AX28" s="234">
        <f t="shared" si="24"/>
        <v>1.8817105483434069</v>
      </c>
      <c r="AY28" s="99"/>
      <c r="AZ28" s="94">
        <f t="shared" si="13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93">
        <f>ДЕКАБРЬ!N29+ЯНВАРЬ!N29+ФЕВРАЛЬ!N29+МАРТ!N29</f>
        <v>7</v>
      </c>
      <c r="O29" s="89"/>
      <c r="P29" s="89"/>
      <c r="Q29" s="233"/>
      <c r="R29" s="92"/>
      <c r="S29" s="93">
        <f>ДЕКАБРЬ!S29+ЯНВАРЬ!S29+ФЕВРАЛЬ!S29+МАРТ!S29</f>
        <v>4</v>
      </c>
      <c r="T29" s="93">
        <f>ДЕКАБРЬ!T29+ЯНВАРЬ!T29+ФЕВРАЛЬ!T29+МАРТ!T29</f>
        <v>0</v>
      </c>
      <c r="U29" s="92">
        <f t="shared" si="1"/>
        <v>4</v>
      </c>
      <c r="V29" s="93">
        <f>ДЕКАБРЬ!V29+ЯНВАРЬ!V29+ФЕВРАЛЬ!V29+МАРТ!V29</f>
        <v>1281</v>
      </c>
      <c r="W29" s="93">
        <f>ДЕКАБРЬ!W29+ЯНВАРЬ!W29+ФЕВРАЛЬ!W29+МАРТ!W29</f>
        <v>0</v>
      </c>
      <c r="X29" s="92">
        <f t="shared" si="2"/>
        <v>1281</v>
      </c>
      <c r="Y29" s="93">
        <f>ДЕКАБРЬ!Y29+ЯНВАРЬ!Y29+ФЕВРАЛЬ!Y29+МАРТ!Y29</f>
        <v>1942</v>
      </c>
      <c r="Z29" s="93">
        <f>ДЕКАБРЬ!Z29+ЯНВАРЬ!Z29+ФЕВРАЛЬ!Z29+МАРТ!Z29</f>
        <v>0</v>
      </c>
      <c r="AA29" s="232">
        <f t="shared" si="3"/>
        <v>1942</v>
      </c>
      <c r="AB29" s="92">
        <f t="shared" si="14"/>
        <v>0</v>
      </c>
      <c r="AC29" s="234">
        <f t="shared" si="4"/>
        <v>6.6835289831475273E-5</v>
      </c>
      <c r="AD29" s="92">
        <f t="shared" si="5"/>
        <v>445.56</v>
      </c>
      <c r="AE29" s="93">
        <f>ДЕКАБРЬ!AE29+ЯНВАРЬ!AE29+ФЕВРАЛЬ!AE29+МАРТ!AE29</f>
        <v>728.3599999999999</v>
      </c>
      <c r="AF29" s="234">
        <f t="shared" si="6"/>
        <v>0.37505664263645722</v>
      </c>
      <c r="AG29" s="93">
        <f>ДЕКАБРЬ!AG29+ЯНВАРЬ!AG29+ФЕВРАЛЬ!AG29+МАРТ!AG29</f>
        <v>527.99</v>
      </c>
      <c r="AH29" s="93">
        <f>ДЕКАБРЬ!AH29+ЯНВАРЬ!AH29+ФЕВРАЛЬ!AH29+МАРТ!AH29</f>
        <v>0</v>
      </c>
      <c r="AI29" s="93">
        <f>ДЕКАБРЬ!AI29+ЯНВАРЬ!AI29+ФЕВРАЛЬ!AI29+МАРТ!AI29</f>
        <v>0</v>
      </c>
      <c r="AJ29" s="93">
        <f>ДЕКАБРЬ!AJ29+ЯНВАРЬ!AJ29+ФЕВРАЛЬ!AJ29+МАРТ!AJ29</f>
        <v>0</v>
      </c>
      <c r="AK29" s="93"/>
      <c r="AL29" s="93">
        <f>ДЕКАБРЬ!AL29+ЯНВАРЬ!AL29+ФЕВРАЛЬ!AL29+МАРТ!AL29</f>
        <v>6.9949184371767323</v>
      </c>
      <c r="AM29" s="93">
        <f>ДЕКАБРЬ!AM29+ЯНВАРЬ!AM29+ФЕВРАЛЬ!AM29+МАРТ!AM29</f>
        <v>0</v>
      </c>
      <c r="AN29" s="93">
        <f>ДЕКАБРЬ!AN29+ЯНВАРЬ!AN29+ФЕВРАЛЬ!AN29+МАРТ!AN29</f>
        <v>70.151775221268394</v>
      </c>
      <c r="AO29" s="95">
        <f t="shared" si="15"/>
        <v>162.94330634155503</v>
      </c>
      <c r="AP29" s="96"/>
      <c r="AQ29" s="97">
        <f t="shared" si="7"/>
        <v>485.5</v>
      </c>
      <c r="AR29" s="98">
        <f t="shared" si="26"/>
        <v>111.39</v>
      </c>
      <c r="AS29" s="98">
        <f t="shared" si="9"/>
        <v>182.08999999999997</v>
      </c>
      <c r="AT29" s="98">
        <f t="shared" si="10"/>
        <v>131.9975</v>
      </c>
      <c r="AU29" s="98">
        <f t="shared" si="16"/>
        <v>0</v>
      </c>
      <c r="AV29" s="98">
        <f t="array" ref="AV29">_xlfn.IFS(U29=0,AO29,U29&lt;0,AO29/-U29,U29&gt;0,AO29/U29)</f>
        <v>40.735826585388757</v>
      </c>
      <c r="AW29" s="234">
        <f>IF(AQ29=0,0,AV29/AQ29)</f>
        <v>8.3904895129534002E-2</v>
      </c>
      <c r="AX29" s="234">
        <f>IF(AR29=0,0,AV29/AR29)</f>
        <v>0.36570452092098715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93">
        <f>ДЕКАБРЬ!N30+ЯНВАРЬ!N30+ФЕВРАЛЬ!N30+МАРТ!N30</f>
        <v>53</v>
      </c>
      <c r="O30" s="89"/>
      <c r="P30" s="89"/>
      <c r="Q30" s="233"/>
      <c r="R30" s="92"/>
      <c r="S30" s="93">
        <f>ДЕКАБРЬ!S30+ЯНВАРЬ!S30+ФЕВРАЛЬ!S30+МАРТ!S30</f>
        <v>24</v>
      </c>
      <c r="T30" s="93">
        <f>ДЕКАБРЬ!T30+ЯНВАРЬ!T30+ФЕВРАЛЬ!T30+МАРТ!T30</f>
        <v>0</v>
      </c>
      <c r="U30" s="92">
        <f t="shared" si="1"/>
        <v>24</v>
      </c>
      <c r="V30" s="93">
        <f>ДЕКАБРЬ!V30+ЯНВАРЬ!V30+ФЕВРАЛЬ!V30+МАРТ!V30</f>
        <v>10887.470000000001</v>
      </c>
      <c r="W30" s="93">
        <f>ДЕКАБРЬ!W30+ЯНВАРЬ!W30+ФЕВРАЛЬ!W30+МАРТ!W30</f>
        <v>0</v>
      </c>
      <c r="X30" s="92">
        <f t="shared" si="2"/>
        <v>10887.470000000001</v>
      </c>
      <c r="Y30" s="93">
        <f>ДЕКАБРЬ!Y30+ЯНВАРЬ!Y30+ФЕВРАЛЬ!Y30+МАРТ!Y30</f>
        <v>13742.79</v>
      </c>
      <c r="Z30" s="93">
        <f>ДЕКАБРЬ!Z30+ЯНВАРЬ!Z30+ФЕВРАЛЬ!Z30+МАРТ!Z30</f>
        <v>0</v>
      </c>
      <c r="AA30" s="232">
        <f t="shared" si="3"/>
        <v>13742.79</v>
      </c>
      <c r="AB30" s="92">
        <f t="shared" si="14"/>
        <v>0</v>
      </c>
      <c r="AC30" s="234">
        <f t="shared" si="4"/>
        <v>4.7296774085638522E-4</v>
      </c>
      <c r="AD30" s="92">
        <f t="shared" si="5"/>
        <v>2673.36</v>
      </c>
      <c r="AE30" s="93">
        <f>ДЕКАБРЬ!AE30+ЯНВАРЬ!AE30+ФЕВРАЛЬ!AE30+МАРТ!AE30</f>
        <v>5193.2400000000007</v>
      </c>
      <c r="AF30" s="234">
        <f t="shared" si="6"/>
        <v>0.3778883327184655</v>
      </c>
      <c r="AG30" s="93">
        <f>ДЕКАБРЬ!AG30+ЯНВАРЬ!AG30+ФЕВРАЛЬ!AG30+МАРТ!AG30</f>
        <v>4594.2700000000004</v>
      </c>
      <c r="AH30" s="93">
        <f>ДЕКАБРЬ!AH30+ЯНВАРЬ!AH30+ФЕВРАЛЬ!AH30+МАРТ!AH30</f>
        <v>671</v>
      </c>
      <c r="AI30" s="93">
        <f>ДЕКАБРЬ!AI30+ЯНВАРЬ!AI30+ФЕВРАЛЬ!AI30+МАРТ!AI30</f>
        <v>183</v>
      </c>
      <c r="AJ30" s="93">
        <f>ДЕКАБРЬ!AJ30+ЯНВАРЬ!AJ30+ФЕВРАЛЬ!AJ30+МАРТ!AJ30</f>
        <v>2016</v>
      </c>
      <c r="AK30" s="93"/>
      <c r="AL30" s="93">
        <f>ДЕКАБРЬ!AL30+ЯНВАРЬ!AL30+ФЕВРАЛЬ!AL30+МАРТ!AL30</f>
        <v>1.0034150733087541</v>
      </c>
      <c r="AM30" s="93">
        <f>ДЕКАБРЬ!AM30+ЯНВАРЬ!AM30+ФЕВРАЛЬ!AM30+МАРТ!AM30</f>
        <v>0</v>
      </c>
      <c r="AN30" s="93">
        <f>ДЕКАБРЬ!AN30+ЯНВАРЬ!AN30+ФЕВРАЛЬ!AN30+МАРТ!AN30</f>
        <v>565.6397692175716</v>
      </c>
      <c r="AO30" s="95">
        <f t="shared" si="15"/>
        <v>-138.72318429088119</v>
      </c>
      <c r="AP30" s="96"/>
      <c r="AQ30" s="97">
        <f t="shared" si="7"/>
        <v>572.61625000000004</v>
      </c>
      <c r="AR30" s="98">
        <f t="shared" si="26"/>
        <v>111.39</v>
      </c>
      <c r="AS30" s="98">
        <f t="shared" si="9"/>
        <v>216.38500000000002</v>
      </c>
      <c r="AT30" s="98">
        <f t="shared" si="10"/>
        <v>191.42791666666668</v>
      </c>
      <c r="AU30" s="98">
        <f t="shared" si="16"/>
        <v>119.58333333333333</v>
      </c>
      <c r="AV30" s="98">
        <f t="array" ref="AV30">_xlfn.IFS(U30=0,AO30,U30&lt;0,AO30/-U30,U30&gt;0,AO30/U30)</f>
        <v>-5.7801326787867167</v>
      </c>
      <c r="AW30" s="234">
        <f>IF(AQ30=0,0,AV30/AQ30)</f>
        <v>-1.0094251916159759E-2</v>
      </c>
      <c r="AX30" s="234">
        <f>IF(AR30=0,0,AV30/AR30)</f>
        <v>-5.1890947830027082E-2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93">
        <f>ДЕКАБРЬ!N31+ЯНВАРЬ!N31+ФЕВРАЛЬ!N31+МАРТ!N31</f>
        <v>50</v>
      </c>
      <c r="O31" s="89"/>
      <c r="P31" s="89"/>
      <c r="Q31" s="233"/>
      <c r="R31" s="92"/>
      <c r="S31" s="93">
        <f>ДЕКАБРЬ!S31+ЯНВАРЬ!S31+ФЕВРАЛЬ!S31+МАРТ!S31</f>
        <v>21</v>
      </c>
      <c r="T31" s="93">
        <f>ДЕКАБРЬ!T31+ЯНВАРЬ!T31+ФЕВРАЛЬ!T31+МАРТ!T31</f>
        <v>-1</v>
      </c>
      <c r="U31" s="92">
        <f t="shared" si="1"/>
        <v>20</v>
      </c>
      <c r="V31" s="93">
        <f>ДЕКАБРЬ!V31+ЯНВАРЬ!V31+ФЕВРАЛЬ!V31+МАРТ!V31</f>
        <v>8027</v>
      </c>
      <c r="W31" s="93">
        <f>ДЕКАБРЬ!W31+ЯНВАРЬ!W31+ФЕВРАЛЬ!W31+МАРТ!W31</f>
        <v>-342</v>
      </c>
      <c r="X31" s="92">
        <f t="shared" si="2"/>
        <v>7685</v>
      </c>
      <c r="Y31" s="93">
        <f>ДЕКАБРЬ!Y31+ЯНВАРЬ!Y31+ФЕВРАЛЬ!Y31+МАРТ!Y31</f>
        <v>10779</v>
      </c>
      <c r="Z31" s="93">
        <f>ДЕКАБРЬ!Z31+ЯНВАРЬ!Z31+ФЕВРАЛЬ!Z31+МАРТ!Z31</f>
        <v>-499</v>
      </c>
      <c r="AA31" s="232">
        <f t="shared" si="3"/>
        <v>10280</v>
      </c>
      <c r="AB31" s="92">
        <f t="shared" si="14"/>
        <v>0</v>
      </c>
      <c r="AC31" s="234">
        <f t="shared" si="4"/>
        <v>3.5379339828401946E-4</v>
      </c>
      <c r="AD31" s="92">
        <f t="shared" si="5"/>
        <v>2110.8000000000002</v>
      </c>
      <c r="AE31" s="93">
        <f>ДЕКАБРЬ!AE31+ЯНВАРЬ!AE31+ФЕВРАЛЬ!AE31+МАРТ!AE31</f>
        <v>3882.66</v>
      </c>
      <c r="AF31" s="234">
        <f t="shared" si="6"/>
        <v>0.3776906614785992</v>
      </c>
      <c r="AG31" s="93">
        <f>ДЕКАБРЬ!AG31+ЯНВАРЬ!AG31+ФЕВРАЛЬ!AG31+МАРТ!AG31</f>
        <v>3938.8800000000006</v>
      </c>
      <c r="AH31" s="93">
        <f>ДЕКАБРЬ!AH31+ЯНВАРЬ!AH31+ФЕВРАЛЬ!AH31+МАРТ!AH31</f>
        <v>575</v>
      </c>
      <c r="AI31" s="93">
        <f>ДЕКАБРЬ!AI31+ЯНВАРЬ!AI31+ФЕВРАЛЬ!AI31+МАРТ!AI31</f>
        <v>1083</v>
      </c>
      <c r="AJ31" s="93">
        <f>ДЕКАБРЬ!AJ31+ЯНВАРЬ!AJ31+ФЕВРАЛЬ!AJ31+МАРТ!AJ31</f>
        <v>0</v>
      </c>
      <c r="AK31" s="93"/>
      <c r="AL31" s="93">
        <f>ДЕКАБРЬ!AL31+ЯНВАРЬ!AL31+ФЕВРАЛЬ!AL31+МАРТ!AL31</f>
        <v>3.4974592185883662</v>
      </c>
      <c r="AM31" s="93">
        <f>ДЕКАБРЬ!AM31+ЯНВАРЬ!AM31+ФЕВРАЛЬ!AM31+МАРТ!AM31</f>
        <v>0</v>
      </c>
      <c r="AN31" s="93">
        <f>ДЕКАБРЬ!AN31+ЯНВАРЬ!AN31+ФЕВРАЛЬ!AN31+МАРТ!AN31</f>
        <v>413.43500132626025</v>
      </c>
      <c r="AO31" s="95">
        <f t="shared" si="15"/>
        <v>-1727.2724605448493</v>
      </c>
      <c r="AP31" s="96"/>
      <c r="AQ31" s="97">
        <f t="shared" si="7"/>
        <v>514</v>
      </c>
      <c r="AR31" s="98">
        <f t="shared" si="26"/>
        <v>105.54</v>
      </c>
      <c r="AS31" s="98">
        <f t="shared" si="9"/>
        <v>194.13299999999998</v>
      </c>
      <c r="AT31" s="98">
        <f t="shared" si="10"/>
        <v>187.56571428571431</v>
      </c>
      <c r="AU31" s="98">
        <f t="shared" si="16"/>
        <v>78.952380952380949</v>
      </c>
      <c r="AV31" s="98">
        <f t="array" ref="AV31">_xlfn.IFS(U31=0,AO31,U31&lt;0,AO31/-U31,U31&gt;0,AO31/U31)</f>
        <v>-86.363623027242468</v>
      </c>
      <c r="AW31" s="234">
        <f>IF(AQ31=0,0,AV31/AQ31)</f>
        <v>-0.16802261289346784</v>
      </c>
      <c r="AX31" s="234">
        <f>IF(AR31=0,0,AV31/AR31)</f>
        <v>-0.81830228375253422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28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29">E32*K32</f>
        <v>0</v>
      </c>
      <c r="M32" s="89"/>
      <c r="N32" s="93">
        <f>ДЕКАБРЬ!N32+ЯНВАРЬ!N32+ФЕВРАЛЬ!N32+МАРТ!N32</f>
        <v>9</v>
      </c>
      <c r="O32" s="89"/>
      <c r="P32" s="89"/>
      <c r="Q32" s="233"/>
      <c r="R32" s="92"/>
      <c r="S32" s="93">
        <f>ДЕКАБРЬ!S32+ЯНВАРЬ!S32+ФЕВРАЛЬ!S32+МАРТ!S32</f>
        <v>5</v>
      </c>
      <c r="T32" s="93">
        <f>ДЕКАБРЬ!T32+ЯНВАРЬ!T32+ФЕВРАЛЬ!T32+МАРТ!T32</f>
        <v>0</v>
      </c>
      <c r="U32" s="92">
        <f t="shared" si="1"/>
        <v>5</v>
      </c>
      <c r="V32" s="93">
        <f>ДЕКАБРЬ!V32+ЯНВАРЬ!V32+ФЕВРАЛЬ!V32+МАРТ!V32</f>
        <v>2062.7600000000002</v>
      </c>
      <c r="W32" s="93">
        <f>ДЕКАБРЬ!W32+ЯНВАРЬ!W32+ФЕВРАЛЬ!W32+МАРТ!W32</f>
        <v>0</v>
      </c>
      <c r="X32" s="92">
        <f t="shared" si="2"/>
        <v>2062.7600000000002</v>
      </c>
      <c r="Y32" s="93">
        <f>ДЕКАБРЬ!Y32+ЯНВАРЬ!Y32+ФЕВРАЛЬ!Y32+МАРТ!Y32</f>
        <v>2694.99</v>
      </c>
      <c r="Z32" s="93">
        <f>ДЕКАБРЬ!Z32+ЯНВАРЬ!Z32+ФЕВРАЛЬ!Z32+МАРТ!Z32</f>
        <v>0</v>
      </c>
      <c r="AA32" s="232">
        <f t="shared" si="3"/>
        <v>2694.99</v>
      </c>
      <c r="AB32" s="92">
        <f t="shared" si="14"/>
        <v>0</v>
      </c>
      <c r="AC32" s="234">
        <f t="shared" si="4"/>
        <v>9.274996794177525E-5</v>
      </c>
      <c r="AD32" s="92">
        <f t="shared" si="5"/>
        <v>703.19999999999993</v>
      </c>
      <c r="AE32" s="93">
        <f>ДЕКАБРЬ!AE32+ЯНВАРЬ!AE32+ФЕВРАЛЬ!AE32+МАРТ!AE32</f>
        <v>1012.5599999999997</v>
      </c>
      <c r="AF32" s="234">
        <f t="shared" si="6"/>
        <v>0.37571939042445418</v>
      </c>
      <c r="AG32" s="93">
        <f>ДЕКАБРЬ!AG32+ЯНВАРЬ!AG32+ФЕВРАЛЬ!AG32+МАРТ!AG32</f>
        <v>777.66000000000008</v>
      </c>
      <c r="AH32" s="93">
        <f>ДЕКАБРЬ!AH32+ЯНВАРЬ!AH32+ФЕВРАЛЬ!AH32+МАРТ!AH32</f>
        <v>0</v>
      </c>
      <c r="AI32" s="93">
        <f>ДЕКАБРЬ!AI32+ЯНВАРЬ!AI32+ФЕВРАЛЬ!AI32+МАРТ!AI32</f>
        <v>0</v>
      </c>
      <c r="AJ32" s="93">
        <f>ДЕКАБРЬ!AJ32+ЯНВАРЬ!AJ32+ФЕВРАЛЬ!AJ32+МАРТ!AJ32</f>
        <v>0</v>
      </c>
      <c r="AK32" s="93"/>
      <c r="AL32" s="93">
        <f>ДЕКАБРЬ!AL32+ЯНВАРЬ!AL32+ФЕВРАЛЬ!AL32+МАРТ!AL32</f>
        <v>0</v>
      </c>
      <c r="AM32" s="93">
        <f>ДЕКАБРЬ!AM32+ЯНВАРЬ!AM32+ФЕВРАЛЬ!AM32+МАРТ!AM32</f>
        <v>0</v>
      </c>
      <c r="AN32" s="93">
        <f>ДЕКАБРЬ!AN32+ЯНВАРЬ!AN32+ФЕВРАЛЬ!AN32+МАРТ!AN32</f>
        <v>109.29265786686881</v>
      </c>
      <c r="AO32" s="95">
        <f t="shared" si="15"/>
        <v>92.277342133131356</v>
      </c>
      <c r="AP32" s="96"/>
      <c r="AQ32" s="97">
        <f t="shared" si="7"/>
        <v>538.99799999999993</v>
      </c>
      <c r="AR32" s="98">
        <f t="shared" si="26"/>
        <v>140.63999999999999</v>
      </c>
      <c r="AS32" s="98">
        <f t="shared" si="9"/>
        <v>202.51199999999994</v>
      </c>
      <c r="AT32" s="98">
        <f t="shared" si="10"/>
        <v>155.53200000000001</v>
      </c>
      <c r="AU32" s="98">
        <f t="shared" si="16"/>
        <v>0</v>
      </c>
      <c r="AV32" s="98">
        <f t="array" ref="AV32">_xlfn.IFS(U32=0,AO32,U32&lt;0,AO32/-U32,U32&gt;0,AO32/U32)</f>
        <v>18.455468426626272</v>
      </c>
      <c r="AW32" s="234">
        <f t="shared" ref="AW32" si="30">IF(AQ32=0,0,AV32/AQ32)</f>
        <v>3.4240328213882565E-2</v>
      </c>
      <c r="AX32" s="234">
        <f t="shared" ref="AX32" si="31">IF(AR32=0,0,AV32/AR32)</f>
        <v>0.1312248892678205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93">
        <f>ДЕКАБРЬ!N33+ЯНВАРЬ!N33+ФЕВРАЛЬ!N33+МАРТ!N33</f>
        <v>83</v>
      </c>
      <c r="O33" s="89"/>
      <c r="P33" s="89"/>
      <c r="Q33" s="233"/>
      <c r="R33" s="92"/>
      <c r="S33" s="93">
        <f>ДЕКАБРЬ!S33+ЯНВАРЬ!S33+ФЕВРАЛЬ!S33+МАРТ!S33</f>
        <v>31</v>
      </c>
      <c r="T33" s="93">
        <f>ДЕКАБРЬ!T33+ЯНВАРЬ!T33+ФЕВРАЛЬ!T33+МАРТ!T33</f>
        <v>-3</v>
      </c>
      <c r="U33" s="92">
        <f t="shared" si="1"/>
        <v>28</v>
      </c>
      <c r="V33" s="93">
        <f>ДЕКАБРЬ!V33+ЯНВАРЬ!V33+ФЕВРАЛЬ!V33+МАРТ!V33</f>
        <v>18678.419999999998</v>
      </c>
      <c r="W33" s="93">
        <f>ДЕКАБРЬ!W33+ЯНВАРЬ!W33+ФЕВРАЛЬ!W33+МАРТ!W33</f>
        <v>-1429</v>
      </c>
      <c r="X33" s="92">
        <f t="shared" si="2"/>
        <v>17249.419999999998</v>
      </c>
      <c r="Y33" s="93">
        <f>ДЕКАБРЬ!Y33+ЯНВАРЬ!Y33+ФЕВРАЛЬ!Y33+МАРТ!Y33</f>
        <v>29393.040000000001</v>
      </c>
      <c r="Z33" s="93">
        <f>ДЕКАБРЬ!Z33+ЯНВАРЬ!Z33+ФЕВРАЛЬ!Z33+МАРТ!Z33</f>
        <v>-2334</v>
      </c>
      <c r="AA33" s="232">
        <f t="shared" si="3"/>
        <v>27059.040000000001</v>
      </c>
      <c r="AB33" s="92">
        <f t="shared" si="14"/>
        <v>0</v>
      </c>
      <c r="AC33" s="234">
        <f t="shared" si="4"/>
        <v>9.3125580894000144E-4</v>
      </c>
      <c r="AD33" s="92">
        <f t="shared" si="5"/>
        <v>3446.52</v>
      </c>
      <c r="AE33" s="93">
        <f>ДЕКАБРЬ!AE33+ЯНВАРЬ!AE33+ФЕВРАЛЬ!AE33+МАРТ!AE33</f>
        <v>10159.169999999998</v>
      </c>
      <c r="AF33" s="234">
        <f t="shared" si="6"/>
        <v>0.37544458339985448</v>
      </c>
      <c r="AG33" s="93">
        <f>ДЕКАБРЬ!AG33+ЯНВАРЬ!AG33+ФЕВРАЛЬ!AG33+МАРТ!AG33</f>
        <v>4929.4400000000005</v>
      </c>
      <c r="AH33" s="93">
        <f>ДЕКАБРЬ!AH33+ЯНВАРЬ!AH33+ФЕВРАЛЬ!AH33+МАРТ!AH33</f>
        <v>8000</v>
      </c>
      <c r="AI33" s="93">
        <f>ДЕКАБРЬ!AI33+ЯНВАРЬ!AI33+ФЕВРАЛЬ!AI33+МАРТ!AI33</f>
        <v>10750</v>
      </c>
      <c r="AJ33" s="93">
        <f>ДЕКАБРЬ!AJ33+ЯНВАРЬ!AJ33+ФЕВРАЛЬ!AJ33+МАРТ!AJ33</f>
        <v>0</v>
      </c>
      <c r="AK33" s="93"/>
      <c r="AL33" s="93">
        <f>ДЕКАБРЬ!AL33+ЯНВАРЬ!AL33+ФЕВРАЛЬ!AL33+МАРТ!AL33</f>
        <v>1046.0637559744293</v>
      </c>
      <c r="AM33" s="93">
        <f>ДЕКАБРЬ!AM33+ЯНВАРЬ!AM33+ФЕВРАЛЬ!AM33+МАРТ!AM33</f>
        <v>0</v>
      </c>
      <c r="AN33" s="93">
        <f>ДЕКАБРЬ!AN33+ЯНВАРЬ!AN33+ФЕВРАЛЬ!AN33+МАРТ!AN33</f>
        <v>961.42062824420702</v>
      </c>
      <c r="AO33" s="95">
        <f t="shared" si="15"/>
        <v>-12233.574384218635</v>
      </c>
      <c r="AP33" s="96"/>
      <c r="AQ33" s="97">
        <f t="shared" si="7"/>
        <v>966.39428571428573</v>
      </c>
      <c r="AR33" s="98">
        <f t="shared" si="26"/>
        <v>123.09</v>
      </c>
      <c r="AS33" s="98">
        <f t="shared" si="9"/>
        <v>362.82749999999993</v>
      </c>
      <c r="AT33" s="98">
        <f t="shared" si="10"/>
        <v>159.01419354838711</v>
      </c>
      <c r="AU33" s="98">
        <f t="shared" si="16"/>
        <v>604.83870967741939</v>
      </c>
      <c r="AV33" s="98">
        <f t="array" ref="AV33">_xlfn.IFS(U33=0,AO33,U33&lt;0,AO33/-U33,U33&gt;0,AO33/U33)</f>
        <v>-436.91337086495122</v>
      </c>
      <c r="AW33" s="234">
        <f>IF(AQ33=0,0,AV33/AQ33)</f>
        <v>-0.4521067408237186</v>
      </c>
      <c r="AX33" s="234">
        <f>IF(AR33=0,0,AV33/AR33)</f>
        <v>-3.5495439992278106</v>
      </c>
      <c r="AY33" s="99"/>
      <c r="AZ33" s="94">
        <f t="shared" si="13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93">
        <f>ДЕКАБРЬ!N34+ЯНВАРЬ!N34+ФЕВРАЛЬ!N34+МАРТ!N34</f>
        <v>35</v>
      </c>
      <c r="O34" s="89"/>
      <c r="P34" s="89"/>
      <c r="Q34" s="233"/>
      <c r="R34" s="92"/>
      <c r="S34" s="93">
        <f>ДЕКАБРЬ!S34+ЯНВАРЬ!S34+ФЕВРАЛЬ!S34+МАРТ!S34</f>
        <v>23</v>
      </c>
      <c r="T34" s="93">
        <f>ДЕКАБРЬ!T34+ЯНВАРЬ!T34+ФЕВРАЛЬ!T34+МАРТ!T34</f>
        <v>-1</v>
      </c>
      <c r="U34" s="92">
        <f t="shared" si="1"/>
        <v>22</v>
      </c>
      <c r="V34" s="93">
        <f>ДЕКАБРЬ!V34+ЯНВАРЬ!V34+ФЕВРАЛЬ!V34+МАРТ!V34</f>
        <v>5947.64</v>
      </c>
      <c r="W34" s="93">
        <f>ДЕКАБРЬ!W34+ЯНВАРЬ!W34+ФЕВРАЛЬ!W34+МАРТ!W34</f>
        <v>-242</v>
      </c>
      <c r="X34" s="92">
        <f t="shared" si="2"/>
        <v>5705.64</v>
      </c>
      <c r="Y34" s="93">
        <f>ДЕКАБРЬ!Y34+ЯНВАРЬ!Y34+ФЕВРАЛЬ!Y34+МАРТ!Y34</f>
        <v>9697.4</v>
      </c>
      <c r="Z34" s="93">
        <f>ДЕКАБРЬ!Z34+ЯНВАРЬ!Z34+ФЕВРАЛЬ!Z34+МАРТ!Z34</f>
        <v>-439</v>
      </c>
      <c r="AA34" s="232">
        <f t="shared" si="3"/>
        <v>9258.4</v>
      </c>
      <c r="AB34" s="92">
        <f t="shared" si="14"/>
        <v>0</v>
      </c>
      <c r="AC34" s="234">
        <f t="shared" si="4"/>
        <v>3.1863431893703947E-4</v>
      </c>
      <c r="AD34" s="92">
        <f t="shared" si="5"/>
        <v>2579.2799999999997</v>
      </c>
      <c r="AE34" s="93">
        <f>ДЕКАБРЬ!AE34+ЯНВАРЬ!AE34+ФЕВРАЛЬ!AE34+МАРТ!AE34</f>
        <v>2995.8999999999992</v>
      </c>
      <c r="AF34" s="234">
        <f t="shared" si="6"/>
        <v>0.32358722889484137</v>
      </c>
      <c r="AG34" s="93">
        <f>ДЕКАБРЬ!AG34+ЯНВАРЬ!AG34+ФЕВРАЛЬ!AG34+МАРТ!AG34</f>
        <v>2365.56</v>
      </c>
      <c r="AH34" s="93">
        <f>ДЕКАБРЬ!AH34+ЯНВАРЬ!AH34+ФЕВРАЛЬ!AH34+МАРТ!AH34</f>
        <v>0</v>
      </c>
      <c r="AI34" s="93">
        <f>ДЕКАБРЬ!AI34+ЯНВАРЬ!AI34+ФЕВРАЛЬ!AI34+МАРТ!AI34</f>
        <v>0</v>
      </c>
      <c r="AJ34" s="93">
        <f>ДЕКАБРЬ!AJ34+ЯНВАРЬ!AJ34+ФЕВРАЛЬ!AJ34+МАРТ!AJ34</f>
        <v>0</v>
      </c>
      <c r="AK34" s="93"/>
      <c r="AL34" s="93">
        <f>ДЕКАБРЬ!AL34+ЯНВАРЬ!AL34+ФЕВРАЛЬ!AL34+МАРТ!AL34</f>
        <v>80.441562027532413</v>
      </c>
      <c r="AM34" s="93">
        <f>ДЕКАБРЬ!AM34+ЯНВАРЬ!AM34+ФЕВРАЛЬ!AM34+МАРТ!AM34</f>
        <v>10</v>
      </c>
      <c r="AN34" s="93">
        <f>ДЕКАБРЬ!AN34+ЯНВАРЬ!AN34+ФЕВРАЛЬ!AN34+МАРТ!AN34</f>
        <v>323.07551675023154</v>
      </c>
      <c r="AO34" s="95">
        <f t="shared" si="15"/>
        <v>904.14292122223674</v>
      </c>
      <c r="AP34" s="96"/>
      <c r="AQ34" s="97">
        <f t="shared" si="7"/>
        <v>420.83636363636361</v>
      </c>
      <c r="AR34" s="98">
        <f t="shared" si="26"/>
        <v>117.24</v>
      </c>
      <c r="AS34" s="98">
        <f t="shared" si="9"/>
        <v>136.17727272727268</v>
      </c>
      <c r="AT34" s="98">
        <f t="shared" si="10"/>
        <v>102.85043478260869</v>
      </c>
      <c r="AU34" s="98">
        <f t="shared" si="16"/>
        <v>0</v>
      </c>
      <c r="AV34" s="98">
        <f t="array" ref="AV34">_xlfn.IFS(U34=0,AO34,U34&lt;0,AO34/-U34,U34&gt;0,AO34/U34)</f>
        <v>41.097405510101673</v>
      </c>
      <c r="AW34" s="234">
        <f>IF(AQ34=0,0,AV34/AQ34)</f>
        <v>9.7656498015017371E-2</v>
      </c>
      <c r="AX34" s="234">
        <f>IF(AR34=0,0,AV34/AR34)</f>
        <v>0.35054081806637388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2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3">E35*K35</f>
        <v>0</v>
      </c>
      <c r="M35" s="89"/>
      <c r="N35" s="93">
        <f>ДЕКАБРЬ!N35+ЯНВАРЬ!N35+ФЕВРАЛЬ!N35+МАРТ!N35</f>
        <v>0</v>
      </c>
      <c r="O35" s="89"/>
      <c r="P35" s="89"/>
      <c r="Q35" s="233"/>
      <c r="R35" s="92"/>
      <c r="S35" s="93">
        <f>ДЕКАБРЬ!S35+ЯНВАРЬ!S35+ФЕВРАЛЬ!S35+МАРТ!S35</f>
        <v>0</v>
      </c>
      <c r="T35" s="93">
        <f>ДЕКАБРЬ!T35+ЯНВАРЬ!T35+ФЕВРАЛЬ!T35+МАРТ!T35</f>
        <v>0</v>
      </c>
      <c r="U35" s="92">
        <f t="shared" si="1"/>
        <v>0</v>
      </c>
      <c r="V35" s="93">
        <f>ДЕКАБРЬ!V35+ЯНВАРЬ!V35+ФЕВРАЛЬ!V35+МАРТ!V35</f>
        <v>0</v>
      </c>
      <c r="W35" s="93">
        <f>ДЕКАБРЬ!W35+ЯНВАРЬ!W35+ФЕВРАЛЬ!W35+МАРТ!W35</f>
        <v>0</v>
      </c>
      <c r="X35" s="92">
        <f t="shared" si="2"/>
        <v>0</v>
      </c>
      <c r="Y35" s="93">
        <f>ДЕКАБРЬ!Y35+ЯНВАРЬ!Y35+ФЕВРАЛЬ!Y35+МАРТ!Y35</f>
        <v>0</v>
      </c>
      <c r="Z35" s="93">
        <f>ДЕКАБРЬ!Z35+ЯНВАРЬ!Z35+ФЕВРАЛЬ!Z35+МАРТ!Z35</f>
        <v>0</v>
      </c>
      <c r="AA35" s="232">
        <f t="shared" si="3"/>
        <v>0</v>
      </c>
      <c r="AB35" s="92">
        <f t="shared" si="14"/>
        <v>0</v>
      </c>
      <c r="AC35" s="234">
        <f t="shared" ref="AC35:AC66" si="34">AA35/$AA$126</f>
        <v>0</v>
      </c>
      <c r="AD35" s="92">
        <f t="shared" si="5"/>
        <v>0</v>
      </c>
      <c r="AE35" s="93">
        <f>ДЕКАБРЬ!AE35+ЯНВАРЬ!AE35+ФЕВРАЛЬ!AE35+МАРТ!AE35</f>
        <v>0</v>
      </c>
      <c r="AF35" s="234">
        <f t="shared" si="6"/>
        <v>0</v>
      </c>
      <c r="AG35" s="93">
        <f>ДЕКАБРЬ!AG35+ЯНВАРЬ!AG35+ФЕВРАЛЬ!AG35+МАРТ!AG35</f>
        <v>0</v>
      </c>
      <c r="AH35" s="93">
        <f>ДЕКАБРЬ!AH35+ЯНВАРЬ!AH35+ФЕВРАЛЬ!AH35+МАРТ!AH35</f>
        <v>0</v>
      </c>
      <c r="AI35" s="93">
        <f>ДЕКАБРЬ!AI35+ЯНВАРЬ!AI35+ФЕВРАЛЬ!AI35+МАРТ!AI35</f>
        <v>0</v>
      </c>
      <c r="AJ35" s="93">
        <f>ДЕКАБРЬ!AJ35+ЯНВАРЬ!AJ35+ФЕВРАЛЬ!AJ35+МАРТ!AJ35</f>
        <v>0</v>
      </c>
      <c r="AK35" s="93"/>
      <c r="AL35" s="93">
        <f>ДЕКАБРЬ!AL35+ЯНВАРЬ!AL35+ФЕВРАЛЬ!AL35+МАРТ!AL35</f>
        <v>0</v>
      </c>
      <c r="AM35" s="93">
        <f>ДЕКАБРЬ!AM35+ЯНВАРЬ!AM35+ФЕВРАЛЬ!AM35+МАРТ!AM35</f>
        <v>0</v>
      </c>
      <c r="AN35" s="93">
        <f>ДЕКАБРЬ!AN35+ЯНВАРЬ!AN35+ФЕВРАЛЬ!AN35+МАРТ!AN35</f>
        <v>0</v>
      </c>
      <c r="AO35" s="95">
        <f t="shared" si="15"/>
        <v>0</v>
      </c>
      <c r="AP35" s="96"/>
      <c r="AQ35" s="97">
        <f t="shared" si="7"/>
        <v>0</v>
      </c>
      <c r="AR35" s="98">
        <f t="shared" si="26"/>
        <v>128.94</v>
      </c>
      <c r="AS35" s="98">
        <f t="shared" si="9"/>
        <v>0</v>
      </c>
      <c r="AT35" s="98">
        <f t="shared" si="10"/>
        <v>0</v>
      </c>
      <c r="AU35" s="98">
        <f t="shared" si="16"/>
        <v>0</v>
      </c>
      <c r="AV35" s="98">
        <f t="array" ref="AV35">_xlfn.IFS(U35=0,AO35,U35&lt;0,AO35/-U35,U35&gt;0,AO35/U35)</f>
        <v>0</v>
      </c>
      <c r="AW35" s="234">
        <f t="shared" ref="AW35:AW98" si="35">IF(AQ35=0,0,AV35/AQ35)</f>
        <v>0</v>
      </c>
      <c r="AX35" s="234">
        <f t="shared" ref="AX35:AX98" si="36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2"/>
        <v>0</v>
      </c>
      <c r="F36" s="93"/>
      <c r="G36" s="93"/>
      <c r="H36" s="93"/>
      <c r="I36" s="93"/>
      <c r="J36" s="93"/>
      <c r="K36" s="93">
        <v>169.89</v>
      </c>
      <c r="L36" s="92">
        <f t="shared" si="33"/>
        <v>0</v>
      </c>
      <c r="M36" s="89"/>
      <c r="N36" s="93">
        <f>ДЕКАБРЬ!N36+ЯНВАРЬ!N36+ФЕВРАЛЬ!N36+МАРТ!N36</f>
        <v>0</v>
      </c>
      <c r="O36" s="89"/>
      <c r="P36" s="89"/>
      <c r="Q36" s="233"/>
      <c r="R36" s="92"/>
      <c r="S36" s="93">
        <f>ДЕКАБРЬ!S36+ЯНВАРЬ!S36+ФЕВРАЛЬ!S36+МАРТ!S36</f>
        <v>0</v>
      </c>
      <c r="T36" s="93">
        <f>ДЕКАБРЬ!T36+ЯНВАРЬ!T36+ФЕВРАЛЬ!T36+МАРТ!T36</f>
        <v>0</v>
      </c>
      <c r="U36" s="92">
        <f t="shared" si="1"/>
        <v>0</v>
      </c>
      <c r="V36" s="93">
        <f>ДЕКАБРЬ!V36+ЯНВАРЬ!V36+ФЕВРАЛЬ!V36+МАРТ!V36</f>
        <v>0</v>
      </c>
      <c r="W36" s="93">
        <f>ДЕКАБРЬ!W36+ЯНВАРЬ!W36+ФЕВРАЛЬ!W36+МАРТ!W36</f>
        <v>0</v>
      </c>
      <c r="X36" s="92">
        <f t="shared" si="2"/>
        <v>0</v>
      </c>
      <c r="Y36" s="93">
        <f>ДЕКАБРЬ!Y36+ЯНВАРЬ!Y36+ФЕВРАЛЬ!Y36+МАРТ!Y36</f>
        <v>0</v>
      </c>
      <c r="Z36" s="93">
        <f>ДЕКАБРЬ!Z36+ЯНВАРЬ!Z36+ФЕВРАЛЬ!Z36+МАРТ!Z36</f>
        <v>0</v>
      </c>
      <c r="AA36" s="232">
        <f t="shared" si="3"/>
        <v>0</v>
      </c>
      <c r="AB36" s="92">
        <f t="shared" si="14"/>
        <v>0</v>
      </c>
      <c r="AC36" s="234">
        <f t="shared" si="34"/>
        <v>0</v>
      </c>
      <c r="AD36" s="92">
        <f t="shared" si="5"/>
        <v>0</v>
      </c>
      <c r="AE36" s="93">
        <f>ДЕКАБРЬ!AE36+ЯНВАРЬ!AE36+ФЕВРАЛЬ!AE36+МАРТ!AE36</f>
        <v>0</v>
      </c>
      <c r="AF36" s="234">
        <f t="shared" si="6"/>
        <v>0</v>
      </c>
      <c r="AG36" s="93">
        <f>ДЕКАБРЬ!AG36+ЯНВАРЬ!AG36+ФЕВРАЛЬ!AG36+МАРТ!AG36</f>
        <v>0</v>
      </c>
      <c r="AH36" s="93">
        <f>ДЕКАБРЬ!AH36+ЯНВАРЬ!AH36+ФЕВРАЛЬ!AH36+МАРТ!AH36</f>
        <v>0</v>
      </c>
      <c r="AI36" s="93">
        <f>ДЕКАБРЬ!AI36+ЯНВАРЬ!AI36+ФЕВРАЛЬ!AI36+МАРТ!AI36</f>
        <v>0</v>
      </c>
      <c r="AJ36" s="93">
        <f>ДЕКАБРЬ!AJ36+ЯНВАРЬ!AJ36+ФЕВРАЛЬ!AJ36+МАРТ!AJ36</f>
        <v>0</v>
      </c>
      <c r="AK36" s="93"/>
      <c r="AL36" s="93">
        <f>ДЕКАБРЬ!AL36+ЯНВАРЬ!AL36+ФЕВРАЛЬ!AL36+МАРТ!AL36</f>
        <v>0</v>
      </c>
      <c r="AM36" s="93">
        <f>ДЕКАБРЬ!AM36+ЯНВАРЬ!AM36+ФЕВРАЛЬ!AM36+МАРТ!AM36</f>
        <v>0</v>
      </c>
      <c r="AN36" s="93">
        <f>ДЕКАБРЬ!AN36+ЯНВАРЬ!AN36+ФЕВРАЛЬ!AN36+МАРТ!AN36</f>
        <v>0</v>
      </c>
      <c r="AO36" s="95">
        <f t="shared" si="15"/>
        <v>0</v>
      </c>
      <c r="AP36" s="96"/>
      <c r="AQ36" s="97">
        <f t="shared" si="7"/>
        <v>0</v>
      </c>
      <c r="AR36" s="98">
        <f t="shared" si="26"/>
        <v>169.89</v>
      </c>
      <c r="AS36" s="98">
        <f t="shared" si="9"/>
        <v>0</v>
      </c>
      <c r="AT36" s="98">
        <f t="shared" si="10"/>
        <v>0</v>
      </c>
      <c r="AU36" s="98">
        <f t="shared" si="16"/>
        <v>0</v>
      </c>
      <c r="AV36" s="98">
        <f t="array" ref="AV36">_xlfn.IFS(U36=0,AO36,U36&lt;0,AO36/-U36,U36&gt;0,AO36/U36)</f>
        <v>0</v>
      </c>
      <c r="AW36" s="234">
        <f t="shared" si="35"/>
        <v>0</v>
      </c>
      <c r="AX36" s="234">
        <f t="shared" si="36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2"/>
        <v>0</v>
      </c>
      <c r="F37" s="93"/>
      <c r="G37" s="93"/>
      <c r="H37" s="93"/>
      <c r="I37" s="93"/>
      <c r="J37" s="93"/>
      <c r="K37" s="93">
        <v>169.89</v>
      </c>
      <c r="L37" s="92">
        <f t="shared" si="33"/>
        <v>0</v>
      </c>
      <c r="M37" s="89"/>
      <c r="N37" s="93">
        <f>ДЕКАБРЬ!N37+ЯНВАРЬ!N37+ФЕВРАЛЬ!N37+МАРТ!N37</f>
        <v>34</v>
      </c>
      <c r="O37" s="89"/>
      <c r="P37" s="89"/>
      <c r="Q37" s="233"/>
      <c r="R37" s="92"/>
      <c r="S37" s="93">
        <f>ДЕКАБРЬ!S37+ЯНВАРЬ!S37+ФЕВРАЛЬ!S37+МАРТ!S37</f>
        <v>15</v>
      </c>
      <c r="T37" s="93">
        <f>ДЕКАБРЬ!T37+ЯНВАРЬ!T37+ФЕВРАЛЬ!T37+МАРТ!T37</f>
        <v>0</v>
      </c>
      <c r="U37" s="92">
        <f t="shared" si="1"/>
        <v>15</v>
      </c>
      <c r="V37" s="93">
        <f>ДЕКАБРЬ!V37+ЯНВАРЬ!V37+ФЕВРАЛЬ!V37+МАРТ!V37</f>
        <v>10072</v>
      </c>
      <c r="W37" s="93">
        <f>ДЕКАБРЬ!W37+ЯНВАРЬ!W37+ФЕВРАЛЬ!W37+МАРТ!W37</f>
        <v>0</v>
      </c>
      <c r="X37" s="92">
        <f t="shared" si="2"/>
        <v>10072</v>
      </c>
      <c r="Y37" s="93">
        <f>ДЕКАБРЬ!Y37+ЯНВАРЬ!Y37+ФЕВРАЛЬ!Y37+МАРТ!Y37</f>
        <v>14958.619999999999</v>
      </c>
      <c r="Z37" s="93">
        <f>ДЕКАБРЬ!Z37+ЯНВАРЬ!Z37+ФЕВРАЛЬ!Z37+МАРТ!Z37</f>
        <v>0</v>
      </c>
      <c r="AA37" s="232">
        <f t="shared" si="3"/>
        <v>14958.619999999999</v>
      </c>
      <c r="AB37" s="92">
        <f t="shared" si="14"/>
        <v>0</v>
      </c>
      <c r="AC37" s="234">
        <f t="shared" si="34"/>
        <v>5.1481138165751939E-4</v>
      </c>
      <c r="AD37" s="92">
        <f t="shared" si="5"/>
        <v>2548.35</v>
      </c>
      <c r="AE37" s="93">
        <f>ДЕКАБРЬ!AE37+ЯНВАРЬ!AE37+ФЕВРАЛЬ!AE37+МАРТ!AE37</f>
        <v>5635.35</v>
      </c>
      <c r="AF37" s="234">
        <f t="shared" si="6"/>
        <v>0.37672927048083316</v>
      </c>
      <c r="AG37" s="93">
        <f>ДЕКАБРЬ!AG37+ЯНВАРЬ!AG37+ФЕВРАЛЬ!AG37+МАРТ!AG37</f>
        <v>2520.4499999999998</v>
      </c>
      <c r="AH37" s="93">
        <f>ДЕКАБРЬ!AH37+ЯНВАРЬ!AH37+ФЕВРАЛЬ!AH37+МАРТ!AH37</f>
        <v>0</v>
      </c>
      <c r="AI37" s="93">
        <f>ДЕКАБРЬ!AI37+ЯНВАРЬ!AI37+ФЕВРАЛЬ!AI37+МАРТ!AI37</f>
        <v>0</v>
      </c>
      <c r="AJ37" s="93">
        <f>ДЕКАБРЬ!AJ37+ЯНВАРЬ!AJ37+ФЕВРАЛЬ!AJ37+МАРТ!AJ37</f>
        <v>0</v>
      </c>
      <c r="AK37" s="93"/>
      <c r="AL37" s="93">
        <f>ДЕКАБРЬ!AL37+ЯНВАРЬ!AL37+ФЕВРАЛЬ!AL37+МАРТ!AL37</f>
        <v>57.966177644031369</v>
      </c>
      <c r="AM37" s="93">
        <f>ДЕКАБРЬ!AM37+ЯНВАРЬ!AM37+ФЕВРАЛЬ!AM37+МАРТ!AM37</f>
        <v>0</v>
      </c>
      <c r="AN37" s="93">
        <f>ДЕКАБРЬ!AN37+ЯНВАРЬ!AN37+ФЕВРАЛЬ!AN37+МАРТ!AN37</f>
        <v>560.98279885923341</v>
      </c>
      <c r="AO37" s="95">
        <f t="shared" si="15"/>
        <v>3635.5210234967335</v>
      </c>
      <c r="AP37" s="96"/>
      <c r="AQ37" s="97">
        <f t="shared" si="7"/>
        <v>997.24133333333327</v>
      </c>
      <c r="AR37" s="98">
        <f t="shared" si="26"/>
        <v>169.89</v>
      </c>
      <c r="AS37" s="98">
        <f t="shared" si="9"/>
        <v>375.69</v>
      </c>
      <c r="AT37" s="98">
        <f t="shared" si="10"/>
        <v>168.03</v>
      </c>
      <c r="AU37" s="98">
        <f t="shared" si="16"/>
        <v>0</v>
      </c>
      <c r="AV37" s="98">
        <f t="array" ref="AV37">_xlfn.IFS(U37=0,AO37,U37&lt;0,AO37/-U37,U37&gt;0,AO37/U37)</f>
        <v>242.36806823311557</v>
      </c>
      <c r="AW37" s="234">
        <f t="shared" si="35"/>
        <v>0.24303853052599328</v>
      </c>
      <c r="AX37" s="234">
        <f t="shared" si="36"/>
        <v>1.4266176245400881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2"/>
        <v>0</v>
      </c>
      <c r="F38" s="93"/>
      <c r="G38" s="93"/>
      <c r="H38" s="93"/>
      <c r="I38" s="93"/>
      <c r="J38" s="93"/>
      <c r="K38" s="92">
        <v>105.54</v>
      </c>
      <c r="L38" s="92">
        <f t="shared" si="33"/>
        <v>0</v>
      </c>
      <c r="M38" s="89"/>
      <c r="N38" s="93">
        <f>ДЕКАБРЬ!N38+ЯНВАРЬ!N38+ФЕВРАЛЬ!N38+МАРТ!N38</f>
        <v>30</v>
      </c>
      <c r="O38" s="89"/>
      <c r="P38" s="89"/>
      <c r="Q38" s="233"/>
      <c r="R38" s="92"/>
      <c r="S38" s="93">
        <f>ДЕКАБРЬ!S38+ЯНВАРЬ!S38+ФЕВРАЛЬ!S38+МАРТ!S38</f>
        <v>3</v>
      </c>
      <c r="T38" s="93">
        <f>ДЕКАБРЬ!T38+ЯНВАРЬ!T38+ФЕВРАЛЬ!T38+МАРТ!T38</f>
        <v>0</v>
      </c>
      <c r="U38" s="92">
        <f t="shared" si="1"/>
        <v>3</v>
      </c>
      <c r="V38" s="93">
        <f>ДЕКАБРЬ!V38+ЯНВАРЬ!V38+ФЕВРАЛЬ!V38+МАРТ!V38</f>
        <v>2187</v>
      </c>
      <c r="W38" s="93">
        <f>ДЕКАБРЬ!W38+ЯНВАРЬ!W38+ФЕВРАЛЬ!W38+МАРТ!W38</f>
        <v>0</v>
      </c>
      <c r="X38" s="92">
        <f t="shared" si="2"/>
        <v>2187</v>
      </c>
      <c r="Y38" s="93">
        <f>ДЕКАБРЬ!Y38+ЯНВАРЬ!Y38+ФЕВРАЛЬ!Y38+МАРТ!Y38</f>
        <v>3531.09</v>
      </c>
      <c r="Z38" s="93">
        <f>ДЕКАБРЬ!Z38+ЯНВАРЬ!Z38+ФЕВРАЛЬ!Z38+МАРТ!Z38</f>
        <v>0</v>
      </c>
      <c r="AA38" s="232">
        <f t="shared" si="3"/>
        <v>3531.09</v>
      </c>
      <c r="AB38" s="92">
        <f t="shared" si="14"/>
        <v>0</v>
      </c>
      <c r="AC38" s="234">
        <f t="shared" si="34"/>
        <v>1.215249348975407E-4</v>
      </c>
      <c r="AD38" s="92">
        <f t="shared" si="5"/>
        <v>316.62</v>
      </c>
      <c r="AE38" s="93">
        <f>ДЕКАБРЬ!AE38+ЯНВАРЬ!AE38+ФЕВРАЛЬ!AE38+МАРТ!AE38</f>
        <v>1332.1799999999998</v>
      </c>
      <c r="AF38" s="234">
        <f t="shared" si="6"/>
        <v>0.3772716073507047</v>
      </c>
      <c r="AG38" s="93">
        <f>ДЕКАБРЬ!AG38+ЯНВАРЬ!AG38+ФЕВРАЛЬ!AG38+МАРТ!AG38</f>
        <v>2772.41</v>
      </c>
      <c r="AH38" s="93">
        <f>ДЕКАБРЬ!AH38+ЯНВАРЬ!AH38+ФЕВРАЛЬ!AH38+МАРТ!AH38</f>
        <v>0</v>
      </c>
      <c r="AI38" s="93">
        <f>ДЕКАБРЬ!AI38+ЯНВАРЬ!AI38+ФЕВРАЛЬ!AI38+МАРТ!AI38</f>
        <v>0</v>
      </c>
      <c r="AJ38" s="93">
        <f>ДЕКАБРЬ!AJ38+ЯНВАРЬ!AJ38+ФЕВРАЛЬ!AJ38+МАРТ!AJ38</f>
        <v>0</v>
      </c>
      <c r="AK38" s="93"/>
      <c r="AL38" s="93">
        <f>ДЕКАБРЬ!AL38+ЯНВАРЬ!AL38+ФЕВРАЛЬ!AL38+МАРТ!AL38</f>
        <v>319.57821471163516</v>
      </c>
      <c r="AM38" s="93">
        <f>ДЕКАБРЬ!AM38+ЯНВАРЬ!AM38+ФЕВРАЛЬ!AM38+МАРТ!AM38</f>
        <v>0</v>
      </c>
      <c r="AN38" s="93">
        <f>ДЕКАБРЬ!AN38+ЯНВАРЬ!AN38+ФЕВРАЛЬ!AN38+МАРТ!AN38</f>
        <v>122.06191787819012</v>
      </c>
      <c r="AO38" s="95">
        <f t="shared" si="15"/>
        <v>-1331.7601325898247</v>
      </c>
      <c r="AP38" s="96"/>
      <c r="AQ38" s="97">
        <f t="shared" si="7"/>
        <v>1177.03</v>
      </c>
      <c r="AR38" s="98">
        <f t="shared" si="26"/>
        <v>105.54</v>
      </c>
      <c r="AS38" s="98">
        <f t="shared" si="9"/>
        <v>444.05999999999995</v>
      </c>
      <c r="AT38" s="98">
        <f t="shared" si="10"/>
        <v>924.13666666666666</v>
      </c>
      <c r="AU38" s="98">
        <f t="shared" si="16"/>
        <v>0</v>
      </c>
      <c r="AV38" s="98">
        <f t="array" ref="AV38">_xlfn.IFS(U38=0,AO38,U38&lt;0,AO38/-U38,U38&gt;0,AO38/U38)</f>
        <v>-443.92004419660822</v>
      </c>
      <c r="AW38" s="234">
        <f t="shared" si="35"/>
        <v>-0.3771527014575739</v>
      </c>
      <c r="AX38" s="234">
        <f t="shared" si="36"/>
        <v>-4.2061781712773181</v>
      </c>
      <c r="AY38" s="99"/>
      <c r="AZ38" s="94">
        <f t="shared" si="13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2"/>
        <v>0</v>
      </c>
      <c r="F39" s="93"/>
      <c r="G39" s="93"/>
      <c r="H39" s="93"/>
      <c r="I39" s="93"/>
      <c r="J39" s="93"/>
      <c r="K39" s="92">
        <v>105.54</v>
      </c>
      <c r="L39" s="92">
        <f t="shared" si="33"/>
        <v>0</v>
      </c>
      <c r="M39" s="89"/>
      <c r="N39" s="93">
        <f>ДЕКАБРЬ!N39+ЯНВАРЬ!N39+ФЕВРАЛЬ!N39+МАРТ!N39</f>
        <v>106</v>
      </c>
      <c r="O39" s="89"/>
      <c r="P39" s="89"/>
      <c r="Q39" s="233"/>
      <c r="R39" s="92"/>
      <c r="S39" s="93">
        <f>ДЕКАБРЬ!S39+ЯНВАРЬ!S39+ФЕВРАЛЬ!S39+МАРТ!S39</f>
        <v>37</v>
      </c>
      <c r="T39" s="93">
        <f>ДЕКАБРЬ!T39+ЯНВАРЬ!T39+ФЕВРАЛЬ!T39+МАРТ!T39</f>
        <v>-1</v>
      </c>
      <c r="U39" s="92">
        <f t="shared" si="1"/>
        <v>36</v>
      </c>
      <c r="V39" s="93">
        <f>ДЕКАБРЬ!V39+ЯНВАРЬ!V39+ФЕВРАЛЬ!V39+МАРТ!V39</f>
        <v>25618.5</v>
      </c>
      <c r="W39" s="93">
        <f>ДЕКАБРЬ!W39+ЯНВАРЬ!W39+ФЕВРАЛЬ!W39+МАРТ!W39</f>
        <v>-673</v>
      </c>
      <c r="X39" s="92">
        <f t="shared" si="2"/>
        <v>24945.5</v>
      </c>
      <c r="Y39" s="93">
        <f>ДЕКАБРЬ!Y39+ЯНВАРЬ!Y39+ФЕВРАЛЬ!Y39+МАРТ!Y39</f>
        <v>39677.5</v>
      </c>
      <c r="Z39" s="93">
        <f>ДЕКАБРЬ!Z39+ЯНВАРЬ!Z39+ФЕВРАЛЬ!Z39+МАРТ!Z39</f>
        <v>-1077</v>
      </c>
      <c r="AA39" s="232">
        <f t="shared" si="3"/>
        <v>38600.5</v>
      </c>
      <c r="AB39" s="92">
        <f t="shared" si="14"/>
        <v>0</v>
      </c>
      <c r="AC39" s="234">
        <f t="shared" si="34"/>
        <v>1.328463236426293E-3</v>
      </c>
      <c r="AD39" s="92">
        <f t="shared" si="5"/>
        <v>3799.44</v>
      </c>
      <c r="AE39" s="93">
        <f>ДЕКАБРЬ!AE39+ЯНВАРЬ!AE39+ФЕВРАЛЬ!AE39+МАРТ!AE39</f>
        <v>14500.490000000003</v>
      </c>
      <c r="AF39" s="234">
        <f t="shared" si="6"/>
        <v>0.37565549669045745</v>
      </c>
      <c r="AG39" s="93">
        <f>ДЕКАБРЬ!AG39+ЯНВАРЬ!AG39+ФЕВРАЛЬ!AG39+МАРТ!AG39</f>
        <v>8633.5400000000009</v>
      </c>
      <c r="AH39" s="93">
        <f>ДЕКАБРЬ!AH39+ЯНВАРЬ!AH39+ФЕВРАЛЬ!AH39+МАРТ!AH39</f>
        <v>4156</v>
      </c>
      <c r="AI39" s="93">
        <f>ДЕКАБРЬ!AI39+ЯНВАРЬ!AI39+ФЕВРАЛЬ!AI39+МАРТ!AI39</f>
        <v>7000</v>
      </c>
      <c r="AJ39" s="93">
        <f>ДЕКАБРЬ!AJ39+ЯНВАРЬ!AJ39+ФЕВРАЛЬ!AJ39+МАРТ!AJ39</f>
        <v>0</v>
      </c>
      <c r="AK39" s="93"/>
      <c r="AL39" s="93">
        <f>ДЕКАБРЬ!AL39+ЯНВАРЬ!AL39+ФЕВРАЛЬ!AL39+МАРТ!AL39</f>
        <v>183.7478771262744</v>
      </c>
      <c r="AM39" s="93">
        <f>ДЕКАБРЬ!AM39+ЯНВАРЬ!AM39+ФЕВРАЛЬ!AM39+МАРТ!AM39</f>
        <v>0</v>
      </c>
      <c r="AN39" s="93">
        <f>ДЕКАБРЬ!AN39+ЯНВАРЬ!AN39+ФЕВРАЛЬ!AN39+МАРТ!AN39</f>
        <v>1394.7669588600813</v>
      </c>
      <c r="AO39" s="95">
        <f t="shared" si="15"/>
        <v>-1067.484835986364</v>
      </c>
      <c r="AP39" s="96"/>
      <c r="AQ39" s="97">
        <f t="shared" si="7"/>
        <v>1072.2361111111111</v>
      </c>
      <c r="AR39" s="98">
        <f t="shared" si="26"/>
        <v>105.54</v>
      </c>
      <c r="AS39" s="98">
        <f t="shared" si="9"/>
        <v>402.791388888889</v>
      </c>
      <c r="AT39" s="98">
        <f t="shared" si="10"/>
        <v>233.33891891891895</v>
      </c>
      <c r="AU39" s="98">
        <f t="shared" si="16"/>
        <v>301.51351351351349</v>
      </c>
      <c r="AV39" s="98">
        <f t="array" ref="AV39">_xlfn.IFS(U39=0,AO39,U39&lt;0,AO39/-U39,U39&gt;0,AO39/U39)</f>
        <v>-29.65235655517678</v>
      </c>
      <c r="AW39" s="234">
        <f t="shared" si="35"/>
        <v>-2.765468934304903E-2</v>
      </c>
      <c r="AX39" s="234">
        <f t="shared" si="36"/>
        <v>-0.2809584665072653</v>
      </c>
      <c r="AY39" s="99"/>
      <c r="AZ39" s="94">
        <f t="shared" si="13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2"/>
        <v>0</v>
      </c>
      <c r="F40" s="93"/>
      <c r="G40" s="93"/>
      <c r="H40" s="93"/>
      <c r="I40" s="93"/>
      <c r="J40" s="93"/>
      <c r="K40" s="92">
        <v>105.54</v>
      </c>
      <c r="L40" s="92">
        <f t="shared" si="33"/>
        <v>0</v>
      </c>
      <c r="M40" s="89"/>
      <c r="N40" s="93">
        <f>ДЕКАБРЬ!N40+ЯНВАРЬ!N40+ФЕВРАЛЬ!N40+МАРТ!N40</f>
        <v>52</v>
      </c>
      <c r="O40" s="89"/>
      <c r="P40" s="89"/>
      <c r="Q40" s="233"/>
      <c r="R40" s="92"/>
      <c r="S40" s="93">
        <f>ДЕКАБРЬ!S40+ЯНВАРЬ!S40+ФЕВРАЛЬ!S40+МАРТ!S40</f>
        <v>15</v>
      </c>
      <c r="T40" s="93">
        <f>ДЕКАБРЬ!T40+ЯНВАРЬ!T40+ФЕВРАЛЬ!T40+МАРТ!T40</f>
        <v>-1</v>
      </c>
      <c r="U40" s="92">
        <f t="shared" si="1"/>
        <v>14</v>
      </c>
      <c r="V40" s="93">
        <f>ДЕКАБРЬ!V40+ЯНВАРЬ!V40+ФЕВРАЛЬ!V40+МАРТ!V40</f>
        <v>11467</v>
      </c>
      <c r="W40" s="93">
        <f>ДЕКАБРЬ!W40+ЯНВАРЬ!W40+ФЕВРАЛЬ!W40+МАРТ!W40</f>
        <v>-772</v>
      </c>
      <c r="X40" s="92">
        <f t="shared" si="2"/>
        <v>10695</v>
      </c>
      <c r="Y40" s="93">
        <f>ДЕКАБРЬ!Y40+ЯНВАРЬ!Y40+ФЕВРАЛЬ!Y40+МАРТ!Y40</f>
        <v>17970</v>
      </c>
      <c r="Z40" s="93">
        <f>ДЕКАБРЬ!Z40+ЯНВАРЬ!Z40+ФЕВРАЛЬ!Z40+МАРТ!Z40</f>
        <v>-1197</v>
      </c>
      <c r="AA40" s="232">
        <f t="shared" si="3"/>
        <v>16773</v>
      </c>
      <c r="AB40" s="92">
        <f t="shared" si="14"/>
        <v>0</v>
      </c>
      <c r="AC40" s="234">
        <f t="shared" si="34"/>
        <v>5.772545398266399E-4</v>
      </c>
      <c r="AD40" s="92">
        <f t="shared" si="5"/>
        <v>1477.5600000000002</v>
      </c>
      <c r="AE40" s="93">
        <f>ДЕКАБРЬ!AE40+ЯНВАРЬ!AE40+ФЕВРАЛЬ!AE40+МАРТ!AE40</f>
        <v>6308.8</v>
      </c>
      <c r="AF40" s="234">
        <f t="shared" si="6"/>
        <v>0.37612830143683301</v>
      </c>
      <c r="AG40" s="93">
        <f>ДЕКАБРЬ!AG40+ЯНВАРЬ!AG40+ФЕВРАЛЬ!AG40+МАРТ!AG40</f>
        <v>4339.79</v>
      </c>
      <c r="AH40" s="93">
        <f>ДЕКАБРЬ!AH40+ЯНВАРЬ!AH40+ФЕВРАЛЬ!AH40+МАРТ!AH40</f>
        <v>0</v>
      </c>
      <c r="AI40" s="93">
        <f>ДЕКАБРЬ!AI40+ЯНВАРЬ!AI40+ФЕВРАЛЬ!AI40+МАРТ!AI40</f>
        <v>0</v>
      </c>
      <c r="AJ40" s="93">
        <f>ДЕКАБРЬ!AJ40+ЯНВАРЬ!AJ40+ФЕВРАЛЬ!AJ40+МАРТ!AJ40</f>
        <v>0</v>
      </c>
      <c r="AK40" s="93"/>
      <c r="AL40" s="93">
        <f>ДЕКАБРЬ!AL40+ЯНВАРЬ!AL40+ФЕВРАЛЬ!AL40+МАРТ!AL40</f>
        <v>290.50785569004154</v>
      </c>
      <c r="AM40" s="93">
        <f>ДЕКАБРЬ!AM40+ЯНВАРЬ!AM40+ФЕВРАЛЬ!AM40+МАРТ!AM40</f>
        <v>0</v>
      </c>
      <c r="AN40" s="93">
        <f>ДЕКАБРЬ!AN40+ЯНВАРЬ!AN40+ФЕВРАЛЬ!AN40+МАРТ!AN40</f>
        <v>601.04930512938029</v>
      </c>
      <c r="AO40" s="95">
        <f t="shared" si="15"/>
        <v>3755.2928391805776</v>
      </c>
      <c r="AP40" s="96"/>
      <c r="AQ40" s="97">
        <f t="shared" si="7"/>
        <v>1198.0714285714287</v>
      </c>
      <c r="AR40" s="98">
        <f t="shared" si="26"/>
        <v>105.54</v>
      </c>
      <c r="AS40" s="98">
        <f t="shared" si="9"/>
        <v>450.62857142857143</v>
      </c>
      <c r="AT40" s="98">
        <f t="shared" si="10"/>
        <v>289.3193333333333</v>
      </c>
      <c r="AU40" s="98">
        <f t="shared" si="16"/>
        <v>0</v>
      </c>
      <c r="AV40" s="98">
        <f t="array" ref="AV40">_xlfn.IFS(U40=0,AO40,U40&lt;0,AO40/-U40,U40&gt;0,AO40/U40)</f>
        <v>268.2352027986127</v>
      </c>
      <c r="AW40" s="234">
        <f t="shared" si="35"/>
        <v>0.22388915752581992</v>
      </c>
      <c r="AX40" s="234">
        <f t="shared" si="36"/>
        <v>2.5415501496931276</v>
      </c>
      <c r="AY40" s="99"/>
      <c r="AZ40" s="94">
        <f t="shared" si="13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2"/>
        <v>0</v>
      </c>
      <c r="F41" s="93"/>
      <c r="G41" s="93"/>
      <c r="H41" s="93"/>
      <c r="I41" s="93"/>
      <c r="J41" s="93"/>
      <c r="K41" s="92">
        <v>123.09</v>
      </c>
      <c r="L41" s="92">
        <f t="shared" si="33"/>
        <v>0</v>
      </c>
      <c r="M41" s="89"/>
      <c r="N41" s="93">
        <f>ДЕКАБРЬ!N41+ЯНВАРЬ!N41+ФЕВРАЛЬ!N41+МАРТ!N41</f>
        <v>14</v>
      </c>
      <c r="O41" s="89"/>
      <c r="P41" s="89"/>
      <c r="Q41" s="233"/>
      <c r="R41" s="92"/>
      <c r="S41" s="93">
        <f>ДЕКАБРЬ!S41+ЯНВАРЬ!S41+ФЕВРАЛЬ!S41+МАРТ!S41</f>
        <v>6</v>
      </c>
      <c r="T41" s="93">
        <f>ДЕКАБРЬ!T41+ЯНВАРЬ!T41+ФЕВРАЛЬ!T41+МАРТ!T41</f>
        <v>0</v>
      </c>
      <c r="U41" s="92">
        <f t="shared" si="1"/>
        <v>6</v>
      </c>
      <c r="V41" s="93">
        <f>ДЕКАБРЬ!V41+ЯНВАРЬ!V41+ФЕВРАЛЬ!V41+МАРТ!V41</f>
        <v>4894</v>
      </c>
      <c r="W41" s="93">
        <f>ДЕКАБРЬ!W41+ЯНВАРЬ!W41+ФЕВРАЛЬ!W41+МАРТ!W41</f>
        <v>0</v>
      </c>
      <c r="X41" s="92">
        <f t="shared" si="2"/>
        <v>4894</v>
      </c>
      <c r="Y41" s="93">
        <f>ДЕКАБРЬ!Y41+ЯНВАРЬ!Y41+ФЕВРАЛЬ!Y41+МАРТ!Y41</f>
        <v>7330.46</v>
      </c>
      <c r="Z41" s="93">
        <f>ДЕКАБРЬ!Z41+ЯНВАРЬ!Z41+ФЕВРАЛЬ!Z41+МАРТ!Z41</f>
        <v>0</v>
      </c>
      <c r="AA41" s="232">
        <f t="shared" si="3"/>
        <v>7330.46</v>
      </c>
      <c r="AB41" s="92">
        <f t="shared" si="14"/>
        <v>0</v>
      </c>
      <c r="AC41" s="234">
        <f t="shared" si="34"/>
        <v>2.5228291385068804E-4</v>
      </c>
      <c r="AD41" s="92">
        <f t="shared" si="5"/>
        <v>738.54</v>
      </c>
      <c r="AE41" s="93">
        <f>ДЕКАБРЬ!AE41+ЯНВАРЬ!AE41+ФЕВРАЛЬ!AE41+МАРТ!AE41</f>
        <v>2735.55</v>
      </c>
      <c r="AF41" s="234">
        <f t="shared" si="6"/>
        <v>0.37317576250330814</v>
      </c>
      <c r="AG41" s="93">
        <f>ДЕКАБРЬ!AG41+ЯНВАРЬ!AG41+ФЕВРАЛЬ!AG41+МАРТ!AG41</f>
        <v>1124.3900000000001</v>
      </c>
      <c r="AH41" s="93">
        <f>ДЕКАБРЬ!AH41+ЯНВАРЬ!AH41+ФЕВРАЛЬ!AH41+МАРТ!AH41</f>
        <v>0</v>
      </c>
      <c r="AI41" s="93">
        <f>ДЕКАБРЬ!AI41+ЯНВАРЬ!AI41+ФЕВРАЛЬ!AI41+МАРТ!AI41</f>
        <v>0</v>
      </c>
      <c r="AJ41" s="93">
        <f>ДЕКАБРЬ!AJ41+ЯНВАРЬ!AJ41+ФЕВРАЛЬ!AJ41+МАРТ!AJ41</f>
        <v>0</v>
      </c>
      <c r="AK41" s="93"/>
      <c r="AL41" s="93">
        <f>ДЕКАБРЬ!AL41+ЯНВАРЬ!AL41+ФЕВРАЛЬ!AL41+МАРТ!AL41</f>
        <v>327.56216164817783</v>
      </c>
      <c r="AM41" s="93">
        <f>ДЕКАБРЬ!AM41+ЯНВАРЬ!AM41+ФЕВРАЛЬ!AM41+МАРТ!AM41</f>
        <v>0</v>
      </c>
      <c r="AN41" s="93">
        <f>ДЕКАБРЬ!AN41+ЯНВАРЬ!AN41+ФЕВРАЛЬ!AN41+МАРТ!AN41</f>
        <v>273.86133057273628</v>
      </c>
      <c r="AO41" s="95">
        <f t="shared" si="15"/>
        <v>2130.5565077790857</v>
      </c>
      <c r="AP41" s="96"/>
      <c r="AQ41" s="97">
        <f t="shared" si="7"/>
        <v>1221.7433333333333</v>
      </c>
      <c r="AR41" s="98">
        <f t="shared" si="26"/>
        <v>123.09</v>
      </c>
      <c r="AS41" s="98">
        <f t="shared" si="9"/>
        <v>455.92500000000001</v>
      </c>
      <c r="AT41" s="98">
        <f t="shared" si="10"/>
        <v>187.39833333333334</v>
      </c>
      <c r="AU41" s="98">
        <f t="shared" si="16"/>
        <v>0</v>
      </c>
      <c r="AV41" s="98">
        <f t="array" ref="AV41">_xlfn.IFS(U41=0,AO41,U41&lt;0,AO41/-U41,U41&gt;0,AO41/U41)</f>
        <v>355.09275129651428</v>
      </c>
      <c r="AW41" s="234">
        <f t="shared" si="35"/>
        <v>0.29064431260508694</v>
      </c>
      <c r="AX41" s="234">
        <f t="shared" si="36"/>
        <v>2.8848220919369103</v>
      </c>
      <c r="AY41" s="99"/>
      <c r="AZ41" s="94">
        <f t="shared" si="13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2"/>
        <v>0</v>
      </c>
      <c r="F42" s="93"/>
      <c r="G42" s="93"/>
      <c r="H42" s="93"/>
      <c r="I42" s="93"/>
      <c r="J42" s="93"/>
      <c r="K42" s="92">
        <v>123.09</v>
      </c>
      <c r="L42" s="92">
        <f t="shared" si="33"/>
        <v>0</v>
      </c>
      <c r="M42" s="89"/>
      <c r="N42" s="93">
        <f>ДЕКАБРЬ!N42+ЯНВАРЬ!N42+ФЕВРАЛЬ!N42+МАРТ!N42</f>
        <v>52</v>
      </c>
      <c r="O42" s="89"/>
      <c r="P42" s="89"/>
      <c r="Q42" s="233"/>
      <c r="R42" s="92"/>
      <c r="S42" s="93">
        <f>ДЕКАБРЬ!S42+ЯНВАРЬ!S42+ФЕВРАЛЬ!S42+МАРТ!S42</f>
        <v>16</v>
      </c>
      <c r="T42" s="93">
        <f>ДЕКАБРЬ!T42+ЯНВАРЬ!T42+ФЕВРАЛЬ!T42+МАРТ!T42</f>
        <v>0</v>
      </c>
      <c r="U42" s="92">
        <f t="shared" si="1"/>
        <v>16</v>
      </c>
      <c r="V42" s="93">
        <f>ДЕКАБРЬ!V42+ЯНВАРЬ!V42+ФЕВРАЛЬ!V42+МАРТ!V42</f>
        <v>12157.8</v>
      </c>
      <c r="W42" s="93">
        <f>ДЕКАБРЬ!W42+ЯНВАРЬ!W42+ФЕВРАЛЬ!W42+МАРТ!W42</f>
        <v>0</v>
      </c>
      <c r="X42" s="92">
        <f t="shared" si="2"/>
        <v>12157.8</v>
      </c>
      <c r="Y42" s="93">
        <f>ДЕКАБРЬ!Y42+ЯНВАРЬ!Y42+ФЕВРАЛЬ!Y42+МАРТ!Y42</f>
        <v>18744.910000000003</v>
      </c>
      <c r="Z42" s="93">
        <f>ДЕКАБРЬ!Z42+ЯНВАРЬ!Z42+ФЕВРАЛЬ!Z42+МАРТ!Z42</f>
        <v>0</v>
      </c>
      <c r="AA42" s="232">
        <f t="shared" si="3"/>
        <v>18744.910000000003</v>
      </c>
      <c r="AB42" s="92">
        <f t="shared" si="14"/>
        <v>0</v>
      </c>
      <c r="AC42" s="234">
        <f t="shared" si="34"/>
        <v>6.4511920325176079E-4</v>
      </c>
      <c r="AD42" s="92">
        <f t="shared" si="5"/>
        <v>1969.44</v>
      </c>
      <c r="AE42" s="93">
        <f>ДЕКАБРЬ!AE42+ЯНВАРЬ!AE42+ФЕВРАЛЬ!AE42+МАРТ!AE42</f>
        <v>7063.1900000000023</v>
      </c>
      <c r="AF42" s="234">
        <f t="shared" si="6"/>
        <v>0.37680575686946488</v>
      </c>
      <c r="AG42" s="93">
        <f>ДЕКАБРЬ!AG42+ЯНВАРЬ!AG42+ФЕВРАЛЬ!AG42+МАРТ!AG42</f>
        <v>3335.2699999999995</v>
      </c>
      <c r="AH42" s="93">
        <f>ДЕКАБРЬ!AH42+ЯНВАРЬ!AH42+ФЕВРАЛЬ!AH42+МАРТ!AH42</f>
        <v>0</v>
      </c>
      <c r="AI42" s="93">
        <f>ДЕКАБРЬ!AI42+ЯНВАРЬ!AI42+ФЕВРАЛЬ!AI42+МАРТ!AI42</f>
        <v>0</v>
      </c>
      <c r="AJ42" s="93">
        <f>ДЕКАБРЬ!AJ42+ЯНВАРЬ!AJ42+ФЕВРАЛЬ!AJ42+МАРТ!AJ42</f>
        <v>0</v>
      </c>
      <c r="AK42" s="93"/>
      <c r="AL42" s="93">
        <f>ДЕКАБРЬ!AL42+ЯНВАРЬ!AL42+ФЕВРАЛЬ!AL42+МАРТ!AL42</f>
        <v>280.35593141306759</v>
      </c>
      <c r="AM42" s="93">
        <f>ДЕКАБРЬ!AM42+ЯНВАРЬ!AM42+ФЕВРАЛЬ!AM42+МАРТ!AM42</f>
        <v>0</v>
      </c>
      <c r="AN42" s="93">
        <f>ДЕКАБРЬ!AN42+ЯНВАРЬ!AN42+ФЕВРАЛЬ!AN42+МАРТ!AN42</f>
        <v>679.04480146829576</v>
      </c>
      <c r="AO42" s="95">
        <f t="shared" si="15"/>
        <v>5417.6092671186389</v>
      </c>
      <c r="AP42" s="96"/>
      <c r="AQ42" s="97">
        <f t="shared" si="7"/>
        <v>1171.5568750000002</v>
      </c>
      <c r="AR42" s="98">
        <f t="shared" si="26"/>
        <v>123.09</v>
      </c>
      <c r="AS42" s="98">
        <f t="shared" si="9"/>
        <v>441.44937500000015</v>
      </c>
      <c r="AT42" s="98">
        <f t="shared" si="10"/>
        <v>208.45437499999997</v>
      </c>
      <c r="AU42" s="98">
        <f t="shared" si="16"/>
        <v>0</v>
      </c>
      <c r="AV42" s="98">
        <f t="array" ref="AV42">_xlfn.IFS(U42=0,AO42,U42&lt;0,AO42/-U42,U42&gt;0,AO42/U42)</f>
        <v>338.60057919491493</v>
      </c>
      <c r="AW42" s="234">
        <f t="shared" si="35"/>
        <v>0.28901761956278466</v>
      </c>
      <c r="AX42" s="234">
        <f t="shared" si="36"/>
        <v>2.7508374294818014</v>
      </c>
      <c r="AY42" s="99"/>
      <c r="AZ42" s="94">
        <f t="shared" si="13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2"/>
        <v>0</v>
      </c>
      <c r="F43" s="93"/>
      <c r="G43" s="93"/>
      <c r="H43" s="93"/>
      <c r="I43" s="93"/>
      <c r="J43" s="93"/>
      <c r="K43" s="92">
        <v>123.09</v>
      </c>
      <c r="L43" s="92">
        <f t="shared" si="33"/>
        <v>0</v>
      </c>
      <c r="M43" s="89"/>
      <c r="N43" s="93">
        <f>ДЕКАБРЬ!N43+ЯНВАРЬ!N43+ФЕВРАЛЬ!N43+МАРТ!N43</f>
        <v>109</v>
      </c>
      <c r="O43" s="89"/>
      <c r="P43" s="89"/>
      <c r="Q43" s="233"/>
      <c r="R43" s="92"/>
      <c r="S43" s="93">
        <f>ДЕКАБРЬ!S43+ЯНВАРЬ!S43+ФЕВРАЛЬ!S43+МАРТ!S43</f>
        <v>43</v>
      </c>
      <c r="T43" s="93">
        <f>ДЕКАБРЬ!T43+ЯНВАРЬ!T43+ФЕВРАЛЬ!T43+МАРТ!T43</f>
        <v>-2</v>
      </c>
      <c r="U43" s="92">
        <f t="shared" si="1"/>
        <v>41</v>
      </c>
      <c r="V43" s="93">
        <f>ДЕКАБРЬ!V43+ЯНВАРЬ!V43+ФЕВРАЛЬ!V43+МАРТ!V43</f>
        <v>31234.9</v>
      </c>
      <c r="W43" s="93">
        <f>ДЕКАБРЬ!W43+ЯНВАРЬ!W43+ФЕВРАЛЬ!W43+МАРТ!W43</f>
        <v>-1699</v>
      </c>
      <c r="X43" s="92">
        <f t="shared" si="2"/>
        <v>29535.9</v>
      </c>
      <c r="Y43" s="93">
        <f>ДЕКАБРЬ!Y43+ЯНВАРЬ!Y43+ФЕВРАЛЬ!Y43+МАРТ!Y43</f>
        <v>47500.960000000006</v>
      </c>
      <c r="Z43" s="93">
        <f>ДЕКАБРЬ!Z43+ЯНВАРЬ!Z43+ФЕВРАЛЬ!Z43+МАРТ!Z43</f>
        <v>-2362</v>
      </c>
      <c r="AA43" s="232">
        <f t="shared" si="3"/>
        <v>45138.960000000006</v>
      </c>
      <c r="AB43" s="92">
        <f t="shared" si="14"/>
        <v>0</v>
      </c>
      <c r="AC43" s="234">
        <f t="shared" si="34"/>
        <v>1.5534889157010142E-3</v>
      </c>
      <c r="AD43" s="92">
        <f t="shared" si="5"/>
        <v>5046.6900000000005</v>
      </c>
      <c r="AE43" s="93">
        <f>ДЕКАБРЬ!AE43+ЯНВАРЬ!AE43+ФЕВРАЛЬ!AE43+МАРТ!AE43</f>
        <v>17041.950000000004</v>
      </c>
      <c r="AF43" s="234">
        <f t="shared" si="6"/>
        <v>0.37754414368430289</v>
      </c>
      <c r="AG43" s="93">
        <f>ДЕКАБРЬ!AG43+ЯНВАРЬ!AG43+ФЕВРАЛЬ!AG43+МАРТ!AG43</f>
        <v>8671.2699999999968</v>
      </c>
      <c r="AH43" s="93">
        <f>ДЕКАБРЬ!AH43+ЯНВАРЬ!AH43+ФЕВРАЛЬ!AH43+МАРТ!AH43</f>
        <v>4000</v>
      </c>
      <c r="AI43" s="93">
        <f>ДЕКАБРЬ!AI43+ЯНВАРЬ!AI43+ФЕВРАЛЬ!AI43+МАРТ!AI43</f>
        <v>7000</v>
      </c>
      <c r="AJ43" s="93">
        <f>ДЕКАБРЬ!AJ43+ЯНВАРЬ!AJ43+ФЕВРАЛЬ!AJ43+МАРТ!AJ43</f>
        <v>0</v>
      </c>
      <c r="AK43" s="93"/>
      <c r="AL43" s="93">
        <f>ДЕКАБРЬ!AL43+ЯНВАРЬ!AL43+ФЕВРАЛЬ!AL43+МАРТ!AL43</f>
        <v>171.2155304616162</v>
      </c>
      <c r="AM43" s="93">
        <f>ДЕКАБРЬ!AM43+ЯНВАРЬ!AM43+ФЕВРАЛЬ!AM43+МАРТ!AM43</f>
        <v>0</v>
      </c>
      <c r="AN43" s="93">
        <f>ДЕКАБРЬ!AN43+ЯНВАРЬ!AN43+ФЕВРАЛЬ!AN43+МАРТ!AN43</f>
        <v>1702.5378154412833</v>
      </c>
      <c r="AO43" s="95">
        <f t="shared" si="15"/>
        <v>1505.2966540971033</v>
      </c>
      <c r="AP43" s="96"/>
      <c r="AQ43" s="97">
        <f t="shared" si="7"/>
        <v>1100.9502439024391</v>
      </c>
      <c r="AR43" s="98">
        <f t="shared" si="26"/>
        <v>123.09</v>
      </c>
      <c r="AS43" s="98">
        <f t="shared" si="9"/>
        <v>415.65731707317082</v>
      </c>
      <c r="AT43" s="98">
        <f t="shared" si="10"/>
        <v>201.65744186046504</v>
      </c>
      <c r="AU43" s="98">
        <f t="shared" si="16"/>
        <v>255.81395348837211</v>
      </c>
      <c r="AV43" s="98">
        <f t="array" ref="AV43">_xlfn.IFS(U43=0,AO43,U43&lt;0,AO43/-U43,U43&gt;0,AO43/U43)</f>
        <v>36.71455253895374</v>
      </c>
      <c r="AW43" s="234">
        <f t="shared" si="35"/>
        <v>3.3348057954749141E-2</v>
      </c>
      <c r="AX43" s="234">
        <f t="shared" si="36"/>
        <v>0.29827404776142447</v>
      </c>
      <c r="AY43" s="99"/>
      <c r="AZ43" s="94">
        <f t="shared" si="13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2"/>
        <v>0</v>
      </c>
      <c r="F44" s="93"/>
      <c r="G44" s="93"/>
      <c r="H44" s="93"/>
      <c r="I44" s="93"/>
      <c r="J44" s="93"/>
      <c r="K44" s="92">
        <v>111.39</v>
      </c>
      <c r="L44" s="92">
        <f t="shared" si="33"/>
        <v>0</v>
      </c>
      <c r="M44" s="89"/>
      <c r="N44" s="93">
        <f>ДЕКАБРЬ!N44+ЯНВАРЬ!N44+ФЕВРАЛЬ!N44+МАРТ!N44</f>
        <v>457</v>
      </c>
      <c r="O44" s="89"/>
      <c r="P44" s="89"/>
      <c r="Q44" s="233"/>
      <c r="R44" s="92"/>
      <c r="S44" s="93">
        <f>ДЕКАБРЬ!S44+ЯНВАРЬ!S44+ФЕВРАЛЬ!S44+МАРТ!S44</f>
        <v>200</v>
      </c>
      <c r="T44" s="93">
        <f>ДЕКАБРЬ!T44+ЯНВАРЬ!T44+ФЕВРАЛЬ!T44+МАРТ!T44</f>
        <v>-4</v>
      </c>
      <c r="U44" s="92">
        <f t="shared" si="1"/>
        <v>196</v>
      </c>
      <c r="V44" s="93">
        <f>ДЕКАБРЬ!V44+ЯНВАРЬ!V44+ФЕВРАЛЬ!V44+МАРТ!V44</f>
        <v>148102.49</v>
      </c>
      <c r="W44" s="93">
        <f>ДЕКАБРЬ!W44+ЯНВАРЬ!W44+ФЕВРАЛЬ!W44+МАРТ!W44</f>
        <v>-2794</v>
      </c>
      <c r="X44" s="92">
        <f t="shared" si="2"/>
        <v>145308.49</v>
      </c>
      <c r="Y44" s="93">
        <f>ДЕКАБРЬ!Y44+ЯНВАРЬ!Y44+ФЕВРАЛЬ!Y44+МАРТ!Y44</f>
        <v>222564.00999999998</v>
      </c>
      <c r="Z44" s="93">
        <f>ДЕКАБРЬ!Z44+ЯНВАРЬ!Z44+ФЕВРАЛЬ!Z44+МАРТ!Z44</f>
        <v>-4186</v>
      </c>
      <c r="AA44" s="232">
        <f t="shared" si="3"/>
        <v>218378.00999999998</v>
      </c>
      <c r="AB44" s="92">
        <f t="shared" si="14"/>
        <v>0</v>
      </c>
      <c r="AC44" s="234">
        <f t="shared" si="34"/>
        <v>7.5156321272764181E-3</v>
      </c>
      <c r="AD44" s="92">
        <f t="shared" si="5"/>
        <v>21832.44</v>
      </c>
      <c r="AE44" s="93">
        <f>ДЕКАБРЬ!AE44+ЯНВАРЬ!AE44+ФЕВРАЛЬ!AE44+МАРТ!AE44</f>
        <v>82391.650000000009</v>
      </c>
      <c r="AF44" s="234">
        <f t="shared" si="6"/>
        <v>0.37728913272906928</v>
      </c>
      <c r="AG44" s="93">
        <f>ДЕКАБРЬ!AG44+ЯНВАРЬ!AG44+ФЕВРАЛЬ!AG44+МАРТ!AG44</f>
        <v>27790.199999999997</v>
      </c>
      <c r="AH44" s="93">
        <f>ДЕКАБРЬ!AH44+ЯНВАРЬ!AH44+ФЕВРАЛЬ!AH44+МАРТ!AH44</f>
        <v>6583</v>
      </c>
      <c r="AI44" s="93">
        <f>ДЕКАБРЬ!AI44+ЯНВАРЬ!AI44+ФЕВРАЛЬ!AI44+МАРТ!AI44</f>
        <v>20303</v>
      </c>
      <c r="AJ44" s="93">
        <f>ДЕКАБРЬ!AJ44+ЯНВАРЬ!AJ44+ФЕВРАЛЬ!AJ44+МАРТ!AJ44</f>
        <v>3527</v>
      </c>
      <c r="AK44" s="93"/>
      <c r="AL44" s="93">
        <f>ДЕКАБРЬ!AL44+ЯНВАРЬ!AL44+ФЕВРАЛЬ!AL44+МАРТ!AL44</f>
        <v>1141.8221429116863</v>
      </c>
      <c r="AM44" s="93">
        <f>ДЕКАБРЬ!AM44+ЯНВАРЬ!AM44+ФЕВРАЛЬ!AM44+МАРТ!AM44</f>
        <v>0</v>
      </c>
      <c r="AN44" s="93">
        <f>ДЕКАБРЬ!AN44+ЯНВАРЬ!AN44+ФЕВРАЛЬ!AN44+МАРТ!AN44</f>
        <v>8120.5881900643435</v>
      </c>
      <c r="AO44" s="95">
        <f t="shared" si="15"/>
        <v>50215.309667023939</v>
      </c>
      <c r="AP44" s="96"/>
      <c r="AQ44" s="97">
        <f t="shared" si="7"/>
        <v>1114.1735204081631</v>
      </c>
      <c r="AR44" s="98">
        <f t="shared" si="26"/>
        <v>111.39</v>
      </c>
      <c r="AS44" s="98">
        <f t="shared" si="9"/>
        <v>420.36556122448985</v>
      </c>
      <c r="AT44" s="98">
        <f t="shared" si="10"/>
        <v>138.95099999999999</v>
      </c>
      <c r="AU44" s="98">
        <f t="shared" si="16"/>
        <v>152.065</v>
      </c>
      <c r="AV44" s="98">
        <f t="array" ref="AV44">_xlfn.IFS(U44=0,AO44,U44&lt;0,AO44/-U44,U44&gt;0,AO44/U44)</f>
        <v>256.20055952563234</v>
      </c>
      <c r="AW44" s="234">
        <f t="shared" si="35"/>
        <v>0.22994673166507903</v>
      </c>
      <c r="AX44" s="234">
        <f t="shared" si="36"/>
        <v>2.3000319555223299</v>
      </c>
      <c r="AY44" s="99"/>
      <c r="AZ44" s="94">
        <f t="shared" si="13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2"/>
        <v>0</v>
      </c>
      <c r="F45" s="93"/>
      <c r="G45" s="93"/>
      <c r="H45" s="93"/>
      <c r="I45" s="93"/>
      <c r="J45" s="93"/>
      <c r="K45" s="92">
        <v>107.88</v>
      </c>
      <c r="L45" s="92">
        <f t="shared" si="33"/>
        <v>0</v>
      </c>
      <c r="M45" s="89"/>
      <c r="N45" s="93">
        <f>ДЕКАБРЬ!N45+ЯНВАРЬ!N45+ФЕВРАЛЬ!N45+МАРТ!N45</f>
        <v>909</v>
      </c>
      <c r="O45" s="89"/>
      <c r="P45" s="89"/>
      <c r="Q45" s="233"/>
      <c r="R45" s="92"/>
      <c r="S45" s="93">
        <f>ДЕКАБРЬ!S45+ЯНВАРЬ!S45+ФЕВРАЛЬ!S45+МАРТ!S45</f>
        <v>376</v>
      </c>
      <c r="T45" s="93">
        <f>ДЕКАБРЬ!T45+ЯНВАРЬ!T45+ФЕВРАЛЬ!T45+МАРТ!T45</f>
        <v>-24</v>
      </c>
      <c r="U45" s="92">
        <f t="shared" si="1"/>
        <v>352</v>
      </c>
      <c r="V45" s="93">
        <f>ДЕКАБРЬ!V45+ЯНВАРЬ!V45+ФЕВРАЛЬ!V45+МАРТ!V45</f>
        <v>343351.47</v>
      </c>
      <c r="W45" s="93">
        <f>ДЕКАБРЬ!W45+ЯНВАРЬ!W45+ФЕВРАЛЬ!W45+МАРТ!W45</f>
        <v>-22376</v>
      </c>
      <c r="X45" s="92">
        <f t="shared" si="2"/>
        <v>320975.46999999997</v>
      </c>
      <c r="Y45" s="93">
        <f>ДЕКАБРЬ!Y45+ЯНВАРЬ!Y45+ФЕВРАЛЬ!Y45+МАРТ!Y45</f>
        <v>523874</v>
      </c>
      <c r="Z45" s="93">
        <f>ДЕКАБРЬ!Z45+ЯНВАРЬ!Z45+ФЕВРАЛЬ!Z45+МАРТ!Z45</f>
        <v>-34105.25</v>
      </c>
      <c r="AA45" s="232">
        <f t="shared" si="3"/>
        <v>489768.75</v>
      </c>
      <c r="AB45" s="92">
        <f t="shared" si="14"/>
        <v>0</v>
      </c>
      <c r="AC45" s="234">
        <f t="shared" si="34"/>
        <v>1.6855734478192254E-2</v>
      </c>
      <c r="AD45" s="92">
        <f t="shared" si="5"/>
        <v>37973.759999999995</v>
      </c>
      <c r="AE45" s="93">
        <f>ДЕКАБРЬ!AE45+ЯНВАРЬ!AE45+ФЕВРАЛЬ!AE45+МАРТ!AE45</f>
        <v>184024.91999999998</v>
      </c>
      <c r="AF45" s="234">
        <f t="shared" si="6"/>
        <v>0.37573838673863935</v>
      </c>
      <c r="AG45" s="93">
        <f>ДЕКАБРЬ!AG45+ЯНВАРЬ!AG45+ФЕВРАЛЬ!AG45+МАРТ!AG45</f>
        <v>68024.72</v>
      </c>
      <c r="AH45" s="93">
        <f>ДЕКАБРЬ!AH45+ЯНВАРЬ!AH45+ФЕВРАЛЬ!AH45+МАРТ!AH45</f>
        <v>61117</v>
      </c>
      <c r="AI45" s="93">
        <f>ДЕКАБРЬ!AI45+ЯНВАРЬ!AI45+ФЕВРАЛЬ!AI45+МАРТ!AI45</f>
        <v>36486</v>
      </c>
      <c r="AJ45" s="93">
        <f>ДЕКАБРЬ!AJ45+ЯНВАРЬ!AJ45+ФЕВРАЛЬ!AJ45+МАРТ!AJ45</f>
        <v>0</v>
      </c>
      <c r="AK45" s="93"/>
      <c r="AL45" s="93">
        <f>ДЕКАБРЬ!AL45+ЯНВАРЬ!AL45+ФЕВРАЛЬ!AL45+МАРТ!AL45</f>
        <v>1409.1036596496679</v>
      </c>
      <c r="AM45" s="93">
        <f>ДЕКАБРЬ!AM45+ЯНВАРЬ!AM45+ФЕВРАЛЬ!AM45+МАРТ!AM45</f>
        <v>30</v>
      </c>
      <c r="AN45" s="93">
        <f>ДЕКАБРЬ!AN45+ЯНВАРЬ!AN45+ФЕВРАЛЬ!AN45+МАРТ!AN45</f>
        <v>18010.510861243849</v>
      </c>
      <c r="AO45" s="95">
        <f t="shared" si="15"/>
        <v>82692.735479106486</v>
      </c>
      <c r="AP45" s="96"/>
      <c r="AQ45" s="97">
        <f t="shared" si="7"/>
        <v>1391.3884943181818</v>
      </c>
      <c r="AR45" s="98">
        <f t="shared" si="26"/>
        <v>107.88</v>
      </c>
      <c r="AS45" s="98">
        <f t="shared" si="9"/>
        <v>522.79806818181817</v>
      </c>
      <c r="AT45" s="98">
        <f t="shared" si="10"/>
        <v>180.9168085106383</v>
      </c>
      <c r="AU45" s="98">
        <f t="shared" si="16"/>
        <v>259.58244680851061</v>
      </c>
      <c r="AV45" s="98">
        <f t="array" ref="AV45">_xlfn.IFS(U45=0,AO45,U45&lt;0,AO45/-U45,U45&gt;0,AO45/U45)</f>
        <v>234.92254397473434</v>
      </c>
      <c r="AW45" s="234">
        <f t="shared" si="35"/>
        <v>0.16884036696728097</v>
      </c>
      <c r="AX45" s="234">
        <f t="shared" si="36"/>
        <v>2.1776283275373967</v>
      </c>
      <c r="AY45" s="99"/>
      <c r="AZ45" s="94">
        <f t="shared" si="13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2"/>
        <v>0</v>
      </c>
      <c r="F46" s="93"/>
      <c r="G46" s="93"/>
      <c r="H46" s="93"/>
      <c r="I46" s="93"/>
      <c r="J46" s="93"/>
      <c r="K46" s="92">
        <v>107.88</v>
      </c>
      <c r="L46" s="92">
        <f t="shared" si="33"/>
        <v>0</v>
      </c>
      <c r="M46" s="89"/>
      <c r="N46" s="93">
        <f>ДЕКАБРЬ!N46+ЯНВАРЬ!N46+ФЕВРАЛЬ!N46+МАРТ!N46</f>
        <v>0</v>
      </c>
      <c r="O46" s="89"/>
      <c r="P46" s="89"/>
      <c r="Q46" s="233"/>
      <c r="R46" s="92"/>
      <c r="S46" s="93">
        <f>ДЕКАБРЬ!S46+ЯНВАРЬ!S46+ФЕВРАЛЬ!S46+МАРТ!S46</f>
        <v>0</v>
      </c>
      <c r="T46" s="93">
        <f>ДЕКАБРЬ!T46+ЯНВАРЬ!T46+ФЕВРАЛЬ!T46+МАРТ!T46</f>
        <v>0</v>
      </c>
      <c r="U46" s="92">
        <f t="shared" si="1"/>
        <v>0</v>
      </c>
      <c r="V46" s="93">
        <f>ДЕКАБРЬ!V46+ЯНВАРЬ!V46+ФЕВРАЛЬ!V46+МАРТ!V46</f>
        <v>0</v>
      </c>
      <c r="W46" s="93">
        <f>ДЕКАБРЬ!W46+ЯНВАРЬ!W46+ФЕВРАЛЬ!W46+МАРТ!W46</f>
        <v>0</v>
      </c>
      <c r="X46" s="92">
        <f t="shared" si="2"/>
        <v>0</v>
      </c>
      <c r="Y46" s="93">
        <f>ДЕКАБРЬ!Y46+ЯНВАРЬ!Y46+ФЕВРАЛЬ!Y46+МАРТ!Y46</f>
        <v>0</v>
      </c>
      <c r="Z46" s="93">
        <f>ДЕКАБРЬ!Z46+ЯНВАРЬ!Z46+ФЕВРАЛЬ!Z46+МАРТ!Z46</f>
        <v>0</v>
      </c>
      <c r="AA46" s="232">
        <f t="shared" si="3"/>
        <v>0</v>
      </c>
      <c r="AB46" s="92">
        <f t="shared" si="14"/>
        <v>0</v>
      </c>
      <c r="AC46" s="234">
        <f t="shared" si="34"/>
        <v>0</v>
      </c>
      <c r="AD46" s="92">
        <f t="shared" si="5"/>
        <v>0</v>
      </c>
      <c r="AE46" s="93">
        <f>ДЕКАБРЬ!AE46+ЯНВАРЬ!AE46+ФЕВРАЛЬ!AE46+МАРТ!AE46</f>
        <v>0</v>
      </c>
      <c r="AF46" s="234">
        <f t="shared" si="6"/>
        <v>0</v>
      </c>
      <c r="AG46" s="93">
        <f>ДЕКАБРЬ!AG46+ЯНВАРЬ!AG46+ФЕВРАЛЬ!AG46+МАРТ!AG46</f>
        <v>0</v>
      </c>
      <c r="AH46" s="93">
        <f>ДЕКАБРЬ!AH46+ЯНВАРЬ!AH46+ФЕВРАЛЬ!AH46+МАРТ!AH46</f>
        <v>0</v>
      </c>
      <c r="AI46" s="93">
        <f>ДЕКАБРЬ!AI46+ЯНВАРЬ!AI46+ФЕВРАЛЬ!AI46+МАРТ!AI46</f>
        <v>0</v>
      </c>
      <c r="AJ46" s="93">
        <f>ДЕКАБРЬ!AJ46+ЯНВАРЬ!AJ46+ФЕВРАЛЬ!AJ46+МАРТ!AJ46</f>
        <v>0</v>
      </c>
      <c r="AK46" s="93"/>
      <c r="AL46" s="93">
        <f>ДЕКАБРЬ!AL46+ЯНВАРЬ!AL46+ФЕВРАЛЬ!AL46+МАРТ!AL46</f>
        <v>0</v>
      </c>
      <c r="AM46" s="93">
        <f>ДЕКАБРЬ!AM46+ЯНВАРЬ!AM46+ФЕВРАЛЬ!AM46+МАРТ!AM46</f>
        <v>0</v>
      </c>
      <c r="AN46" s="93">
        <f>ДЕКАБРЬ!AN46+ЯНВАРЬ!AN46+ФЕВРАЛЬ!AN46+МАРТ!AN46</f>
        <v>0</v>
      </c>
      <c r="AO46" s="95">
        <f t="shared" si="15"/>
        <v>0</v>
      </c>
      <c r="AP46" s="96"/>
      <c r="AQ46" s="97">
        <f t="shared" si="7"/>
        <v>0</v>
      </c>
      <c r="AR46" s="98">
        <f t="shared" si="26"/>
        <v>107.88</v>
      </c>
      <c r="AS46" s="98">
        <f t="shared" si="9"/>
        <v>0</v>
      </c>
      <c r="AT46" s="98">
        <f t="shared" si="10"/>
        <v>0</v>
      </c>
      <c r="AU46" s="98">
        <f t="shared" si="16"/>
        <v>0</v>
      </c>
      <c r="AV46" s="98">
        <f t="array" ref="AV46">_xlfn.IFS(U46=0,AO46,U46&lt;0,AO46/-U46,U46&gt;0,AO46/U46)</f>
        <v>0</v>
      </c>
      <c r="AW46" s="234">
        <f t="shared" si="35"/>
        <v>0</v>
      </c>
      <c r="AX46" s="234">
        <f t="shared" si="36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2"/>
        <v>0</v>
      </c>
      <c r="F47" s="93"/>
      <c r="G47" s="93"/>
      <c r="H47" s="93"/>
      <c r="I47" s="93"/>
      <c r="J47" s="93"/>
      <c r="K47" s="92">
        <v>123.09</v>
      </c>
      <c r="L47" s="92">
        <f t="shared" si="33"/>
        <v>0</v>
      </c>
      <c r="M47" s="89"/>
      <c r="N47" s="93">
        <f>ДЕКАБРЬ!N47+ЯНВАРЬ!N47+ФЕВРАЛЬ!N47+МАРТ!N47</f>
        <v>203</v>
      </c>
      <c r="O47" s="89"/>
      <c r="P47" s="89"/>
      <c r="Q47" s="233"/>
      <c r="R47" s="92"/>
      <c r="S47" s="93">
        <f>ДЕКАБРЬ!S47+ЯНВАРЬ!S47+ФЕВРАЛЬ!S47+МАРТ!S47</f>
        <v>127</v>
      </c>
      <c r="T47" s="93">
        <f>ДЕКАБРЬ!T47+ЯНВАРЬ!T47+ФЕВРАЛЬ!T47+МАРТ!T47</f>
        <v>-3</v>
      </c>
      <c r="U47" s="92">
        <f t="shared" si="1"/>
        <v>124</v>
      </c>
      <c r="V47" s="93">
        <f>ДЕКАБРЬ!V47+ЯНВАРЬ!V47+ФЕВРАЛЬ!V47+МАРТ!V47</f>
        <v>94375.709999999992</v>
      </c>
      <c r="W47" s="93">
        <f>ДЕКАБРЬ!W47+ЯНВАРЬ!W47+ФЕВРАЛЬ!W47+МАРТ!W47</f>
        <v>-2030</v>
      </c>
      <c r="X47" s="92">
        <f t="shared" si="2"/>
        <v>92345.709999999992</v>
      </c>
      <c r="Y47" s="93">
        <f>ДЕКАБРЬ!Y47+ЯНВАРЬ!Y47+ФЕВРАЛЬ!Y47+МАРТ!Y47</f>
        <v>145429.97</v>
      </c>
      <c r="Z47" s="93">
        <f>ДЕКАБРЬ!Z47+ЯНВАРЬ!Z47+ФЕВРАЛЬ!Z47+МАРТ!Z47</f>
        <v>-3355</v>
      </c>
      <c r="AA47" s="232">
        <f t="shared" si="3"/>
        <v>142074.97</v>
      </c>
      <c r="AB47" s="92">
        <f t="shared" si="14"/>
        <v>0</v>
      </c>
      <c r="AC47" s="234">
        <f t="shared" si="34"/>
        <v>4.8896095765953423E-3</v>
      </c>
      <c r="AD47" s="92">
        <f t="shared" si="5"/>
        <v>15263.16</v>
      </c>
      <c r="AE47" s="93">
        <f>ДЕКАБРЬ!AE47+ЯНВАРЬ!AE47+ФЕВРАЛЬ!AE47+МАРТ!AE47</f>
        <v>53366.92</v>
      </c>
      <c r="AF47" s="234">
        <f t="shared" si="6"/>
        <v>0.37562506611826135</v>
      </c>
      <c r="AG47" s="93">
        <f>ДЕКАБРЬ!AG47+ЯНВАРЬ!AG47+ФЕВРАЛЬ!AG47+МАРТ!AG47</f>
        <v>13913.149999999998</v>
      </c>
      <c r="AH47" s="93">
        <f>ДЕКАБРЬ!AH47+ЯНВАРЬ!AH47+ФЕВРАЛЬ!AH47+МАРТ!AH47</f>
        <v>5506</v>
      </c>
      <c r="AI47" s="93">
        <f>ДЕКАБРЬ!AI47+ЯНВАРЬ!AI47+ФЕВРАЛЬ!AI47+МАРТ!AI47</f>
        <v>7011</v>
      </c>
      <c r="AJ47" s="93">
        <f>ДЕКАБРЬ!AJ47+ЯНВАРЬ!AJ47+ФЕВРАЛЬ!AJ47+МАРТ!AJ47</f>
        <v>0</v>
      </c>
      <c r="AK47" s="93"/>
      <c r="AL47" s="93">
        <f>ДЕКАБРЬ!AL47+ЯНВАРЬ!AL47+ФЕВРАЛЬ!AL47+МАРТ!AL47</f>
        <v>816.80088716193563</v>
      </c>
      <c r="AM47" s="93">
        <f>ДЕКАБРЬ!AM47+ЯНВАРЬ!AM47+ФЕВРАЛЬ!AM47+МАРТ!AM47</f>
        <v>0</v>
      </c>
      <c r="AN47" s="93">
        <f>ДЕКАБРЬ!AN47+ЯНВАРЬ!AN47+ФЕВРАЛЬ!AN47+МАРТ!AN47</f>
        <v>5155.0346012893069</v>
      </c>
      <c r="AO47" s="95">
        <f t="shared" si="15"/>
        <v>41042.904511548761</v>
      </c>
      <c r="AP47" s="96"/>
      <c r="AQ47" s="97">
        <f t="shared" si="7"/>
        <v>1145.7658870967741</v>
      </c>
      <c r="AR47" s="98">
        <f t="shared" si="26"/>
        <v>123.09</v>
      </c>
      <c r="AS47" s="98">
        <f t="shared" si="9"/>
        <v>430.37838709677419</v>
      </c>
      <c r="AT47" s="98">
        <f t="shared" si="10"/>
        <v>109.55236220472439</v>
      </c>
      <c r="AU47" s="98">
        <f t="shared" si="16"/>
        <v>98.559055118110237</v>
      </c>
      <c r="AV47" s="98">
        <f t="array" ref="AV47">_xlfn.IFS(U47=0,AO47,U47&lt;0,AO47/-U47,U47&gt;0,AO47/U47)</f>
        <v>330.99116541571578</v>
      </c>
      <c r="AW47" s="234">
        <f t="shared" si="35"/>
        <v>0.28888202131275309</v>
      </c>
      <c r="AX47" s="234">
        <f t="shared" si="36"/>
        <v>2.6890175108921586</v>
      </c>
      <c r="AY47" s="99"/>
      <c r="AZ47" s="94">
        <f t="shared" si="13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2"/>
        <v>0</v>
      </c>
      <c r="F48" s="93"/>
      <c r="G48" s="93"/>
      <c r="H48" s="93"/>
      <c r="I48" s="93"/>
      <c r="J48" s="93"/>
      <c r="K48" s="92">
        <v>107.88</v>
      </c>
      <c r="L48" s="92">
        <f t="shared" si="33"/>
        <v>0</v>
      </c>
      <c r="M48" s="89"/>
      <c r="N48" s="93">
        <f>ДЕКАБРЬ!N48+ЯНВАРЬ!N48+ФЕВРАЛЬ!N48+МАРТ!N48</f>
        <v>716</v>
      </c>
      <c r="O48" s="89"/>
      <c r="P48" s="89"/>
      <c r="Q48" s="233"/>
      <c r="R48" s="92"/>
      <c r="S48" s="93">
        <f>ДЕКАБРЬ!S48+ЯНВАРЬ!S48+ФЕВРАЛЬ!S48+МАРТ!S48</f>
        <v>330</v>
      </c>
      <c r="T48" s="93">
        <f>ДЕКАБРЬ!T48+ЯНВАРЬ!T48+ФЕВРАЛЬ!T48+МАРТ!T48</f>
        <v>-10</v>
      </c>
      <c r="U48" s="92">
        <f t="shared" si="1"/>
        <v>320</v>
      </c>
      <c r="V48" s="93">
        <f>ДЕКАБРЬ!V48+ЯНВАРЬ!V48+ФЕВРАЛЬ!V48+МАРТ!V48</f>
        <v>273351.51</v>
      </c>
      <c r="W48" s="93">
        <f>ДЕКАБРЬ!W48+ЯНВАРЬ!W48+ФЕВРАЛЬ!W48+МАРТ!W48</f>
        <v>-7915</v>
      </c>
      <c r="X48" s="92">
        <f t="shared" si="2"/>
        <v>265436.51</v>
      </c>
      <c r="Y48" s="93">
        <f>ДЕКАБРЬ!Y48+ЯНВАРЬ!Y48+ФЕВРАЛЬ!Y48+МАРТ!Y48</f>
        <v>423707.72000000009</v>
      </c>
      <c r="Z48" s="93">
        <f>ДЕКАБРЬ!Z48+ЯНВАРЬ!Z48+ФЕВРАЛЬ!Z48+МАРТ!Z48</f>
        <v>-12703.720000000001</v>
      </c>
      <c r="AA48" s="232">
        <f t="shared" si="3"/>
        <v>411004.00000000012</v>
      </c>
      <c r="AB48" s="92">
        <f t="shared" si="14"/>
        <v>0</v>
      </c>
      <c r="AC48" s="234">
        <f t="shared" si="34"/>
        <v>1.4144990454117235E-2</v>
      </c>
      <c r="AD48" s="92">
        <f t="shared" si="5"/>
        <v>34521.599999999999</v>
      </c>
      <c r="AE48" s="93">
        <f>ДЕКАБРЬ!AE48+ЯНВАРЬ!AE48+ФЕВРАЛЬ!AE48+МАРТ!AE48</f>
        <v>154218.03999999998</v>
      </c>
      <c r="AF48" s="234">
        <f t="shared" si="6"/>
        <v>0.37522272289320768</v>
      </c>
      <c r="AG48" s="93">
        <f>ДЕКАБРЬ!AG48+ЯНВАРЬ!AG48+ФЕВРАЛЬ!AG48+МАРТ!AG48</f>
        <v>44483.269999999982</v>
      </c>
      <c r="AH48" s="93">
        <f>ДЕКАБРЬ!AH48+ЯНВАРЬ!AH48+ФЕВРАЛЬ!AH48+МАРТ!AH48</f>
        <v>25829</v>
      </c>
      <c r="AI48" s="93">
        <f>ДЕКАБРЬ!AI48+ЯНВАРЬ!AI48+ФЕВРАЛЬ!AI48+МАРТ!AI48</f>
        <v>38703</v>
      </c>
      <c r="AJ48" s="93">
        <f>ДЕКАБРЬ!AJ48+ЯНВАРЬ!AJ48+ФЕВРАЛЬ!AJ48+МАРТ!AJ48</f>
        <v>0</v>
      </c>
      <c r="AK48" s="93"/>
      <c r="AL48" s="93">
        <f>ДЕКАБРЬ!AL48+ЯНВАРЬ!AL48+ФЕВРАЛЬ!AL48+МАРТ!AL48</f>
        <v>2209.5555672565488</v>
      </c>
      <c r="AM48" s="93">
        <f>ДЕКАБРЬ!AM48+ЯНВАРЬ!AM48+ФЕВРАЛЬ!AM48+МАРТ!AM48</f>
        <v>0</v>
      </c>
      <c r="AN48" s="93">
        <f>ДЕКАБРЬ!AN48+ЯНВАРЬ!AN48+ФЕВРАЛЬ!AN48+МАРТ!AN48</f>
        <v>14864.142799917001</v>
      </c>
      <c r="AO48" s="95">
        <f t="shared" si="15"/>
        <v>96175.39163282662</v>
      </c>
      <c r="AP48" s="96"/>
      <c r="AQ48" s="97">
        <f t="shared" si="7"/>
        <v>1284.3875000000003</v>
      </c>
      <c r="AR48" s="98">
        <f t="shared" si="26"/>
        <v>107.88</v>
      </c>
      <c r="AS48" s="98">
        <f t="shared" si="9"/>
        <v>481.93137499999995</v>
      </c>
      <c r="AT48" s="98">
        <f t="shared" si="10"/>
        <v>134.79778787878783</v>
      </c>
      <c r="AU48" s="98">
        <f t="shared" si="16"/>
        <v>195.55151515151516</v>
      </c>
      <c r="AV48" s="98">
        <f t="array" ref="AV48">_xlfn.IFS(U48=0,AO48,U48&lt;0,AO48/-U48,U48&gt;0,AO48/U48)</f>
        <v>300.54809885258317</v>
      </c>
      <c r="AW48" s="234">
        <f t="shared" si="35"/>
        <v>0.23400110858489601</v>
      </c>
      <c r="AX48" s="234">
        <f t="shared" si="36"/>
        <v>2.7859482652260215</v>
      </c>
      <c r="AY48" s="99"/>
      <c r="AZ48" s="94">
        <f t="shared" si="13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2"/>
        <v>0</v>
      </c>
      <c r="F49" s="93"/>
      <c r="G49" s="93"/>
      <c r="H49" s="93"/>
      <c r="I49" s="93"/>
      <c r="J49" s="93"/>
      <c r="K49" s="92">
        <v>123.09</v>
      </c>
      <c r="L49" s="92">
        <f t="shared" si="33"/>
        <v>0</v>
      </c>
      <c r="M49" s="89"/>
      <c r="N49" s="93">
        <f>ДЕКАБРЬ!N49+ЯНВАРЬ!N49+ФЕВРАЛЬ!N49+МАРТ!N49</f>
        <v>967</v>
      </c>
      <c r="O49" s="89"/>
      <c r="P49" s="89"/>
      <c r="Q49" s="233"/>
      <c r="R49" s="92"/>
      <c r="S49" s="93">
        <f>ДЕКАБРЬ!S49+ЯНВАРЬ!S49+ФЕВРАЛЬ!S49+МАРТ!S49</f>
        <v>363</v>
      </c>
      <c r="T49" s="93">
        <f>ДЕКАБРЬ!T49+ЯНВАРЬ!T49+ФЕВРАЛЬ!T49+МАРТ!T49</f>
        <v>-12</v>
      </c>
      <c r="U49" s="92">
        <f t="shared" si="1"/>
        <v>351</v>
      </c>
      <c r="V49" s="93">
        <f>ДЕКАБРЬ!V49+ЯНВАРЬ!V49+ФЕВРАЛЬ!V49+МАРТ!V49</f>
        <v>374803.93</v>
      </c>
      <c r="W49" s="93">
        <f>ДЕКАБРЬ!W49+ЯНВАРЬ!W49+ФЕВРАЛЬ!W49+МАРТ!W49</f>
        <v>-13184.42</v>
      </c>
      <c r="X49" s="92">
        <f t="shared" si="2"/>
        <v>361619.51</v>
      </c>
      <c r="Y49" s="93">
        <f>ДЕКАБРЬ!Y49+ЯНВАРЬ!Y49+ФЕВРАЛЬ!Y49+МАРТ!Y49</f>
        <v>553345.12</v>
      </c>
      <c r="Z49" s="93">
        <f>ДЕКАБРЬ!Z49+ЯНВАРЬ!Z49+ФЕВРАЛЬ!Z49+МАРТ!Z49</f>
        <v>-18582.54</v>
      </c>
      <c r="AA49" s="232">
        <f t="shared" si="3"/>
        <v>534762.57999999996</v>
      </c>
      <c r="AB49" s="92">
        <f t="shared" si="14"/>
        <v>0</v>
      </c>
      <c r="AC49" s="234">
        <f t="shared" si="34"/>
        <v>1.840422864332002E-2</v>
      </c>
      <c r="AD49" s="92">
        <f t="shared" si="5"/>
        <v>43204.590000000004</v>
      </c>
      <c r="AE49" s="93">
        <f>ДЕКАБРЬ!AE49+ЯНВАРЬ!AE49+ФЕВРАЛЬ!AE49+МАРТ!AE49</f>
        <v>198772.35000000003</v>
      </c>
      <c r="AF49" s="234">
        <f t="shared" si="6"/>
        <v>0.37170205514379867</v>
      </c>
      <c r="AG49" s="93">
        <f>ДЕКАБРЬ!AG49+ЯНВАРЬ!AG49+ФЕВРАЛЬ!AG49+МАРТ!AG49</f>
        <v>68813.37</v>
      </c>
      <c r="AH49" s="93">
        <f>ДЕКАБРЬ!AH49+ЯНВАРЬ!AH49+ФЕВРАЛЬ!AH49+МАРТ!AH49</f>
        <v>30000</v>
      </c>
      <c r="AI49" s="93">
        <f>ДЕКАБРЬ!AI49+ЯНВАРЬ!AI49+ФЕВРАЛЬ!AI49+МАРТ!AI49</f>
        <v>80485</v>
      </c>
      <c r="AJ49" s="93">
        <f>ДЕКАБРЬ!AJ49+ЯНВАРЬ!AJ49+ФЕВРАЛЬ!AJ49+МАРТ!AJ49</f>
        <v>0</v>
      </c>
      <c r="AK49" s="93"/>
      <c r="AL49" s="93">
        <f>ДЕКАБРЬ!AL49+ЯНВАРЬ!AL49+ФЕВРАЛЬ!AL49+МАРТ!AL49</f>
        <v>1033.1906610686244</v>
      </c>
      <c r="AM49" s="93">
        <f>ДЕКАБРЬ!AM49+ЯНВАРЬ!AM49+ФЕВРАЛЬ!AM49+МАРТ!AM49</f>
        <v>10</v>
      </c>
      <c r="AN49" s="93">
        <f>ДЕКАБРЬ!AN49+ЯНВАРЬ!AN49+ФЕВРАЛЬ!AN49+МАРТ!AN49</f>
        <v>20276.634873057548</v>
      </c>
      <c r="AO49" s="95">
        <f t="shared" si="15"/>
        <v>92167.444465873734</v>
      </c>
      <c r="AP49" s="96"/>
      <c r="AQ49" s="97">
        <f t="shared" si="7"/>
        <v>1523.5401139601138</v>
      </c>
      <c r="AR49" s="98">
        <f t="shared" si="26"/>
        <v>123.09</v>
      </c>
      <c r="AS49" s="98">
        <f t="shared" si="9"/>
        <v>566.30299145299159</v>
      </c>
      <c r="AT49" s="98">
        <f t="shared" si="10"/>
        <v>189.56851239669419</v>
      </c>
      <c r="AU49" s="98">
        <f t="shared" si="16"/>
        <v>304.36639118457299</v>
      </c>
      <c r="AV49" s="98">
        <f t="array" ref="AV49">_xlfn.IFS(U49=0,AO49,U49&lt;0,AO49/-U49,U49&gt;0,AO49/U49)</f>
        <v>262.58531186858613</v>
      </c>
      <c r="AW49" s="234">
        <f t="shared" si="35"/>
        <v>0.17235208279882586</v>
      </c>
      <c r="AX49" s="234">
        <f t="shared" si="36"/>
        <v>2.1332789980387208</v>
      </c>
      <c r="AY49" s="99"/>
      <c r="AZ49" s="94">
        <f t="shared" si="13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2"/>
        <v>0</v>
      </c>
      <c r="F50" s="93"/>
      <c r="G50" s="93"/>
      <c r="H50" s="93"/>
      <c r="I50" s="93"/>
      <c r="J50" s="93"/>
      <c r="K50" s="92">
        <v>134.79</v>
      </c>
      <c r="L50" s="92">
        <f t="shared" si="33"/>
        <v>0</v>
      </c>
      <c r="M50" s="89"/>
      <c r="N50" s="93">
        <f>ДЕКАБРЬ!N50+ЯНВАРЬ!N50+ФЕВРАЛЬ!N50+МАРТ!N50</f>
        <v>467</v>
      </c>
      <c r="O50" s="89"/>
      <c r="P50" s="89"/>
      <c r="Q50" s="233"/>
      <c r="R50" s="92"/>
      <c r="S50" s="93">
        <f>ДЕКАБРЬ!S50+ЯНВАРЬ!S50+ФЕВРАЛЬ!S50+МАРТ!S50</f>
        <v>226</v>
      </c>
      <c r="T50" s="93">
        <f>ДЕКАБРЬ!T50+ЯНВАРЬ!T50+ФЕВРАЛЬ!T50+МАРТ!T50</f>
        <v>-8</v>
      </c>
      <c r="U50" s="92">
        <f t="shared" si="1"/>
        <v>218</v>
      </c>
      <c r="V50" s="93">
        <f>ДЕКАБРЬ!V50+ЯНВАРЬ!V50+ФЕВРАЛЬ!V50+МАРТ!V50</f>
        <v>193504.71999999997</v>
      </c>
      <c r="W50" s="93">
        <f>ДЕКАБРЬ!W50+ЯНВАРЬ!W50+ФЕВРАЛЬ!W50+МАРТ!W50</f>
        <v>-6497</v>
      </c>
      <c r="X50" s="92">
        <f t="shared" si="2"/>
        <v>187007.71999999997</v>
      </c>
      <c r="Y50" s="93">
        <f>ДЕКАБРЬ!Y50+ЯНВАРЬ!Y50+ФЕВРАЛЬ!Y50+МАРТ!Y50</f>
        <v>286021.10000000003</v>
      </c>
      <c r="Z50" s="93">
        <f>ДЕКАБРЬ!Z50+ЯНВАРЬ!Z50+ФЕВРАЛЬ!Z50+МАРТ!Z50</f>
        <v>-9920</v>
      </c>
      <c r="AA50" s="232">
        <f t="shared" si="3"/>
        <v>276101.10000000003</v>
      </c>
      <c r="AB50" s="92">
        <f t="shared" si="14"/>
        <v>0</v>
      </c>
      <c r="AC50" s="234">
        <f t="shared" si="34"/>
        <v>9.5022126886143872E-3</v>
      </c>
      <c r="AD50" s="92">
        <f t="shared" si="5"/>
        <v>29384.219999999998</v>
      </c>
      <c r="AE50" s="93">
        <f>ДЕКАБРЬ!AE50+ЯНВАРЬ!AE50+ФЕВРАЛЬ!AE50+МАРТ!AE50</f>
        <v>103764.49999999997</v>
      </c>
      <c r="AF50" s="234">
        <f t="shared" si="6"/>
        <v>0.37582066858842633</v>
      </c>
      <c r="AG50" s="93">
        <f>ДЕКАБРЬ!AG50+ЯНВАРЬ!AG50+ФЕВРАЛЬ!AG50+МАРТ!AG50</f>
        <v>27297.03</v>
      </c>
      <c r="AH50" s="93">
        <f>ДЕКАБРЬ!AH50+ЯНВАРЬ!AH50+ФЕВРАЛЬ!AH50+МАРТ!AH50</f>
        <v>24192</v>
      </c>
      <c r="AI50" s="93">
        <f>ДЕКАБРЬ!AI50+ЯНВАРЬ!AI50+ФЕВРАЛЬ!AI50+МАРТ!AI50</f>
        <v>25874</v>
      </c>
      <c r="AJ50" s="93">
        <f>ДЕКАБРЬ!AJ50+ЯНВАРЬ!AJ50+ФЕВРАЛЬ!AJ50+МАРТ!AJ50</f>
        <v>0</v>
      </c>
      <c r="AK50" s="93"/>
      <c r="AL50" s="93">
        <f>ДЕКАБРЬ!AL50+ЯНВАРЬ!AL50+ФЕВРАЛЬ!AL50+МАРТ!AL50</f>
        <v>1174.6164746555987</v>
      </c>
      <c r="AM50" s="93">
        <f>ДЕКАБРЬ!AM50+ЯНВАРЬ!AM50+ФЕВРАЛЬ!AM50+МАРТ!AM50</f>
        <v>20</v>
      </c>
      <c r="AN50" s="93">
        <f>ДЕКАБРЬ!AN50+ЯНВАРЬ!AN50+ФЕВРАЛЬ!AN50+МАРТ!AN50</f>
        <v>10468.698700605528</v>
      </c>
      <c r="AO50" s="95">
        <f t="shared" si="15"/>
        <v>53926.034824738934</v>
      </c>
      <c r="AP50" s="96"/>
      <c r="AQ50" s="97">
        <f t="shared" si="7"/>
        <v>1266.5188073394497</v>
      </c>
      <c r="AR50" s="98">
        <f t="shared" si="26"/>
        <v>134.79</v>
      </c>
      <c r="AS50" s="98">
        <f t="shared" si="9"/>
        <v>475.98394495412833</v>
      </c>
      <c r="AT50" s="98">
        <f t="shared" si="10"/>
        <v>120.7833185840708</v>
      </c>
      <c r="AU50" s="98">
        <f t="shared" si="16"/>
        <v>221.53097345132744</v>
      </c>
      <c r="AV50" s="98">
        <f t="array" ref="AV50">_xlfn.IFS(U50=0,AO50,U50&lt;0,AO50/-U50,U50&gt;0,AO50/U50)</f>
        <v>247.36713222357309</v>
      </c>
      <c r="AW50" s="234">
        <f t="shared" si="35"/>
        <v>0.19531264027828549</v>
      </c>
      <c r="AX50" s="234">
        <f t="shared" si="36"/>
        <v>1.8352038891874256</v>
      </c>
      <c r="AY50" s="99"/>
      <c r="AZ50" s="94">
        <f t="shared" si="13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2"/>
        <v>0</v>
      </c>
      <c r="F51" s="93"/>
      <c r="G51" s="93"/>
      <c r="H51" s="93"/>
      <c r="I51" s="93"/>
      <c r="J51" s="93"/>
      <c r="K51" s="92">
        <v>144.15</v>
      </c>
      <c r="L51" s="92">
        <f t="shared" si="33"/>
        <v>0</v>
      </c>
      <c r="M51" s="89"/>
      <c r="N51" s="93">
        <f>ДЕКАБРЬ!N51+ЯНВАРЬ!N51+ФЕВРАЛЬ!N51+МАРТ!N51</f>
        <v>78</v>
      </c>
      <c r="O51" s="89"/>
      <c r="P51" s="89"/>
      <c r="Q51" s="233"/>
      <c r="R51" s="92"/>
      <c r="S51" s="93">
        <f>ДЕКАБРЬ!S51+ЯНВАРЬ!S51+ФЕВРАЛЬ!S51+МАРТ!S51</f>
        <v>28</v>
      </c>
      <c r="T51" s="93">
        <f>ДЕКАБРЬ!T51+ЯНВАРЬ!T51+ФЕВРАЛЬ!T51+МАРТ!T51</f>
        <v>-3</v>
      </c>
      <c r="U51" s="92">
        <f t="shared" si="1"/>
        <v>25</v>
      </c>
      <c r="V51" s="93">
        <f>ДЕКАБРЬ!V51+ЯНВАРЬ!V51+ФЕВРАЛЬ!V51+МАРТ!V51</f>
        <v>21207.91</v>
      </c>
      <c r="W51" s="93">
        <f>ДЕКАБРЬ!W51+ЯНВАРЬ!W51+ФЕВРАЛЬ!W51+МАРТ!W51</f>
        <v>-2329</v>
      </c>
      <c r="X51" s="92">
        <f t="shared" si="2"/>
        <v>18878.91</v>
      </c>
      <c r="Y51" s="93">
        <f>ДЕКАБРЬ!Y51+ЯНВАРЬ!Y51+ФЕВРАЛЬ!Y51+МАРТ!Y51</f>
        <v>32041.5</v>
      </c>
      <c r="Z51" s="93">
        <f>ДЕКАБРЬ!Z51+ЯНВАРЬ!Z51+ФЕВРАЛЬ!Z51+МАРТ!Z51</f>
        <v>-3517</v>
      </c>
      <c r="AA51" s="232">
        <f t="shared" si="3"/>
        <v>28524.5</v>
      </c>
      <c r="AB51" s="92">
        <f t="shared" si="14"/>
        <v>0</v>
      </c>
      <c r="AC51" s="234">
        <f t="shared" si="34"/>
        <v>9.8169064098759863E-4</v>
      </c>
      <c r="AD51" s="92">
        <f t="shared" si="5"/>
        <v>3603.75</v>
      </c>
      <c r="AE51" s="93">
        <f>ДЕКАБРЬ!AE51+ЯНВАРЬ!AE51+ФЕВРАЛЬ!AE51+МАРТ!AE51</f>
        <v>10656.029999999999</v>
      </c>
      <c r="AF51" s="234">
        <f t="shared" si="6"/>
        <v>0.37357464635664073</v>
      </c>
      <c r="AG51" s="93">
        <f>ДЕКАБРЬ!AG51+ЯНВАРЬ!AG51+ФЕВРАЛЬ!AG51+МАРТ!AG51</f>
        <v>8196.1</v>
      </c>
      <c r="AH51" s="93">
        <f>ДЕКАБРЬ!AH51+ЯНВАРЬ!AH51+ФЕВРАЛЬ!AH51+МАРТ!AH51</f>
        <v>4000</v>
      </c>
      <c r="AI51" s="93">
        <f>ДЕКАБРЬ!AI51+ЯНВАРЬ!AI51+ФЕВРАЛЬ!AI51+МАРТ!AI51</f>
        <v>14536</v>
      </c>
      <c r="AJ51" s="93">
        <f>ДЕКАБРЬ!AJ51+ЯНВАРЬ!AJ51+ФЕВРАЛЬ!AJ51+МАРТ!AJ51</f>
        <v>0</v>
      </c>
      <c r="AK51" s="93"/>
      <c r="AL51" s="93">
        <f>ДЕКАБРЬ!AL51+ЯНВАРЬ!AL51+ФЕВРАЛЬ!AL51+МАРТ!AL51</f>
        <v>113.92552514144522</v>
      </c>
      <c r="AM51" s="93">
        <f>ДЕКАБРЬ!AM51+ЯНВАРЬ!AM51+ФЕВРАЛЬ!AM51+МАРТ!AM51</f>
        <v>80</v>
      </c>
      <c r="AN51" s="93">
        <f>ДЕКАБРЬ!AN51+ЯНВАРЬ!AN51+ФЕВРАЛЬ!AN51+МАРТ!AN51</f>
        <v>1083.7036636578823</v>
      </c>
      <c r="AO51" s="95">
        <f t="shared" si="15"/>
        <v>-13745.009188799326</v>
      </c>
      <c r="AP51" s="96"/>
      <c r="AQ51" s="97">
        <f t="shared" si="7"/>
        <v>1140.98</v>
      </c>
      <c r="AR51" s="98">
        <f t="shared" si="26"/>
        <v>144.15</v>
      </c>
      <c r="AS51" s="98">
        <f t="shared" si="9"/>
        <v>426.24119999999994</v>
      </c>
      <c r="AT51" s="98">
        <f t="shared" si="10"/>
        <v>292.71785714285716</v>
      </c>
      <c r="AU51" s="98">
        <f t="shared" si="16"/>
        <v>662</v>
      </c>
      <c r="AV51" s="98">
        <f t="array" ref="AV51">_xlfn.IFS(U51=0,AO51,U51&lt;0,AO51/-U51,U51&gt;0,AO51/U51)</f>
        <v>-549.80036755197307</v>
      </c>
      <c r="AW51" s="234">
        <f t="shared" si="35"/>
        <v>-0.48186678780694936</v>
      </c>
      <c r="AX51" s="234">
        <f t="shared" si="36"/>
        <v>-3.8140851026845164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2"/>
        <v>0</v>
      </c>
      <c r="F52" s="93"/>
      <c r="G52" s="93"/>
      <c r="H52" s="93"/>
      <c r="I52" s="93"/>
      <c r="J52" s="93"/>
      <c r="K52" s="92">
        <v>96.18</v>
      </c>
      <c r="L52" s="92">
        <f t="shared" si="33"/>
        <v>0</v>
      </c>
      <c r="M52" s="89"/>
      <c r="N52" s="93">
        <f>ДЕКАБРЬ!N52+ЯНВАРЬ!N52+ФЕВРАЛЬ!N52+МАРТ!N52</f>
        <v>97</v>
      </c>
      <c r="O52" s="89"/>
      <c r="P52" s="89"/>
      <c r="Q52" s="233"/>
      <c r="R52" s="92"/>
      <c r="S52" s="93">
        <f>ДЕКАБРЬ!S52+ЯНВАРЬ!S52+ФЕВРАЛЬ!S52+МАРТ!S52</f>
        <v>19</v>
      </c>
      <c r="T52" s="93">
        <f>ДЕКАБРЬ!T52+ЯНВАРЬ!T52+ФЕВРАЛЬ!T52+МАРТ!T52</f>
        <v>-2</v>
      </c>
      <c r="U52" s="92">
        <f t="shared" si="1"/>
        <v>17</v>
      </c>
      <c r="V52" s="93">
        <f>ДЕКАБРЬ!V52+ЯНВАРЬ!V52+ФЕВРАЛЬ!V52+МАРТ!V52</f>
        <v>14684.57</v>
      </c>
      <c r="W52" s="93">
        <f>ДЕКАБРЬ!W52+ЯНВАРЬ!W52+ФЕВРАЛЬ!W52+МАРТ!W52</f>
        <v>-1331</v>
      </c>
      <c r="X52" s="92">
        <f t="shared" si="2"/>
        <v>13353.57</v>
      </c>
      <c r="Y52" s="93">
        <f>ДЕКАБРЬ!Y52+ЯНВАРЬ!Y52+ФЕВРАЛЬ!Y52+МАРТ!Y52</f>
        <v>22134.62</v>
      </c>
      <c r="Z52" s="93">
        <f>ДЕКАБРЬ!Z52+ЯНВАРЬ!Z52+ФЕВРАЛЬ!Z52+МАРТ!Z52</f>
        <v>-2178.8199999999997</v>
      </c>
      <c r="AA52" s="232">
        <f t="shared" si="3"/>
        <v>19955.8</v>
      </c>
      <c r="AB52" s="92">
        <f t="shared" si="14"/>
        <v>0</v>
      </c>
      <c r="AC52" s="234">
        <f t="shared" si="34"/>
        <v>6.8679283049379719E-4</v>
      </c>
      <c r="AD52" s="92">
        <f t="shared" si="5"/>
        <v>1635.0600000000002</v>
      </c>
      <c r="AE52" s="93">
        <f>ДЕКАБРЬ!AE52+ЯНВАРЬ!AE52+ФЕВРАЛЬ!AE52+МАРТ!AE52</f>
        <v>7555.09</v>
      </c>
      <c r="AF52" s="234">
        <f t="shared" si="6"/>
        <v>0.37859118652221413</v>
      </c>
      <c r="AG52" s="93">
        <f>ДЕКАБРЬ!AG52+ЯНВАРЬ!AG52+ФЕВРАЛЬ!AG52+МАРТ!AG52</f>
        <v>6473.2299999999987</v>
      </c>
      <c r="AH52" s="93">
        <f>ДЕКАБРЬ!AH52+ЯНВАРЬ!AH52+ФЕВРАЛЬ!AH52+МАРТ!AH52</f>
        <v>617</v>
      </c>
      <c r="AI52" s="93">
        <f>ДЕКАБРЬ!AI52+ЯНВАРЬ!AI52+ФЕВРАЛЬ!AI52+МАРТ!AI52</f>
        <v>3960</v>
      </c>
      <c r="AJ52" s="93">
        <f>ДЕКАБРЬ!AJ52+ЯНВАРЬ!AJ52+ФЕВРАЛЬ!AJ52+МАРТ!AJ52</f>
        <v>0</v>
      </c>
      <c r="AK52" s="93"/>
      <c r="AL52" s="93">
        <f>ДЕКАБРЬ!AL52+ЯНВАРЬ!AL52+ФЕВРАЛЬ!AL52+МАРТ!AL52</f>
        <v>271.78752196978678</v>
      </c>
      <c r="AM52" s="93">
        <f>ДЕКАБРЬ!AM52+ЯНВАРЬ!AM52+ФЕВРАЛЬ!AM52+МАРТ!AM52</f>
        <v>0</v>
      </c>
      <c r="AN52" s="93">
        <f>ДЕКАБРЬ!AN52+ЯНВАРЬ!AN52+ФЕВРАЛЬ!AN52+МАРТ!AN52</f>
        <v>745.2960058164897</v>
      </c>
      <c r="AO52" s="95">
        <f t="shared" si="15"/>
        <v>-1301.6635277862774</v>
      </c>
      <c r="AP52" s="96"/>
      <c r="AQ52" s="97">
        <f t="shared" si="7"/>
        <v>1173.870588235294</v>
      </c>
      <c r="AR52" s="98">
        <f t="shared" si="26"/>
        <v>96.18</v>
      </c>
      <c r="AS52" s="98">
        <f t="shared" si="9"/>
        <v>444.41705882352943</v>
      </c>
      <c r="AT52" s="98">
        <f t="shared" si="10"/>
        <v>340.6963157894736</v>
      </c>
      <c r="AU52" s="98">
        <f t="shared" si="16"/>
        <v>240.89473684210526</v>
      </c>
      <c r="AV52" s="98">
        <f t="array" ref="AV52">_xlfn.IFS(U52=0,AO52,U52&lt;0,AO52/-U52,U52&gt;0,AO52/U52)</f>
        <v>-76.568442810957492</v>
      </c>
      <c r="AW52" s="234">
        <f t="shared" si="35"/>
        <v>-6.522732878593078E-2</v>
      </c>
      <c r="AX52" s="234">
        <f t="shared" si="36"/>
        <v>-0.79609526732124647</v>
      </c>
      <c r="AY52" s="99"/>
      <c r="AZ52" s="94">
        <f t="shared" si="13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2"/>
        <v>0</v>
      </c>
      <c r="F53" s="93"/>
      <c r="G53" s="93"/>
      <c r="H53" s="93"/>
      <c r="I53" s="93"/>
      <c r="J53" s="93"/>
      <c r="K53" s="92">
        <v>96.18</v>
      </c>
      <c r="L53" s="92">
        <f t="shared" si="33"/>
        <v>0</v>
      </c>
      <c r="M53" s="89"/>
      <c r="N53" s="93">
        <f>ДЕКАБРЬ!N53+ЯНВАРЬ!N53+ФЕВРАЛЬ!N53+МАРТ!N53</f>
        <v>53</v>
      </c>
      <c r="O53" s="89"/>
      <c r="P53" s="89"/>
      <c r="Q53" s="233"/>
      <c r="R53" s="92"/>
      <c r="S53" s="93">
        <f>ДЕКАБРЬ!S53+ЯНВАРЬ!S53+ФЕВРАЛЬ!S53+МАРТ!S53</f>
        <v>11</v>
      </c>
      <c r="T53" s="93">
        <f>ДЕКАБРЬ!T53+ЯНВАРЬ!T53+ФЕВРАЛЬ!T53+МАРТ!T53</f>
        <v>-1</v>
      </c>
      <c r="U53" s="92">
        <f t="shared" si="1"/>
        <v>10</v>
      </c>
      <c r="V53" s="93">
        <f>ДЕКАБРЬ!V53+ЯНВАРЬ!V53+ФЕВРАЛЬ!V53+МАРТ!V53</f>
        <v>8085.49</v>
      </c>
      <c r="W53" s="93">
        <f>ДЕКАБРЬ!W53+ЯНВАРЬ!W53+ФЕВРАЛЬ!W53+МАРТ!W53</f>
        <v>-725</v>
      </c>
      <c r="X53" s="92">
        <f t="shared" si="2"/>
        <v>7360.49</v>
      </c>
      <c r="Y53" s="93">
        <f>ДЕКАБРЬ!Y53+ЯНВАРЬ!Y53+ФЕВРАЛЬ!Y53+МАРТ!Y53</f>
        <v>12152.339999999998</v>
      </c>
      <c r="Z53" s="93">
        <f>ДЕКАБРЬ!Z53+ЯНВАРЬ!Z53+ФЕВРАЛЬ!Z53+МАРТ!Z53</f>
        <v>-1106</v>
      </c>
      <c r="AA53" s="232">
        <f t="shared" si="3"/>
        <v>11046.339999999998</v>
      </c>
      <c r="AB53" s="92">
        <f t="shared" si="14"/>
        <v>0</v>
      </c>
      <c r="AC53" s="234">
        <f t="shared" si="34"/>
        <v>3.8016752599228553E-4</v>
      </c>
      <c r="AD53" s="92">
        <f t="shared" si="5"/>
        <v>961.80000000000007</v>
      </c>
      <c r="AE53" s="93">
        <f>ДЕКАБРЬ!AE53+ЯНВАРЬ!AE53+ФЕВРАЛЬ!AE53+МАРТ!AE53</f>
        <v>4146.2399999999989</v>
      </c>
      <c r="AF53" s="234">
        <f t="shared" si="6"/>
        <v>0.37534966332740072</v>
      </c>
      <c r="AG53" s="93">
        <f>ДЕКАБРЬ!AG53+ЯНВАРЬ!AG53+ФЕВРАЛЬ!AG53+МАРТ!AG53</f>
        <v>3326.12</v>
      </c>
      <c r="AH53" s="93">
        <f>ДЕКАБРЬ!AH53+ЯНВАРЬ!AH53+ФЕВРАЛЬ!AH53+МАРТ!AH53</f>
        <v>0</v>
      </c>
      <c r="AI53" s="93">
        <f>ДЕКАБРЬ!AI53+ЯНВАРЬ!AI53+ФЕВРАЛЬ!AI53+МАРТ!AI53</f>
        <v>3448</v>
      </c>
      <c r="AJ53" s="93">
        <f>ДЕКАБРЬ!AJ53+ЯНВАРЬ!AJ53+ФЕВРАЛЬ!AJ53+МАРТ!AJ53</f>
        <v>0</v>
      </c>
      <c r="AK53" s="93"/>
      <c r="AL53" s="93">
        <f>ДЕКАБРЬ!AL53+ЯНВАРЬ!AL53+ФЕВРАЛЬ!AL53+МАРТ!AL53</f>
        <v>316.52497997409955</v>
      </c>
      <c r="AM53" s="93">
        <f>ДЕКАБРЬ!AM53+ЯНВАРЬ!AM53+ФЕВРАЛЬ!AM53+МАРТ!AM53</f>
        <v>0</v>
      </c>
      <c r="AN53" s="93">
        <f>ДЕКАБРЬ!AN53+ЯНВАРЬ!AN53+ФЕВРАЛЬ!AN53+МАРТ!AN53</f>
        <v>403.09867039976206</v>
      </c>
      <c r="AO53" s="95">
        <f t="shared" si="15"/>
        <v>-1555.4436503738614</v>
      </c>
      <c r="AP53" s="96"/>
      <c r="AQ53" s="97">
        <f t="shared" si="7"/>
        <v>1104.6339999999998</v>
      </c>
      <c r="AR53" s="98">
        <f t="shared" si="26"/>
        <v>96.18</v>
      </c>
      <c r="AS53" s="98">
        <f t="shared" si="9"/>
        <v>414.62399999999991</v>
      </c>
      <c r="AT53" s="98">
        <f t="shared" si="10"/>
        <v>302.37454545454545</v>
      </c>
      <c r="AU53" s="98">
        <f t="shared" si="16"/>
        <v>313.45454545454544</v>
      </c>
      <c r="AV53" s="98">
        <f t="array" ref="AV53">_xlfn.IFS(U53=0,AO53,U53&lt;0,AO53/-U53,U53&gt;0,AO53/U53)</f>
        <v>-155.54436503738614</v>
      </c>
      <c r="AW53" s="234">
        <f t="shared" si="35"/>
        <v>-0.14081077084118918</v>
      </c>
      <c r="AX53" s="234">
        <f t="shared" si="36"/>
        <v>-1.6172215121375144</v>
      </c>
      <c r="AY53" s="99"/>
      <c r="AZ53" s="94">
        <f t="shared" si="13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37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3"/>
        <v>0</v>
      </c>
      <c r="M54" s="89"/>
      <c r="N54" s="93">
        <f>ДЕКАБРЬ!N54+ЯНВАРЬ!N54+ФЕВРАЛЬ!N54+МАРТ!N54</f>
        <v>70</v>
      </c>
      <c r="O54" s="89"/>
      <c r="P54" s="89"/>
      <c r="Q54" s="233"/>
      <c r="R54" s="92"/>
      <c r="S54" s="93">
        <f>ДЕКАБРЬ!S54+ЯНВАРЬ!S54+ФЕВРАЛЬ!S54+МАРТ!S54</f>
        <v>26</v>
      </c>
      <c r="T54" s="93">
        <f>ДЕКАБРЬ!T54+ЯНВАРЬ!T54+ФЕВРАЛЬ!T54+МАРТ!T54</f>
        <v>-2</v>
      </c>
      <c r="U54" s="92">
        <f t="shared" si="1"/>
        <v>24</v>
      </c>
      <c r="V54" s="93">
        <f>ДЕКАБРЬ!V54+ЯНВАРЬ!V54+ФЕВРАЛЬ!V54+МАРТ!V54</f>
        <v>17270.54</v>
      </c>
      <c r="W54" s="93">
        <f>ДЕКАБРЬ!W54+ЯНВАРЬ!W54+ФЕВРАЛЬ!W54+МАРТ!W54</f>
        <v>-1457.49</v>
      </c>
      <c r="X54" s="92">
        <f t="shared" si="2"/>
        <v>15813.050000000001</v>
      </c>
      <c r="Y54" s="93">
        <f>ДЕКАБРЬ!Y54+ЯНВАРЬ!Y54+ФЕВРАЛЬ!Y54+МАРТ!Y54</f>
        <v>25736.659999999996</v>
      </c>
      <c r="Z54" s="93">
        <f>ДЕКАБРЬ!Z54+ЯНВАРЬ!Z54+ФЕВРАЛЬ!Z54+МАРТ!Z54</f>
        <v>-1996.05</v>
      </c>
      <c r="AA54" s="232">
        <f t="shared" si="3"/>
        <v>23740.609999999997</v>
      </c>
      <c r="AB54" s="92">
        <f t="shared" si="14"/>
        <v>0</v>
      </c>
      <c r="AC54" s="234">
        <f t="shared" si="34"/>
        <v>8.1704971685170953E-4</v>
      </c>
      <c r="AD54" s="92">
        <f t="shared" si="5"/>
        <v>2954.16</v>
      </c>
      <c r="AE54" s="93">
        <f>ДЕКАБРЬ!AE54+ЯНВАРЬ!AE54+ФЕВРАЛЬ!AE54+МАРТ!AE54</f>
        <v>8988.4199999999983</v>
      </c>
      <c r="AF54" s="234">
        <f t="shared" si="6"/>
        <v>0.37860947970587105</v>
      </c>
      <c r="AG54" s="93">
        <f>ДЕКАБРЬ!AG54+ЯНВАРЬ!AG54+ФЕВРАЛЬ!AG54+МАРТ!AG54</f>
        <v>4251.88</v>
      </c>
      <c r="AH54" s="93">
        <f>ДЕКАБРЬ!AH54+ЯНВАРЬ!AH54+ФЕВРАЛЬ!AH54+МАРТ!AH54</f>
        <v>0</v>
      </c>
      <c r="AI54" s="93">
        <f>ДЕКАБРЬ!AI54+ЯНВАРЬ!AI54+ФЕВРАЛЬ!AI54+МАРТ!AI54</f>
        <v>0</v>
      </c>
      <c r="AJ54" s="93">
        <f>ДЕКАБРЬ!AJ54+ЯНВАРЬ!AJ54+ФЕВРАЛЬ!AJ54+МАРТ!AJ54</f>
        <v>0</v>
      </c>
      <c r="AK54" s="93"/>
      <c r="AL54" s="93">
        <f>ДЕКАБРЬ!AL54+ЯНВАРЬ!AL54+ФЕВРАЛЬ!AL54+МАРТ!AL54</f>
        <v>303.44204566259265</v>
      </c>
      <c r="AM54" s="93">
        <f>ДЕКАБРЬ!AM54+ЯНВАРЬ!AM54+ФЕВРАЛЬ!AM54+МАРТ!AM54</f>
        <v>0</v>
      </c>
      <c r="AN54" s="93">
        <f>ДЕКАБРЬ!AN54+ЯНВАРЬ!AN54+ФЕВРАЛЬ!AN54+МАРТ!AN54</f>
        <v>884.78053637580911</v>
      </c>
      <c r="AO54" s="95">
        <f t="shared" si="15"/>
        <v>6357.9274179615968</v>
      </c>
      <c r="AP54" s="96"/>
      <c r="AQ54" s="97">
        <f t="shared" si="7"/>
        <v>989.19208333333324</v>
      </c>
      <c r="AR54" s="98">
        <f t="shared" si="26"/>
        <v>123.09</v>
      </c>
      <c r="AS54" s="98">
        <f t="shared" si="9"/>
        <v>374.51749999999993</v>
      </c>
      <c r="AT54" s="98">
        <f t="shared" si="10"/>
        <v>163.53384615384616</v>
      </c>
      <c r="AU54" s="98">
        <f t="shared" si="16"/>
        <v>0</v>
      </c>
      <c r="AV54" s="98">
        <f t="array" ref="AV54">_xlfn.IFS(U54=0,AO54,U54&lt;0,AO54/-U54,U54&gt;0,AO54/U54)</f>
        <v>264.91364241506653</v>
      </c>
      <c r="AW54" s="234">
        <f t="shared" si="35"/>
        <v>0.26780808993372945</v>
      </c>
      <c r="AX54" s="234">
        <f t="shared" si="36"/>
        <v>2.1521946739383098</v>
      </c>
      <c r="AY54" s="99"/>
      <c r="AZ54" s="94">
        <f t="shared" si="13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37"/>
        <v>0</v>
      </c>
      <c r="F55" s="93"/>
      <c r="G55" s="93"/>
      <c r="H55" s="93"/>
      <c r="I55" s="93"/>
      <c r="J55" s="93"/>
      <c r="K55" s="93">
        <v>158.19</v>
      </c>
      <c r="L55" s="92">
        <f t="shared" si="33"/>
        <v>0</v>
      </c>
      <c r="M55" s="89"/>
      <c r="N55" s="93">
        <f>ДЕКАБРЬ!N55+ЯНВАРЬ!N55+ФЕВРАЛЬ!N55+МАРТ!N55</f>
        <v>3</v>
      </c>
      <c r="O55" s="89"/>
      <c r="P55" s="89"/>
      <c r="Q55" s="233"/>
      <c r="R55" s="92"/>
      <c r="S55" s="93">
        <f>ДЕКАБРЬ!S55+ЯНВАРЬ!S55+ФЕВРАЛЬ!S55+МАРТ!S55</f>
        <v>0</v>
      </c>
      <c r="T55" s="93">
        <f>ДЕКАБРЬ!T55+ЯНВАРЬ!T55+ФЕВРАЛЬ!T55+МАРТ!T55</f>
        <v>0</v>
      </c>
      <c r="U55" s="92">
        <f t="shared" si="1"/>
        <v>0</v>
      </c>
      <c r="V55" s="93">
        <f>ДЕКАБРЬ!V55+ЯНВАРЬ!V55+ФЕВРАЛЬ!V55+МАРТ!V55</f>
        <v>0</v>
      </c>
      <c r="W55" s="93">
        <f>ДЕКАБРЬ!W55+ЯНВАРЬ!W55+ФЕВРАЛЬ!W55+МАРТ!W55</f>
        <v>0</v>
      </c>
      <c r="X55" s="92">
        <f t="shared" si="2"/>
        <v>0</v>
      </c>
      <c r="Y55" s="93">
        <f>ДЕКАБРЬ!Y55+ЯНВАРЬ!Y55+ФЕВРАЛЬ!Y55+МАРТ!Y55</f>
        <v>0</v>
      </c>
      <c r="Z55" s="93">
        <f>ДЕКАБРЬ!Z55+ЯНВАРЬ!Z55+ФЕВРАЛЬ!Z55+МАРТ!Z55</f>
        <v>0</v>
      </c>
      <c r="AA55" s="232">
        <f t="shared" si="3"/>
        <v>0</v>
      </c>
      <c r="AB55" s="92">
        <f t="shared" si="14"/>
        <v>0</v>
      </c>
      <c r="AC55" s="234">
        <f t="shared" si="34"/>
        <v>0</v>
      </c>
      <c r="AD55" s="92">
        <f t="shared" si="5"/>
        <v>0</v>
      </c>
      <c r="AE55" s="93">
        <f>ДЕКАБРЬ!AE55+ЯНВАРЬ!AE55+ФЕВРАЛЬ!AE55+МАРТ!AE55</f>
        <v>0</v>
      </c>
      <c r="AF55" s="234">
        <f t="shared" si="6"/>
        <v>0</v>
      </c>
      <c r="AG55" s="93">
        <f>ДЕКАБРЬ!AG55+ЯНВАРЬ!AG55+ФЕВРАЛЬ!AG55+МАРТ!AG55</f>
        <v>191.25</v>
      </c>
      <c r="AH55" s="93">
        <f>ДЕКАБРЬ!AH55+ЯНВАРЬ!AH55+ФЕВРАЛЬ!AH55+МАРТ!AH55</f>
        <v>0</v>
      </c>
      <c r="AI55" s="93">
        <f>ДЕКАБРЬ!AI55+ЯНВАРЬ!AI55+ФЕВРАЛЬ!AI55+МАРТ!AI55</f>
        <v>0</v>
      </c>
      <c r="AJ55" s="93">
        <f>ДЕКАБРЬ!AJ55+ЯНВАРЬ!AJ55+ФЕВРАЛЬ!AJ55+МАРТ!AJ55</f>
        <v>0</v>
      </c>
      <c r="AK55" s="93"/>
      <c r="AL55" s="93">
        <f>ДЕКАБРЬ!AL55+ЯНВАРЬ!AL55+ФЕВРАЛЬ!AL55+МАРТ!AL55</f>
        <v>3.4974592185883662</v>
      </c>
      <c r="AM55" s="93">
        <f>ДЕКАБРЬ!AM55+ЯНВАРЬ!AM55+ФЕВРАЛЬ!AM55+МАРТ!AM55</f>
        <v>0</v>
      </c>
      <c r="AN55" s="93">
        <f>ДЕКАБРЬ!AN55+ЯНВАРЬ!AN55+ФЕВРАЛЬ!AN55+МАРТ!AN55</f>
        <v>0</v>
      </c>
      <c r="AO55" s="95">
        <f t="shared" si="15"/>
        <v>-194.74745921858838</v>
      </c>
      <c r="AP55" s="96"/>
      <c r="AQ55" s="97">
        <f t="shared" si="7"/>
        <v>0</v>
      </c>
      <c r="AR55" s="98">
        <f t="shared" si="26"/>
        <v>158.19</v>
      </c>
      <c r="AS55" s="98">
        <f t="shared" si="9"/>
        <v>0</v>
      </c>
      <c r="AT55" s="98">
        <f t="shared" si="10"/>
        <v>191.25</v>
      </c>
      <c r="AU55" s="98">
        <f t="shared" si="16"/>
        <v>0</v>
      </c>
      <c r="AV55" s="98">
        <f t="array" ref="AV55">_xlfn.IFS(U55=0,AO55,U55&lt;0,AO55/-U55,U55&gt;0,AO55/U55)</f>
        <v>-194.74745921858838</v>
      </c>
      <c r="AW55" s="234">
        <f t="shared" si="35"/>
        <v>0</v>
      </c>
      <c r="AX55" s="234">
        <f t="shared" si="36"/>
        <v>-1.2310984210037828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37"/>
        <v>0</v>
      </c>
      <c r="F56" s="93"/>
      <c r="G56" s="93"/>
      <c r="H56" s="93"/>
      <c r="I56" s="93"/>
      <c r="J56" s="93"/>
      <c r="K56" s="93">
        <v>152.34</v>
      </c>
      <c r="L56" s="92">
        <f t="shared" si="33"/>
        <v>0</v>
      </c>
      <c r="M56" s="89"/>
      <c r="N56" s="93">
        <f>ДЕКАБРЬ!N56+ЯНВАРЬ!N56+ФЕВРАЛЬ!N56+МАРТ!N56</f>
        <v>11</v>
      </c>
      <c r="O56" s="89"/>
      <c r="P56" s="89"/>
      <c r="Q56" s="233"/>
      <c r="R56" s="92"/>
      <c r="S56" s="93">
        <f>ДЕКАБРЬ!S56+ЯНВАРЬ!S56+ФЕВРАЛЬ!S56+МАРТ!S56</f>
        <v>2</v>
      </c>
      <c r="T56" s="93">
        <f>ДЕКАБРЬ!T56+ЯНВАРЬ!T56+ФЕВРАЛЬ!T56+МАРТ!T56</f>
        <v>0</v>
      </c>
      <c r="U56" s="92">
        <f t="shared" si="1"/>
        <v>2</v>
      </c>
      <c r="V56" s="93">
        <f>ДЕКАБРЬ!V56+ЯНВАРЬ!V56+ФЕВРАЛЬ!V56+МАРТ!V56</f>
        <v>1297</v>
      </c>
      <c r="W56" s="93">
        <f>ДЕКАБРЬ!W56+ЯНВАРЬ!W56+ФЕВРАЛЬ!W56+МАРТ!W56</f>
        <v>0</v>
      </c>
      <c r="X56" s="92">
        <f t="shared" si="2"/>
        <v>1297</v>
      </c>
      <c r="Y56" s="93">
        <f>ДЕКАБРЬ!Y56+ЯНВАРЬ!Y56+ФЕВРАЛЬ!Y56+МАРТ!Y56</f>
        <v>2098</v>
      </c>
      <c r="Z56" s="93">
        <f>ДЕКАБРЬ!Z56+ЯНВАРЬ!Z56+ФЕВРАЛЬ!Z56+МАРТ!Z56</f>
        <v>0</v>
      </c>
      <c r="AA56" s="232">
        <f t="shared" si="3"/>
        <v>2098</v>
      </c>
      <c r="AB56" s="92">
        <f t="shared" si="14"/>
        <v>0</v>
      </c>
      <c r="AC56" s="234">
        <f t="shared" si="34"/>
        <v>7.2204139066135494E-5</v>
      </c>
      <c r="AD56" s="92">
        <f t="shared" si="5"/>
        <v>304.68</v>
      </c>
      <c r="AE56" s="93">
        <f>ДЕКАБРЬ!AE56+ЯНВАРЬ!AE56+ФЕВРАЛЬ!AE56+МАРТ!AE56</f>
        <v>786.64</v>
      </c>
      <c r="AF56" s="234">
        <f t="shared" si="6"/>
        <v>0.37494756911344135</v>
      </c>
      <c r="AG56" s="93">
        <f>ДЕКАБРЬ!AG56+ЯНВАРЬ!AG56+ФЕВРАЛЬ!AG56+МАРТ!AG56</f>
        <v>1194.44</v>
      </c>
      <c r="AH56" s="93">
        <f>ДЕКАБРЬ!AH56+ЯНВАРЬ!AH56+ФЕВРАЛЬ!AH56+МАРТ!AH56</f>
        <v>0</v>
      </c>
      <c r="AI56" s="93">
        <f>ДЕКАБРЬ!AI56+ЯНВАРЬ!AI56+ФЕВРАЛЬ!AI56+МАРТ!AI56</f>
        <v>0</v>
      </c>
      <c r="AJ56" s="93">
        <f>ДЕКАБРЬ!AJ56+ЯНВАРЬ!AJ56+ФЕВРАЛЬ!AJ56+МАРТ!AJ56</f>
        <v>0</v>
      </c>
      <c r="AK56" s="93"/>
      <c r="AL56" s="93">
        <f>ДЕКАБРЬ!AL56+ЯНВАРЬ!AL56+ФЕВРАЛЬ!AL56+МАРТ!AL56</f>
        <v>6.9949184371767323</v>
      </c>
      <c r="AM56" s="93">
        <f>ДЕКАБРЬ!AM56+ЯНВАРЬ!AM56+ФЕВРАЛЬ!AM56+МАРТ!AM56</f>
        <v>20</v>
      </c>
      <c r="AN56" s="93">
        <f>ДЕКАБРЬ!AN56+ЯНВАРЬ!AN56+ФЕВРАЛЬ!AN56+МАРТ!AN56</f>
        <v>72.823838255783471</v>
      </c>
      <c r="AO56" s="95">
        <f t="shared" si="15"/>
        <v>-287.57875669296027</v>
      </c>
      <c r="AP56" s="96"/>
      <c r="AQ56" s="97">
        <f t="shared" si="7"/>
        <v>1049</v>
      </c>
      <c r="AR56" s="98">
        <f t="shared" si="26"/>
        <v>152.34</v>
      </c>
      <c r="AS56" s="98">
        <f t="shared" si="9"/>
        <v>393.32</v>
      </c>
      <c r="AT56" s="98">
        <f t="shared" si="10"/>
        <v>597.22</v>
      </c>
      <c r="AU56" s="98">
        <f t="shared" si="16"/>
        <v>0</v>
      </c>
      <c r="AV56" s="98">
        <f t="array" ref="AV56">_xlfn.IFS(U56=0,AO56,U56&lt;0,AO56/-U56,U56&gt;0,AO56/U56)</f>
        <v>-143.78937834648013</v>
      </c>
      <c r="AW56" s="234">
        <f t="shared" si="35"/>
        <v>-0.13707281062581519</v>
      </c>
      <c r="AX56" s="234">
        <f t="shared" si="36"/>
        <v>-0.9438714608538803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37"/>
        <v>0</v>
      </c>
      <c r="F57" s="93"/>
      <c r="G57" s="93"/>
      <c r="H57" s="93"/>
      <c r="I57" s="93"/>
      <c r="J57" s="93"/>
      <c r="K57" s="93">
        <v>93.84</v>
      </c>
      <c r="L57" s="92">
        <f t="shared" si="33"/>
        <v>0</v>
      </c>
      <c r="M57" s="89"/>
      <c r="N57" s="93">
        <f>ДЕКАБРЬ!N57+ЯНВАРЬ!N57+ФЕВРАЛЬ!N57+МАРТ!N57</f>
        <v>0</v>
      </c>
      <c r="O57" s="89"/>
      <c r="P57" s="89"/>
      <c r="Q57" s="233"/>
      <c r="R57" s="92"/>
      <c r="S57" s="93">
        <f>ДЕКАБРЬ!S57+ЯНВАРЬ!S57+ФЕВРАЛЬ!S57+МАРТ!S57</f>
        <v>0</v>
      </c>
      <c r="T57" s="93">
        <f>ДЕКАБРЬ!T57+ЯНВАРЬ!T57+ФЕВРАЛЬ!T57+МАРТ!T57</f>
        <v>0</v>
      </c>
      <c r="U57" s="92">
        <f t="shared" si="1"/>
        <v>0</v>
      </c>
      <c r="V57" s="93">
        <f>ДЕКАБРЬ!V57+ЯНВАРЬ!V57+ФЕВРАЛЬ!V57+МАРТ!V57</f>
        <v>0</v>
      </c>
      <c r="W57" s="93">
        <f>ДЕКАБРЬ!W57+ЯНВАРЬ!W57+ФЕВРАЛЬ!W57+МАРТ!W57</f>
        <v>0</v>
      </c>
      <c r="X57" s="92">
        <f t="shared" si="2"/>
        <v>0</v>
      </c>
      <c r="Y57" s="93">
        <f>ДЕКАБРЬ!Y57+ЯНВАРЬ!Y57+ФЕВРАЛЬ!Y57+МАРТ!Y57</f>
        <v>0</v>
      </c>
      <c r="Z57" s="93">
        <f>ДЕКАБРЬ!Z57+ЯНВАРЬ!Z57+ФЕВРАЛЬ!Z57+МАРТ!Z57</f>
        <v>0</v>
      </c>
      <c r="AA57" s="232">
        <f t="shared" si="3"/>
        <v>0</v>
      </c>
      <c r="AB57" s="92">
        <f t="shared" si="14"/>
        <v>0</v>
      </c>
      <c r="AC57" s="234">
        <f t="shared" si="34"/>
        <v>0</v>
      </c>
      <c r="AD57" s="92">
        <f t="shared" si="5"/>
        <v>0</v>
      </c>
      <c r="AE57" s="93">
        <f>ДЕКАБРЬ!AE57+ЯНВАРЬ!AE57+ФЕВРАЛЬ!AE57+МАРТ!AE57</f>
        <v>0</v>
      </c>
      <c r="AF57" s="234">
        <f t="shared" si="6"/>
        <v>0</v>
      </c>
      <c r="AG57" s="93">
        <f>ДЕКАБРЬ!AG57+ЯНВАРЬ!AG57+ФЕВРАЛЬ!AG57+МАРТ!AG57</f>
        <v>0</v>
      </c>
      <c r="AH57" s="93">
        <f>ДЕКАБРЬ!AH57+ЯНВАРЬ!AH57+ФЕВРАЛЬ!AH57+МАРТ!AH57</f>
        <v>0</v>
      </c>
      <c r="AI57" s="93">
        <f>ДЕКАБРЬ!AI57+ЯНВАРЬ!AI57+ФЕВРАЛЬ!AI57+МАРТ!AI57</f>
        <v>0</v>
      </c>
      <c r="AJ57" s="93">
        <f>ДЕКАБРЬ!AJ57+ЯНВАРЬ!AJ57+ФЕВРАЛЬ!AJ57+МАРТ!AJ57</f>
        <v>0</v>
      </c>
      <c r="AK57" s="93"/>
      <c r="AL57" s="93">
        <f>ДЕКАБРЬ!AL57+ЯНВАРЬ!AL57+ФЕВРАЛЬ!AL57+МАРТ!AL57</f>
        <v>0</v>
      </c>
      <c r="AM57" s="93">
        <f>ДЕКАБРЬ!AM57+ЯНВАРЬ!AM57+ФЕВРАЛЬ!AM57+МАРТ!AM57</f>
        <v>0</v>
      </c>
      <c r="AN57" s="93">
        <f>ДЕКАБРЬ!AN57+ЯНВАРЬ!AN57+ФЕВРАЛЬ!AN57+МАРТ!AN57</f>
        <v>0</v>
      </c>
      <c r="AO57" s="95">
        <f t="shared" si="15"/>
        <v>0</v>
      </c>
      <c r="AP57" s="96"/>
      <c r="AQ57" s="97">
        <f t="shared" si="7"/>
        <v>0</v>
      </c>
      <c r="AR57" s="98">
        <f t="shared" si="26"/>
        <v>93.84</v>
      </c>
      <c r="AS57" s="98">
        <f t="shared" si="9"/>
        <v>0</v>
      </c>
      <c r="AT57" s="98">
        <f t="shared" si="10"/>
        <v>0</v>
      </c>
      <c r="AU57" s="98">
        <f t="shared" si="16"/>
        <v>0</v>
      </c>
      <c r="AV57" s="98">
        <f t="array" ref="AV57">_xlfn.IFS(U57=0,AO57,U57&lt;0,AO57/-U57,U57&gt;0,AO57/U57)</f>
        <v>0</v>
      </c>
      <c r="AW57" s="234">
        <f t="shared" si="35"/>
        <v>0</v>
      </c>
      <c r="AX57" s="234">
        <f t="shared" si="36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37"/>
        <v>0</v>
      </c>
      <c r="F58" s="93"/>
      <c r="G58" s="93"/>
      <c r="H58" s="93"/>
      <c r="I58" s="93"/>
      <c r="J58" s="93"/>
      <c r="K58" s="93">
        <v>169.89</v>
      </c>
      <c r="L58" s="92">
        <f t="shared" si="33"/>
        <v>0</v>
      </c>
      <c r="M58" s="89"/>
      <c r="N58" s="93">
        <f>ДЕКАБРЬ!N58+ЯНВАРЬ!N58+ФЕВРАЛЬ!N58+МАРТ!N58</f>
        <v>89</v>
      </c>
      <c r="O58" s="89"/>
      <c r="P58" s="89"/>
      <c r="Q58" s="233"/>
      <c r="R58" s="92"/>
      <c r="S58" s="93">
        <f>ДЕКАБРЬ!S58+ЯНВАРЬ!S58+ФЕВРАЛЬ!S58+МАРТ!S58</f>
        <v>27</v>
      </c>
      <c r="T58" s="93">
        <f>ДЕКАБРЬ!T58+ЯНВАРЬ!T58+ФЕВРАЛЬ!T58+МАРТ!T58</f>
        <v>-2</v>
      </c>
      <c r="U58" s="92">
        <f t="shared" si="1"/>
        <v>25</v>
      </c>
      <c r="V58" s="93">
        <f>ДЕКАБРЬ!V58+ЯНВАРЬ!V58+ФЕВРАЛЬ!V58+МАРТ!V58</f>
        <v>17901.260000000002</v>
      </c>
      <c r="W58" s="93">
        <f>ДЕКАБРЬ!W58+ЯНВАРЬ!W58+ФЕВРАЛЬ!W58+МАРТ!W58</f>
        <v>-1290</v>
      </c>
      <c r="X58" s="92">
        <f t="shared" si="2"/>
        <v>16611.260000000002</v>
      </c>
      <c r="Y58" s="93">
        <f>ДЕКАБРЬ!Y58+ЯНВАРЬ!Y58+ФЕВРАЛЬ!Y58+МАРТ!Y58</f>
        <v>27969.07</v>
      </c>
      <c r="Z58" s="93">
        <f>ДЕКАБРЬ!Z58+ЯНВАРЬ!Z58+ФЕВРАЛЬ!Z58+МАРТ!Z58</f>
        <v>-2078</v>
      </c>
      <c r="AA58" s="232">
        <f t="shared" si="3"/>
        <v>25891.07</v>
      </c>
      <c r="AB58" s="92">
        <f t="shared" si="14"/>
        <v>0</v>
      </c>
      <c r="AC58" s="234">
        <f t="shared" si="34"/>
        <v>8.910593035515007E-4</v>
      </c>
      <c r="AD58" s="92">
        <f t="shared" si="5"/>
        <v>4247.25</v>
      </c>
      <c r="AE58" s="93">
        <f>ДЕКАБРЬ!AE58+ЯНВАРЬ!AE58+ФЕВРАЛЬ!AE58+МАРТ!AE58</f>
        <v>9709.76</v>
      </c>
      <c r="AF58" s="234">
        <f t="shared" si="6"/>
        <v>0.37502351196763983</v>
      </c>
      <c r="AG58" s="93">
        <f>ДЕКАБРЬ!AG58+ЯНВАРЬ!AG58+ФЕВРАЛЬ!AG58+МАРТ!AG58</f>
        <v>7309.6200000000008</v>
      </c>
      <c r="AH58" s="93">
        <f>ДЕКАБРЬ!AH58+ЯНВАРЬ!AH58+ФЕВРАЛЬ!AH58+МАРТ!AH58</f>
        <v>6685</v>
      </c>
      <c r="AI58" s="93">
        <f>ДЕКАБРЬ!AI58+ЯНВАРЬ!AI58+ФЕВРАЛЬ!AI58+МАРТ!AI58</f>
        <v>6172</v>
      </c>
      <c r="AJ58" s="93">
        <f>ДЕКАБРЬ!AJ58+ЯНВАРЬ!AJ58+ФЕВРАЛЬ!AJ58+МАРТ!AJ58</f>
        <v>0</v>
      </c>
      <c r="AK58" s="93"/>
      <c r="AL58" s="93">
        <f>ДЕКАБРЬ!AL58+ЯНВАРЬ!AL58+ФЕВРАЛЬ!AL58+МАРТ!AL58</f>
        <v>240.04556699593616</v>
      </c>
      <c r="AM58" s="93">
        <f>ДЕКАБРЬ!AM58+ЯНВАРЬ!AM58+ФЕВРАЛЬ!AM58+МАРТ!AM58</f>
        <v>0</v>
      </c>
      <c r="AN58" s="93">
        <f>ДЕКАБРЬ!AN58+ЯНВАРЬ!AN58+ФЕВРАЛЬ!AN58+МАРТ!AN58</f>
        <v>933.06859109351842</v>
      </c>
      <c r="AO58" s="95">
        <f t="shared" si="15"/>
        <v>-9405.6741580894559</v>
      </c>
      <c r="AP58" s="96"/>
      <c r="AQ58" s="97">
        <f t="shared" si="7"/>
        <v>1035.6428000000001</v>
      </c>
      <c r="AR58" s="98">
        <f t="shared" si="26"/>
        <v>169.89</v>
      </c>
      <c r="AS58" s="98">
        <f t="shared" si="9"/>
        <v>388.3904</v>
      </c>
      <c r="AT58" s="98">
        <f t="shared" si="10"/>
        <v>270.72666666666669</v>
      </c>
      <c r="AU58" s="98">
        <f t="shared" si="16"/>
        <v>476.18518518518516</v>
      </c>
      <c r="AV58" s="98">
        <f t="array" ref="AV58">_xlfn.IFS(U58=0,AO58,U58&lt;0,AO58/-U58,U58&gt;0,AO58/U58)</f>
        <v>-376.22696632357821</v>
      </c>
      <c r="AW58" s="234">
        <f t="shared" si="35"/>
        <v>-0.36327869640341071</v>
      </c>
      <c r="AX58" s="234">
        <f t="shared" si="36"/>
        <v>-2.2145327348494805</v>
      </c>
      <c r="AY58" s="99"/>
      <c r="AZ58" s="94">
        <f t="shared" si="13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37"/>
        <v>0</v>
      </c>
      <c r="F59" s="93"/>
      <c r="G59" s="93"/>
      <c r="H59" s="93"/>
      <c r="I59" s="93"/>
      <c r="J59" s="93"/>
      <c r="K59" s="93">
        <v>158.19</v>
      </c>
      <c r="L59" s="92">
        <f t="shared" si="33"/>
        <v>0</v>
      </c>
      <c r="M59" s="89"/>
      <c r="N59" s="93">
        <f>ДЕКАБРЬ!N59+ЯНВАРЬ!N59+ФЕВРАЛЬ!N59+МАРТ!N59</f>
        <v>0</v>
      </c>
      <c r="O59" s="89"/>
      <c r="P59" s="89"/>
      <c r="Q59" s="233"/>
      <c r="R59" s="92"/>
      <c r="S59" s="93">
        <f>ДЕКАБРЬ!S59+ЯНВАРЬ!S59+ФЕВРАЛЬ!S59+МАРТ!S59</f>
        <v>0</v>
      </c>
      <c r="T59" s="93">
        <f>ДЕКАБРЬ!T59+ЯНВАРЬ!T59+ФЕВРАЛЬ!T59+МАРТ!T59</f>
        <v>0</v>
      </c>
      <c r="U59" s="92">
        <f t="shared" si="1"/>
        <v>0</v>
      </c>
      <c r="V59" s="93">
        <f>ДЕКАБРЬ!V59+ЯНВАРЬ!V59+ФЕВРАЛЬ!V59+МАРТ!V59</f>
        <v>0</v>
      </c>
      <c r="W59" s="93">
        <f>ДЕКАБРЬ!W59+ЯНВАРЬ!W59+ФЕВРАЛЬ!W59+МАРТ!W59</f>
        <v>0</v>
      </c>
      <c r="X59" s="92">
        <f t="shared" si="2"/>
        <v>0</v>
      </c>
      <c r="Y59" s="93">
        <f>ДЕКАБРЬ!Y59+ЯНВАРЬ!Y59+ФЕВРАЛЬ!Y59+МАРТ!Y59</f>
        <v>0</v>
      </c>
      <c r="Z59" s="93">
        <f>ДЕКАБРЬ!Z59+ЯНВАРЬ!Z59+ФЕВРАЛЬ!Z59+МАРТ!Z59</f>
        <v>0</v>
      </c>
      <c r="AA59" s="232">
        <f t="shared" si="3"/>
        <v>0</v>
      </c>
      <c r="AB59" s="92">
        <f t="shared" si="14"/>
        <v>0</v>
      </c>
      <c r="AC59" s="234">
        <f t="shared" si="34"/>
        <v>0</v>
      </c>
      <c r="AD59" s="92">
        <f t="shared" si="5"/>
        <v>0</v>
      </c>
      <c r="AE59" s="93">
        <f>ДЕКАБРЬ!AE59+ЯНВАРЬ!AE59+ФЕВРАЛЬ!AE59+МАРТ!AE59</f>
        <v>0</v>
      </c>
      <c r="AF59" s="234">
        <f t="shared" si="6"/>
        <v>0</v>
      </c>
      <c r="AG59" s="93">
        <f>ДЕКАБРЬ!AG59+ЯНВАРЬ!AG59+ФЕВРАЛЬ!AG59+МАРТ!AG59</f>
        <v>0</v>
      </c>
      <c r="AH59" s="93">
        <f>ДЕКАБРЬ!AH59+ЯНВАРЬ!AH59+ФЕВРАЛЬ!AH59+МАРТ!AH59</f>
        <v>0</v>
      </c>
      <c r="AI59" s="93">
        <f>ДЕКАБРЬ!AI59+ЯНВАРЬ!AI59+ФЕВРАЛЬ!AI59+МАРТ!AI59</f>
        <v>0</v>
      </c>
      <c r="AJ59" s="93">
        <f>ДЕКАБРЬ!AJ59+ЯНВАРЬ!AJ59+ФЕВРАЛЬ!AJ59+МАРТ!AJ59</f>
        <v>0</v>
      </c>
      <c r="AK59" s="93"/>
      <c r="AL59" s="93">
        <f>ДЕКАБРЬ!AL59+ЯНВАРЬ!AL59+ФЕВРАЛЬ!AL59+МАРТ!AL59</f>
        <v>0</v>
      </c>
      <c r="AM59" s="93">
        <f>ДЕКАБРЬ!AM59+ЯНВАРЬ!AM59+ФЕВРАЛЬ!AM59+МАРТ!AM59</f>
        <v>0</v>
      </c>
      <c r="AN59" s="93">
        <f>ДЕКАБРЬ!AN59+ЯНВАРЬ!AN59+ФЕВРАЛЬ!AN59+МАРТ!AN59</f>
        <v>0</v>
      </c>
      <c r="AO59" s="95">
        <f t="shared" si="15"/>
        <v>0</v>
      </c>
      <c r="AP59" s="96"/>
      <c r="AQ59" s="97">
        <f t="shared" si="7"/>
        <v>0</v>
      </c>
      <c r="AR59" s="98">
        <f t="shared" si="26"/>
        <v>158.19</v>
      </c>
      <c r="AS59" s="98">
        <f t="shared" si="9"/>
        <v>0</v>
      </c>
      <c r="AT59" s="98">
        <f t="shared" si="10"/>
        <v>0</v>
      </c>
      <c r="AU59" s="98">
        <f t="shared" si="16"/>
        <v>0</v>
      </c>
      <c r="AV59" s="98">
        <f t="array" ref="AV59">_xlfn.IFS(U59=0,AO59,U59&lt;0,AO59/-U59,U59&gt;0,AO59/U59)</f>
        <v>0</v>
      </c>
      <c r="AW59" s="234">
        <f t="shared" si="35"/>
        <v>0</v>
      </c>
      <c r="AX59" s="234">
        <f t="shared" si="36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37"/>
        <v>0</v>
      </c>
      <c r="F60" s="93"/>
      <c r="G60" s="93"/>
      <c r="H60" s="93"/>
      <c r="I60" s="93"/>
      <c r="J60" s="93"/>
      <c r="K60" s="93">
        <v>158.19</v>
      </c>
      <c r="L60" s="92">
        <f t="shared" si="33"/>
        <v>0</v>
      </c>
      <c r="M60" s="89"/>
      <c r="N60" s="93">
        <f>ДЕКАБРЬ!N60+ЯНВАРЬ!N60+ФЕВРАЛЬ!N60+МАРТ!N60</f>
        <v>33</v>
      </c>
      <c r="O60" s="89"/>
      <c r="P60" s="89"/>
      <c r="Q60" s="233"/>
      <c r="R60" s="92"/>
      <c r="S60" s="93">
        <f>ДЕКАБРЬ!S60+ЯНВАРЬ!S60+ФЕВРАЛЬ!S60+МАРТ!S60</f>
        <v>8</v>
      </c>
      <c r="T60" s="93">
        <f>ДЕКАБРЬ!T60+ЯНВАРЬ!T60+ФЕВРАЛЬ!T60+МАРТ!T60</f>
        <v>-1</v>
      </c>
      <c r="U60" s="92">
        <f t="shared" si="1"/>
        <v>7</v>
      </c>
      <c r="V60" s="93">
        <f>ДЕКАБРЬ!V60+ЯНВАРЬ!V60+ФЕВРАЛЬ!V60+МАРТ!V60</f>
        <v>5315</v>
      </c>
      <c r="W60" s="93">
        <f>ДЕКАБРЬ!W60+ЯНВАРЬ!W60+ФЕВРАЛЬ!W60+МАРТ!W60</f>
        <v>-643</v>
      </c>
      <c r="X60" s="92">
        <f t="shared" si="2"/>
        <v>4672</v>
      </c>
      <c r="Y60" s="93">
        <f>ДЕКАБРЬ!Y60+ЯНВАРЬ!Y60+ФЕВРАЛЬ!Y60+МАРТ!Y60</f>
        <v>8329.06</v>
      </c>
      <c r="Z60" s="93">
        <f>ДЕКАБРЬ!Z60+ЯНВАРЬ!Z60+ФЕВРАЛЬ!Z60+МАРТ!Z60</f>
        <v>-1049</v>
      </c>
      <c r="AA60" s="232">
        <f t="shared" si="3"/>
        <v>7280.0599999999995</v>
      </c>
      <c r="AB60" s="92">
        <f t="shared" si="14"/>
        <v>0</v>
      </c>
      <c r="AC60" s="234">
        <f t="shared" si="34"/>
        <v>2.5054836255949015E-4</v>
      </c>
      <c r="AD60" s="92">
        <f t="shared" si="5"/>
        <v>1107.33</v>
      </c>
      <c r="AE60" s="93">
        <f>ДЕКАБРЬ!AE60+ЯНВАРЬ!AE60+ФЕВРАЛЬ!AE60+МАРТ!AE60</f>
        <v>2742.8099999999995</v>
      </c>
      <c r="AF60" s="234">
        <f t="shared" si="6"/>
        <v>0.37675651024854184</v>
      </c>
      <c r="AG60" s="93">
        <f>ДЕКАБРЬ!AG60+ЯНВАРЬ!AG60+ФЕВРАЛЬ!AG60+МАРТ!AG60</f>
        <v>2859.92</v>
      </c>
      <c r="AH60" s="93">
        <f>ДЕКАБРЬ!AH60+ЯНВАРЬ!AH60+ФЕВРАЛЬ!AH60+МАРТ!AH60</f>
        <v>0</v>
      </c>
      <c r="AI60" s="93">
        <f>ДЕКАБРЬ!AI60+ЯНВАРЬ!AI60+ФЕВРАЛЬ!AI60+МАРТ!AI60</f>
        <v>0</v>
      </c>
      <c r="AJ60" s="93">
        <f>ДЕКАБРЬ!AJ60+ЯНВАРЬ!AJ60+ФЕВРАЛЬ!AJ60+МАРТ!AJ60</f>
        <v>0</v>
      </c>
      <c r="AK60" s="93"/>
      <c r="AL60" s="93">
        <f>ДЕКАБРЬ!AL60+ЯНВАРЬ!AL60+ФЕВРАЛЬ!AL60+МАРТ!AL60</f>
        <v>175.15717107253056</v>
      </c>
      <c r="AM60" s="93">
        <f>ДЕКАБРЬ!AM60+ЯНВАРЬ!AM60+ФЕВРАЛЬ!AM60+МАРТ!AM60</f>
        <v>0</v>
      </c>
      <c r="AN60" s="93">
        <f>ДЕКАБРЬ!AN60+ЯНВАРЬ!AN60+ФЕВРАЛЬ!AN60+МАРТ!AN60</f>
        <v>261.18764129331214</v>
      </c>
      <c r="AO60" s="95">
        <f t="shared" si="15"/>
        <v>133.6551876341573</v>
      </c>
      <c r="AP60" s="96"/>
      <c r="AQ60" s="97">
        <f t="shared" si="7"/>
        <v>1040.0085714285713</v>
      </c>
      <c r="AR60" s="98">
        <f t="shared" si="26"/>
        <v>158.19</v>
      </c>
      <c r="AS60" s="98">
        <f t="shared" si="9"/>
        <v>391.82999999999993</v>
      </c>
      <c r="AT60" s="98">
        <f t="shared" si="10"/>
        <v>357.49</v>
      </c>
      <c r="AU60" s="98">
        <f t="shared" si="16"/>
        <v>0</v>
      </c>
      <c r="AV60" s="98">
        <f t="array" ref="AV60">_xlfn.IFS(U60=0,AO60,U60&lt;0,AO60/-U60,U60&gt;0,AO60/U60)</f>
        <v>19.093598233451043</v>
      </c>
      <c r="AW60" s="234">
        <f t="shared" si="35"/>
        <v>1.835907775954557E-2</v>
      </c>
      <c r="AX60" s="234">
        <f t="shared" si="36"/>
        <v>0.12070041237405046</v>
      </c>
      <c r="AY60" s="99"/>
      <c r="AZ60" s="94">
        <f t="shared" si="13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37"/>
        <v>0</v>
      </c>
      <c r="F61" s="93"/>
      <c r="G61" s="93"/>
      <c r="H61" s="93"/>
      <c r="I61" s="93"/>
      <c r="J61" s="93"/>
      <c r="K61" s="93">
        <v>128.94</v>
      </c>
      <c r="L61" s="92">
        <f t="shared" si="33"/>
        <v>0</v>
      </c>
      <c r="M61" s="89"/>
      <c r="N61" s="93">
        <f>ДЕКАБРЬ!N61+ЯНВАРЬ!N61+ФЕВРАЛЬ!N61+МАРТ!N61</f>
        <v>19</v>
      </c>
      <c r="O61" s="89"/>
      <c r="P61" s="89"/>
      <c r="Q61" s="233"/>
      <c r="R61" s="92"/>
      <c r="S61" s="93">
        <f>ДЕКАБРЬ!S61+ЯНВАРЬ!S61+ФЕВРАЛЬ!S61+МАРТ!S61</f>
        <v>2</v>
      </c>
      <c r="T61" s="93">
        <f>ДЕКАБРЬ!T61+ЯНВАРЬ!T61+ФЕВРАЛЬ!T61+МАРТ!T61</f>
        <v>0</v>
      </c>
      <c r="U61" s="92">
        <f t="shared" si="1"/>
        <v>2</v>
      </c>
      <c r="V61" s="93">
        <f>ДЕКАБРЬ!V61+ЯНВАРЬ!V61+ФЕВРАЛЬ!V61+МАРТ!V61</f>
        <v>1322</v>
      </c>
      <c r="W61" s="93">
        <f>ДЕКАБРЬ!W61+ЯНВАРЬ!W61+ФЕВРАЛЬ!W61+МАРТ!W61</f>
        <v>0</v>
      </c>
      <c r="X61" s="92">
        <f t="shared" si="2"/>
        <v>1322</v>
      </c>
      <c r="Y61" s="93">
        <f>ДЕКАБРЬ!Y61+ЯНВАРЬ!Y61+ФЕВРАЛЬ!Y61+МАРТ!Y61</f>
        <v>1896</v>
      </c>
      <c r="Z61" s="93">
        <f>ДЕКАБРЬ!Z61+ЯНВАРЬ!Z61+ФЕВРАЛЬ!Z61+МАРТ!Z61</f>
        <v>0</v>
      </c>
      <c r="AA61" s="232">
        <f t="shared" si="3"/>
        <v>1896</v>
      </c>
      <c r="AB61" s="92">
        <f t="shared" si="14"/>
        <v>0</v>
      </c>
      <c r="AC61" s="234">
        <f t="shared" si="34"/>
        <v>6.5252167621254948E-5</v>
      </c>
      <c r="AD61" s="92">
        <f t="shared" si="5"/>
        <v>257.88</v>
      </c>
      <c r="AE61" s="93">
        <f>ДЕКАБРЬ!AE61+ЯНВАРЬ!AE61+ФЕВРАЛЬ!AE61+МАРТ!AE61</f>
        <v>721.22</v>
      </c>
      <c r="AF61" s="234">
        <f t="shared" si="6"/>
        <v>0.38039029535864982</v>
      </c>
      <c r="AG61" s="93">
        <f>ДЕКАБРЬ!AG61+ЯНВАРЬ!AG61+ФЕВРАЛЬ!AG61+МАРТ!AG61</f>
        <v>1029.6100000000001</v>
      </c>
      <c r="AH61" s="93">
        <f>ДЕКАБРЬ!AH61+ЯНВАРЬ!AH61+ФЕВРАЛЬ!AH61+МАРТ!AH61</f>
        <v>0</v>
      </c>
      <c r="AI61" s="93">
        <f>ДЕКАБРЬ!AI61+ЯНВАРЬ!AI61+ФЕВРАЛЬ!AI61+МАРТ!AI61</f>
        <v>0</v>
      </c>
      <c r="AJ61" s="93">
        <f>ДЕКАБРЬ!AJ61+ЯНВАРЬ!AJ61+ФЕВРАЛЬ!AJ61+МАРТ!AJ61</f>
        <v>0</v>
      </c>
      <c r="AK61" s="93"/>
      <c r="AL61" s="93">
        <f>ДЕКАБРЬ!AL61+ЯНВАРЬ!AL61+ФЕВРАЛЬ!AL61+МАРТ!AL61</f>
        <v>1198.9328833134041</v>
      </c>
      <c r="AM61" s="93">
        <f>ДЕКАБРЬ!AM61+ЯНВАРЬ!AM61+ФЕВРАЛЬ!AM61+МАРТ!AM61</f>
        <v>0</v>
      </c>
      <c r="AN61" s="93">
        <f>ДЕКАБРЬ!AN61+ЯНВАРЬ!AN61+ФЕВРАЛЬ!AN61+МАРТ!AN61</f>
        <v>73.784113138988261</v>
      </c>
      <c r="AO61" s="95">
        <f t="shared" si="15"/>
        <v>-1385.4269964523926</v>
      </c>
      <c r="AP61" s="96"/>
      <c r="AQ61" s="97">
        <f t="shared" si="7"/>
        <v>948</v>
      </c>
      <c r="AR61" s="98">
        <f t="shared" si="26"/>
        <v>128.94</v>
      </c>
      <c r="AS61" s="98">
        <f t="shared" si="9"/>
        <v>360.61</v>
      </c>
      <c r="AT61" s="98">
        <f t="shared" si="10"/>
        <v>514.80500000000006</v>
      </c>
      <c r="AU61" s="98">
        <f t="shared" si="16"/>
        <v>0</v>
      </c>
      <c r="AV61" s="98">
        <f t="array" ref="AV61">_xlfn.IFS(U61=0,AO61,U61&lt;0,AO61/-U61,U61&gt;0,AO61/U61)</f>
        <v>-692.71349822619629</v>
      </c>
      <c r="AW61" s="234">
        <f t="shared" si="35"/>
        <v>-0.73071044116687378</v>
      </c>
      <c r="AX61" s="234">
        <f t="shared" si="36"/>
        <v>-5.3723708564153583</v>
      </c>
      <c r="AY61" s="99"/>
      <c r="AZ61" s="94">
        <f t="shared" si="13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37"/>
        <v>0</v>
      </c>
      <c r="F62" s="93"/>
      <c r="G62" s="93"/>
      <c r="H62" s="93"/>
      <c r="I62" s="93"/>
      <c r="J62" s="93"/>
      <c r="K62" s="93">
        <v>175.74</v>
      </c>
      <c r="L62" s="92">
        <f t="shared" si="33"/>
        <v>0</v>
      </c>
      <c r="M62" s="89"/>
      <c r="N62" s="93">
        <f>ДЕКАБРЬ!N62+ЯНВАРЬ!N62+ФЕВРАЛЬ!N62+МАРТ!N62</f>
        <v>0</v>
      </c>
      <c r="O62" s="89"/>
      <c r="P62" s="89"/>
      <c r="Q62" s="233"/>
      <c r="R62" s="92"/>
      <c r="S62" s="93">
        <f>ДЕКАБРЬ!S62+ЯНВАРЬ!S62+ФЕВРАЛЬ!S62+МАРТ!S62</f>
        <v>0</v>
      </c>
      <c r="T62" s="93">
        <f>ДЕКАБРЬ!T62+ЯНВАРЬ!T62+ФЕВРАЛЬ!T62+МАРТ!T62</f>
        <v>0</v>
      </c>
      <c r="U62" s="92">
        <f t="shared" si="1"/>
        <v>0</v>
      </c>
      <c r="V62" s="93">
        <f>ДЕКАБРЬ!V62+ЯНВАРЬ!V62+ФЕВРАЛЬ!V62+МАРТ!V62</f>
        <v>0</v>
      </c>
      <c r="W62" s="93">
        <f>ДЕКАБРЬ!W62+ЯНВАРЬ!W62+ФЕВРАЛЬ!W62+МАРТ!W62</f>
        <v>0</v>
      </c>
      <c r="X62" s="92">
        <f t="shared" si="2"/>
        <v>0</v>
      </c>
      <c r="Y62" s="93">
        <f>ДЕКАБРЬ!Y62+ЯНВАРЬ!Y62+ФЕВРАЛЬ!Y62+МАРТ!Y62</f>
        <v>0</v>
      </c>
      <c r="Z62" s="93">
        <f>ДЕКАБРЬ!Z62+ЯНВАРЬ!Z62+ФЕВРАЛЬ!Z62+МАРТ!Z62</f>
        <v>0</v>
      </c>
      <c r="AA62" s="232">
        <f t="shared" si="3"/>
        <v>0</v>
      </c>
      <c r="AB62" s="92">
        <f t="shared" si="14"/>
        <v>0</v>
      </c>
      <c r="AC62" s="234">
        <f t="shared" si="34"/>
        <v>0</v>
      </c>
      <c r="AD62" s="92">
        <f t="shared" si="5"/>
        <v>0</v>
      </c>
      <c r="AE62" s="93">
        <f>ДЕКАБРЬ!AE62+ЯНВАРЬ!AE62+ФЕВРАЛЬ!AE62+МАРТ!AE62</f>
        <v>0</v>
      </c>
      <c r="AF62" s="234">
        <f t="shared" si="6"/>
        <v>0</v>
      </c>
      <c r="AG62" s="93">
        <f>ДЕКАБРЬ!AG62+ЯНВАРЬ!AG62+ФЕВРАЛЬ!AG62+МАРТ!AG62</f>
        <v>0</v>
      </c>
      <c r="AH62" s="93">
        <f>ДЕКАБРЬ!AH62+ЯНВАРЬ!AH62+ФЕВРАЛЬ!AH62+МАРТ!AH62</f>
        <v>0</v>
      </c>
      <c r="AI62" s="93">
        <f>ДЕКАБРЬ!AI62+ЯНВАРЬ!AI62+ФЕВРАЛЬ!AI62+МАРТ!AI62</f>
        <v>0</v>
      </c>
      <c r="AJ62" s="93">
        <f>ДЕКАБРЬ!AJ62+ЯНВАРЬ!AJ62+ФЕВРАЛЬ!AJ62+МАРТ!AJ62</f>
        <v>0</v>
      </c>
      <c r="AK62" s="93"/>
      <c r="AL62" s="93">
        <f>ДЕКАБРЬ!AL62+ЯНВАРЬ!AL62+ФЕВРАЛЬ!AL62+МАРТ!AL62</f>
        <v>0</v>
      </c>
      <c r="AM62" s="93">
        <f>ДЕКАБРЬ!AM62+ЯНВАРЬ!AM62+ФЕВРАЛЬ!AM62+МАРТ!AM62</f>
        <v>0</v>
      </c>
      <c r="AN62" s="93">
        <f>ДЕКАБРЬ!AN62+ЯНВАРЬ!AN62+ФЕВРАЛЬ!AN62+МАРТ!AN62</f>
        <v>0</v>
      </c>
      <c r="AO62" s="95">
        <f t="shared" si="15"/>
        <v>0</v>
      </c>
      <c r="AP62" s="96"/>
      <c r="AQ62" s="97">
        <f t="shared" si="7"/>
        <v>0</v>
      </c>
      <c r="AR62" s="98">
        <f t="shared" si="26"/>
        <v>175.74</v>
      </c>
      <c r="AS62" s="98">
        <f t="shared" si="9"/>
        <v>0</v>
      </c>
      <c r="AT62" s="98">
        <f t="shared" si="10"/>
        <v>0</v>
      </c>
      <c r="AU62" s="98">
        <f t="shared" si="16"/>
        <v>0</v>
      </c>
      <c r="AV62" s="98">
        <f t="array" ref="AV62">_xlfn.IFS(U62=0,AO62,U62&lt;0,AO62/-U62,U62&gt;0,AO62/U62)</f>
        <v>0</v>
      </c>
      <c r="AW62" s="234">
        <f t="shared" si="35"/>
        <v>0</v>
      </c>
      <c r="AX62" s="234">
        <f t="shared" si="36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37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3"/>
        <v>0</v>
      </c>
      <c r="M63" s="89"/>
      <c r="N63" s="93">
        <f>ДЕКАБРЬ!N63+ЯНВАРЬ!N63+ФЕВРАЛЬ!N63+МАРТ!N63</f>
        <v>0</v>
      </c>
      <c r="O63" s="89"/>
      <c r="P63" s="89"/>
      <c r="Q63" s="233"/>
      <c r="R63" s="92"/>
      <c r="S63" s="93">
        <f>ДЕКАБРЬ!S63+ЯНВАРЬ!S63+ФЕВРАЛЬ!S63+МАРТ!S63</f>
        <v>0</v>
      </c>
      <c r="T63" s="93">
        <f>ДЕКАБРЬ!T63+ЯНВАРЬ!T63+ФЕВРАЛЬ!T63+МАРТ!T63</f>
        <v>0</v>
      </c>
      <c r="U63" s="92">
        <f t="shared" si="1"/>
        <v>0</v>
      </c>
      <c r="V63" s="93">
        <f>ДЕКАБРЬ!V63+ЯНВАРЬ!V63+ФЕВРАЛЬ!V63+МАРТ!V63</f>
        <v>0</v>
      </c>
      <c r="W63" s="93">
        <f>ДЕКАБРЬ!W63+ЯНВАРЬ!W63+ФЕВРАЛЬ!W63+МАРТ!W63</f>
        <v>0</v>
      </c>
      <c r="X63" s="92">
        <f t="shared" si="2"/>
        <v>0</v>
      </c>
      <c r="Y63" s="93">
        <f>ДЕКАБРЬ!Y63+ЯНВАРЬ!Y63+ФЕВРАЛЬ!Y63+МАРТ!Y63</f>
        <v>0</v>
      </c>
      <c r="Z63" s="93">
        <f>ДЕКАБРЬ!Z63+ЯНВАРЬ!Z63+ФЕВРАЛЬ!Z63+МАРТ!Z63</f>
        <v>0</v>
      </c>
      <c r="AA63" s="232">
        <f t="shared" si="3"/>
        <v>0</v>
      </c>
      <c r="AB63" s="92">
        <f t="shared" si="14"/>
        <v>0</v>
      </c>
      <c r="AC63" s="234">
        <f t="shared" si="34"/>
        <v>0</v>
      </c>
      <c r="AD63" s="92">
        <f t="shared" si="5"/>
        <v>0</v>
      </c>
      <c r="AE63" s="93">
        <f>ДЕКАБРЬ!AE63+ЯНВАРЬ!AE63+ФЕВРАЛЬ!AE63+МАРТ!AE63</f>
        <v>0</v>
      </c>
      <c r="AF63" s="234">
        <f t="shared" si="6"/>
        <v>0</v>
      </c>
      <c r="AG63" s="93">
        <f>ДЕКАБРЬ!AG63+ЯНВАРЬ!AG63+ФЕВРАЛЬ!AG63+МАРТ!AG63</f>
        <v>0</v>
      </c>
      <c r="AH63" s="93">
        <f>ДЕКАБРЬ!AH63+ЯНВАРЬ!AH63+ФЕВРАЛЬ!AH63+МАРТ!AH63</f>
        <v>0</v>
      </c>
      <c r="AI63" s="93">
        <f>ДЕКАБРЬ!AI63+ЯНВАРЬ!AI63+ФЕВРАЛЬ!AI63+МАРТ!AI63</f>
        <v>0</v>
      </c>
      <c r="AJ63" s="93">
        <f>ДЕКАБРЬ!AJ63+ЯНВАРЬ!AJ63+ФЕВРАЛЬ!AJ63+МАРТ!AJ63</f>
        <v>0</v>
      </c>
      <c r="AK63" s="93"/>
      <c r="AL63" s="93">
        <f>ДЕКАБРЬ!AL63+ЯНВАРЬ!AL63+ФЕВРАЛЬ!AL63+МАРТ!AL63</f>
        <v>0</v>
      </c>
      <c r="AM63" s="93">
        <f>ДЕКАБРЬ!AM63+ЯНВАРЬ!AM63+ФЕВРАЛЬ!AM63+МАРТ!AM63</f>
        <v>0</v>
      </c>
      <c r="AN63" s="93">
        <f>ДЕКАБРЬ!AN63+ЯНВАРЬ!AN63+ФЕВРАЛЬ!AN63+МАРТ!AN63</f>
        <v>0</v>
      </c>
      <c r="AO63" s="95">
        <f t="shared" si="15"/>
        <v>0</v>
      </c>
      <c r="AP63" s="96"/>
      <c r="AQ63" s="97">
        <f t="shared" si="7"/>
        <v>0</v>
      </c>
      <c r="AR63" s="98">
        <f t="shared" si="26"/>
        <v>140.63999999999999</v>
      </c>
      <c r="AS63" s="98">
        <f t="shared" si="9"/>
        <v>0</v>
      </c>
      <c r="AT63" s="98">
        <f t="shared" si="10"/>
        <v>0</v>
      </c>
      <c r="AU63" s="98">
        <f t="shared" si="16"/>
        <v>0</v>
      </c>
      <c r="AV63" s="98">
        <f t="array" ref="AV63">_xlfn.IFS(U63=0,AO63,U63&lt;0,AO63/-U63,U63&gt;0,AO63/U63)</f>
        <v>0</v>
      </c>
      <c r="AW63" s="234">
        <f t="shared" si="35"/>
        <v>0</v>
      </c>
      <c r="AX63" s="234">
        <f t="shared" si="36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37"/>
        <v>0</v>
      </c>
      <c r="F64" s="93"/>
      <c r="G64" s="93"/>
      <c r="H64" s="93"/>
      <c r="I64" s="93"/>
      <c r="J64" s="93"/>
      <c r="K64" s="93">
        <v>99.69</v>
      </c>
      <c r="L64" s="92">
        <f t="shared" si="33"/>
        <v>0</v>
      </c>
      <c r="M64" s="89"/>
      <c r="N64" s="93">
        <f>ДЕКАБРЬ!N64+ЯНВАРЬ!N64+ФЕВРАЛЬ!N64+МАРТ!N64</f>
        <v>0</v>
      </c>
      <c r="O64" s="89"/>
      <c r="P64" s="89"/>
      <c r="Q64" s="233"/>
      <c r="R64" s="92"/>
      <c r="S64" s="93">
        <f>ДЕКАБРЬ!S64+ЯНВАРЬ!S64+ФЕВРАЛЬ!S64+МАРТ!S64</f>
        <v>0</v>
      </c>
      <c r="T64" s="93">
        <f>ДЕКАБРЬ!T64+ЯНВАРЬ!T64+ФЕВРАЛЬ!T64+МАРТ!T64</f>
        <v>0</v>
      </c>
      <c r="U64" s="92">
        <f t="shared" si="1"/>
        <v>0</v>
      </c>
      <c r="V64" s="93">
        <f>ДЕКАБРЬ!V64+ЯНВАРЬ!V64+ФЕВРАЛЬ!V64+МАРТ!V64</f>
        <v>0</v>
      </c>
      <c r="W64" s="93">
        <f>ДЕКАБРЬ!W64+ЯНВАРЬ!W64+ФЕВРАЛЬ!W64+МАРТ!W64</f>
        <v>0</v>
      </c>
      <c r="X64" s="92">
        <f t="shared" si="2"/>
        <v>0</v>
      </c>
      <c r="Y64" s="93">
        <f>ДЕКАБРЬ!Y64+ЯНВАРЬ!Y64+ФЕВРАЛЬ!Y64+МАРТ!Y64</f>
        <v>0</v>
      </c>
      <c r="Z64" s="93">
        <f>ДЕКАБРЬ!Z64+ЯНВАРЬ!Z64+ФЕВРАЛЬ!Z64+МАРТ!Z64</f>
        <v>0</v>
      </c>
      <c r="AA64" s="232">
        <f t="shared" si="3"/>
        <v>0</v>
      </c>
      <c r="AB64" s="92">
        <f t="shared" si="14"/>
        <v>0</v>
      </c>
      <c r="AC64" s="234">
        <f t="shared" si="34"/>
        <v>0</v>
      </c>
      <c r="AD64" s="92">
        <f t="shared" si="5"/>
        <v>0</v>
      </c>
      <c r="AE64" s="93">
        <f>ДЕКАБРЬ!AE64+ЯНВАРЬ!AE64+ФЕВРАЛЬ!AE64+МАРТ!AE64</f>
        <v>0</v>
      </c>
      <c r="AF64" s="234">
        <f t="shared" si="6"/>
        <v>0</v>
      </c>
      <c r="AG64" s="93">
        <f>ДЕКАБРЬ!AG64+ЯНВАРЬ!AG64+ФЕВРАЛЬ!AG64+МАРТ!AG64</f>
        <v>0</v>
      </c>
      <c r="AH64" s="93">
        <f>ДЕКАБРЬ!AH64+ЯНВАРЬ!AH64+ФЕВРАЛЬ!AH64+МАРТ!AH64</f>
        <v>0</v>
      </c>
      <c r="AI64" s="93">
        <f>ДЕКАБРЬ!AI64+ЯНВАРЬ!AI64+ФЕВРАЛЬ!AI64+МАРТ!AI64</f>
        <v>0</v>
      </c>
      <c r="AJ64" s="93">
        <f>ДЕКАБРЬ!AJ64+ЯНВАРЬ!AJ64+ФЕВРАЛЬ!AJ64+МАРТ!AJ64</f>
        <v>0</v>
      </c>
      <c r="AK64" s="93"/>
      <c r="AL64" s="93">
        <f>ДЕКАБРЬ!AL64+ЯНВАРЬ!AL64+ФЕВРАЛЬ!AL64+МАРТ!AL64</f>
        <v>0</v>
      </c>
      <c r="AM64" s="93">
        <f>ДЕКАБРЬ!AM64+ЯНВАРЬ!AM64+ФЕВРАЛЬ!AM64+МАРТ!AM64</f>
        <v>0</v>
      </c>
      <c r="AN64" s="93">
        <f>ДЕКАБРЬ!AN64+ЯНВАРЬ!AN64+ФЕВРАЛЬ!AN64+МАРТ!AN64</f>
        <v>0</v>
      </c>
      <c r="AO64" s="95">
        <f t="shared" si="15"/>
        <v>0</v>
      </c>
      <c r="AP64" s="96"/>
      <c r="AQ64" s="97">
        <f t="shared" si="7"/>
        <v>0</v>
      </c>
      <c r="AR64" s="98">
        <f t="shared" si="26"/>
        <v>99.69</v>
      </c>
      <c r="AS64" s="98">
        <f t="shared" si="9"/>
        <v>0</v>
      </c>
      <c r="AT64" s="98">
        <f t="shared" si="10"/>
        <v>0</v>
      </c>
      <c r="AU64" s="98">
        <f t="shared" si="16"/>
        <v>0</v>
      </c>
      <c r="AV64" s="98">
        <f t="array" ref="AV64">_xlfn.IFS(U64=0,AO64,U64&lt;0,AO64/-U64,U64&gt;0,AO64/U64)</f>
        <v>0</v>
      </c>
      <c r="AW64" s="234">
        <f t="shared" si="35"/>
        <v>0</v>
      </c>
      <c r="AX64" s="234">
        <f t="shared" si="36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37"/>
        <v>0</v>
      </c>
      <c r="F65" s="93"/>
      <c r="G65" s="93"/>
      <c r="H65" s="93"/>
      <c r="I65" s="93"/>
      <c r="J65" s="93"/>
      <c r="K65" s="93">
        <v>99.69</v>
      </c>
      <c r="L65" s="92">
        <f t="shared" si="33"/>
        <v>0</v>
      </c>
      <c r="M65" s="89"/>
      <c r="N65" s="93">
        <f>ДЕКАБРЬ!N65+ЯНВАРЬ!N65+ФЕВРАЛЬ!N65+МАРТ!N65</f>
        <v>4</v>
      </c>
      <c r="O65" s="89"/>
      <c r="P65" s="89"/>
      <c r="Q65" s="233"/>
      <c r="R65" s="92"/>
      <c r="S65" s="93">
        <f>ДЕКАБРЬ!S65+ЯНВАРЬ!S65+ФЕВРАЛЬ!S65+МАРТ!S65</f>
        <v>0</v>
      </c>
      <c r="T65" s="93">
        <f>ДЕКАБРЬ!T65+ЯНВАРЬ!T65+ФЕВРАЛЬ!T65+МАРТ!T65</f>
        <v>0</v>
      </c>
      <c r="U65" s="92">
        <f t="shared" si="1"/>
        <v>0</v>
      </c>
      <c r="V65" s="93">
        <f>ДЕКАБРЬ!V65+ЯНВАРЬ!V65+ФЕВРАЛЬ!V65+МАРТ!V65</f>
        <v>0</v>
      </c>
      <c r="W65" s="93">
        <f>ДЕКАБРЬ!W65+ЯНВАРЬ!W65+ФЕВРАЛЬ!W65+МАРТ!W65</f>
        <v>0</v>
      </c>
      <c r="X65" s="92">
        <f t="shared" si="2"/>
        <v>0</v>
      </c>
      <c r="Y65" s="93">
        <f>ДЕКАБРЬ!Y65+ЯНВАРЬ!Y65+ФЕВРАЛЬ!Y65+МАРТ!Y65</f>
        <v>0</v>
      </c>
      <c r="Z65" s="93">
        <f>ДЕКАБРЬ!Z65+ЯНВАРЬ!Z65+ФЕВРАЛЬ!Z65+МАРТ!Z65</f>
        <v>0</v>
      </c>
      <c r="AA65" s="232">
        <f t="shared" si="3"/>
        <v>0</v>
      </c>
      <c r="AB65" s="92">
        <f t="shared" si="14"/>
        <v>0</v>
      </c>
      <c r="AC65" s="234">
        <f t="shared" si="34"/>
        <v>0</v>
      </c>
      <c r="AD65" s="92">
        <f t="shared" si="5"/>
        <v>0</v>
      </c>
      <c r="AE65" s="93">
        <f>ДЕКАБРЬ!AE65+ЯНВАРЬ!AE65+ФЕВРАЛЬ!AE65+МАРТ!AE65</f>
        <v>0</v>
      </c>
      <c r="AF65" s="234">
        <f t="shared" si="6"/>
        <v>0</v>
      </c>
      <c r="AG65" s="93">
        <f>ДЕКАБРЬ!AG65+ЯНВАРЬ!AG65+ФЕВРАЛЬ!AG65+МАРТ!AG65</f>
        <v>366.56</v>
      </c>
      <c r="AH65" s="93">
        <f>ДЕКАБРЬ!AH65+ЯНВАРЬ!AH65+ФЕВРАЛЬ!AH65+МАРТ!AH65</f>
        <v>0</v>
      </c>
      <c r="AI65" s="93">
        <f>ДЕКАБРЬ!AI65+ЯНВАРЬ!AI65+ФЕВРАЛЬ!AI65+МАРТ!AI65</f>
        <v>0</v>
      </c>
      <c r="AJ65" s="93">
        <f>ДЕКАБРЬ!AJ65+ЯНВАРЬ!AJ65+ФЕВРАЛЬ!AJ65+МАРТ!AJ65</f>
        <v>0</v>
      </c>
      <c r="AK65" s="93"/>
      <c r="AL65" s="93">
        <f>ДЕКАБРЬ!AL65+ЯНВАРЬ!AL65+ФЕВРАЛЬ!AL65+МАРТ!AL65</f>
        <v>3.9571611160744453</v>
      </c>
      <c r="AM65" s="93">
        <f>ДЕКАБРЬ!AM65+ЯНВАРЬ!AM65+ФЕВРАЛЬ!AM65+МАРТ!AM65</f>
        <v>0</v>
      </c>
      <c r="AN65" s="93">
        <f>ДЕКАБРЬ!AN65+ЯНВАРЬ!AN65+ФЕВРАЛЬ!AN65+МАРТ!AN65</f>
        <v>0</v>
      </c>
      <c r="AO65" s="95">
        <f t="shared" si="15"/>
        <v>-370.51716111607448</v>
      </c>
      <c r="AP65" s="96"/>
      <c r="AQ65" s="97">
        <f t="shared" si="7"/>
        <v>0</v>
      </c>
      <c r="AR65" s="98">
        <f t="shared" si="26"/>
        <v>99.69</v>
      </c>
      <c r="AS65" s="98">
        <f t="shared" si="9"/>
        <v>0</v>
      </c>
      <c r="AT65" s="98">
        <f t="shared" si="10"/>
        <v>366.56</v>
      </c>
      <c r="AU65" s="98">
        <f t="shared" si="16"/>
        <v>0</v>
      </c>
      <c r="AV65" s="98">
        <f t="array" ref="AV65">_xlfn.IFS(U65=0,AO65,U65&lt;0,AO65/-U65,U65&gt;0,AO65/U65)</f>
        <v>-370.51716111607448</v>
      </c>
      <c r="AW65" s="234">
        <f t="shared" si="35"/>
        <v>0</v>
      </c>
      <c r="AX65" s="234">
        <f t="shared" si="36"/>
        <v>-3.7166933605785384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37"/>
        <v>0</v>
      </c>
      <c r="F66" s="93"/>
      <c r="G66" s="93"/>
      <c r="H66" s="93"/>
      <c r="I66" s="93"/>
      <c r="J66" s="93"/>
      <c r="K66" s="93">
        <v>97.35</v>
      </c>
      <c r="L66" s="92">
        <f t="shared" si="33"/>
        <v>0</v>
      </c>
      <c r="M66" s="89"/>
      <c r="N66" s="93">
        <f>ДЕКАБРЬ!N66+ЯНВАРЬ!N66+ФЕВРАЛЬ!N66+МАРТ!N66</f>
        <v>2</v>
      </c>
      <c r="O66" s="89"/>
      <c r="P66" s="89"/>
      <c r="Q66" s="233"/>
      <c r="R66" s="92"/>
      <c r="S66" s="93">
        <f>ДЕКАБРЬ!S66+ЯНВАРЬ!S66+ФЕВРАЛЬ!S66+МАРТ!S66</f>
        <v>0</v>
      </c>
      <c r="T66" s="93">
        <f>ДЕКАБРЬ!T66+ЯНВАРЬ!T66+ФЕВРАЛЬ!T66+МАРТ!T66</f>
        <v>0</v>
      </c>
      <c r="U66" s="92">
        <f t="shared" si="1"/>
        <v>0</v>
      </c>
      <c r="V66" s="93">
        <f>ДЕКАБРЬ!V66+ЯНВАРЬ!V66+ФЕВРАЛЬ!V66+МАРТ!V66</f>
        <v>0</v>
      </c>
      <c r="W66" s="93">
        <f>ДЕКАБРЬ!W66+ЯНВАРЬ!W66+ФЕВРАЛЬ!W66+МАРТ!W66</f>
        <v>0</v>
      </c>
      <c r="X66" s="92">
        <f t="shared" si="2"/>
        <v>0</v>
      </c>
      <c r="Y66" s="93">
        <f>ДЕКАБРЬ!Y66+ЯНВАРЬ!Y66+ФЕВРАЛЬ!Y66+МАРТ!Y66</f>
        <v>0</v>
      </c>
      <c r="Z66" s="93">
        <f>ДЕКАБРЬ!Z66+ЯНВАРЬ!Z66+ФЕВРАЛЬ!Z66+МАРТ!Z66</f>
        <v>0</v>
      </c>
      <c r="AA66" s="232">
        <f t="shared" si="3"/>
        <v>0</v>
      </c>
      <c r="AB66" s="92">
        <f t="shared" si="14"/>
        <v>0</v>
      </c>
      <c r="AC66" s="234">
        <f t="shared" si="34"/>
        <v>0</v>
      </c>
      <c r="AD66" s="92">
        <f t="shared" si="5"/>
        <v>0</v>
      </c>
      <c r="AE66" s="93">
        <f>ДЕКАБРЬ!AE66+ЯНВАРЬ!AE66+ФЕВРАЛЬ!AE66+МАРТ!AE66</f>
        <v>0</v>
      </c>
      <c r="AF66" s="234">
        <f t="shared" si="6"/>
        <v>0</v>
      </c>
      <c r="AG66" s="93">
        <f>ДЕКАБРЬ!AG66+ЯНВАРЬ!AG66+ФЕВРАЛЬ!AG66+МАРТ!AG66</f>
        <v>195.75</v>
      </c>
      <c r="AH66" s="93">
        <f>ДЕКАБРЬ!AH66+ЯНВАРЬ!AH66+ФЕВРАЛЬ!AH66+МАРТ!AH66</f>
        <v>0</v>
      </c>
      <c r="AI66" s="93">
        <f>ДЕКАБРЬ!AI66+ЯНВАРЬ!AI66+ФЕВРАЛЬ!AI66+МАРТ!AI66</f>
        <v>0</v>
      </c>
      <c r="AJ66" s="93">
        <f>ДЕКАБРЬ!AJ66+ЯНВАРЬ!AJ66+ФЕВРАЛЬ!AJ66+МАРТ!AJ66</f>
        <v>0</v>
      </c>
      <c r="AK66" s="93"/>
      <c r="AL66" s="93">
        <f>ДЕКАБРЬ!AL66+ЯНВАРЬ!AL66+ФЕВРАЛЬ!AL66+МАРТ!AL66</f>
        <v>13.905825596016868</v>
      </c>
      <c r="AM66" s="93">
        <f>ДЕКАБРЬ!AM66+ЯНВАРЬ!AM66+ФЕВРАЛЬ!AM66+МАРТ!AM66</f>
        <v>0</v>
      </c>
      <c r="AN66" s="93">
        <f>ДЕКАБРЬ!AN66+ЯНВАРЬ!AN66+ФЕВРАЛЬ!AN66+МАРТ!AN66</f>
        <v>0</v>
      </c>
      <c r="AO66" s="95">
        <f t="shared" si="15"/>
        <v>-209.65582559601688</v>
      </c>
      <c r="AP66" s="96"/>
      <c r="AQ66" s="97">
        <f t="shared" si="7"/>
        <v>0</v>
      </c>
      <c r="AR66" s="98">
        <f t="shared" si="26"/>
        <v>97.35</v>
      </c>
      <c r="AS66" s="98">
        <f t="shared" si="9"/>
        <v>0</v>
      </c>
      <c r="AT66" s="98">
        <f t="shared" si="10"/>
        <v>195.75</v>
      </c>
      <c r="AU66" s="98">
        <f t="shared" si="16"/>
        <v>0</v>
      </c>
      <c r="AV66" s="98">
        <f t="array" ref="AV66">_xlfn.IFS(U66=0,AO66,U66&lt;0,AO66/-U66,U66&gt;0,AO66/U66)</f>
        <v>-209.65582559601688</v>
      </c>
      <c r="AW66" s="234">
        <f t="shared" si="35"/>
        <v>0</v>
      </c>
      <c r="AX66" s="234">
        <f t="shared" si="36"/>
        <v>-2.1536294360145547</v>
      </c>
      <c r="AY66" s="99"/>
      <c r="AZ66" s="94">
        <f t="shared" si="13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37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3"/>
        <v>0</v>
      </c>
      <c r="M67" s="89"/>
      <c r="N67" s="93">
        <f>ДЕКАБРЬ!N67+ЯНВАРЬ!N67+ФЕВРАЛЬ!N67+МАРТ!N67</f>
        <v>21</v>
      </c>
      <c r="O67" s="89"/>
      <c r="P67" s="89"/>
      <c r="Q67" s="233"/>
      <c r="R67" s="92"/>
      <c r="S67" s="93">
        <f>ДЕКАБРЬ!S67+ЯНВАРЬ!S67+ФЕВРАЛЬ!S67+МАРТ!S67</f>
        <v>13</v>
      </c>
      <c r="T67" s="93">
        <f>ДЕКАБРЬ!T67+ЯНВАРЬ!T67+ФЕВРАЛЬ!T67+МАРТ!T67</f>
        <v>-2</v>
      </c>
      <c r="U67" s="92">
        <f t="shared" ref="U67:U103" si="38">S67+T67</f>
        <v>11</v>
      </c>
      <c r="V67" s="93">
        <f>ДЕКАБРЬ!V67+ЯНВАРЬ!V67+ФЕВРАЛЬ!V67+МАРТ!V67</f>
        <v>8602</v>
      </c>
      <c r="W67" s="93">
        <f>ДЕКАБРЬ!W67+ЯНВАРЬ!W67+ФЕВРАЛЬ!W67+МАРТ!W67</f>
        <v>-1418</v>
      </c>
      <c r="X67" s="92">
        <f t="shared" ref="X67:X103" si="39">V67+W67</f>
        <v>7184</v>
      </c>
      <c r="Y67" s="93">
        <f>ДЕКАБРЬ!Y67+ЯНВАРЬ!Y67+ФЕВРАЛЬ!Y67+МАРТ!Y67</f>
        <v>13574.059999999998</v>
      </c>
      <c r="Z67" s="93">
        <f>ДЕКАБРЬ!Z67+ЯНВАРЬ!Z67+ФЕВРАЛЬ!Z67+МАРТ!Z67</f>
        <v>-2098</v>
      </c>
      <c r="AA67" s="232">
        <f t="shared" ref="AA67:AA103" si="40">Y67+Z67</f>
        <v>11476.059999999998</v>
      </c>
      <c r="AB67" s="92">
        <f t="shared" si="14"/>
        <v>0</v>
      </c>
      <c r="AC67" s="234">
        <f t="shared" ref="AC67:AC98" si="41">AA67/$AA$126</f>
        <v>3.9495664069176106E-4</v>
      </c>
      <c r="AD67" s="92">
        <f t="shared" ref="AD67:AD103" si="42">U67*K67</f>
        <v>1778.6999999999998</v>
      </c>
      <c r="AE67" s="93">
        <f>ДЕКАБРЬ!AE67+ЯНВАРЬ!AE67+ФЕВРАЛЬ!AE67+МАРТ!AE67</f>
        <v>4287.8900000000003</v>
      </c>
      <c r="AF67" s="234">
        <f t="shared" ref="AF67:AF103" si="43">IF(AA67=0,0,AE67/AA67)</f>
        <v>0.37363781646314165</v>
      </c>
      <c r="AG67" s="93">
        <f>ДЕКАБРЬ!AG67+ЯНВАРЬ!AG67+ФЕВРАЛЬ!AG67+МАРТ!AG67</f>
        <v>1522.8000000000002</v>
      </c>
      <c r="AH67" s="93">
        <f>ДЕКАБРЬ!AH67+ЯНВАРЬ!AH67+ФЕВРАЛЬ!AH67+МАРТ!AH67</f>
        <v>0</v>
      </c>
      <c r="AI67" s="93">
        <f>ДЕКАБРЬ!AI67+ЯНВАРЬ!AI67+ФЕВРАЛЬ!AI67+МАРТ!AI67</f>
        <v>0</v>
      </c>
      <c r="AJ67" s="93">
        <f>ДЕКАБРЬ!AJ67+ЯНВАРЬ!AJ67+ФЕВРАЛЬ!AJ67+МАРТ!AJ67</f>
        <v>0</v>
      </c>
      <c r="AK67" s="93"/>
      <c r="AL67" s="93">
        <f>ДЕКАБРЬ!AL67+ЯНВАРЬ!AL67+ФЕВРАЛЬ!AL67+МАРТ!AL67</f>
        <v>34.974592185883665</v>
      </c>
      <c r="AM67" s="93">
        <f>ДЕКАБРЬ!AM67+ЯНВАРЬ!AM67+ФЕВРАЛЬ!AM67+МАРТ!AM67</f>
        <v>0</v>
      </c>
      <c r="AN67" s="93">
        <f>ДЕКАБРЬ!AN67+ЯНВАРЬ!AN67+ФЕВРАЛЬ!AN67+МАРТ!AN67</f>
        <v>460.12097607880213</v>
      </c>
      <c r="AO67" s="95">
        <f t="shared" si="15"/>
        <v>3391.574431735311</v>
      </c>
      <c r="AP67" s="96"/>
      <c r="AQ67" s="97">
        <f t="shared" si="7"/>
        <v>1043.2781818181816</v>
      </c>
      <c r="AR67" s="98">
        <f t="shared" si="26"/>
        <v>161.69999999999999</v>
      </c>
      <c r="AS67" s="98">
        <f t="shared" si="9"/>
        <v>389.80818181818182</v>
      </c>
      <c r="AT67" s="98">
        <f t="shared" si="10"/>
        <v>117.13846153846156</v>
      </c>
      <c r="AU67" s="98">
        <f t="shared" si="16"/>
        <v>0</v>
      </c>
      <c r="AV67" s="98">
        <f t="array" ref="AV67">_xlfn.IFS(U67=0,AO67,U67&lt;0,AO67/-U67,U67&gt;0,AO67/U67)</f>
        <v>308.32494833957372</v>
      </c>
      <c r="AW67" s="234">
        <f t="shared" si="35"/>
        <v>0.29553474203997815</v>
      </c>
      <c r="AX67" s="234">
        <f t="shared" si="36"/>
        <v>1.9067714801457869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37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3"/>
        <v>0</v>
      </c>
      <c r="M68" s="89"/>
      <c r="N68" s="93">
        <f>ДЕКАБРЬ!N68+ЯНВАРЬ!N68+ФЕВРАЛЬ!N68+МАРТ!N68</f>
        <v>0</v>
      </c>
      <c r="O68" s="89"/>
      <c r="P68" s="89"/>
      <c r="Q68" s="233"/>
      <c r="R68" s="92"/>
      <c r="S68" s="93">
        <f>ДЕКАБРЬ!S68+ЯНВАРЬ!S68+ФЕВРАЛЬ!S68+МАРТ!S68</f>
        <v>0</v>
      </c>
      <c r="T68" s="93">
        <f>ДЕКАБРЬ!T68+ЯНВАРЬ!T68+ФЕВРАЛЬ!T68+МАРТ!T68</f>
        <v>0</v>
      </c>
      <c r="U68" s="92">
        <f t="shared" si="38"/>
        <v>0</v>
      </c>
      <c r="V68" s="93">
        <f>ДЕКАБРЬ!V68+ЯНВАРЬ!V68+ФЕВРАЛЬ!V68+МАРТ!V68</f>
        <v>0</v>
      </c>
      <c r="W68" s="93">
        <f>ДЕКАБРЬ!W68+ЯНВАРЬ!W68+ФЕВРАЛЬ!W68+МАРТ!W68</f>
        <v>0</v>
      </c>
      <c r="X68" s="92">
        <f t="shared" si="39"/>
        <v>0</v>
      </c>
      <c r="Y68" s="93">
        <f>ДЕКАБРЬ!Y68+ЯНВАРЬ!Y68+ФЕВРАЛЬ!Y68+МАРТ!Y68</f>
        <v>0</v>
      </c>
      <c r="Z68" s="93">
        <f>ДЕКАБРЬ!Z68+ЯНВАРЬ!Z68+ФЕВРАЛЬ!Z68+МАРТ!Z68</f>
        <v>0</v>
      </c>
      <c r="AA68" s="232">
        <f t="shared" si="40"/>
        <v>0</v>
      </c>
      <c r="AB68" s="92">
        <f t="shared" ref="AB68:AB103" si="44">N68*O68*P68/100</f>
        <v>0</v>
      </c>
      <c r="AC68" s="234">
        <f t="shared" si="41"/>
        <v>0</v>
      </c>
      <c r="AD68" s="92">
        <f t="shared" si="42"/>
        <v>0</v>
      </c>
      <c r="AE68" s="93">
        <f>ДЕКАБРЬ!AE68+ЯНВАРЬ!AE68+ФЕВРАЛЬ!AE68+МАРТ!AE68</f>
        <v>0</v>
      </c>
      <c r="AF68" s="234">
        <f t="shared" si="43"/>
        <v>0</v>
      </c>
      <c r="AG68" s="93">
        <f>ДЕКАБРЬ!AG68+ЯНВАРЬ!AG68+ФЕВРАЛЬ!AG68+МАРТ!AG68</f>
        <v>0</v>
      </c>
      <c r="AH68" s="93">
        <f>ДЕКАБРЬ!AH68+ЯНВАРЬ!AH68+ФЕВРАЛЬ!AH68+МАРТ!AH68</f>
        <v>0</v>
      </c>
      <c r="AI68" s="93">
        <f>ДЕКАБРЬ!AI68+ЯНВАРЬ!AI68+ФЕВРАЛЬ!AI68+МАРТ!AI68</f>
        <v>0</v>
      </c>
      <c r="AJ68" s="93">
        <f>ДЕКАБРЬ!AJ68+ЯНВАРЬ!AJ68+ФЕВРАЛЬ!AJ68+МАРТ!AJ68</f>
        <v>0</v>
      </c>
      <c r="AK68" s="93"/>
      <c r="AL68" s="93">
        <f>ДЕКАБРЬ!AL68+ЯНВАРЬ!AL68+ФЕВРАЛЬ!AL68+МАРТ!AL68</f>
        <v>0</v>
      </c>
      <c r="AM68" s="93">
        <f>ДЕКАБРЬ!AM68+ЯНВАРЬ!AM68+ФЕВРАЛЬ!AM68+МАРТ!AM68</f>
        <v>0</v>
      </c>
      <c r="AN68" s="93">
        <f>ДЕКАБРЬ!AN68+ЯНВАРЬ!AN68+ФЕВРАЛЬ!AN68+МАРТ!AN68</f>
        <v>0</v>
      </c>
      <c r="AO68" s="95">
        <f t="shared" ref="AO68:AO103" si="45">AA68-AD68-AE68-AG68-AH68-AI68-AK68-AL68-AN68-AM68</f>
        <v>0</v>
      </c>
      <c r="AP68" s="96"/>
      <c r="AQ68" s="97">
        <f t="shared" si="7"/>
        <v>0</v>
      </c>
      <c r="AR68" s="98">
        <f t="shared" si="26"/>
        <v>161.69999999999999</v>
      </c>
      <c r="AS68" s="98">
        <f t="shared" si="9"/>
        <v>0</v>
      </c>
      <c r="AT68" s="98">
        <f t="shared" si="10"/>
        <v>0</v>
      </c>
      <c r="AU68" s="98">
        <f t="shared" si="16"/>
        <v>0</v>
      </c>
      <c r="AV68" s="98">
        <f t="array" ref="AV68">_xlfn.IFS(U68=0,AO68,U68&lt;0,AO68/-U68,U68&gt;0,AO68/U68)</f>
        <v>0</v>
      </c>
      <c r="AW68" s="234">
        <f t="shared" si="35"/>
        <v>0</v>
      </c>
      <c r="AX68" s="234">
        <f t="shared" si="36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37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3"/>
        <v>0</v>
      </c>
      <c r="M69" s="89"/>
      <c r="N69" s="93">
        <f>ДЕКАБРЬ!N69+ЯНВАРЬ!N69+ФЕВРАЛЬ!N69+МАРТ!N69</f>
        <v>12</v>
      </c>
      <c r="O69" s="89"/>
      <c r="P69" s="89"/>
      <c r="Q69" s="233"/>
      <c r="R69" s="92"/>
      <c r="S69" s="93">
        <f>ДЕКАБРЬ!S69+ЯНВАРЬ!S69+ФЕВРАЛЬ!S69+МАРТ!S69</f>
        <v>4</v>
      </c>
      <c r="T69" s="93">
        <f>ДЕКАБРЬ!T69+ЯНВАРЬ!T69+ФЕВРАЛЬ!T69+МАРТ!T69</f>
        <v>-1</v>
      </c>
      <c r="U69" s="92">
        <f t="shared" si="38"/>
        <v>3</v>
      </c>
      <c r="V69" s="93">
        <f>ДЕКАБРЬ!V69+ЯНВАРЬ!V69+ФЕВРАЛЬ!V69+МАРТ!V69</f>
        <v>2697.04</v>
      </c>
      <c r="W69" s="93">
        <f>ДЕКАБРЬ!W69+ЯНВАРЬ!W69+ФЕВРАЛЬ!W69+МАРТ!W69</f>
        <v>-640</v>
      </c>
      <c r="X69" s="92">
        <f t="shared" si="39"/>
        <v>2057.04</v>
      </c>
      <c r="Y69" s="93">
        <f>ДЕКАБРЬ!Y69+ЯНВАРЬ!Y69+ФЕВРАЛЬ!Y69+МАРТ!Y69</f>
        <v>3991.88</v>
      </c>
      <c r="Z69" s="93">
        <f>ДЕКАБРЬ!Z69+ЯНВАРЬ!Z69+ФЕВРАЛЬ!Z69+МАРТ!Z69</f>
        <v>-998</v>
      </c>
      <c r="AA69" s="232">
        <f t="shared" si="40"/>
        <v>2993.88</v>
      </c>
      <c r="AB69" s="92">
        <f t="shared" si="44"/>
        <v>0</v>
      </c>
      <c r="AC69" s="234">
        <f t="shared" si="41"/>
        <v>1.030364765811829E-4</v>
      </c>
      <c r="AD69" s="92">
        <f t="shared" si="42"/>
        <v>421.91999999999996</v>
      </c>
      <c r="AE69" s="93">
        <f>ДЕКАБРЬ!AE69+ЯНВАРЬ!AE69+ФЕВРАЛЬ!AE69+МАРТ!AE69</f>
        <v>1124.67</v>
      </c>
      <c r="AF69" s="234">
        <f t="shared" si="43"/>
        <v>0.37565633893142009</v>
      </c>
      <c r="AG69" s="93">
        <f>ДЕКАБРЬ!AG69+ЯНВАРЬ!AG69+ФЕВРАЛЬ!AG69+МАРТ!AG69</f>
        <v>754.44</v>
      </c>
      <c r="AH69" s="93">
        <f>ДЕКАБРЬ!AH69+ЯНВАРЬ!AH69+ФЕВРАЛЬ!AH69+МАРТ!AH69</f>
        <v>0</v>
      </c>
      <c r="AI69" s="93">
        <f>ДЕКАБРЬ!AI69+ЯНВАРЬ!AI69+ФЕВРАЛЬ!AI69+МАРТ!AI69</f>
        <v>0</v>
      </c>
      <c r="AJ69" s="93">
        <f>ДЕКАБРЬ!AJ69+ЯНВАРЬ!AJ69+ФЕВРАЛЬ!AJ69+МАРТ!AJ69</f>
        <v>0</v>
      </c>
      <c r="AK69" s="93"/>
      <c r="AL69" s="93">
        <f>ДЕКАБРЬ!AL69+ЯНВАРЬ!AL69+ФЕВРАЛЬ!AL69+МАРТ!AL69</f>
        <v>71.641046982174714</v>
      </c>
      <c r="AM69" s="93">
        <f>ДЕКАБРЬ!AM69+ЯНВАРЬ!AM69+ФЕВРАЛЬ!AM69+МАРТ!AM69</f>
        <v>0</v>
      </c>
      <c r="AN69" s="93">
        <f>ДЕКАБРЬ!AN69+ЯНВАРЬ!AN69+ФЕВРАЛЬ!AN69+МАРТ!AN69</f>
        <v>114.80852654419395</v>
      </c>
      <c r="AO69" s="95">
        <f t="shared" si="45"/>
        <v>506.40042647363128</v>
      </c>
      <c r="AP69" s="96"/>
      <c r="AQ69" s="97">
        <f t="shared" si="7"/>
        <v>997.96</v>
      </c>
      <c r="AR69" s="98">
        <f t="shared" si="26"/>
        <v>140.63999999999999</v>
      </c>
      <c r="AS69" s="98">
        <f t="shared" si="9"/>
        <v>374.89000000000004</v>
      </c>
      <c r="AT69" s="98">
        <f t="shared" si="10"/>
        <v>188.61</v>
      </c>
      <c r="AU69" s="98">
        <f t="shared" si="16"/>
        <v>0</v>
      </c>
      <c r="AV69" s="98">
        <f t="array" ref="AV69">_xlfn.IFS(U69=0,AO69,U69&lt;0,AO69/-U69,U69&gt;0,AO69/U69)</f>
        <v>168.8001421578771</v>
      </c>
      <c r="AW69" s="234">
        <f t="shared" si="35"/>
        <v>0.16914519836253666</v>
      </c>
      <c r="AX69" s="234">
        <f t="shared" si="36"/>
        <v>1.2002285420781935</v>
      </c>
      <c r="AY69" s="99"/>
      <c r="AZ69" s="94">
        <f t="shared" si="13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37"/>
        <v>0</v>
      </c>
      <c r="F70" s="93"/>
      <c r="G70" s="93"/>
      <c r="H70" s="93"/>
      <c r="I70" s="93"/>
      <c r="J70" s="93"/>
      <c r="K70" s="93">
        <v>117.24</v>
      </c>
      <c r="L70" s="92">
        <f t="shared" si="33"/>
        <v>0</v>
      </c>
      <c r="M70" s="89"/>
      <c r="N70" s="93">
        <f>ДЕКАБРЬ!N70+ЯНВАРЬ!N70+ФЕВРАЛЬ!N70+МАРТ!N70</f>
        <v>22</v>
      </c>
      <c r="O70" s="89"/>
      <c r="P70" s="89"/>
      <c r="Q70" s="233"/>
      <c r="R70" s="92"/>
      <c r="S70" s="93">
        <f>ДЕКАБРЬ!S70+ЯНВАРЬ!S70+ФЕВРАЛЬ!S70+МАРТ!S70</f>
        <v>8</v>
      </c>
      <c r="T70" s="93">
        <f>ДЕКАБРЬ!T70+ЯНВАРЬ!T70+ФЕВРАЛЬ!T70+МАРТ!T70</f>
        <v>0</v>
      </c>
      <c r="U70" s="92">
        <f t="shared" si="38"/>
        <v>8</v>
      </c>
      <c r="V70" s="93">
        <f>ДЕКАБРЬ!V70+ЯНВАРЬ!V70+ФЕВРАЛЬ!V70+МАРТ!V70</f>
        <v>5509</v>
      </c>
      <c r="W70" s="93">
        <f>ДЕКАБРЬ!W70+ЯНВАРЬ!W70+ФЕВРАЛЬ!W70+МАРТ!W70</f>
        <v>0</v>
      </c>
      <c r="X70" s="92">
        <f t="shared" si="39"/>
        <v>5509</v>
      </c>
      <c r="Y70" s="93">
        <f>ДЕКАБРЬ!Y70+ЯНВАРЬ!Y70+ФЕВРАЛЬ!Y70+МАРТ!Y70</f>
        <v>8434</v>
      </c>
      <c r="Z70" s="93">
        <f>ДЕКАБРЬ!Z70+ЯНВАРЬ!Z70+ФЕВРАЛЬ!Z70+МАРТ!Z70</f>
        <v>0</v>
      </c>
      <c r="AA70" s="232">
        <f t="shared" si="40"/>
        <v>8434</v>
      </c>
      <c r="AB70" s="92">
        <f t="shared" si="44"/>
        <v>0</v>
      </c>
      <c r="AC70" s="234">
        <f t="shared" si="41"/>
        <v>2.9026201567387356E-4</v>
      </c>
      <c r="AD70" s="92">
        <f t="shared" si="42"/>
        <v>937.92</v>
      </c>
      <c r="AE70" s="93">
        <f>ДЕКАБРЬ!AE70+ЯНВАРЬ!AE70+ФЕВРАЛЬ!AE70+МАРТ!AE70</f>
        <v>3166.9</v>
      </c>
      <c r="AF70" s="234">
        <f t="shared" si="43"/>
        <v>0.37549205596395541</v>
      </c>
      <c r="AG70" s="93">
        <f>ДЕКАБРЬ!AG70+ЯНВАРЬ!AG70+ФЕВРАЛЬ!AG70+МАРТ!AG70</f>
        <v>1656.3500000000001</v>
      </c>
      <c r="AH70" s="93">
        <f>ДЕКАБРЬ!AH70+ЯНВАРЬ!AH70+ФЕВРАЛЬ!AH70+МАРТ!AH70</f>
        <v>0</v>
      </c>
      <c r="AI70" s="93">
        <f>ДЕКАБРЬ!AI70+ЯНВАРЬ!AI70+ФЕВРАЛЬ!AI70+МАРТ!AI70</f>
        <v>0</v>
      </c>
      <c r="AJ70" s="93">
        <f>ДЕКАБРЬ!AJ70+ЯНВАРЬ!AJ70+ФЕВРАЛЬ!AJ70+МАРТ!AJ70</f>
        <v>0</v>
      </c>
      <c r="AK70" s="93"/>
      <c r="AL70" s="93">
        <f>ДЕКАБРЬ!AL70+ЯНВАРЬ!AL70+ФЕВРАЛЬ!AL70+МАРТ!AL70</f>
        <v>38.701548100523162</v>
      </c>
      <c r="AM70" s="93">
        <f>ДЕКАБРЬ!AM70+ЯНВАРЬ!AM70+ФЕВРАЛЬ!AM70+МАРТ!AM70</f>
        <v>0</v>
      </c>
      <c r="AN70" s="93">
        <f>ДЕКАБРЬ!AN70+ЯНВАРЬ!AN70+ФЕВРАЛЬ!AN70+МАРТ!AN70</f>
        <v>309.56521089315578</v>
      </c>
      <c r="AO70" s="95">
        <f t="shared" si="45"/>
        <v>2324.5632410063208</v>
      </c>
      <c r="AP70" s="96"/>
      <c r="AQ70" s="97">
        <f t="shared" si="7"/>
        <v>1054.25</v>
      </c>
      <c r="AR70" s="98">
        <f t="shared" si="26"/>
        <v>117.24</v>
      </c>
      <c r="AS70" s="98">
        <f t="shared" si="9"/>
        <v>395.86250000000001</v>
      </c>
      <c r="AT70" s="98">
        <f t="shared" si="10"/>
        <v>207.04375000000002</v>
      </c>
      <c r="AU70" s="98">
        <f t="shared" si="16"/>
        <v>0</v>
      </c>
      <c r="AV70" s="98">
        <f t="array" ref="AV70">_xlfn.IFS(U70=0,AO70,U70&lt;0,AO70/-U70,U70&gt;0,AO70/U70)</f>
        <v>290.5704051257901</v>
      </c>
      <c r="AW70" s="234">
        <f t="shared" si="35"/>
        <v>0.27561812200691499</v>
      </c>
      <c r="AX70" s="234">
        <f t="shared" si="36"/>
        <v>2.4784237898822084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37"/>
        <v>0</v>
      </c>
      <c r="F71" s="93"/>
      <c r="G71" s="93"/>
      <c r="H71" s="93"/>
      <c r="I71" s="93"/>
      <c r="J71" s="93"/>
      <c r="K71" s="93">
        <v>123.09</v>
      </c>
      <c r="L71" s="92">
        <f t="shared" si="33"/>
        <v>0</v>
      </c>
      <c r="M71" s="89"/>
      <c r="N71" s="93">
        <f>ДЕКАБРЬ!N71+ЯНВАРЬ!N71+ФЕВРАЛЬ!N71+МАРТ!N71</f>
        <v>73</v>
      </c>
      <c r="O71" s="89"/>
      <c r="P71" s="89"/>
      <c r="Q71" s="233"/>
      <c r="R71" s="92"/>
      <c r="S71" s="93">
        <f>ДЕКАБРЬ!S71+ЯНВАРЬ!S71+ФЕВРАЛЬ!S71+МАРТ!S71</f>
        <v>19</v>
      </c>
      <c r="T71" s="93">
        <f>ДЕКАБРЬ!T71+ЯНВАРЬ!T71+ФЕВРАЛЬ!T71+МАРТ!T71</f>
        <v>-2</v>
      </c>
      <c r="U71" s="92">
        <f t="shared" si="38"/>
        <v>17</v>
      </c>
      <c r="V71" s="93">
        <f>ДЕКАБРЬ!V71+ЯНВАРЬ!V71+ФЕВРАЛЬ!V71+МАРТ!V71</f>
        <v>9160.93</v>
      </c>
      <c r="W71" s="93">
        <f>ДЕКАБРЬ!W71+ЯНВАРЬ!W71+ФЕВРАЛЬ!W71+МАРТ!W71</f>
        <v>-998</v>
      </c>
      <c r="X71" s="92">
        <f t="shared" si="39"/>
        <v>8162.93</v>
      </c>
      <c r="Y71" s="93">
        <f>ДЕКАБРЬ!Y71+ЯНВАРЬ!Y71+ФЕВРАЛЬ!Y71+МАРТ!Y71</f>
        <v>13484.810000000001</v>
      </c>
      <c r="Z71" s="93">
        <f>ДЕКАБРЬ!Z71+ЯНВАРЬ!Z71+ФЕВРАЛЬ!Z71+МАРТ!Z71</f>
        <v>-1509</v>
      </c>
      <c r="AA71" s="232">
        <f t="shared" si="40"/>
        <v>11975.810000000001</v>
      </c>
      <c r="AB71" s="92">
        <f t="shared" si="44"/>
        <v>0</v>
      </c>
      <c r="AC71" s="234">
        <f t="shared" si="41"/>
        <v>4.1215588687779607E-4</v>
      </c>
      <c r="AD71" s="92">
        <f t="shared" si="42"/>
        <v>2092.5300000000002</v>
      </c>
      <c r="AE71" s="93">
        <f>ДЕКАБРЬ!AE71+ЯНВАРЬ!AE71+ФЕВРАЛЬ!AE71+МАРТ!AE71</f>
        <v>4502.9000000000005</v>
      </c>
      <c r="AF71" s="234">
        <f t="shared" si="43"/>
        <v>0.37599961923243608</v>
      </c>
      <c r="AG71" s="93">
        <f>ДЕКАБРЬ!AG71+ЯНВАРЬ!AG71+ФЕВРАЛЬ!AG71+МАРТ!AG71</f>
        <v>6474.8000000000011</v>
      </c>
      <c r="AH71" s="93">
        <f>ДЕКАБРЬ!AH71+ЯНВАРЬ!AH71+ФЕВРАЛЬ!AH71+МАРТ!AH71</f>
        <v>0</v>
      </c>
      <c r="AI71" s="93">
        <f>ДЕКАБРЬ!AI71+ЯНВАРЬ!AI71+ФЕВРАЛЬ!AI71+МАРТ!AI71</f>
        <v>0</v>
      </c>
      <c r="AJ71" s="93">
        <f>ДЕКАБРЬ!AJ71+ЯНВАРЬ!AJ71+ФЕВРАЛЬ!AJ71+МАРТ!AJ71</f>
        <v>0</v>
      </c>
      <c r="AK71" s="93"/>
      <c r="AL71" s="93">
        <f>ДЕКАБРЬ!AL71+ЯНВАРЬ!AL71+ФЕВРАЛЬ!AL71+МАРТ!AL71</f>
        <v>77.782755138654267</v>
      </c>
      <c r="AM71" s="93">
        <f>ДЕКАБРЬ!AM71+ЯНВАРЬ!AM71+ФЕВРАЛЬ!AM71+МАРТ!AM71</f>
        <v>0</v>
      </c>
      <c r="AN71" s="93">
        <f>ДЕКАБРЬ!AN71+ЯНВАРЬ!AN71+ФЕВРАЛЬ!AN71+МАРТ!AN71</f>
        <v>458.10153839148597</v>
      </c>
      <c r="AO71" s="95">
        <f t="shared" si="45"/>
        <v>-1630.3042935301412</v>
      </c>
      <c r="AP71" s="96"/>
      <c r="AQ71" s="97">
        <f t="shared" si="7"/>
        <v>704.45941176470592</v>
      </c>
      <c r="AR71" s="98">
        <f t="shared" si="26"/>
        <v>123.09</v>
      </c>
      <c r="AS71" s="98">
        <f t="shared" si="9"/>
        <v>264.87647058823535</v>
      </c>
      <c r="AT71" s="98">
        <f t="shared" si="10"/>
        <v>340.77894736842109</v>
      </c>
      <c r="AU71" s="98">
        <f t="shared" ref="AU71:AU103" si="46">IF(S71=0,0,(AH71+AI71+AJ71)/S71)</f>
        <v>0</v>
      </c>
      <c r="AV71" s="98">
        <f t="array" ref="AV71">_xlfn.IFS(U71=0,AO71,U71&lt;0,AO71/-U71,U71&gt;0,AO71/U71)</f>
        <v>-95.900252560596542</v>
      </c>
      <c r="AW71" s="234">
        <f t="shared" si="35"/>
        <v>-0.13613311279405244</v>
      </c>
      <c r="AX71" s="234">
        <f t="shared" si="36"/>
        <v>-0.77910677196032607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37"/>
        <v>0</v>
      </c>
      <c r="F72" s="93"/>
      <c r="G72" s="93"/>
      <c r="H72" s="93"/>
      <c r="I72" s="93"/>
      <c r="J72" s="93"/>
      <c r="K72" s="93">
        <v>123.09</v>
      </c>
      <c r="L72" s="92">
        <f t="shared" si="33"/>
        <v>0</v>
      </c>
      <c r="M72" s="89"/>
      <c r="N72" s="93">
        <f>ДЕКАБРЬ!N72+ЯНВАРЬ!N72+ФЕВРАЛЬ!N72+МАРТ!N72</f>
        <v>46</v>
      </c>
      <c r="O72" s="89"/>
      <c r="P72" s="89"/>
      <c r="Q72" s="233"/>
      <c r="R72" s="92"/>
      <c r="S72" s="93">
        <f>ДЕКАБРЬ!S72+ЯНВАРЬ!S72+ФЕВРАЛЬ!S72+МАРТ!S72</f>
        <v>14</v>
      </c>
      <c r="T72" s="93">
        <f>ДЕКАБРЬ!T72+ЯНВАРЬ!T72+ФЕВРАЛЬ!T72+МАРТ!T72</f>
        <v>0</v>
      </c>
      <c r="U72" s="92">
        <f t="shared" si="38"/>
        <v>14</v>
      </c>
      <c r="V72" s="93">
        <f>ДЕКАБРЬ!V72+ЯНВАРЬ!V72+ФЕВРАЛЬ!V72+МАРТ!V72</f>
        <v>7833</v>
      </c>
      <c r="W72" s="93">
        <f>ДЕКАБРЬ!W72+ЯНВАРЬ!W72+ФЕВРАЛЬ!W72+МАРТ!W72</f>
        <v>0</v>
      </c>
      <c r="X72" s="92">
        <f t="shared" si="39"/>
        <v>7833</v>
      </c>
      <c r="Y72" s="93">
        <f>ДЕКАБРЬ!Y72+ЯНВАРЬ!Y72+ФЕВРАЛЬ!Y72+МАРТ!Y72</f>
        <v>11727.779999999999</v>
      </c>
      <c r="Z72" s="93">
        <f>ДЕКАБРЬ!Z72+ЯНВАРЬ!Z72+ФЕВРАЛЬ!Z72+МАРТ!Z72</f>
        <v>0</v>
      </c>
      <c r="AA72" s="232">
        <f t="shared" si="40"/>
        <v>11727.779999999999</v>
      </c>
      <c r="AB72" s="92">
        <f t="shared" si="44"/>
        <v>0</v>
      </c>
      <c r="AC72" s="234">
        <f t="shared" si="41"/>
        <v>4.0361976075168845E-4</v>
      </c>
      <c r="AD72" s="92">
        <f t="shared" si="42"/>
        <v>1723.26</v>
      </c>
      <c r="AE72" s="93">
        <f>ДЕКАБРЬ!AE72+ЯНВАРЬ!AE72+ФЕВРАЛЬ!AE72+МАРТ!AE72</f>
        <v>4408</v>
      </c>
      <c r="AF72" s="234">
        <f t="shared" si="43"/>
        <v>0.37585971087452191</v>
      </c>
      <c r="AG72" s="93">
        <f>ДЕКАБРЬ!AG72+ЯНВАРЬ!AG72+ФЕВРАЛЬ!AG72+МАРТ!AG72</f>
        <v>3851.1700000000005</v>
      </c>
      <c r="AH72" s="93">
        <f>ДЕКАБРЬ!AH72+ЯНВАРЬ!AH72+ФЕВРАЛЬ!AH72+МАРТ!AH72</f>
        <v>0</v>
      </c>
      <c r="AI72" s="93">
        <f>ДЕКАБРЬ!AI72+ЯНВАРЬ!AI72+ФЕВРАЛЬ!AI72+МАРТ!AI72</f>
        <v>0</v>
      </c>
      <c r="AJ72" s="93">
        <f>ДЕКАБРЬ!AJ72+ЯНВАРЬ!AJ72+ФЕВРАЛЬ!AJ72+МАРТ!AJ72</f>
        <v>0</v>
      </c>
      <c r="AK72" s="93"/>
      <c r="AL72" s="93">
        <f>ДЕКАБРЬ!AL72+ЯНВАРЬ!AL72+ФЕВРАЛЬ!AL72+МАРТ!AL72</f>
        <v>45.466969841648755</v>
      </c>
      <c r="AM72" s="93">
        <f>ДЕКАБРЬ!AM72+ЯНВАРЬ!AM72+ФЕВРАЛЬ!AM72+МАРТ!AM72</f>
        <v>0</v>
      </c>
      <c r="AN72" s="93">
        <f>ДЕКАБРЬ!AN72+ЯНВАРЬ!AN72+ФЕВРАЛЬ!AN72+МАРТ!AN72</f>
        <v>429.64637444010827</v>
      </c>
      <c r="AO72" s="95">
        <f t="shared" si="45"/>
        <v>1270.2366557182411</v>
      </c>
      <c r="AP72" s="96"/>
      <c r="AQ72" s="97">
        <f t="shared" si="7"/>
        <v>837.69857142857131</v>
      </c>
      <c r="AR72" s="98">
        <f t="shared" si="26"/>
        <v>123.09</v>
      </c>
      <c r="AS72" s="98">
        <f t="shared" si="9"/>
        <v>314.85714285714283</v>
      </c>
      <c r="AT72" s="98">
        <f t="shared" si="10"/>
        <v>275.08357142857147</v>
      </c>
      <c r="AU72" s="98">
        <f t="shared" si="46"/>
        <v>0</v>
      </c>
      <c r="AV72" s="98">
        <f t="array" ref="AV72">_xlfn.IFS(U72=0,AO72,U72&lt;0,AO72/-U72,U72&gt;0,AO72/U72)</f>
        <v>90.731189694160079</v>
      </c>
      <c r="AW72" s="234">
        <f t="shared" si="35"/>
        <v>0.10831006854820276</v>
      </c>
      <c r="AX72" s="234">
        <f t="shared" si="36"/>
        <v>0.73711259805150764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37"/>
        <v>0</v>
      </c>
      <c r="F73" s="93"/>
      <c r="G73" s="93"/>
      <c r="H73" s="93"/>
      <c r="I73" s="93"/>
      <c r="J73" s="93"/>
      <c r="K73" s="93">
        <v>123.09</v>
      </c>
      <c r="L73" s="92">
        <f t="shared" si="33"/>
        <v>0</v>
      </c>
      <c r="M73" s="89"/>
      <c r="N73" s="93">
        <f>ДЕКАБРЬ!N73+ЯНВАРЬ!N73+ФЕВРАЛЬ!N73+МАРТ!N73</f>
        <v>53</v>
      </c>
      <c r="O73" s="89"/>
      <c r="P73" s="89"/>
      <c r="Q73" s="233"/>
      <c r="R73" s="92"/>
      <c r="S73" s="93">
        <f>ДЕКАБРЬ!S73+ЯНВАРЬ!S73+ФЕВРАЛЬ!S73+МАРТ!S73</f>
        <v>12</v>
      </c>
      <c r="T73" s="93">
        <f>ДЕКАБРЬ!T73+ЯНВАРЬ!T73+ФЕВРАЛЬ!T73+МАРТ!T73</f>
        <v>-1</v>
      </c>
      <c r="U73" s="92">
        <f t="shared" si="38"/>
        <v>11</v>
      </c>
      <c r="V73" s="93">
        <f>ДЕКАБРЬ!V73+ЯНВАРЬ!V73+ФЕВРАЛЬ!V73+МАРТ!V73</f>
        <v>6548.4400000000005</v>
      </c>
      <c r="W73" s="93">
        <f>ДЕКАБРЬ!W73+ЯНВАРЬ!W73+ФЕВРАЛЬ!W73+МАРТ!W73</f>
        <v>-527</v>
      </c>
      <c r="X73" s="92">
        <f t="shared" si="39"/>
        <v>6021.4400000000005</v>
      </c>
      <c r="Y73" s="93">
        <f>ДЕКАБРЬ!Y73+ЯНВАРЬ!Y73+ФЕВРАЛЬ!Y73+МАРТ!Y73</f>
        <v>9660.2799999999988</v>
      </c>
      <c r="Z73" s="93">
        <f>ДЕКАБРЬ!Z73+ЯНВАРЬ!Z73+ФЕВРАЛЬ!Z73+МАРТ!Z73</f>
        <v>-807</v>
      </c>
      <c r="AA73" s="232">
        <f t="shared" si="40"/>
        <v>8853.2799999999988</v>
      </c>
      <c r="AB73" s="92">
        <f t="shared" si="44"/>
        <v>0</v>
      </c>
      <c r="AC73" s="234">
        <f t="shared" si="41"/>
        <v>3.0469183046302951E-4</v>
      </c>
      <c r="AD73" s="92">
        <f t="shared" si="42"/>
        <v>1353.99</v>
      </c>
      <c r="AE73" s="93">
        <f>ДЕКАБРЬ!AE73+ЯНВАРЬ!AE73+ФЕВРАЛЬ!AE73+МАРТ!AE73</f>
        <v>3313.9399999999996</v>
      </c>
      <c r="AF73" s="234">
        <f t="shared" si="43"/>
        <v>0.37431776697449987</v>
      </c>
      <c r="AG73" s="93">
        <f>ДЕКАБРЬ!AG73+ЯНВАРЬ!AG73+ФЕВРАЛЬ!AG73+МАРТ!AG73</f>
        <v>4295.2999999999993</v>
      </c>
      <c r="AH73" s="93">
        <f>ДЕКАБРЬ!AH73+ЯНВАРЬ!AH73+ФЕВРАЛЬ!AH73+МАРТ!AH73</f>
        <v>0</v>
      </c>
      <c r="AI73" s="93">
        <f>ДЕКАБРЬ!AI73+ЯНВАРЬ!AI73+ФЕВРАЛЬ!AI73+МАРТ!AI73</f>
        <v>0</v>
      </c>
      <c r="AJ73" s="93">
        <f>ДЕКАБРЬ!AJ73+ЯНВАРЬ!AJ73+ФЕВРАЛЬ!AJ73+МАРТ!AJ73</f>
        <v>0</v>
      </c>
      <c r="AK73" s="93"/>
      <c r="AL73" s="93">
        <f>ДЕКАБРЬ!AL73+ЯНВАРЬ!AL73+ФЕВРАЛЬ!AL73+МАРТ!AL73</f>
        <v>58.96959271734012</v>
      </c>
      <c r="AM73" s="93">
        <f>ДЕКАБРЬ!AM73+ЯНВАРЬ!AM73+ФЕВРАЛЬ!AM73+МАРТ!AM73</f>
        <v>0</v>
      </c>
      <c r="AN73" s="93">
        <f>ДЕКАБРЬ!AN73+ЯНВАРЬ!AN73+ФЕВРАЛЬ!AN73+МАРТ!AN73</f>
        <v>337.73606524768212</v>
      </c>
      <c r="AO73" s="95">
        <f t="shared" si="45"/>
        <v>-506.65565796502204</v>
      </c>
      <c r="AP73" s="96"/>
      <c r="AQ73" s="97">
        <f t="shared" si="7"/>
        <v>804.84363636363628</v>
      </c>
      <c r="AR73" s="98">
        <f t="shared" si="26"/>
        <v>123.09</v>
      </c>
      <c r="AS73" s="98">
        <f t="shared" si="9"/>
        <v>301.26727272727271</v>
      </c>
      <c r="AT73" s="98">
        <f t="shared" si="10"/>
        <v>357.94166666666661</v>
      </c>
      <c r="AU73" s="98">
        <f t="shared" si="46"/>
        <v>0</v>
      </c>
      <c r="AV73" s="98">
        <f t="array" ref="AV73">_xlfn.IFS(U73=0,AO73,U73&lt;0,AO73/-U73,U73&gt;0,AO73/U73)</f>
        <v>-46.059605269547461</v>
      </c>
      <c r="AW73" s="234">
        <f t="shared" si="35"/>
        <v>-5.7228016956994712E-2</v>
      </c>
      <c r="AX73" s="234">
        <f t="shared" si="36"/>
        <v>-0.37419453464576702</v>
      </c>
      <c r="AY73" s="99"/>
      <c r="AZ73" s="94">
        <f t="shared" si="13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37"/>
        <v>0</v>
      </c>
      <c r="F74" s="93"/>
      <c r="G74" s="93"/>
      <c r="H74" s="93"/>
      <c r="I74" s="93"/>
      <c r="J74" s="93"/>
      <c r="K74" s="93">
        <v>134.79</v>
      </c>
      <c r="L74" s="92">
        <f t="shared" si="33"/>
        <v>0</v>
      </c>
      <c r="M74" s="89"/>
      <c r="N74" s="93">
        <f>ДЕКАБРЬ!N74+ЯНВАРЬ!N74+ФЕВРАЛЬ!N74+МАРТ!N74</f>
        <v>14</v>
      </c>
      <c r="O74" s="89"/>
      <c r="P74" s="89"/>
      <c r="Q74" s="233"/>
      <c r="R74" s="92"/>
      <c r="S74" s="93">
        <f>ДЕКАБРЬ!S74+ЯНВАРЬ!S74+ФЕВРАЛЬ!S74+МАРТ!S74</f>
        <v>7</v>
      </c>
      <c r="T74" s="93">
        <f>ДЕКАБРЬ!T74+ЯНВАРЬ!T74+ФЕВРАЛЬ!T74+МАРТ!T74</f>
        <v>0</v>
      </c>
      <c r="U74" s="92">
        <f t="shared" si="38"/>
        <v>7</v>
      </c>
      <c r="V74" s="93">
        <f>ДЕКАБРЬ!V74+ЯНВАРЬ!V74+ФЕВРАЛЬ!V74+МАРТ!V74</f>
        <v>4293.8899999999994</v>
      </c>
      <c r="W74" s="93">
        <f>ДЕКАБРЬ!W74+ЯНВАРЬ!W74+ФЕВРАЛЬ!W74+МАРТ!W74</f>
        <v>0</v>
      </c>
      <c r="X74" s="92">
        <f t="shared" si="39"/>
        <v>4293.8899999999994</v>
      </c>
      <c r="Y74" s="93">
        <f>ДЕКАБРЬ!Y74+ЯНВАРЬ!Y74+ФЕВРАЛЬ!Y74+МАРТ!Y74</f>
        <v>5611.6200000000008</v>
      </c>
      <c r="Z74" s="93">
        <f>ДЕКАБРЬ!Z74+ЯНВАРЬ!Z74+ФЕВРАЛЬ!Z74+МАРТ!Z74</f>
        <v>0</v>
      </c>
      <c r="AA74" s="232">
        <f t="shared" si="40"/>
        <v>5611.6200000000008</v>
      </c>
      <c r="AB74" s="92">
        <f t="shared" si="44"/>
        <v>0</v>
      </c>
      <c r="AC74" s="234">
        <f t="shared" si="41"/>
        <v>1.931278316807947E-4</v>
      </c>
      <c r="AD74" s="92">
        <f t="shared" si="42"/>
        <v>943.53</v>
      </c>
      <c r="AE74" s="93">
        <f>ДЕКАБРЬ!AE74+ЯНВАРЬ!AE74+ФЕВРАЛЬ!AE74+МАРТ!AE74</f>
        <v>2110.3300000000008</v>
      </c>
      <c r="AF74" s="234">
        <f t="shared" si="43"/>
        <v>0.3760643094151066</v>
      </c>
      <c r="AG74" s="93">
        <f>ДЕКАБРЬ!AG74+ЯНВАРЬ!AG74+ФЕВРАЛЬ!AG74+МАРТ!AG74</f>
        <v>965.13000000000011</v>
      </c>
      <c r="AH74" s="93">
        <f>ДЕКАБРЬ!AH74+ЯНВАРЬ!AH74+ФЕВРАЛЬ!AH74+МАРТ!AH74</f>
        <v>0</v>
      </c>
      <c r="AI74" s="93">
        <f>ДЕКАБРЬ!AI74+ЯНВАРЬ!AI74+ФЕВРАЛЬ!AI74+МАРТ!AI74</f>
        <v>0</v>
      </c>
      <c r="AJ74" s="93">
        <f>ДЕКАБРЬ!AJ74+ЯНВАРЬ!AJ74+ФЕВРАЛЬ!AJ74+МАРТ!AJ74</f>
        <v>0</v>
      </c>
      <c r="AK74" s="93"/>
      <c r="AL74" s="93">
        <f>ДЕКАБРЬ!AL74+ЯНВАРЬ!AL74+ФЕВРАЛЬ!AL74+МАРТ!AL74</f>
        <v>6.9949184371767323</v>
      </c>
      <c r="AM74" s="93">
        <f>ДЕКАБРЬ!AM74+ЯНВАРЬ!AM74+ФЕВРАЛЬ!AM74+МАРТ!AM74</f>
        <v>0</v>
      </c>
      <c r="AN74" s="93">
        <f>ДЕКАБРЬ!AN74+ЯНВАРЬ!AN74+ФЕВРАЛЬ!AN74+МАРТ!AN74</f>
        <v>229.15763875889104</v>
      </c>
      <c r="AO74" s="95">
        <f t="shared" si="45"/>
        <v>1356.4774428039323</v>
      </c>
      <c r="AP74" s="96"/>
      <c r="AQ74" s="97">
        <f t="shared" si="7"/>
        <v>801.66000000000008</v>
      </c>
      <c r="AR74" s="98">
        <f t="shared" si="26"/>
        <v>134.79</v>
      </c>
      <c r="AS74" s="98">
        <f t="shared" si="9"/>
        <v>301.47571428571439</v>
      </c>
      <c r="AT74" s="98">
        <f t="shared" si="10"/>
        <v>137.87571428571431</v>
      </c>
      <c r="AU74" s="98">
        <f t="shared" si="46"/>
        <v>0</v>
      </c>
      <c r="AV74" s="98">
        <f t="array" ref="AV74">_xlfn.IFS(U74=0,AO74,U74&lt;0,AO74/-U74,U74&gt;0,AO74/U74)</f>
        <v>193.78249182913319</v>
      </c>
      <c r="AW74" s="234">
        <f t="shared" si="35"/>
        <v>0.241726532232035</v>
      </c>
      <c r="AX74" s="234">
        <f t="shared" si="36"/>
        <v>1.4376622288681149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37"/>
        <v>0</v>
      </c>
      <c r="F75" s="93"/>
      <c r="G75" s="93"/>
      <c r="H75" s="93"/>
      <c r="I75" s="93"/>
      <c r="J75" s="93"/>
      <c r="K75" s="93">
        <v>134.79</v>
      </c>
      <c r="L75" s="92">
        <f t="shared" si="33"/>
        <v>0</v>
      </c>
      <c r="M75" s="89"/>
      <c r="N75" s="93">
        <f>ДЕКАБРЬ!N75+ЯНВАРЬ!N75+ФЕВРАЛЬ!N75+МАРТ!N75</f>
        <v>114</v>
      </c>
      <c r="O75" s="89"/>
      <c r="P75" s="89"/>
      <c r="Q75" s="233"/>
      <c r="R75" s="92"/>
      <c r="S75" s="93">
        <f>ДЕКАБРЬ!S75+ЯНВАРЬ!S75+ФЕВРАЛЬ!S75+МАРТ!S75</f>
        <v>41</v>
      </c>
      <c r="T75" s="93">
        <f>ДЕКАБРЬ!T75+ЯНВАРЬ!T75+ФЕВРАЛЬ!T75+МАРТ!T75</f>
        <v>-6</v>
      </c>
      <c r="U75" s="92">
        <f t="shared" si="38"/>
        <v>35</v>
      </c>
      <c r="V75" s="93">
        <f>ДЕКАБРЬ!V75+ЯНВАРЬ!V75+ФЕВРАЛЬ!V75+МАРТ!V75</f>
        <v>24710.75</v>
      </c>
      <c r="W75" s="93">
        <f>ДЕКАБРЬ!W75+ЯНВАРЬ!W75+ФЕВРАЛЬ!W75+МАРТ!W75</f>
        <v>-3161</v>
      </c>
      <c r="X75" s="92">
        <f t="shared" si="39"/>
        <v>21549.75</v>
      </c>
      <c r="Y75" s="93">
        <f>ДЕКАБРЬ!Y75+ЯНВАРЬ!Y75+ФЕВРАЛЬ!Y75+МАРТ!Y75</f>
        <v>33658.810000000005</v>
      </c>
      <c r="Z75" s="93">
        <f>ДЕКАБРЬ!Z75+ЯНВАРЬ!Z75+ФЕВРАЛЬ!Z75+МАРТ!Z75</f>
        <v>-4509.33</v>
      </c>
      <c r="AA75" s="232">
        <f t="shared" si="40"/>
        <v>29149.480000000003</v>
      </c>
      <c r="AB75" s="92">
        <f t="shared" si="44"/>
        <v>0</v>
      </c>
      <c r="AC75" s="234">
        <f t="shared" si="41"/>
        <v>1.0031997653124573E-3</v>
      </c>
      <c r="AD75" s="92">
        <f t="shared" si="42"/>
        <v>4717.6499999999996</v>
      </c>
      <c r="AE75" s="93">
        <f>ДЕКАБРЬ!AE75+ЯНВАРЬ!AE75+ФЕВРАЛЬ!AE75+МАРТ!AE75</f>
        <v>10934.260000000002</v>
      </c>
      <c r="AF75" s="234">
        <f t="shared" si="43"/>
        <v>0.37510995050340523</v>
      </c>
      <c r="AG75" s="93">
        <f>ДЕКАБРЬ!AG75+ЯНВАРЬ!AG75+ФЕВРАЛЬ!AG75+МАРТ!AG75</f>
        <v>8841.4499999999989</v>
      </c>
      <c r="AH75" s="93">
        <f>ДЕКАБРЬ!AH75+ЯНВАРЬ!AH75+ФЕВРАЛЬ!AH75+МАРТ!AH75</f>
        <v>0</v>
      </c>
      <c r="AI75" s="93">
        <f>ДЕКАБРЬ!AI75+ЯНВАРЬ!AI75+ФЕВРАЛЬ!AI75+МАРТ!AI75</f>
        <v>4124</v>
      </c>
      <c r="AJ75" s="93">
        <f>ДЕКАБРЬ!AJ75+ЯНВАРЬ!AJ75+ФЕВРАЛЬ!AJ75+МАРТ!AJ75</f>
        <v>0</v>
      </c>
      <c r="AK75" s="93"/>
      <c r="AL75" s="93">
        <f>ДЕКАБРЬ!AL75+ЯНВАРЬ!AL75+ФЕВРАЛЬ!AL75+МАРТ!AL75</f>
        <v>39.256502707756525</v>
      </c>
      <c r="AM75" s="93">
        <f>ДЕКАБРЬ!AM75+ЯНВАРЬ!AM75+ФЕВРАЛЬ!AM75+МАРТ!AM75</f>
        <v>0</v>
      </c>
      <c r="AN75" s="93">
        <f>ДЕКАБРЬ!AN75+ЯНВАРЬ!AN75+ФЕВРАЛЬ!AN75+МАРТ!AN75</f>
        <v>1242.2587120366716</v>
      </c>
      <c r="AO75" s="95">
        <f t="shared" si="45"/>
        <v>-749.39521474442722</v>
      </c>
      <c r="AP75" s="96"/>
      <c r="AQ75" s="97">
        <f t="shared" si="7"/>
        <v>832.84228571428582</v>
      </c>
      <c r="AR75" s="98">
        <f t="shared" si="26"/>
        <v>134.79</v>
      </c>
      <c r="AS75" s="98">
        <f t="shared" si="9"/>
        <v>312.40742857142862</v>
      </c>
      <c r="AT75" s="98">
        <f t="shared" si="10"/>
        <v>215.64512195121949</v>
      </c>
      <c r="AU75" s="98">
        <f t="shared" si="46"/>
        <v>100.58536585365853</v>
      </c>
      <c r="AV75" s="98">
        <f t="array" ref="AV75">_xlfn.IFS(U75=0,AO75,U75&lt;0,AO75/-U75,U75&gt;0,AO75/U75)</f>
        <v>-21.411291849840779</v>
      </c>
      <c r="AW75" s="234">
        <f t="shared" si="35"/>
        <v>-2.57086992544782E-2</v>
      </c>
      <c r="AX75" s="234">
        <f t="shared" si="36"/>
        <v>-0.15884926070065125</v>
      </c>
      <c r="AY75" s="99"/>
      <c r="AZ75" s="94">
        <f t="shared" si="13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37"/>
        <v>0</v>
      </c>
      <c r="F76" s="93"/>
      <c r="G76" s="93"/>
      <c r="H76" s="93"/>
      <c r="I76" s="93"/>
      <c r="J76" s="93"/>
      <c r="K76" s="93">
        <v>123.09</v>
      </c>
      <c r="L76" s="92">
        <f t="shared" si="33"/>
        <v>0</v>
      </c>
      <c r="M76" s="89"/>
      <c r="N76" s="93">
        <f>ДЕКАБРЬ!N76+ЯНВАРЬ!N76+ФЕВРАЛЬ!N76+МАРТ!N76</f>
        <v>62</v>
      </c>
      <c r="O76" s="89"/>
      <c r="P76" s="89"/>
      <c r="Q76" s="233"/>
      <c r="R76" s="92"/>
      <c r="S76" s="93">
        <f>ДЕКАБРЬ!S76+ЯНВАРЬ!S76+ФЕВРАЛЬ!S76+МАРТ!S76</f>
        <v>10</v>
      </c>
      <c r="T76" s="93">
        <f>ДЕКАБРЬ!T76+ЯНВАРЬ!T76+ФЕВРАЛЬ!T76+МАРТ!T76</f>
        <v>-2</v>
      </c>
      <c r="U76" s="92">
        <f t="shared" si="38"/>
        <v>8</v>
      </c>
      <c r="V76" s="93">
        <f>ДЕКАБРЬ!V76+ЯНВАРЬ!V76+ФЕВРАЛЬ!V76+МАРТ!V76</f>
        <v>6722</v>
      </c>
      <c r="W76" s="93">
        <f>ДЕКАБРЬ!W76+ЯНВАРЬ!W76+ФЕВРАЛЬ!W76+МАРТ!W76</f>
        <v>-1339</v>
      </c>
      <c r="X76" s="92">
        <f t="shared" si="39"/>
        <v>5383</v>
      </c>
      <c r="Y76" s="93">
        <f>ДЕКАБРЬ!Y76+ЯНВАРЬ!Y76+ФЕВРАЛЬ!Y76+МАРТ!Y76</f>
        <v>10500</v>
      </c>
      <c r="Z76" s="93">
        <f>ДЕКАБРЬ!Z76+ЯНВАРЬ!Z76+ФЕВРАЛЬ!Z76+МАРТ!Z76</f>
        <v>-2100</v>
      </c>
      <c r="AA76" s="232">
        <f t="shared" si="40"/>
        <v>8400</v>
      </c>
      <c r="AB76" s="92">
        <f t="shared" si="44"/>
        <v>0</v>
      </c>
      <c r="AC76" s="234">
        <f t="shared" si="41"/>
        <v>2.8909188186631939E-4</v>
      </c>
      <c r="AD76" s="92">
        <f t="shared" si="42"/>
        <v>984.72</v>
      </c>
      <c r="AE76" s="93">
        <f>ДЕКАБРЬ!AE76+ЯНВАРЬ!AE76+ФЕВРАЛЬ!AE76+МАРТ!AE76</f>
        <v>3136.6299999999992</v>
      </c>
      <c r="AF76" s="234">
        <f t="shared" si="43"/>
        <v>0.37340833333333323</v>
      </c>
      <c r="AG76" s="93">
        <f>ДЕКАБРЬ!AG76+ЯНВАРЬ!AG76+ФЕВРАЛЬ!AG76+МАРТ!AG76</f>
        <v>3528.5499999999993</v>
      </c>
      <c r="AH76" s="93">
        <f>ДЕКАБРЬ!AH76+ЯНВАРЬ!AH76+ФЕВРАЛЬ!AH76+МАРТ!AH76</f>
        <v>434</v>
      </c>
      <c r="AI76" s="93">
        <f>ДЕКАБРЬ!AI76+ЯНВАРЬ!AI76+ФЕВРАЛЬ!AI76+МАРТ!AI76</f>
        <v>4681</v>
      </c>
      <c r="AJ76" s="93">
        <f>ДЕКАБРЬ!AJ76+ЯНВАРЬ!AJ76+ФЕВРАЛЬ!AJ76+МАРТ!AJ76</f>
        <v>0</v>
      </c>
      <c r="AK76" s="93"/>
      <c r="AL76" s="93">
        <f>ДЕКАБРЬ!AL76+ЯНВАРЬ!AL76+ФЕВРАЛЬ!AL76+МАРТ!AL76</f>
        <v>328.1350308582094</v>
      </c>
      <c r="AM76" s="93">
        <f>ДЕКАБРЬ!AM76+ЯНВАРЬ!AM76+ФЕВРАЛЬ!AM76+МАРТ!AM76</f>
        <v>0</v>
      </c>
      <c r="AN76" s="93">
        <f>ДЕКАБРЬ!AN76+ЯНВАРЬ!AN76+ФЕВРАЛЬ!AN76+МАРТ!AN76</f>
        <v>300.67007775474542</v>
      </c>
      <c r="AO76" s="95">
        <f t="shared" si="45"/>
        <v>-4993.7051086129541</v>
      </c>
      <c r="AP76" s="96"/>
      <c r="AQ76" s="97">
        <f t="shared" si="7"/>
        <v>1050</v>
      </c>
      <c r="AR76" s="98">
        <f t="shared" si="26"/>
        <v>123.09</v>
      </c>
      <c r="AS76" s="98">
        <f t="shared" si="9"/>
        <v>392.0787499999999</v>
      </c>
      <c r="AT76" s="98">
        <f t="shared" si="10"/>
        <v>352.8549999999999</v>
      </c>
      <c r="AU76" s="98">
        <f t="shared" si="46"/>
        <v>511.5</v>
      </c>
      <c r="AV76" s="98">
        <f t="array" ref="AV76">_xlfn.IFS(U76=0,AO76,U76&lt;0,AO76/-U76,U76&gt;0,AO76/U76)</f>
        <v>-624.21313857661926</v>
      </c>
      <c r="AW76" s="234">
        <f t="shared" si="35"/>
        <v>-0.59448870340630411</v>
      </c>
      <c r="AX76" s="234">
        <f t="shared" si="36"/>
        <v>-5.0711929366855086</v>
      </c>
      <c r="AY76" s="99"/>
      <c r="AZ76" s="94">
        <f t="shared" si="13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37"/>
        <v>0</v>
      </c>
      <c r="F77" s="93"/>
      <c r="G77" s="93"/>
      <c r="H77" s="93"/>
      <c r="I77" s="93"/>
      <c r="J77" s="93"/>
      <c r="K77" s="93">
        <v>123.09</v>
      </c>
      <c r="L77" s="92">
        <f t="shared" si="33"/>
        <v>0</v>
      </c>
      <c r="M77" s="89"/>
      <c r="N77" s="93">
        <f>ДЕКАБРЬ!N77+ЯНВАРЬ!N77+ФЕВРАЛЬ!N77+МАРТ!N77</f>
        <v>29</v>
      </c>
      <c r="O77" s="89"/>
      <c r="P77" s="89"/>
      <c r="Q77" s="233"/>
      <c r="R77" s="92"/>
      <c r="S77" s="93">
        <f>ДЕКАБРЬ!S77+ЯНВАРЬ!S77+ФЕВРАЛЬ!S77+МАРТ!S77</f>
        <v>3</v>
      </c>
      <c r="T77" s="93">
        <f>ДЕКАБРЬ!T77+ЯНВАРЬ!T77+ФЕВРАЛЬ!T77+МАРТ!T77</f>
        <v>0</v>
      </c>
      <c r="U77" s="92">
        <f t="shared" si="38"/>
        <v>3</v>
      </c>
      <c r="V77" s="93">
        <f>ДЕКАБРЬ!V77+ЯНВАРЬ!V77+ФЕВРАЛЬ!V77+МАРТ!V77</f>
        <v>2151</v>
      </c>
      <c r="W77" s="93">
        <f>ДЕКАБРЬ!W77+ЯНВАРЬ!W77+ФЕВРАЛЬ!W77+МАРТ!W77</f>
        <v>0</v>
      </c>
      <c r="X77" s="92">
        <f t="shared" si="39"/>
        <v>2151</v>
      </c>
      <c r="Y77" s="93">
        <f>ДЕКАБРЬ!Y77+ЯНВАРЬ!Y77+ФЕВРАЛЬ!Y77+МАРТ!Y77</f>
        <v>3450</v>
      </c>
      <c r="Z77" s="93">
        <f>ДЕКАБРЬ!Z77+ЯНВАРЬ!Z77+ФЕВРАЛЬ!Z77+МАРТ!Z77</f>
        <v>0</v>
      </c>
      <c r="AA77" s="232">
        <f t="shared" si="40"/>
        <v>3450</v>
      </c>
      <c r="AB77" s="92">
        <f t="shared" si="44"/>
        <v>0</v>
      </c>
      <c r="AC77" s="234">
        <f t="shared" si="41"/>
        <v>1.1873416576652405E-4</v>
      </c>
      <c r="AD77" s="92">
        <f t="shared" si="42"/>
        <v>369.27</v>
      </c>
      <c r="AE77" s="93">
        <f>ДЕКАБРЬ!AE77+ЯНВАРЬ!AE77+ФЕВРАЛЬ!AE77+МАРТ!AE77</f>
        <v>1302.1799999999998</v>
      </c>
      <c r="AF77" s="234">
        <f t="shared" si="43"/>
        <v>0.37744347826086949</v>
      </c>
      <c r="AG77" s="93">
        <f>ДЕКАБРЬ!AG77+ЯНВАРЬ!AG77+ФЕВРАЛЬ!AG77+МАРТ!AG77</f>
        <v>1463.3</v>
      </c>
      <c r="AH77" s="93">
        <f>ДЕКАБРЬ!AH77+ЯНВАРЬ!AH77+ФЕВРАЛЬ!AH77+МАРТ!AH77</f>
        <v>120</v>
      </c>
      <c r="AI77" s="93">
        <f>ДЕКАБРЬ!AI77+ЯНВАРЬ!AI77+ФЕВРАЛЬ!AI77+МАРТ!AI77</f>
        <v>1552</v>
      </c>
      <c r="AJ77" s="93">
        <f>ДЕКАБРЬ!AJ77+ЯНВАРЬ!AJ77+ФЕВРАЛЬ!AJ77+МАРТ!AJ77</f>
        <v>0</v>
      </c>
      <c r="AK77" s="93"/>
      <c r="AL77" s="93">
        <f>ДЕКАБРЬ!AL77+ЯНВАРЬ!AL77+ФЕВРАЛЬ!AL77+МАРТ!AL77</f>
        <v>263.82951201022189</v>
      </c>
      <c r="AM77" s="93">
        <f>ДЕКАБРЬ!AM77+ЯНВАРЬ!AM77+ФЕВРАЛЬ!AM77+МАРТ!AM77</f>
        <v>0</v>
      </c>
      <c r="AN77" s="93">
        <f>ДЕКАБРЬ!AN77+ЯНВАРЬ!AN77+ФЕВРАЛЬ!AN77+МАРТ!AN77</f>
        <v>120.05266820118285</v>
      </c>
      <c r="AO77" s="95">
        <f t="shared" si="45"/>
        <v>-1740.6321802114044</v>
      </c>
      <c r="AP77" s="96"/>
      <c r="AQ77" s="97">
        <f t="shared" si="7"/>
        <v>1150</v>
      </c>
      <c r="AR77" s="98">
        <f t="shared" si="26"/>
        <v>123.09</v>
      </c>
      <c r="AS77" s="98">
        <f t="shared" si="9"/>
        <v>434.05999999999995</v>
      </c>
      <c r="AT77" s="98">
        <f t="shared" si="10"/>
        <v>487.76666666666665</v>
      </c>
      <c r="AU77" s="98">
        <f t="shared" si="46"/>
        <v>557.33333333333337</v>
      </c>
      <c r="AV77" s="98">
        <f t="array" ref="AV77">_xlfn.IFS(U77=0,AO77,U77&lt;0,AO77/-U77,U77&gt;0,AO77/U77)</f>
        <v>-580.21072673713479</v>
      </c>
      <c r="AW77" s="234">
        <f t="shared" si="35"/>
        <v>-0.50453106672794334</v>
      </c>
      <c r="AX77" s="234">
        <f t="shared" si="36"/>
        <v>-4.7137113229111609</v>
      </c>
      <c r="AY77" s="99"/>
      <c r="AZ77" s="94">
        <f t="shared" si="13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37"/>
        <v>0</v>
      </c>
      <c r="F78" s="93"/>
      <c r="G78" s="93"/>
      <c r="H78" s="93"/>
      <c r="I78" s="93"/>
      <c r="J78" s="93"/>
      <c r="K78" s="93">
        <v>123.09</v>
      </c>
      <c r="L78" s="92">
        <f t="shared" si="33"/>
        <v>0</v>
      </c>
      <c r="M78" s="89"/>
      <c r="N78" s="93">
        <f>ДЕКАБРЬ!N78+ЯНВАРЬ!N78+ФЕВРАЛЬ!N78+МАРТ!N78</f>
        <v>45</v>
      </c>
      <c r="O78" s="89"/>
      <c r="P78" s="89"/>
      <c r="Q78" s="233"/>
      <c r="R78" s="92"/>
      <c r="S78" s="93">
        <f>ДЕКАБРЬ!S78+ЯНВАРЬ!S78+ФЕВРАЛЬ!S78+МАРТ!S78</f>
        <v>9</v>
      </c>
      <c r="T78" s="93">
        <f>ДЕКАБРЬ!T78+ЯНВАРЬ!T78+ФЕВРАЛЬ!T78+МАРТ!T78</f>
        <v>0</v>
      </c>
      <c r="U78" s="92">
        <f t="shared" si="38"/>
        <v>9</v>
      </c>
      <c r="V78" s="93">
        <f>ДЕКАБРЬ!V78+ЯНВАРЬ!V78+ФЕВРАЛЬ!V78+МАРТ!V78</f>
        <v>6111</v>
      </c>
      <c r="W78" s="93">
        <f>ДЕКАБРЬ!W78+ЯНВАРЬ!W78+ФЕВРАЛЬ!W78+МАРТ!W78</f>
        <v>0</v>
      </c>
      <c r="X78" s="92">
        <f t="shared" si="39"/>
        <v>6111</v>
      </c>
      <c r="Y78" s="93">
        <f>ДЕКАБРЬ!Y78+ЯНВАРЬ!Y78+ФЕВРАЛЬ!Y78+МАРТ!Y78</f>
        <v>9580</v>
      </c>
      <c r="Z78" s="93">
        <f>ДЕКАБРЬ!Z78+ЯНВАРЬ!Z78+ФЕВРАЛЬ!Z78+МАРТ!Z78</f>
        <v>0</v>
      </c>
      <c r="AA78" s="232">
        <f t="shared" si="40"/>
        <v>9580</v>
      </c>
      <c r="AB78" s="92">
        <f t="shared" si="44"/>
        <v>0</v>
      </c>
      <c r="AC78" s="234">
        <f t="shared" si="41"/>
        <v>3.2970240812849283E-4</v>
      </c>
      <c r="AD78" s="92">
        <f t="shared" si="42"/>
        <v>1107.81</v>
      </c>
      <c r="AE78" s="93">
        <f>ДЕКАБРЬ!AE78+ЯНВАРЬ!AE78+ФЕВРАЛЬ!AE78+МАРТ!AE78</f>
        <v>3576.8</v>
      </c>
      <c r="AF78" s="234">
        <f t="shared" si="43"/>
        <v>0.3733611691022965</v>
      </c>
      <c r="AG78" s="93">
        <f>ДЕКАБРЬ!AG78+ЯНВАРЬ!AG78+ФЕВРАЛЬ!AG78+МАРТ!AG78</f>
        <v>3809.0299999999997</v>
      </c>
      <c r="AH78" s="93">
        <f>ДЕКАБРЬ!AH78+ЯНВАРЬ!AH78+ФЕВРАЛЬ!AH78+МАРТ!AH78</f>
        <v>1320</v>
      </c>
      <c r="AI78" s="93">
        <f>ДЕКАБРЬ!AI78+ЯНВАРЬ!AI78+ФЕВРАЛЬ!AI78+МАРТ!AI78</f>
        <v>1000</v>
      </c>
      <c r="AJ78" s="93">
        <f>ДЕКАБРЬ!AJ78+ЯНВАРЬ!AJ78+ФЕВРАЛЬ!AJ78+МАРТ!AJ78</f>
        <v>0</v>
      </c>
      <c r="AK78" s="93"/>
      <c r="AL78" s="93">
        <f>ДЕКАБРЬ!AL78+ЯНВАРЬ!AL78+ФЕВРАЛЬ!AL78+МАРТ!AL78</f>
        <v>165.83883906093985</v>
      </c>
      <c r="AM78" s="93">
        <f>ДЕКАБРЬ!AM78+ЯНВАРЬ!AM78+ФЕВРАЛЬ!AM78+МАРТ!AM78</f>
        <v>0</v>
      </c>
      <c r="AN78" s="93">
        <f>ДЕКАБРЬ!AN78+ЯНВАРЬ!AN78+ФЕВРАЛЬ!AN78+МАРТ!AN78</f>
        <v>341.46439836604884</v>
      </c>
      <c r="AO78" s="95">
        <f t="shared" si="45"/>
        <v>-1740.9432374269882</v>
      </c>
      <c r="AP78" s="96"/>
      <c r="AQ78" s="97">
        <f t="shared" si="7"/>
        <v>1064.4444444444443</v>
      </c>
      <c r="AR78" s="98">
        <f t="shared" si="26"/>
        <v>123.09</v>
      </c>
      <c r="AS78" s="98">
        <f t="shared" si="9"/>
        <v>397.42222222222222</v>
      </c>
      <c r="AT78" s="98">
        <f t="shared" si="10"/>
        <v>423.2255555555555</v>
      </c>
      <c r="AU78" s="98">
        <f t="shared" si="46"/>
        <v>257.77777777777777</v>
      </c>
      <c r="AV78" s="98">
        <f t="array" ref="AV78">_xlfn.IFS(U78=0,AO78,U78&lt;0,AO78/-U78,U78&gt;0,AO78/U78)</f>
        <v>-193.43813749188757</v>
      </c>
      <c r="AW78" s="234">
        <f t="shared" si="35"/>
        <v>-0.18172685150594867</v>
      </c>
      <c r="AX78" s="234">
        <f t="shared" si="36"/>
        <v>-1.5715178933454186</v>
      </c>
      <c r="AY78" s="99"/>
      <c r="AZ78" s="94">
        <f t="shared" si="13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37"/>
        <v>0</v>
      </c>
      <c r="F79" s="93"/>
      <c r="G79" s="93"/>
      <c r="H79" s="93"/>
      <c r="I79" s="93"/>
      <c r="J79" s="93"/>
      <c r="K79" s="93">
        <v>164.04</v>
      </c>
      <c r="L79" s="92">
        <f t="shared" si="33"/>
        <v>0</v>
      </c>
      <c r="M79" s="89"/>
      <c r="N79" s="93">
        <f>ДЕКАБРЬ!N79+ЯНВАРЬ!N79+ФЕВРАЛЬ!N79+МАРТ!N79</f>
        <v>34</v>
      </c>
      <c r="O79" s="89"/>
      <c r="P79" s="89"/>
      <c r="Q79" s="233"/>
      <c r="R79" s="92"/>
      <c r="S79" s="93">
        <f>ДЕКАБРЬ!S79+ЯНВАРЬ!S79+ФЕВРАЛЬ!S79+МАРТ!S79</f>
        <v>5</v>
      </c>
      <c r="T79" s="93">
        <f>ДЕКАБРЬ!T79+ЯНВАРЬ!T79+ФЕВРАЛЬ!T79+МАРТ!T79</f>
        <v>-1</v>
      </c>
      <c r="U79" s="92">
        <f t="shared" si="38"/>
        <v>4</v>
      </c>
      <c r="V79" s="93">
        <f>ДЕКАБРЬ!V79+ЯНВАРЬ!V79+ФЕВРАЛЬ!V79+МАРТ!V79</f>
        <v>4808</v>
      </c>
      <c r="W79" s="93">
        <f>ДЕКАБРЬ!W79+ЯНВАРЬ!W79+ФЕВРАЛЬ!W79+МАРТ!W79</f>
        <v>-901</v>
      </c>
      <c r="X79" s="92">
        <f t="shared" si="39"/>
        <v>3907</v>
      </c>
      <c r="Y79" s="93">
        <f>ДЕКАБРЬ!Y79+ЯНВАРЬ!Y79+ФЕВРАЛЬ!Y79+МАРТ!Y79</f>
        <v>7455</v>
      </c>
      <c r="Z79" s="93">
        <f>ДЕКАБРЬ!Z79+ЯНВАРЬ!Z79+ФЕВРАЛЬ!Z79+МАРТ!Z79</f>
        <v>-1455</v>
      </c>
      <c r="AA79" s="232">
        <f t="shared" si="40"/>
        <v>6000</v>
      </c>
      <c r="AB79" s="92">
        <f t="shared" si="44"/>
        <v>0</v>
      </c>
      <c r="AC79" s="234">
        <f t="shared" si="41"/>
        <v>2.0649420133308529E-4</v>
      </c>
      <c r="AD79" s="92">
        <f t="shared" si="42"/>
        <v>656.16</v>
      </c>
      <c r="AE79" s="93">
        <f>ДЕКАБРЬ!AE79+ЯНВАРЬ!AE79+ФЕВРАЛЬ!AE79+МАРТ!AE79</f>
        <v>2262.8000000000002</v>
      </c>
      <c r="AF79" s="234">
        <f t="shared" si="43"/>
        <v>0.37713333333333338</v>
      </c>
      <c r="AG79" s="93">
        <f>ДЕКАБРЬ!AG79+ЯНВАРЬ!AG79+ФЕВРАЛЬ!AG79+МАРТ!AG79</f>
        <v>2159.34</v>
      </c>
      <c r="AH79" s="93">
        <f>ДЕКАБРЬ!AH79+ЯНВАРЬ!AH79+ФЕВРАЛЬ!AH79+МАРТ!AH79</f>
        <v>0</v>
      </c>
      <c r="AI79" s="93">
        <f>ДЕКАБРЬ!AI79+ЯНВАРЬ!AI79+ФЕВРАЛЬ!AI79+МАРТ!AI79</f>
        <v>2360</v>
      </c>
      <c r="AJ79" s="93">
        <f>ДЕКАБРЬ!AJ79+ЯНВАРЬ!AJ79+ФЕВРАЛЬ!AJ79+МАРТ!AJ79</f>
        <v>0</v>
      </c>
      <c r="AK79" s="93"/>
      <c r="AL79" s="93">
        <f>ДЕКАБРЬ!AL79+ЯНВАРЬ!AL79+ФЕВРАЛЬ!AL79+МАРТ!AL79</f>
        <v>342.40311042514566</v>
      </c>
      <c r="AM79" s="93">
        <f>ДЕКАБРЬ!AM79+ЯНВАРЬ!AM79+ФЕВРАЛЬ!AM79+МАРТ!AM79</f>
        <v>0</v>
      </c>
      <c r="AN79" s="93">
        <f>ДЕКАБРЬ!AN79+ЯНВАРЬ!AN79+ФЕВРАЛЬ!AN79+МАРТ!AN79</f>
        <v>218.37503096315095</v>
      </c>
      <c r="AO79" s="95">
        <f t="shared" si="45"/>
        <v>-1999.0781413882969</v>
      </c>
      <c r="AP79" s="96"/>
      <c r="AQ79" s="97">
        <f t="shared" si="7"/>
        <v>1500</v>
      </c>
      <c r="AR79" s="98">
        <f t="shared" si="26"/>
        <v>164.04</v>
      </c>
      <c r="AS79" s="98">
        <f t="shared" si="9"/>
        <v>565.70000000000005</v>
      </c>
      <c r="AT79" s="98">
        <f t="shared" si="10"/>
        <v>431.86800000000005</v>
      </c>
      <c r="AU79" s="98">
        <f t="shared" si="46"/>
        <v>472</v>
      </c>
      <c r="AV79" s="98">
        <f t="array" ref="AV79">_xlfn.IFS(U79=0,AO79,U79&lt;0,AO79/-U79,U79&gt;0,AO79/U79)</f>
        <v>-499.76953534707422</v>
      </c>
      <c r="AW79" s="234">
        <f t="shared" si="35"/>
        <v>-0.33317969023138283</v>
      </c>
      <c r="AX79" s="234">
        <f t="shared" si="36"/>
        <v>-3.0466321345225205</v>
      </c>
      <c r="AY79" s="99"/>
      <c r="AZ79" s="94">
        <f t="shared" si="13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37"/>
        <v>0</v>
      </c>
      <c r="F80" s="93"/>
      <c r="G80" s="93"/>
      <c r="H80" s="93"/>
      <c r="I80" s="93"/>
      <c r="J80" s="93"/>
      <c r="K80" s="93">
        <v>164.04</v>
      </c>
      <c r="L80" s="92">
        <f t="shared" si="33"/>
        <v>0</v>
      </c>
      <c r="M80" s="89"/>
      <c r="N80" s="93">
        <f>ДЕКАБРЬ!N80+ЯНВАРЬ!N80+ФЕВРАЛЬ!N80+МАРТ!N80</f>
        <v>80</v>
      </c>
      <c r="O80" s="89"/>
      <c r="P80" s="89"/>
      <c r="Q80" s="233"/>
      <c r="R80" s="92"/>
      <c r="S80" s="93">
        <f>ДЕКАБРЬ!S80+ЯНВАРЬ!S80+ФЕВРАЛЬ!S80+МАРТ!S80</f>
        <v>21</v>
      </c>
      <c r="T80" s="93">
        <f>ДЕКАБРЬ!T80+ЯНВАРЬ!T80+ФЕВРАЛЬ!T80+МАРТ!T80</f>
        <v>-4</v>
      </c>
      <c r="U80" s="92">
        <f t="shared" si="38"/>
        <v>17</v>
      </c>
      <c r="V80" s="93">
        <f>ДЕКАБРЬ!V80+ЯНВАРЬ!V80+ФЕВРАЛЬ!V80+МАРТ!V80</f>
        <v>14173.16</v>
      </c>
      <c r="W80" s="93">
        <f>ДЕКАБРЬ!W80+ЯНВАРЬ!W80+ФЕВРАЛЬ!W80+МАРТ!W80</f>
        <v>-2622</v>
      </c>
      <c r="X80" s="92">
        <f t="shared" si="39"/>
        <v>11551.16</v>
      </c>
      <c r="Y80" s="93">
        <f>ДЕКАБРЬ!Y80+ЯНВАРЬ!Y80+ФЕВРАЛЬ!Y80+МАРТ!Y80</f>
        <v>21195.33</v>
      </c>
      <c r="Z80" s="93">
        <f>ДЕКАБРЬ!Z80+ЯНВАРЬ!Z80+ФЕВРАЛЬ!Z80+МАРТ!Z80</f>
        <v>-4012</v>
      </c>
      <c r="AA80" s="232">
        <f t="shared" si="40"/>
        <v>17183.330000000002</v>
      </c>
      <c r="AB80" s="92">
        <f t="shared" si="44"/>
        <v>0</v>
      </c>
      <c r="AC80" s="234">
        <f t="shared" si="41"/>
        <v>5.9137633409880744E-4</v>
      </c>
      <c r="AD80" s="92">
        <f t="shared" si="42"/>
        <v>2788.68</v>
      </c>
      <c r="AE80" s="93">
        <f>ДЕКАБРЬ!AE80+ЯНВАРЬ!AE80+ФЕВРАЛЬ!AE80+МАРТ!AE80</f>
        <v>6483.1599999999989</v>
      </c>
      <c r="AF80" s="234">
        <f t="shared" si="43"/>
        <v>0.37729357464472824</v>
      </c>
      <c r="AG80" s="93">
        <f>ДЕКАБРЬ!AG80+ЯНВАРЬ!AG80+ФЕВРАЛЬ!AG80+МАРТ!AG80</f>
        <v>6967.409999999998</v>
      </c>
      <c r="AH80" s="93">
        <f>ДЕКАБРЬ!AH80+ЯНВАРЬ!AH80+ФЕВРАЛЬ!AH80+МАРТ!AH80</f>
        <v>2095</v>
      </c>
      <c r="AI80" s="93">
        <f>ДЕКАБРЬ!AI80+ЯНВАРЬ!AI80+ФЕВРАЛЬ!AI80+МАРТ!AI80</f>
        <v>3675</v>
      </c>
      <c r="AJ80" s="93">
        <f>ДЕКАБРЬ!AJ80+ЯНВАРЬ!AJ80+ФЕВРАЛЬ!AJ80+МАРТ!AJ80</f>
        <v>0</v>
      </c>
      <c r="AK80" s="93"/>
      <c r="AL80" s="93">
        <f>ДЕКАБРЬ!AL80+ЯНВАРЬ!AL80+ФЕВРАЛЬ!AL80+МАРТ!AL80</f>
        <v>270.64451590642727</v>
      </c>
      <c r="AM80" s="93">
        <f>ДЕКАБРЬ!AM80+ЯНВАРЬ!AM80+ФЕВРАЛЬ!AM80+МАРТ!AM80</f>
        <v>0</v>
      </c>
      <c r="AN80" s="93">
        <f>ДЕКАБРЬ!AN80+ЯНВАРЬ!AN80+ФЕВРАЛЬ!AN80+МАРТ!AN80</f>
        <v>646.10817611696962</v>
      </c>
      <c r="AO80" s="95">
        <f t="shared" si="45"/>
        <v>-5742.6726920233923</v>
      </c>
      <c r="AP80" s="96"/>
      <c r="AQ80" s="97">
        <f t="shared" si="7"/>
        <v>1010.7841176470589</v>
      </c>
      <c r="AR80" s="98">
        <f t="shared" si="26"/>
        <v>164.04</v>
      </c>
      <c r="AS80" s="98">
        <f t="shared" si="9"/>
        <v>381.36235294117643</v>
      </c>
      <c r="AT80" s="98">
        <f t="shared" si="10"/>
        <v>331.78142857142848</v>
      </c>
      <c r="AU80" s="98">
        <f t="shared" si="46"/>
        <v>274.76190476190476</v>
      </c>
      <c r="AV80" s="98">
        <f t="array" ref="AV80">_xlfn.IFS(U80=0,AO80,U80&lt;0,AO80/-U80,U80&gt;0,AO80/U80)</f>
        <v>-337.80427600137602</v>
      </c>
      <c r="AW80" s="234">
        <f t="shared" si="35"/>
        <v>-0.3342002214950997</v>
      </c>
      <c r="AX80" s="234">
        <f t="shared" si="36"/>
        <v>-2.0592799073480617</v>
      </c>
      <c r="AY80" s="99"/>
      <c r="AZ80" s="94">
        <f t="shared" si="13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37"/>
        <v>0</v>
      </c>
      <c r="F81" s="93"/>
      <c r="G81" s="93"/>
      <c r="H81" s="93"/>
      <c r="I81" s="93"/>
      <c r="J81" s="93"/>
      <c r="K81" s="93">
        <v>128.94</v>
      </c>
      <c r="L81" s="92">
        <f t="shared" si="33"/>
        <v>0</v>
      </c>
      <c r="M81" s="89"/>
      <c r="N81" s="93">
        <f>ДЕКАБРЬ!N81+ЯНВАРЬ!N81+ФЕВРАЛЬ!N81+МАРТ!N81</f>
        <v>102</v>
      </c>
      <c r="O81" s="89"/>
      <c r="P81" s="89"/>
      <c r="Q81" s="233"/>
      <c r="R81" s="92"/>
      <c r="S81" s="93">
        <f>ДЕКАБРЬ!S81+ЯНВАРЬ!S81+ФЕВРАЛЬ!S81+МАРТ!S81</f>
        <v>36</v>
      </c>
      <c r="T81" s="93">
        <f>ДЕКАБРЬ!T81+ЯНВАРЬ!T81+ФЕВРАЛЬ!T81+МАРТ!T81</f>
        <v>-2</v>
      </c>
      <c r="U81" s="92">
        <f t="shared" si="38"/>
        <v>34</v>
      </c>
      <c r="V81" s="93">
        <f>ДЕКАБРЬ!V81+ЯНВАРЬ!V81+ФЕВРАЛЬ!V81+МАРТ!V81</f>
        <v>26864.809999999998</v>
      </c>
      <c r="W81" s="93">
        <f>ДЕКАБРЬ!W81+ЯНВАРЬ!W81+ФЕВРАЛЬ!W81+МАРТ!W81</f>
        <v>-1568</v>
      </c>
      <c r="X81" s="92">
        <f t="shared" si="39"/>
        <v>25296.809999999998</v>
      </c>
      <c r="Y81" s="93">
        <f>ДЕКАБРЬ!Y81+ЯНВАРЬ!Y81+ФЕВРАЛЬ!Y81+МАРТ!Y81</f>
        <v>42448.32</v>
      </c>
      <c r="Z81" s="93">
        <f>ДЕКАБРЬ!Z81+ЯНВАРЬ!Z81+ФЕВРАЛЬ!Z81+МАРТ!Z81</f>
        <v>-2438</v>
      </c>
      <c r="AA81" s="232">
        <f t="shared" si="40"/>
        <v>40010.32</v>
      </c>
      <c r="AB81" s="92">
        <f t="shared" si="44"/>
        <v>0</v>
      </c>
      <c r="AC81" s="234">
        <f t="shared" si="41"/>
        <v>1.3769831789135281E-3</v>
      </c>
      <c r="AD81" s="92">
        <f t="shared" si="42"/>
        <v>4383.96</v>
      </c>
      <c r="AE81" s="93">
        <f>ДЕКАБРЬ!AE81+ЯНВАРЬ!AE81+ФЕВРАЛЬ!AE81+МАРТ!AE81</f>
        <v>15012.969999999998</v>
      </c>
      <c r="AF81" s="234">
        <f t="shared" si="43"/>
        <v>0.37522744132013935</v>
      </c>
      <c r="AG81" s="93">
        <f>ДЕКАБРЬ!AG81+ЯНВАРЬ!AG81+ФЕВРАЛЬ!AG81+МАРТ!AG81</f>
        <v>8305.7599999999984</v>
      </c>
      <c r="AH81" s="93">
        <f>ДЕКАБРЬ!AH81+ЯНВАРЬ!AH81+ФЕВРАЛЬ!AH81+МАРТ!AH81</f>
        <v>7159</v>
      </c>
      <c r="AI81" s="93">
        <f>ДЕКАБРЬ!AI81+ЯНВАРЬ!AI81+ФЕВРАЛЬ!AI81+МАРТ!AI81</f>
        <v>12515</v>
      </c>
      <c r="AJ81" s="93">
        <f>ДЕКАБРЬ!AJ81+ЯНВАРЬ!AJ81+ФЕВРАЛЬ!AJ81+МАРТ!AJ81</f>
        <v>0</v>
      </c>
      <c r="AK81" s="93"/>
      <c r="AL81" s="93">
        <f>ДЕКАБРЬ!AL81+ЯНВАРЬ!AL81+ФЕВРАЛЬ!AL81+МАРТ!AL81</f>
        <v>222.54727385994889</v>
      </c>
      <c r="AM81" s="93">
        <f>ДЕКАБРЬ!AM81+ЯНВАРЬ!AM81+ФЕВРАЛЬ!AM81+МАРТ!AM81</f>
        <v>0</v>
      </c>
      <c r="AN81" s="93">
        <f>ДЕКАБРЬ!AN81+ЯНВАРЬ!AN81+ФЕВРАЛЬ!AN81+МАРТ!AN81</f>
        <v>1415.8285366038972</v>
      </c>
      <c r="AO81" s="95">
        <f t="shared" si="45"/>
        <v>-9004.7458104638426</v>
      </c>
      <c r="AP81" s="96"/>
      <c r="AQ81" s="97">
        <f t="shared" si="7"/>
        <v>1176.7741176470588</v>
      </c>
      <c r="AR81" s="98">
        <f t="shared" si="26"/>
        <v>128.94</v>
      </c>
      <c r="AS81" s="98">
        <f t="shared" si="9"/>
        <v>441.55794117647054</v>
      </c>
      <c r="AT81" s="98">
        <f t="shared" si="10"/>
        <v>230.71555555555551</v>
      </c>
      <c r="AU81" s="98">
        <f t="shared" si="46"/>
        <v>546.5</v>
      </c>
      <c r="AV81" s="98">
        <f t="array" ref="AV81">_xlfn.IFS(U81=0,AO81,U81&lt;0,AO81/-U81,U81&gt;0,AO81/U81)</f>
        <v>-264.84546501364241</v>
      </c>
      <c r="AW81" s="234">
        <f t="shared" si="35"/>
        <v>-0.22506057963205098</v>
      </c>
      <c r="AX81" s="234">
        <f t="shared" si="36"/>
        <v>-2.0540209788556103</v>
      </c>
      <c r="AY81" s="99"/>
      <c r="AZ81" s="94">
        <f t="shared" si="13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37"/>
        <v>0</v>
      </c>
      <c r="F82" s="93"/>
      <c r="G82" s="93"/>
      <c r="H82" s="93"/>
      <c r="I82" s="93"/>
      <c r="J82" s="93"/>
      <c r="K82" s="93">
        <v>128.94</v>
      </c>
      <c r="L82" s="92">
        <f t="shared" si="33"/>
        <v>0</v>
      </c>
      <c r="M82" s="89"/>
      <c r="N82" s="93">
        <f>ДЕКАБРЬ!N82+ЯНВАРЬ!N82+ФЕВРАЛЬ!N82+МАРТ!N82</f>
        <v>11</v>
      </c>
      <c r="O82" s="89"/>
      <c r="P82" s="89"/>
      <c r="Q82" s="233"/>
      <c r="R82" s="92"/>
      <c r="S82" s="93">
        <f>ДЕКАБРЬ!S82+ЯНВАРЬ!S82+ФЕВРАЛЬ!S82+МАРТ!S82</f>
        <v>4</v>
      </c>
      <c r="T82" s="93">
        <f>ДЕКАБРЬ!T82+ЯНВАРЬ!T82+ФЕВРАЛЬ!T82+МАРТ!T82</f>
        <v>0</v>
      </c>
      <c r="U82" s="92">
        <f t="shared" si="38"/>
        <v>4</v>
      </c>
      <c r="V82" s="93">
        <f>ДЕКАБРЬ!V82+ЯНВАРЬ!V82+ФЕВРАЛЬ!V82+МАРТ!V82</f>
        <v>3080</v>
      </c>
      <c r="W82" s="93">
        <f>ДЕКАБРЬ!W82+ЯНВАРЬ!W82+ФЕВРАЛЬ!W82+МАРТ!W82</f>
        <v>0</v>
      </c>
      <c r="X82" s="92">
        <f t="shared" si="39"/>
        <v>3080</v>
      </c>
      <c r="Y82" s="93">
        <f>ДЕКАБРЬ!Y82+ЯНВАРЬ!Y82+ФЕВРАЛЬ!Y82+МАРТ!Y82</f>
        <v>4673</v>
      </c>
      <c r="Z82" s="93">
        <f>ДЕКАБРЬ!Z82+ЯНВАРЬ!Z82+ФЕВРАЛЬ!Z82+МАРТ!Z82</f>
        <v>0</v>
      </c>
      <c r="AA82" s="232">
        <f t="shared" si="40"/>
        <v>4673</v>
      </c>
      <c r="AB82" s="92">
        <f t="shared" si="44"/>
        <v>0</v>
      </c>
      <c r="AC82" s="234">
        <f t="shared" si="41"/>
        <v>1.6082456713825127E-4</v>
      </c>
      <c r="AD82" s="92">
        <f t="shared" si="42"/>
        <v>515.76</v>
      </c>
      <c r="AE82" s="93">
        <f>ДЕКАБРЬ!AE82+ЯНВАРЬ!AE82+ФЕВРАЛЬ!AE82+МАРТ!AE82</f>
        <v>1739.6899999999996</v>
      </c>
      <c r="AF82" s="234">
        <f t="shared" si="43"/>
        <v>0.37228546971966608</v>
      </c>
      <c r="AG82" s="93">
        <f>ДЕКАБРЬ!AG82+ЯНВАРЬ!AG82+ФЕВРАЛЬ!AG82+МАРТ!AG82</f>
        <v>801.33999999999992</v>
      </c>
      <c r="AH82" s="93">
        <f>ДЕКАБРЬ!AH82+ЯНВАРЬ!AH82+ФЕВРАЛЬ!AH82+МАРТ!AH82</f>
        <v>0</v>
      </c>
      <c r="AI82" s="93">
        <f>ДЕКАБРЬ!AI82+ЯНВАРЬ!AI82+ФЕВРАЛЬ!AI82+МАРТ!AI82</f>
        <v>0</v>
      </c>
      <c r="AJ82" s="93">
        <f>ДЕКАБРЬ!AJ82+ЯНВАРЬ!AJ82+ФЕВРАЛЬ!AJ82+МАРТ!AJ82</f>
        <v>0</v>
      </c>
      <c r="AK82" s="93"/>
      <c r="AL82" s="93">
        <f>ДЕКАБРЬ!AL82+ЯНВАРЬ!AL82+ФЕВРАЛЬ!AL82+МАРТ!AL82</f>
        <v>349.17160761968</v>
      </c>
      <c r="AM82" s="93">
        <f>ДЕКАБРЬ!AM82+ЯНВАРЬ!AM82+ФЕВРАЛЬ!AM82+МАРТ!AM82</f>
        <v>0</v>
      </c>
      <c r="AN82" s="93">
        <f>ДЕКАБРЬ!AN82+ЯНВАРЬ!AN82+ФЕВРАЛЬ!AN82+МАРТ!AN82</f>
        <v>172.17114233640532</v>
      </c>
      <c r="AO82" s="95">
        <f t="shared" si="45"/>
        <v>1094.8672500439147</v>
      </c>
      <c r="AP82" s="96"/>
      <c r="AQ82" s="97">
        <f t="shared" si="7"/>
        <v>1168.25</v>
      </c>
      <c r="AR82" s="98">
        <f t="shared" si="26"/>
        <v>128.94</v>
      </c>
      <c r="AS82" s="98">
        <f t="shared" si="9"/>
        <v>434.9224999999999</v>
      </c>
      <c r="AT82" s="98">
        <f t="shared" si="10"/>
        <v>200.33499999999998</v>
      </c>
      <c r="AU82" s="98">
        <f t="shared" si="46"/>
        <v>0</v>
      </c>
      <c r="AV82" s="98">
        <f t="array" ref="AV82">_xlfn.IFS(U82=0,AO82,U82&lt;0,AO82/-U82,U82&gt;0,AO82/U82)</f>
        <v>273.71681251097868</v>
      </c>
      <c r="AW82" s="234">
        <f t="shared" si="35"/>
        <v>0.23429643698778402</v>
      </c>
      <c r="AX82" s="234">
        <f t="shared" si="36"/>
        <v>2.1228231154876585</v>
      </c>
      <c r="AY82" s="99"/>
      <c r="AZ82" s="94">
        <f t="shared" si="13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37"/>
        <v>0</v>
      </c>
      <c r="F83" s="93"/>
      <c r="G83" s="93"/>
      <c r="H83" s="93"/>
      <c r="I83" s="93"/>
      <c r="J83" s="93"/>
      <c r="K83" s="93">
        <v>123.09</v>
      </c>
      <c r="L83" s="92">
        <f t="shared" si="33"/>
        <v>0</v>
      </c>
      <c r="M83" s="89"/>
      <c r="N83" s="93">
        <f>ДЕКАБРЬ!N83+ЯНВАРЬ!N83+ФЕВРАЛЬ!N83+МАРТ!N83</f>
        <v>28</v>
      </c>
      <c r="O83" s="89"/>
      <c r="P83" s="89"/>
      <c r="Q83" s="233"/>
      <c r="R83" s="92"/>
      <c r="S83" s="93">
        <f>ДЕКАБРЬ!S83+ЯНВАРЬ!S83+ФЕВРАЛЬ!S83+МАРТ!S83</f>
        <v>5</v>
      </c>
      <c r="T83" s="93">
        <f>ДЕКАБРЬ!T83+ЯНВАРЬ!T83+ФЕВРАЛЬ!T83+МАРТ!T83</f>
        <v>0</v>
      </c>
      <c r="U83" s="92">
        <f t="shared" si="38"/>
        <v>5</v>
      </c>
      <c r="V83" s="93">
        <f>ДЕКАБРЬ!V83+ЯНВАРЬ!V83+ФЕВРАЛЬ!V83+МАРТ!V83</f>
        <v>4248</v>
      </c>
      <c r="W83" s="93">
        <f>ДЕКАБРЬ!W83+ЯНВАРЬ!W83+ФЕВРАЛЬ!W83+МАРТ!W83</f>
        <v>0</v>
      </c>
      <c r="X83" s="92">
        <f t="shared" si="39"/>
        <v>4248</v>
      </c>
      <c r="Y83" s="93">
        <f>ДЕКАБРЬ!Y83+ЯНВАРЬ!Y83+ФЕВРАЛЬ!Y83+МАРТ!Y83</f>
        <v>6875</v>
      </c>
      <c r="Z83" s="93">
        <f>ДЕКАБРЬ!Z83+ЯНВАРЬ!Z83+ФЕВРАЛЬ!Z83+МАРТ!Z83</f>
        <v>0</v>
      </c>
      <c r="AA83" s="232">
        <f t="shared" si="40"/>
        <v>6875</v>
      </c>
      <c r="AB83" s="92">
        <f t="shared" si="44"/>
        <v>0</v>
      </c>
      <c r="AC83" s="234">
        <f t="shared" si="41"/>
        <v>2.3660793902749357E-4</v>
      </c>
      <c r="AD83" s="92">
        <f t="shared" si="42"/>
        <v>615.45000000000005</v>
      </c>
      <c r="AE83" s="93">
        <f>ДЕКАБРЬ!AE83+ЯНВАРЬ!AE83+ФЕВРАЛЬ!AE83+МАРТ!AE83</f>
        <v>2593.3199999999997</v>
      </c>
      <c r="AF83" s="234">
        <f t="shared" si="43"/>
        <v>0.37721018181818178</v>
      </c>
      <c r="AG83" s="93">
        <f>ДЕКАБРЬ!AG83+ЯНВАРЬ!AG83+ФЕВРАЛЬ!AG83+МАРТ!AG83</f>
        <v>2214.3000000000002</v>
      </c>
      <c r="AH83" s="93">
        <f>ДЕКАБРЬ!AH83+ЯНВАРЬ!AH83+ФЕВРАЛЬ!AH83+МАРТ!AH83</f>
        <v>0</v>
      </c>
      <c r="AI83" s="93">
        <f>ДЕКАБРЬ!AI83+ЯНВАРЬ!AI83+ФЕВРАЛЬ!AI83+МАРТ!AI83</f>
        <v>0</v>
      </c>
      <c r="AJ83" s="93">
        <f>ДЕКАБРЬ!AJ83+ЯНВАРЬ!AJ83+ФЕВРАЛЬ!AJ83+МАРТ!AJ83</f>
        <v>0</v>
      </c>
      <c r="AK83" s="93"/>
      <c r="AL83" s="93">
        <f>ДЕКАБРЬ!AL83+ЯНВАРЬ!AL83+ФЕВРАЛЬ!AL83+МАРТ!AL83</f>
        <v>336.2586795839311</v>
      </c>
      <c r="AM83" s="93">
        <f>ДЕКАБРЬ!AM83+ЯНВАРЬ!AM83+ФЕВРАЛЬ!AM83+МАРТ!AM83</f>
        <v>0</v>
      </c>
      <c r="AN83" s="93">
        <f>ДЕКАБРЬ!AN83+ЯНВАРЬ!AN83+ФЕВРАЛЬ!AN83+МАРТ!AN83</f>
        <v>237.63383310016553</v>
      </c>
      <c r="AO83" s="95">
        <f t="shared" si="45"/>
        <v>878.03748731590372</v>
      </c>
      <c r="AP83" s="96"/>
      <c r="AQ83" s="97">
        <f t="shared" si="7"/>
        <v>1375</v>
      </c>
      <c r="AR83" s="98">
        <f t="shared" si="26"/>
        <v>123.09</v>
      </c>
      <c r="AS83" s="98">
        <f t="shared" si="9"/>
        <v>518.66399999999999</v>
      </c>
      <c r="AT83" s="98">
        <f t="shared" si="10"/>
        <v>442.86</v>
      </c>
      <c r="AU83" s="98">
        <f t="shared" si="46"/>
        <v>0</v>
      </c>
      <c r="AV83" s="98">
        <f t="array" ref="AV83">_xlfn.IFS(U83=0,AO83,U83&lt;0,AO83/-U83,U83&gt;0,AO83/U83)</f>
        <v>175.60749746318075</v>
      </c>
      <c r="AW83" s="234">
        <f t="shared" si="35"/>
        <v>0.12771454360958601</v>
      </c>
      <c r="AX83" s="234">
        <f t="shared" si="36"/>
        <v>1.4266593343340706</v>
      </c>
      <c r="AY83" s="99"/>
      <c r="AZ83" s="94">
        <f t="shared" si="13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37"/>
        <v>0</v>
      </c>
      <c r="F84" s="93"/>
      <c r="G84" s="93"/>
      <c r="H84" s="93"/>
      <c r="I84" s="93"/>
      <c r="J84" s="93"/>
      <c r="K84" s="93">
        <v>146.49</v>
      </c>
      <c r="L84" s="92">
        <f t="shared" si="33"/>
        <v>0</v>
      </c>
      <c r="M84" s="89"/>
      <c r="N84" s="93">
        <f>ДЕКАБРЬ!N84+ЯНВАРЬ!N84+ФЕВРАЛЬ!N84+МАРТ!N84</f>
        <v>33</v>
      </c>
      <c r="O84" s="89"/>
      <c r="P84" s="89"/>
      <c r="Q84" s="233"/>
      <c r="R84" s="92"/>
      <c r="S84" s="93">
        <f>ДЕКАБРЬ!S84+ЯНВАРЬ!S84+ФЕВРАЛЬ!S84+МАРТ!S84</f>
        <v>1</v>
      </c>
      <c r="T84" s="93">
        <f>ДЕКАБРЬ!T84+ЯНВАРЬ!T84+ФЕВРАЛЬ!T84+МАРТ!T84</f>
        <v>0</v>
      </c>
      <c r="U84" s="92">
        <f t="shared" si="38"/>
        <v>1</v>
      </c>
      <c r="V84" s="93">
        <f>ДЕКАБРЬ!V84+ЯНВАРЬ!V84+ФЕВРАЛЬ!V84+МАРТ!V84</f>
        <v>957</v>
      </c>
      <c r="W84" s="93">
        <f>ДЕКАБРЬ!W84+ЯНВАРЬ!W84+ФЕВРАЛЬ!W84+МАРТ!W84</f>
        <v>0</v>
      </c>
      <c r="X84" s="92">
        <f t="shared" si="39"/>
        <v>957</v>
      </c>
      <c r="Y84" s="93">
        <f>ДЕКАБРЬ!Y84+ЯНВАРЬ!Y84+ФЕВРАЛЬ!Y84+МАРТ!Y84</f>
        <v>1438</v>
      </c>
      <c r="Z84" s="93">
        <f>ДЕКАБРЬ!Z84+ЯНВАРЬ!Z84+ФЕВРАЛЬ!Z84+МАРТ!Z84</f>
        <v>0</v>
      </c>
      <c r="AA84" s="232">
        <f t="shared" si="40"/>
        <v>1438</v>
      </c>
      <c r="AB84" s="92">
        <f t="shared" si="44"/>
        <v>0</v>
      </c>
      <c r="AC84" s="234">
        <f t="shared" si="41"/>
        <v>4.948977691949611E-5</v>
      </c>
      <c r="AD84" s="92">
        <f t="shared" si="42"/>
        <v>146.49</v>
      </c>
      <c r="AE84" s="93">
        <f>ДЕКАБРЬ!AE84+ЯНВАРЬ!AE84+ФЕВРАЛЬ!AE84+МАРТ!AE84</f>
        <v>545.17999999999995</v>
      </c>
      <c r="AF84" s="234">
        <f t="shared" si="43"/>
        <v>0.37912378303198885</v>
      </c>
      <c r="AG84" s="93">
        <f>ДЕКАБРЬ!AG84+ЯНВАРЬ!AG84+ФЕВРАЛЬ!AG84+МАРТ!AG84</f>
        <v>1921.5500000000002</v>
      </c>
      <c r="AH84" s="93">
        <f>ДЕКАБРЬ!AH84+ЯНВАРЬ!AH84+ФЕВРАЛЬ!AH84+МАРТ!AH84</f>
        <v>1000</v>
      </c>
      <c r="AI84" s="93">
        <f>ДЕКАБРЬ!AI84+ЯНВАРЬ!AI84+ФЕВРАЛЬ!AI84+МАРТ!AI84</f>
        <v>3500</v>
      </c>
      <c r="AJ84" s="93">
        <f>ДЕКАБРЬ!AJ84+ЯНВАРЬ!AJ84+ФЕВРАЛЬ!AJ84+МАРТ!AJ84</f>
        <v>0</v>
      </c>
      <c r="AK84" s="93"/>
      <c r="AL84" s="93">
        <f>ДЕКАБРЬ!AL84+ЯНВАРЬ!AL84+ФЕВРАЛЬ!AL84+МАРТ!AL84</f>
        <v>330.30393063212341</v>
      </c>
      <c r="AM84" s="93">
        <f>ДЕКАБРЬ!AM84+ЯНВАРЬ!AM84+ФЕВРАЛЬ!AM84+МАРТ!AM84</f>
        <v>0</v>
      </c>
      <c r="AN84" s="93">
        <f>ДЕКАБРЬ!AN84+ЯНВАРЬ!AN84+ФЕВРАЛЬ!AN84+МАРТ!AN84</f>
        <v>53.412553913775923</v>
      </c>
      <c r="AO84" s="95">
        <f t="shared" si="45"/>
        <v>-6058.9364845458995</v>
      </c>
      <c r="AP84" s="96"/>
      <c r="AQ84" s="97">
        <f t="shared" si="7"/>
        <v>1438</v>
      </c>
      <c r="AR84" s="98">
        <f t="shared" si="26"/>
        <v>146.49</v>
      </c>
      <c r="AS84" s="98">
        <f t="shared" si="9"/>
        <v>545.17999999999995</v>
      </c>
      <c r="AT84" s="98">
        <f t="shared" si="10"/>
        <v>1921.5500000000002</v>
      </c>
      <c r="AU84" s="98">
        <f t="shared" si="46"/>
        <v>4500</v>
      </c>
      <c r="AV84" s="98">
        <f t="array" ref="AV84">_xlfn.IFS(U84=0,AO84,U84&lt;0,AO84/-U84,U84&gt;0,AO84/U84)</f>
        <v>-6058.9364845458995</v>
      </c>
      <c r="AW84" s="234">
        <f t="shared" si="35"/>
        <v>-4.2134467903657162</v>
      </c>
      <c r="AX84" s="234">
        <f t="shared" si="36"/>
        <v>-41.360751481643106</v>
      </c>
      <c r="AY84" s="99"/>
      <c r="AZ84" s="94">
        <f t="shared" si="13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37"/>
        <v>0</v>
      </c>
      <c r="F85" s="93"/>
      <c r="G85" s="93"/>
      <c r="H85" s="93"/>
      <c r="I85" s="93"/>
      <c r="J85" s="93"/>
      <c r="K85" s="93">
        <v>103.2</v>
      </c>
      <c r="L85" s="92">
        <f t="shared" si="33"/>
        <v>0</v>
      </c>
      <c r="M85" s="89"/>
      <c r="N85" s="93">
        <f>ДЕКАБРЬ!N85+ЯНВАРЬ!N85+ФЕВРАЛЬ!N85+МАРТ!N85</f>
        <v>89</v>
      </c>
      <c r="O85" s="89"/>
      <c r="P85" s="89"/>
      <c r="Q85" s="233"/>
      <c r="R85" s="92"/>
      <c r="S85" s="93">
        <f>ДЕКАБРЬ!S85+ЯНВАРЬ!S85+ФЕВРАЛЬ!S85+МАРТ!S85</f>
        <v>18</v>
      </c>
      <c r="T85" s="93">
        <f>ДЕКАБРЬ!T85+ЯНВАРЬ!T85+ФЕВРАЛЬ!T85+МАРТ!T85</f>
        <v>-4</v>
      </c>
      <c r="U85" s="92">
        <f t="shared" si="38"/>
        <v>14</v>
      </c>
      <c r="V85" s="93">
        <f>ДЕКАБРЬ!V85+ЯНВАРЬ!V85+ФЕВРАЛЬ!V85+МАРТ!V85</f>
        <v>11952</v>
      </c>
      <c r="W85" s="93">
        <f>ДЕКАБРЬ!W85+ЯНВАРЬ!W85+ФЕВРАЛЬ!W85+МАРТ!W85</f>
        <v>-2891</v>
      </c>
      <c r="X85" s="92">
        <f t="shared" si="39"/>
        <v>9061</v>
      </c>
      <c r="Y85" s="93">
        <f>ДЕКАБРЬ!Y85+ЯНВАРЬ!Y85+ФЕВРАЛЬ!Y85+МАРТ!Y85</f>
        <v>18053.28</v>
      </c>
      <c r="Z85" s="93">
        <f>ДЕКАБРЬ!Z85+ЯНВАРЬ!Z85+ФЕВРАЛЬ!Z85+МАРТ!Z85</f>
        <v>-4032</v>
      </c>
      <c r="AA85" s="232">
        <f t="shared" si="40"/>
        <v>14021.279999999999</v>
      </c>
      <c r="AB85" s="92">
        <f t="shared" si="44"/>
        <v>0</v>
      </c>
      <c r="AC85" s="234">
        <f t="shared" si="41"/>
        <v>4.8255216921126032E-4</v>
      </c>
      <c r="AD85" s="92">
        <f t="shared" si="42"/>
        <v>1444.8</v>
      </c>
      <c r="AE85" s="93">
        <f>ДЕКАБРЬ!AE85+ЯНВАРЬ!AE85+ФЕВРАЛЬ!AE85+МАРТ!AE85</f>
        <v>5281.58</v>
      </c>
      <c r="AF85" s="234">
        <f t="shared" si="43"/>
        <v>0.37668315588876339</v>
      </c>
      <c r="AG85" s="93">
        <f>ДЕКАБРЬ!AG85+ЯНВАРЬ!AG85+ФЕВРАЛЬ!AG85+МАРТ!AG85</f>
        <v>7953.8500000000013</v>
      </c>
      <c r="AH85" s="93">
        <f>ДЕКАБРЬ!AH85+ЯНВАРЬ!AH85+ФЕВРАЛЬ!AH85+МАРТ!AH85</f>
        <v>2828</v>
      </c>
      <c r="AI85" s="93">
        <f>ДЕКАБРЬ!AI85+ЯНВАРЬ!AI85+ФЕВРАЛЬ!AI85+МАРТ!AI85</f>
        <v>9165</v>
      </c>
      <c r="AJ85" s="93">
        <f>ДЕКАБРЬ!AJ85+ЯНВАРЬ!AJ85+ФЕВРАЛЬ!AJ85+МАРТ!AJ85</f>
        <v>0</v>
      </c>
      <c r="AK85" s="93"/>
      <c r="AL85" s="93">
        <f>ДЕКАБРЬ!AL85+ЯНВАРЬ!AL85+ФЕВРАЛЬ!AL85+МАРТ!AL85</f>
        <v>265.20109143277193</v>
      </c>
      <c r="AM85" s="93">
        <f>ДЕКАБРЬ!AM85+ЯНВАРЬ!AM85+ФЕВРАЛЬ!AM85+МАРТ!AM85</f>
        <v>20</v>
      </c>
      <c r="AN85" s="93">
        <f>ДЕКАБРЬ!AN85+ЯНВАРЬ!AN85+ФЕВРАЛЬ!AN85+МАРТ!AN85</f>
        <v>514.30028540843625</v>
      </c>
      <c r="AO85" s="95">
        <f t="shared" si="45"/>
        <v>-13451.451376841209</v>
      </c>
      <c r="AP85" s="96"/>
      <c r="AQ85" s="97">
        <f t="shared" si="7"/>
        <v>1001.5199999999999</v>
      </c>
      <c r="AR85" s="98">
        <f t="shared" si="26"/>
        <v>103.2</v>
      </c>
      <c r="AS85" s="98">
        <f t="shared" si="9"/>
        <v>377.2557142857143</v>
      </c>
      <c r="AT85" s="98">
        <f t="shared" si="10"/>
        <v>441.88055555555565</v>
      </c>
      <c r="AU85" s="98">
        <f t="shared" si="46"/>
        <v>666.27777777777783</v>
      </c>
      <c r="AV85" s="98">
        <f t="array" ref="AV85">_xlfn.IFS(U85=0,AO85,U85&lt;0,AO85/-U85,U85&gt;0,AO85/U85)</f>
        <v>-960.81795548865773</v>
      </c>
      <c r="AW85" s="234">
        <f t="shared" si="35"/>
        <v>-0.95935972870103225</v>
      </c>
      <c r="AX85" s="234">
        <f t="shared" si="36"/>
        <v>-9.3102515066730405</v>
      </c>
      <c r="AY85" s="99"/>
      <c r="AZ85" s="94">
        <f t="shared" si="13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37"/>
        <v>0</v>
      </c>
      <c r="F86" s="93"/>
      <c r="G86" s="93"/>
      <c r="H86" s="93"/>
      <c r="I86" s="93"/>
      <c r="J86" s="93"/>
      <c r="K86" s="93">
        <v>150</v>
      </c>
      <c r="L86" s="92">
        <f t="shared" si="33"/>
        <v>0</v>
      </c>
      <c r="M86" s="89"/>
      <c r="N86" s="93">
        <f>ДЕКАБРЬ!N86+ЯНВАРЬ!N86+ФЕВРАЛЬ!N86+МАРТ!N86</f>
        <v>25</v>
      </c>
      <c r="O86" s="89"/>
      <c r="P86" s="89"/>
      <c r="Q86" s="233"/>
      <c r="R86" s="92"/>
      <c r="S86" s="93">
        <f>ДЕКАБРЬ!S86+ЯНВАРЬ!S86+ФЕВРАЛЬ!S86+МАРТ!S86</f>
        <v>7</v>
      </c>
      <c r="T86" s="93">
        <f>ДЕКАБРЬ!T86+ЯНВАРЬ!T86+ФЕВРАЛЬ!T86+МАРТ!T86</f>
        <v>0</v>
      </c>
      <c r="U86" s="92">
        <f t="shared" si="38"/>
        <v>7</v>
      </c>
      <c r="V86" s="93">
        <f>ДЕКАБРЬ!V86+ЯНВАРЬ!V86+ФЕВРАЛЬ!V86+МАРТ!V86</f>
        <v>6707.62</v>
      </c>
      <c r="W86" s="93">
        <f>ДЕКАБРЬ!W86+ЯНВАРЬ!W86+ФЕВРАЛЬ!W86+МАРТ!W86</f>
        <v>0</v>
      </c>
      <c r="X86" s="92">
        <f t="shared" si="39"/>
        <v>6707.62</v>
      </c>
      <c r="Y86" s="93">
        <f>ДЕКАБРЬ!Y86+ЯНВАРЬ!Y86+ФЕВРАЛЬ!Y86+МАРТ!Y86</f>
        <v>9806.2199999999993</v>
      </c>
      <c r="Z86" s="93">
        <f>ДЕКАБРЬ!Z86+ЯНВАРЬ!Z86+ФЕВРАЛЬ!Z86+МАРТ!Z86</f>
        <v>0</v>
      </c>
      <c r="AA86" s="232">
        <f t="shared" si="40"/>
        <v>9806.2199999999993</v>
      </c>
      <c r="AB86" s="92">
        <f t="shared" si="44"/>
        <v>0</v>
      </c>
      <c r="AC86" s="234">
        <f t="shared" si="41"/>
        <v>3.3748792783275456E-4</v>
      </c>
      <c r="AD86" s="92">
        <f t="shared" si="42"/>
        <v>1050</v>
      </c>
      <c r="AE86" s="93">
        <f>ДЕКАБРЬ!AE86+ЯНВАРЬ!AE86+ФЕВРАЛЬ!AE86+МАРТ!AE86</f>
        <v>3647.71</v>
      </c>
      <c r="AF86" s="234">
        <f t="shared" si="43"/>
        <v>0.371979213193259</v>
      </c>
      <c r="AG86" s="93">
        <f>ДЕКАБРЬ!AG86+ЯНВАРЬ!AG86+ФЕВРАЛЬ!AG86+МАРТ!AG86</f>
        <v>1448.08</v>
      </c>
      <c r="AH86" s="93">
        <f>ДЕКАБРЬ!AH86+ЯНВАРЬ!AH86+ФЕВРАЛЬ!AH86+МАРТ!AH86</f>
        <v>0</v>
      </c>
      <c r="AI86" s="93">
        <f>ДЕКАБРЬ!AI86+ЯНВАРЬ!AI86+ФЕВРАЛЬ!AI86+МАРТ!AI86</f>
        <v>2685</v>
      </c>
      <c r="AJ86" s="93">
        <f>ДЕКАБРЬ!AJ86+ЯНВАРЬ!AJ86+ФЕВРАЛЬ!AJ86+МАРТ!AJ86</f>
        <v>0</v>
      </c>
      <c r="AK86" s="93"/>
      <c r="AL86" s="93">
        <f>ДЕКАБРЬ!AL86+ЯНВАРЬ!AL86+ФЕВРАЛЬ!AL86+МАРТ!AL86</f>
        <v>322.60641950423417</v>
      </c>
      <c r="AM86" s="93">
        <f>ДЕКАБРЬ!AM86+ЯНВАРЬ!AM86+ФЕВРАЛЬ!AM86+МАРТ!AM86</f>
        <v>0</v>
      </c>
      <c r="AN86" s="93">
        <f>ДЕКАБРЬ!AN86+ЯНВАРЬ!AN86+ФЕВРАЛЬ!AN86+МАРТ!AN86</f>
        <v>370.33907144826776</v>
      </c>
      <c r="AO86" s="95">
        <f t="shared" si="45"/>
        <v>282.48450904749745</v>
      </c>
      <c r="AP86" s="96"/>
      <c r="AQ86" s="97">
        <f t="shared" si="7"/>
        <v>1400.8885714285714</v>
      </c>
      <c r="AR86" s="98">
        <f t="shared" si="26"/>
        <v>150</v>
      </c>
      <c r="AS86" s="98">
        <f t="shared" si="9"/>
        <v>521.10142857142853</v>
      </c>
      <c r="AT86" s="98">
        <f t="shared" si="10"/>
        <v>206.86857142857141</v>
      </c>
      <c r="AU86" s="98">
        <f t="shared" si="46"/>
        <v>383.57142857142856</v>
      </c>
      <c r="AV86" s="98">
        <f t="array" ref="AV86">_xlfn.IFS(U86=0,AO86,U86&lt;0,AO86/-U86,U86&gt;0,AO86/U86)</f>
        <v>40.354929863928206</v>
      </c>
      <c r="AW86" s="234">
        <f t="shared" si="35"/>
        <v>2.8806666487953304E-2</v>
      </c>
      <c r="AX86" s="234">
        <f t="shared" si="36"/>
        <v>0.26903286575952134</v>
      </c>
      <c r="AY86" s="99"/>
      <c r="AZ86" s="94">
        <f t="shared" si="13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37"/>
        <v>0</v>
      </c>
      <c r="F87" s="93"/>
      <c r="G87" s="93"/>
      <c r="H87" s="93"/>
      <c r="I87" s="93"/>
      <c r="J87" s="93"/>
      <c r="K87" s="93">
        <v>150</v>
      </c>
      <c r="L87" s="92">
        <f t="shared" si="33"/>
        <v>0</v>
      </c>
      <c r="M87" s="89"/>
      <c r="N87" s="93">
        <f>ДЕКАБРЬ!N87+ЯНВАРЬ!N87+ФЕВРАЛЬ!N87+МАРТ!N87</f>
        <v>124</v>
      </c>
      <c r="O87" s="89"/>
      <c r="P87" s="89"/>
      <c r="Q87" s="233"/>
      <c r="R87" s="92"/>
      <c r="S87" s="93">
        <f>ДЕКАБРЬ!S87+ЯНВАРЬ!S87+ФЕВРАЛЬ!S87+МАРТ!S87</f>
        <v>36</v>
      </c>
      <c r="T87" s="93">
        <f>ДЕКАБРЬ!T87+ЯНВАРЬ!T87+ФЕВРАЛЬ!T87+МАРТ!T87</f>
        <v>-3</v>
      </c>
      <c r="U87" s="92">
        <f t="shared" si="38"/>
        <v>33</v>
      </c>
      <c r="V87" s="93">
        <f>ДЕКАБРЬ!V87+ЯНВАРЬ!V87+ФЕВРАЛЬ!V87+МАРТ!V87</f>
        <v>27702.260000000002</v>
      </c>
      <c r="W87" s="93">
        <f>ДЕКАБРЬ!W87+ЯНВАРЬ!W87+ФЕВРАЛЬ!W87+МАРТ!W87</f>
        <v>-2603</v>
      </c>
      <c r="X87" s="92">
        <f t="shared" si="39"/>
        <v>25099.260000000002</v>
      </c>
      <c r="Y87" s="93">
        <f>ДЕКАБРЬ!Y87+ЯНВАРЬ!Y87+ФЕВРАЛЬ!Y87+МАРТ!Y87</f>
        <v>39731.11</v>
      </c>
      <c r="Z87" s="93">
        <f>ДЕКАБРЬ!Z87+ЯНВАРЬ!Z87+ФЕВРАЛЬ!Z87+МАРТ!Z87</f>
        <v>-3594</v>
      </c>
      <c r="AA87" s="232">
        <f t="shared" si="40"/>
        <v>36137.11</v>
      </c>
      <c r="AB87" s="92">
        <f t="shared" si="44"/>
        <v>0</v>
      </c>
      <c r="AC87" s="234">
        <f t="shared" si="41"/>
        <v>1.243683944655975E-3</v>
      </c>
      <c r="AD87" s="92">
        <f t="shared" si="42"/>
        <v>4950</v>
      </c>
      <c r="AE87" s="93">
        <f>ДЕКАБРЬ!AE87+ЯНВАРЬ!AE87+ФЕВРАЛЬ!AE87+МАРТ!AE87</f>
        <v>13664.339999999997</v>
      </c>
      <c r="AF87" s="234">
        <f t="shared" si="43"/>
        <v>0.37812486942093587</v>
      </c>
      <c r="AG87" s="93">
        <f>ДЕКАБРЬ!AG87+ЯНВАРЬ!AG87+ФЕВРАЛЬ!AG87+МАРТ!AG87</f>
        <v>10219.159999999998</v>
      </c>
      <c r="AH87" s="93">
        <f>ДЕКАБРЬ!AH87+ЯНВАРЬ!AH87+ФЕВРАЛЬ!AH87+МАРТ!AH87</f>
        <v>3000</v>
      </c>
      <c r="AI87" s="93">
        <f>ДЕКАБРЬ!AI87+ЯНВАРЬ!AI87+ФЕВРАЛЬ!AI87+МАРТ!AI87</f>
        <v>10000</v>
      </c>
      <c r="AJ87" s="93">
        <f>ДЕКАБРЬ!AJ87+ЯНВАРЬ!AJ87+ФЕВРАЛЬ!AJ87+МАРТ!AJ87</f>
        <v>0</v>
      </c>
      <c r="AK87" s="93"/>
      <c r="AL87" s="93">
        <f>ДЕКАБРЬ!AL87+ЯНВАРЬ!AL87+ФЕВРАЛЬ!AL87+МАРТ!AL87</f>
        <v>165.06248161616955</v>
      </c>
      <c r="AM87" s="93">
        <f>ДЕКАБРЬ!AM87+ЯНВАРЬ!AM87+ФЕВРАЛЬ!AM87+МАРТ!AM87</f>
        <v>0</v>
      </c>
      <c r="AN87" s="93">
        <f>ДЕКАБРЬ!AN87+ЯНВАРЬ!AN87+ФЕВРАЛЬ!AN87+МАРТ!AN87</f>
        <v>1384.2002388663616</v>
      </c>
      <c r="AO87" s="95">
        <f t="shared" si="45"/>
        <v>-7245.6527204825252</v>
      </c>
      <c r="AP87" s="96"/>
      <c r="AQ87" s="97">
        <f t="shared" si="7"/>
        <v>1095.0639393939393</v>
      </c>
      <c r="AR87" s="98">
        <f t="shared" si="26"/>
        <v>150</v>
      </c>
      <c r="AS87" s="98">
        <f t="shared" si="9"/>
        <v>414.07090909090897</v>
      </c>
      <c r="AT87" s="98">
        <f t="shared" si="10"/>
        <v>283.86555555555549</v>
      </c>
      <c r="AU87" s="98">
        <f t="shared" si="46"/>
        <v>361.11111111111109</v>
      </c>
      <c r="AV87" s="98">
        <f t="array" ref="AV87">_xlfn.IFS(U87=0,AO87,U87&lt;0,AO87/-U87,U87&gt;0,AO87/U87)</f>
        <v>-219.56523395401592</v>
      </c>
      <c r="AW87" s="234">
        <f t="shared" si="35"/>
        <v>-0.20050448750557323</v>
      </c>
      <c r="AX87" s="234">
        <f t="shared" si="36"/>
        <v>-1.4637682263601062</v>
      </c>
      <c r="AY87" s="99"/>
      <c r="AZ87" s="94">
        <f t="shared" si="13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37"/>
        <v>0</v>
      </c>
      <c r="F88" s="93"/>
      <c r="G88" s="93"/>
      <c r="H88" s="93"/>
      <c r="I88" s="93"/>
      <c r="J88" s="93"/>
      <c r="K88" s="93">
        <v>150</v>
      </c>
      <c r="L88" s="92">
        <f t="shared" si="33"/>
        <v>0</v>
      </c>
      <c r="M88" s="89"/>
      <c r="N88" s="93">
        <f>ДЕКАБРЬ!N88+ЯНВАРЬ!N88+ФЕВРАЛЬ!N88+МАРТ!N88</f>
        <v>129</v>
      </c>
      <c r="O88" s="89"/>
      <c r="P88" s="89"/>
      <c r="Q88" s="233"/>
      <c r="R88" s="92"/>
      <c r="S88" s="93">
        <f>ДЕКАБРЬ!S88+ЯНВАРЬ!S88+ФЕВРАЛЬ!S88+МАРТ!S88</f>
        <v>47</v>
      </c>
      <c r="T88" s="93">
        <f>ДЕКАБРЬ!T88+ЯНВАРЬ!T88+ФЕВРАЛЬ!T88+МАРТ!T88</f>
        <v>-5</v>
      </c>
      <c r="U88" s="92">
        <f t="shared" si="38"/>
        <v>42</v>
      </c>
      <c r="V88" s="93">
        <f>ДЕКАБРЬ!V88+ЯНВАРЬ!V88+ФЕВРАЛЬ!V88+МАРТ!V88</f>
        <v>41126.089999999997</v>
      </c>
      <c r="W88" s="93">
        <f>ДЕКАБРЬ!W88+ЯНВАРЬ!W88+ФЕВРАЛЬ!W88+МАРТ!W88</f>
        <v>-3985</v>
      </c>
      <c r="X88" s="92">
        <f t="shared" si="39"/>
        <v>37141.089999999997</v>
      </c>
      <c r="Y88" s="93">
        <f>ДЕКАБРЬ!Y88+ЯНВАРЬ!Y88+ФЕВРАЛЬ!Y88+МАРТ!Y88</f>
        <v>59316.87</v>
      </c>
      <c r="Z88" s="93">
        <f>ДЕКАБРЬ!Z88+ЯНВАРЬ!Z88+ФЕВРАЛЬ!Z88+МАРТ!Z88</f>
        <v>-6209.58</v>
      </c>
      <c r="AA88" s="232">
        <f t="shared" si="40"/>
        <v>53107.29</v>
      </c>
      <c r="AB88" s="92">
        <f t="shared" si="44"/>
        <v>0</v>
      </c>
      <c r="AC88" s="234">
        <f t="shared" si="41"/>
        <v>1.8277245722524245E-3</v>
      </c>
      <c r="AD88" s="92">
        <f t="shared" si="42"/>
        <v>6300</v>
      </c>
      <c r="AE88" s="93">
        <f>ДЕКАБРЬ!AE88+ЯНВАРЬ!AE88+ФЕВРАЛЬ!AE88+МАРТ!AE88</f>
        <v>19773.250000000004</v>
      </c>
      <c r="AF88" s="234">
        <f t="shared" si="43"/>
        <v>0.37232647344648923</v>
      </c>
      <c r="AG88" s="93">
        <f>ДЕКАБРЬ!AG88+ЯНВАРЬ!AG88+ФЕВРАЛЬ!AG88+МАРТ!AG88</f>
        <v>11388.130000000001</v>
      </c>
      <c r="AH88" s="93">
        <f>ДЕКАБРЬ!AH88+ЯНВАРЬ!AH88+ФЕВРАЛЬ!AH88+МАРТ!AH88</f>
        <v>1878</v>
      </c>
      <c r="AI88" s="93">
        <f>ДЕКАБРЬ!AI88+ЯНВАРЬ!AI88+ФЕВРАЛЬ!AI88+МАРТ!AI88</f>
        <v>10029</v>
      </c>
      <c r="AJ88" s="93">
        <f>ДЕКАБРЬ!AJ88+ЯНВАРЬ!AJ88+ФЕВРАЛЬ!AJ88+МАРТ!AJ88</f>
        <v>0</v>
      </c>
      <c r="AK88" s="93"/>
      <c r="AL88" s="93">
        <f>ДЕКАБРЬ!AL88+ЯНВАРЬ!AL88+ФЕВРАЛЬ!AL88+МАРТ!AL88</f>
        <v>111.37498181900503</v>
      </c>
      <c r="AM88" s="93">
        <f>ДЕКАБРЬ!AM88+ЯНВАРЬ!AM88+ФЕВРАЛЬ!AM88+МАРТ!AM88</f>
        <v>10</v>
      </c>
      <c r="AN88" s="93">
        <f>ДЕКАБРЬ!AN88+ЯНВАРЬ!AN88+ФЕВРАЛЬ!AN88+МАРТ!AN88</f>
        <v>2137.3797876469398</v>
      </c>
      <c r="AO88" s="95">
        <f t="shared" si="45"/>
        <v>1480.1552305340515</v>
      </c>
      <c r="AP88" s="96"/>
      <c r="AQ88" s="97">
        <f t="shared" si="7"/>
        <v>1264.4592857142857</v>
      </c>
      <c r="AR88" s="98">
        <f t="shared" si="26"/>
        <v>150</v>
      </c>
      <c r="AS88" s="98">
        <f t="shared" si="9"/>
        <v>470.79166666666674</v>
      </c>
      <c r="AT88" s="98">
        <f t="shared" si="10"/>
        <v>242.30063829787235</v>
      </c>
      <c r="AU88" s="98">
        <f t="shared" si="46"/>
        <v>253.34042553191489</v>
      </c>
      <c r="AV88" s="98">
        <f t="array" ref="AV88">_xlfn.IFS(U88=0,AO88,U88&lt;0,AO88/-U88,U88&gt;0,AO88/U88)</f>
        <v>35.241791203191703</v>
      </c>
      <c r="AW88" s="234">
        <f t="shared" si="35"/>
        <v>2.7871036735899187E-2</v>
      </c>
      <c r="AX88" s="234">
        <f t="shared" si="36"/>
        <v>0.23494527468794468</v>
      </c>
      <c r="AY88" s="99"/>
      <c r="AZ88" s="94">
        <f t="shared" si="13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37"/>
        <v>0</v>
      </c>
      <c r="F89" s="93"/>
      <c r="G89" s="93"/>
      <c r="H89" s="93"/>
      <c r="I89" s="93"/>
      <c r="J89" s="93"/>
      <c r="K89" s="93">
        <v>169.89</v>
      </c>
      <c r="L89" s="92">
        <f t="shared" si="33"/>
        <v>0</v>
      </c>
      <c r="M89" s="89"/>
      <c r="N89" s="93">
        <f>ДЕКАБРЬ!N89+ЯНВАРЬ!N89+ФЕВРАЛЬ!N89+МАРТ!N89</f>
        <v>64</v>
      </c>
      <c r="O89" s="89"/>
      <c r="P89" s="89"/>
      <c r="Q89" s="233"/>
      <c r="R89" s="92"/>
      <c r="S89" s="93">
        <f>ДЕКАБРЬ!S89+ЯНВАРЬ!S89+ФЕВРАЛЬ!S89+МАРТ!S89</f>
        <v>26</v>
      </c>
      <c r="T89" s="93">
        <f>ДЕКАБРЬ!T89+ЯНВАРЬ!T89+ФЕВРАЛЬ!T89+МАРТ!T89</f>
        <v>-1</v>
      </c>
      <c r="U89" s="92">
        <f t="shared" si="38"/>
        <v>25</v>
      </c>
      <c r="V89" s="93">
        <f>ДЕКАБРЬ!V89+ЯНВАРЬ!V89+ФЕВРАЛЬ!V89+МАРТ!V89</f>
        <v>25423.929999999997</v>
      </c>
      <c r="W89" s="93">
        <f>ДЕКАБРЬ!W89+ЯНВАРЬ!W89+ФЕВРАЛЬ!W89+МАРТ!W89</f>
        <v>-969</v>
      </c>
      <c r="X89" s="92">
        <f t="shared" si="39"/>
        <v>24454.929999999997</v>
      </c>
      <c r="Y89" s="93">
        <f>ДЕКАБРЬ!Y89+ЯНВАРЬ!Y89+ФЕВРАЛЬ!Y89+МАРТ!Y89</f>
        <v>38827.86</v>
      </c>
      <c r="Z89" s="93">
        <f>ДЕКАБРЬ!Z89+ЯНВАРЬ!Z89+ФЕВРАЛЬ!Z89+МАРТ!Z89</f>
        <v>-1504</v>
      </c>
      <c r="AA89" s="232">
        <f t="shared" si="40"/>
        <v>37323.86</v>
      </c>
      <c r="AB89" s="92">
        <f t="shared" si="44"/>
        <v>0</v>
      </c>
      <c r="AC89" s="234">
        <f t="shared" si="41"/>
        <v>1.2845267768946482E-3</v>
      </c>
      <c r="AD89" s="92">
        <f t="shared" si="42"/>
        <v>4247.25</v>
      </c>
      <c r="AE89" s="93">
        <f>ДЕКАБРЬ!AE89+ЯНВАРЬ!AE89+ФЕВРАЛЬ!AE89+МАРТ!AE89</f>
        <v>14033.65</v>
      </c>
      <c r="AF89" s="234">
        <f t="shared" si="43"/>
        <v>0.37599674846063613</v>
      </c>
      <c r="AG89" s="93">
        <f>ДЕКАБРЬ!AG89+ЯНВАРЬ!AG89+ФЕВРАЛЬ!AG89+МАРТ!AG89</f>
        <v>4097.369999999999</v>
      </c>
      <c r="AH89" s="93">
        <f>ДЕКАБРЬ!AH89+ЯНВАРЬ!AH89+ФЕВРАЛЬ!AH89+МАРТ!AH89</f>
        <v>0</v>
      </c>
      <c r="AI89" s="93">
        <f>ДЕКАБРЬ!AI89+ЯНВАРЬ!AI89+ФЕВРАЛЬ!AI89+МАРТ!AI89</f>
        <v>0</v>
      </c>
      <c r="AJ89" s="93">
        <f>ДЕКАБРЬ!AJ89+ЯНВАРЬ!AJ89+ФЕВРАЛЬ!AJ89+МАРТ!AJ89</f>
        <v>0</v>
      </c>
      <c r="AK89" s="93"/>
      <c r="AL89" s="93">
        <f>ДЕКАБРЬ!AL89+ЯНВАРЬ!AL89+ФЕВРАЛЬ!AL89+МАРТ!AL89</f>
        <v>252.73048836926711</v>
      </c>
      <c r="AM89" s="93">
        <f>ДЕКАБРЬ!AM89+ЯНВАРЬ!AM89+ФЕВРАЛЬ!AM89+МАРТ!AM89</f>
        <v>0</v>
      </c>
      <c r="AN89" s="93">
        <f>ДЕКАБРЬ!AN89+ЯНВАРЬ!AN89+ФЕВРАЛЬ!AN89+МАРТ!AN89</f>
        <v>1367.5177644386031</v>
      </c>
      <c r="AO89" s="95">
        <f t="shared" si="45"/>
        <v>13325.341747192131</v>
      </c>
      <c r="AP89" s="96"/>
      <c r="AQ89" s="97">
        <f t="shared" si="7"/>
        <v>1492.9544000000001</v>
      </c>
      <c r="AR89" s="98">
        <f t="shared" si="26"/>
        <v>169.89</v>
      </c>
      <c r="AS89" s="98">
        <f t="shared" si="9"/>
        <v>561.346</v>
      </c>
      <c r="AT89" s="98">
        <f t="shared" si="10"/>
        <v>157.59115384615382</v>
      </c>
      <c r="AU89" s="98">
        <f t="shared" si="46"/>
        <v>0</v>
      </c>
      <c r="AV89" s="98">
        <f t="array" ref="AV89">_xlfn.IFS(U89=0,AO89,U89&lt;0,AO89/-U89,U89&gt;0,AO89/U89)</f>
        <v>533.0136698876853</v>
      </c>
      <c r="AW89" s="234">
        <f t="shared" si="35"/>
        <v>0.35701939047012105</v>
      </c>
      <c r="AX89" s="234">
        <f t="shared" si="36"/>
        <v>3.1374046140896188</v>
      </c>
      <c r="AY89" s="99"/>
      <c r="AZ89" s="94">
        <f t="shared" si="13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37"/>
        <v>0</v>
      </c>
      <c r="F90" s="93"/>
      <c r="G90" s="93"/>
      <c r="H90" s="93"/>
      <c r="I90" s="93"/>
      <c r="J90" s="93"/>
      <c r="K90" s="93">
        <v>107.88</v>
      </c>
      <c r="L90" s="92">
        <f t="shared" si="33"/>
        <v>0</v>
      </c>
      <c r="M90" s="89"/>
      <c r="N90" s="93">
        <f>ДЕКАБРЬ!N90+ЯНВАРЬ!N90+ФЕВРАЛЬ!N90+МАРТ!N90</f>
        <v>1</v>
      </c>
      <c r="O90" s="89"/>
      <c r="P90" s="89"/>
      <c r="Q90" s="233"/>
      <c r="R90" s="92"/>
      <c r="S90" s="93">
        <f>ДЕКАБРЬ!S90+ЯНВАРЬ!S90+ФЕВРАЛЬ!S90+МАРТ!S90</f>
        <v>0</v>
      </c>
      <c r="T90" s="93">
        <f>ДЕКАБРЬ!T90+ЯНВАРЬ!T90+ФЕВРАЛЬ!T90+МАРТ!T90</f>
        <v>0</v>
      </c>
      <c r="U90" s="92">
        <f t="shared" si="38"/>
        <v>0</v>
      </c>
      <c r="V90" s="93">
        <f>ДЕКАБРЬ!V90+ЯНВАРЬ!V90+ФЕВРАЛЬ!V90+МАРТ!V90</f>
        <v>0</v>
      </c>
      <c r="W90" s="93">
        <f>ДЕКАБРЬ!W90+ЯНВАРЬ!W90+ФЕВРАЛЬ!W90+МАРТ!W90</f>
        <v>0</v>
      </c>
      <c r="X90" s="92">
        <f t="shared" si="39"/>
        <v>0</v>
      </c>
      <c r="Y90" s="93">
        <f>ДЕКАБРЬ!Y90+ЯНВАРЬ!Y90+ФЕВРАЛЬ!Y90+МАРТ!Y90</f>
        <v>0</v>
      </c>
      <c r="Z90" s="93">
        <f>ДЕКАБРЬ!Z90+ЯНВАРЬ!Z90+ФЕВРАЛЬ!Z90+МАРТ!Z90</f>
        <v>0</v>
      </c>
      <c r="AA90" s="232">
        <f t="shared" si="40"/>
        <v>0</v>
      </c>
      <c r="AB90" s="92">
        <f t="shared" si="44"/>
        <v>0</v>
      </c>
      <c r="AC90" s="234">
        <f t="shared" si="41"/>
        <v>0</v>
      </c>
      <c r="AD90" s="92">
        <f t="shared" si="42"/>
        <v>0</v>
      </c>
      <c r="AE90" s="93">
        <f>ДЕКАБРЬ!AE90+ЯНВАРЬ!AE90+ФЕВРАЛЬ!AE90+МАРТ!AE90</f>
        <v>0</v>
      </c>
      <c r="AF90" s="234">
        <f t="shared" si="43"/>
        <v>0</v>
      </c>
      <c r="AG90" s="93">
        <f>ДЕКАБРЬ!AG90+ЯНВАРЬ!AG90+ФЕВРАЛЬ!AG90+МАРТ!AG90</f>
        <v>0</v>
      </c>
      <c r="AH90" s="93">
        <f>ДЕКАБРЬ!AH90+ЯНВАРЬ!AH90+ФЕВРАЛЬ!AH90+МАРТ!AH90</f>
        <v>0</v>
      </c>
      <c r="AI90" s="93">
        <f>ДЕКАБРЬ!AI90+ЯНВАРЬ!AI90+ФЕВРАЛЬ!AI90+МАРТ!AI90</f>
        <v>0</v>
      </c>
      <c r="AJ90" s="93">
        <f>ДЕКАБРЬ!AJ90+ЯНВАРЬ!AJ90+ФЕВРАЛЬ!AJ90+МАРТ!AJ90</f>
        <v>0</v>
      </c>
      <c r="AK90" s="93"/>
      <c r="AL90" s="93">
        <f>ДЕКАБРЬ!AL90+ЯНВАРЬ!AL90+ФЕВРАЛЬ!AL90+МАРТ!AL90</f>
        <v>371.8843556470257</v>
      </c>
      <c r="AM90" s="93">
        <f>ДЕКАБРЬ!AM90+ЯНВАРЬ!AM90+ФЕВРАЛЬ!AM90+МАРТ!AM90</f>
        <v>0</v>
      </c>
      <c r="AN90" s="93">
        <f>ДЕКАБРЬ!AN90+ЯНВАРЬ!AN90+ФЕВРАЛЬ!AN90+МАРТ!AN90</f>
        <v>0</v>
      </c>
      <c r="AO90" s="95">
        <f t="shared" si="45"/>
        <v>-371.8843556470257</v>
      </c>
      <c r="AP90" s="96"/>
      <c r="AQ90" s="97">
        <f t="shared" si="7"/>
        <v>0</v>
      </c>
      <c r="AR90" s="98">
        <f t="shared" si="26"/>
        <v>107.88</v>
      </c>
      <c r="AS90" s="98">
        <f t="shared" si="9"/>
        <v>0</v>
      </c>
      <c r="AT90" s="98">
        <f t="shared" si="10"/>
        <v>0</v>
      </c>
      <c r="AU90" s="98">
        <f t="shared" si="46"/>
        <v>0</v>
      </c>
      <c r="AV90" s="98">
        <f t="array" ref="AV90">_xlfn.IFS(U90=0,AO90,U90&lt;0,AO90/-U90,U90&gt;0,AO90/U90)</f>
        <v>-371.8843556470257</v>
      </c>
      <c r="AW90" s="234">
        <f t="shared" si="35"/>
        <v>0</v>
      </c>
      <c r="AX90" s="234">
        <f t="shared" si="36"/>
        <v>-3.4472038899427671</v>
      </c>
      <c r="AY90" s="99"/>
      <c r="AZ90" s="94">
        <f t="shared" si="13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37"/>
        <v>0</v>
      </c>
      <c r="F91" s="93"/>
      <c r="G91" s="93"/>
      <c r="H91" s="93"/>
      <c r="I91" s="93"/>
      <c r="J91" s="93"/>
      <c r="K91" s="93">
        <v>93.84</v>
      </c>
      <c r="L91" s="92">
        <f t="shared" si="33"/>
        <v>0</v>
      </c>
      <c r="M91" s="89"/>
      <c r="N91" s="93">
        <f>ДЕКАБРЬ!N91+ЯНВАРЬ!N91+ФЕВРАЛЬ!N91+МАРТ!N91</f>
        <v>68</v>
      </c>
      <c r="O91" s="89"/>
      <c r="P91" s="89"/>
      <c r="Q91" s="233"/>
      <c r="R91" s="92"/>
      <c r="S91" s="93">
        <f>ДЕКАБРЬ!S91+ЯНВАРЬ!S91+ФЕВРАЛЬ!S91+МАРТ!S91</f>
        <v>8</v>
      </c>
      <c r="T91" s="93">
        <f>ДЕКАБРЬ!T91+ЯНВАРЬ!T91+ФЕВРАЛЬ!T91+МАРТ!T91</f>
        <v>-1</v>
      </c>
      <c r="U91" s="92">
        <f t="shared" si="38"/>
        <v>7</v>
      </c>
      <c r="V91" s="93">
        <f>ДЕКАБРЬ!V91+ЯНВАРЬ!V91+ФЕВРАЛЬ!V91+МАРТ!V91</f>
        <v>5791.04</v>
      </c>
      <c r="W91" s="93">
        <f>ДЕКАБРЬ!W91+ЯНВАРЬ!W91+ФЕВРАЛЬ!W91+МАРТ!W91</f>
        <v>-709</v>
      </c>
      <c r="X91" s="92">
        <f t="shared" si="39"/>
        <v>5082.04</v>
      </c>
      <c r="Y91" s="93">
        <f>ДЕКАБРЬ!Y91+ЯНВАРЬ!Y91+ФЕВРАЛЬ!Y91+МАРТ!Y91</f>
        <v>8599.380000000001</v>
      </c>
      <c r="Z91" s="93">
        <f>ДЕКАБРЬ!Z91+ЯНВАРЬ!Z91+ФЕВРАЛЬ!Z91+МАРТ!Z91</f>
        <v>-1075</v>
      </c>
      <c r="AA91" s="232">
        <f t="shared" si="40"/>
        <v>7524.380000000001</v>
      </c>
      <c r="AB91" s="92">
        <f t="shared" si="44"/>
        <v>0</v>
      </c>
      <c r="AC91" s="234">
        <f t="shared" si="41"/>
        <v>2.589568064377734E-4</v>
      </c>
      <c r="AD91" s="92">
        <f t="shared" si="42"/>
        <v>656.88</v>
      </c>
      <c r="AE91" s="93">
        <f>ДЕКАБРЬ!AE91+ЯНВАРЬ!AE91+ФЕВРАЛЬ!AE91+МАРТ!AE91</f>
        <v>2805.3300000000004</v>
      </c>
      <c r="AF91" s="234">
        <f t="shared" si="43"/>
        <v>0.37283204729160407</v>
      </c>
      <c r="AG91" s="93">
        <f>ДЕКАБРЬ!AG91+ЯНВАРЬ!AG91+ФЕВРАЛЬ!AG91+МАРТ!AG91</f>
        <v>5609.85</v>
      </c>
      <c r="AH91" s="93">
        <f>ДЕКАБРЬ!AH91+ЯНВАРЬ!AH91+ФЕВРАЛЬ!AH91+МАРТ!AH91</f>
        <v>0</v>
      </c>
      <c r="AI91" s="93">
        <f>ДЕКАБРЬ!AI91+ЯНВАРЬ!AI91+ФЕВРАЛЬ!AI91+МАРТ!AI91</f>
        <v>1000</v>
      </c>
      <c r="AJ91" s="93">
        <f>ДЕКАБРЬ!AJ91+ЯНВАРЬ!AJ91+ФЕВРАЛЬ!AJ91+МАРТ!AJ91</f>
        <v>0</v>
      </c>
      <c r="AK91" s="93"/>
      <c r="AL91" s="93">
        <f>ДЕКАБРЬ!AL91+ЯНВАРЬ!AL91+ФЕВРАЛЬ!AL91+МАРТ!AL91</f>
        <v>212.32470229570862</v>
      </c>
      <c r="AM91" s="93">
        <f>ДЕКАБРЬ!AM91+ЯНВАРЬ!AM91+ФЕВРАЛЬ!AM91+МАРТ!AM91</f>
        <v>0</v>
      </c>
      <c r="AN91" s="93">
        <f>ДЕКАБРЬ!AN91+ЯНВАРЬ!AN91+ФЕВРАЛЬ!AN91+МАРТ!AN91</f>
        <v>284.15534028008193</v>
      </c>
      <c r="AO91" s="95">
        <f t="shared" si="45"/>
        <v>-3044.1600425757902</v>
      </c>
      <c r="AP91" s="96"/>
      <c r="AQ91" s="97">
        <f t="shared" si="7"/>
        <v>1074.9114285714288</v>
      </c>
      <c r="AR91" s="98">
        <f t="shared" si="26"/>
        <v>93.84</v>
      </c>
      <c r="AS91" s="98">
        <f t="shared" si="9"/>
        <v>400.76142857142861</v>
      </c>
      <c r="AT91" s="98">
        <f t="shared" si="10"/>
        <v>701.23125000000005</v>
      </c>
      <c r="AU91" s="98">
        <f t="shared" si="46"/>
        <v>125</v>
      </c>
      <c r="AV91" s="98">
        <f t="array" ref="AV91">_xlfn.IFS(U91=0,AO91,U91&lt;0,AO91/-U91,U91&gt;0,AO91/U91)</f>
        <v>-434.88000608225576</v>
      </c>
      <c r="AW91" s="234">
        <f t="shared" si="35"/>
        <v>-0.40457287412063048</v>
      </c>
      <c r="AX91" s="234">
        <f t="shared" si="36"/>
        <v>-4.6342711645594177</v>
      </c>
      <c r="AY91" s="99"/>
      <c r="AZ91" s="94">
        <f t="shared" si="13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37"/>
        <v>0</v>
      </c>
      <c r="F92" s="93"/>
      <c r="G92" s="93"/>
      <c r="H92" s="93"/>
      <c r="I92" s="93"/>
      <c r="J92" s="93"/>
      <c r="K92" s="93">
        <v>139.47</v>
      </c>
      <c r="L92" s="92">
        <f t="shared" si="33"/>
        <v>0</v>
      </c>
      <c r="M92" s="89"/>
      <c r="N92" s="93">
        <f>ДЕКАБРЬ!N92+ЯНВАРЬ!N92+ФЕВРАЛЬ!N92+МАРТ!N92</f>
        <v>12</v>
      </c>
      <c r="O92" s="89"/>
      <c r="P92" s="89"/>
      <c r="Q92" s="233"/>
      <c r="R92" s="92"/>
      <c r="S92" s="93">
        <f>ДЕКАБРЬ!S92+ЯНВАРЬ!S92+ФЕВРАЛЬ!S92+МАРТ!S92</f>
        <v>1</v>
      </c>
      <c r="T92" s="93">
        <f>ДЕКАБРЬ!T92+ЯНВАРЬ!T92+ФЕВРАЛЬ!T92+МАРТ!T92</f>
        <v>-1</v>
      </c>
      <c r="U92" s="92">
        <f t="shared" si="38"/>
        <v>0</v>
      </c>
      <c r="V92" s="93">
        <f>ДЕКАБРЬ!V92+ЯНВАРЬ!V92+ФЕВРАЛЬ!V92+МАРТ!V92</f>
        <v>1072.01</v>
      </c>
      <c r="W92" s="93">
        <f>ДЕКАБРЬ!W92+ЯНВАРЬ!W92+ФЕВРАЛЬ!W92+МАРТ!W92</f>
        <v>-1072.01</v>
      </c>
      <c r="X92" s="92">
        <f t="shared" si="39"/>
        <v>0</v>
      </c>
      <c r="Y92" s="93">
        <f>ДЕКАБРЬ!Y92+ЯНВАРЬ!Y92+ФЕВРАЛЬ!Y92+МАРТ!Y92</f>
        <v>1403.38</v>
      </c>
      <c r="Z92" s="93">
        <f>ДЕКАБРЬ!Z92+ЯНВАРЬ!Z92+ФЕВРАЛЬ!Z92+МАРТ!Z92</f>
        <v>-1403.38</v>
      </c>
      <c r="AA92" s="232">
        <f t="shared" si="40"/>
        <v>0</v>
      </c>
      <c r="AB92" s="92">
        <f t="shared" si="44"/>
        <v>0</v>
      </c>
      <c r="AC92" s="234">
        <f t="shared" si="41"/>
        <v>0</v>
      </c>
      <c r="AD92" s="92">
        <f t="shared" si="42"/>
        <v>0</v>
      </c>
      <c r="AE92" s="93">
        <f>ДЕКАБРЬ!AE92+ЯНВАРЬ!AE92+ФЕВРАЛЬ!AE92+МАРТ!AE92</f>
        <v>0</v>
      </c>
      <c r="AF92" s="234">
        <f t="shared" si="43"/>
        <v>0</v>
      </c>
      <c r="AG92" s="93">
        <f>ДЕКАБРЬ!AG92+ЯНВАРЬ!AG92+ФЕВРАЛЬ!AG92+МАРТ!AG92</f>
        <v>960.51</v>
      </c>
      <c r="AH92" s="93">
        <f>ДЕКАБРЬ!AH92+ЯНВАРЬ!AH92+ФЕВРАЛЬ!AH92+МАРТ!AH92</f>
        <v>0</v>
      </c>
      <c r="AI92" s="93">
        <f>ДЕКАБРЬ!AI92+ЯНВАРЬ!AI92+ФЕВРАЛЬ!AI92+МАРТ!AI92</f>
        <v>0</v>
      </c>
      <c r="AJ92" s="93">
        <f>ДЕКАБРЬ!AJ92+ЯНВАРЬ!AJ92+ФЕВРАЛЬ!AJ92+МАРТ!AJ92</f>
        <v>0</v>
      </c>
      <c r="AK92" s="93"/>
      <c r="AL92" s="93">
        <f>ДЕКАБРЬ!AL92+ЯНВАРЬ!AL92+ФЕВРАЛЬ!AL92+МАРТ!AL92</f>
        <v>361.18355887234577</v>
      </c>
      <c r="AM92" s="93">
        <f>ДЕКАБРЬ!AM92+ЯНВАРЬ!AM92+ФЕВРАЛЬ!AM92+МАРТ!AM92</f>
        <v>0</v>
      </c>
      <c r="AN92" s="93">
        <f>ДЕКАБРЬ!AN92+ЯНВАРЬ!AN92+ФЕВРАЛЬ!AN92+МАРТ!AN92</f>
        <v>58.385720043509323</v>
      </c>
      <c r="AO92" s="95">
        <f t="shared" si="45"/>
        <v>-1380.0792789158552</v>
      </c>
      <c r="AP92" s="96"/>
      <c r="AQ92" s="97">
        <f t="shared" si="7"/>
        <v>0</v>
      </c>
      <c r="AR92" s="98">
        <f t="shared" si="26"/>
        <v>139.47</v>
      </c>
      <c r="AS92" s="98">
        <f t="shared" si="9"/>
        <v>0</v>
      </c>
      <c r="AT92" s="98">
        <f t="shared" si="10"/>
        <v>960.51</v>
      </c>
      <c r="AU92" s="98">
        <f t="shared" si="46"/>
        <v>0</v>
      </c>
      <c r="AV92" s="98">
        <f t="array" ref="AV92">_xlfn.IFS(U92=0,AO92,U92&lt;0,AO92/-U92,U92&gt;0,AO92/U92)</f>
        <v>-1380.0792789158552</v>
      </c>
      <c r="AW92" s="234">
        <f t="shared" si="35"/>
        <v>0</v>
      </c>
      <c r="AX92" s="234">
        <f t="shared" si="36"/>
        <v>-9.8951694193436239</v>
      </c>
      <c r="AY92" s="99"/>
      <c r="AZ92" s="94">
        <f t="shared" si="13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37"/>
        <v>0</v>
      </c>
      <c r="F93" s="93"/>
      <c r="G93" s="93"/>
      <c r="H93" s="93"/>
      <c r="I93" s="93"/>
      <c r="J93" s="93"/>
      <c r="K93" s="93">
        <v>139.47</v>
      </c>
      <c r="L93" s="92">
        <f t="shared" si="33"/>
        <v>0</v>
      </c>
      <c r="M93" s="89"/>
      <c r="N93" s="93">
        <f>ДЕКАБРЬ!N93+ЯНВАРЬ!N93+ФЕВРАЛЬ!N93+МАРТ!N93</f>
        <v>21</v>
      </c>
      <c r="O93" s="89"/>
      <c r="P93" s="89"/>
      <c r="Q93" s="233"/>
      <c r="R93" s="92"/>
      <c r="S93" s="93">
        <f>ДЕКАБРЬ!S93+ЯНВАРЬ!S93+ФЕВРАЛЬ!S93+МАРТ!S93</f>
        <v>8</v>
      </c>
      <c r="T93" s="93">
        <f>ДЕКАБРЬ!T93+ЯНВАРЬ!T93+ФЕВРАЛЬ!T93+МАРТ!T93</f>
        <v>-2</v>
      </c>
      <c r="U93" s="92">
        <f t="shared" si="38"/>
        <v>6</v>
      </c>
      <c r="V93" s="93">
        <f>ДЕКАБРЬ!V93+ЯНВАРЬ!V93+ФЕВРАЛЬ!V93+МАРТ!V93</f>
        <v>7009.97</v>
      </c>
      <c r="W93" s="93">
        <f>ДЕКАБРЬ!W93+ЯНВАРЬ!W93+ФЕВРАЛЬ!W93+МАРТ!W93</f>
        <v>-1887</v>
      </c>
      <c r="X93" s="92">
        <f t="shared" si="39"/>
        <v>5122.97</v>
      </c>
      <c r="Y93" s="93">
        <f>ДЕКАБРЬ!Y93+ЯНВАРЬ!Y93+ФЕВРАЛЬ!Y93+МАРТ!Y93</f>
        <v>10290.18</v>
      </c>
      <c r="Z93" s="93">
        <f>ДЕКАБРЬ!Z93+ЯНВАРЬ!Z93+ФЕВРАЛЬ!Z93+МАРТ!Z93</f>
        <v>-2592</v>
      </c>
      <c r="AA93" s="232">
        <f t="shared" si="40"/>
        <v>7698.18</v>
      </c>
      <c r="AB93" s="92">
        <f t="shared" si="44"/>
        <v>0</v>
      </c>
      <c r="AC93" s="234">
        <f t="shared" si="41"/>
        <v>2.6493825513638841E-4</v>
      </c>
      <c r="AD93" s="92">
        <f t="shared" si="42"/>
        <v>836.81999999999994</v>
      </c>
      <c r="AE93" s="93">
        <f>ДЕКАБРЬ!AE93+ЯНВАРЬ!AE93+ФЕВРАЛЬ!AE93+МАРТ!AE93</f>
        <v>2921.829999999999</v>
      </c>
      <c r="AF93" s="234">
        <f t="shared" si="43"/>
        <v>0.3795481529400454</v>
      </c>
      <c r="AG93" s="93">
        <f>ДЕКАБРЬ!AG93+ЯНВАРЬ!AG93+ФЕВРАЛЬ!AG93+МАРТ!AG93</f>
        <v>1520.2199999999998</v>
      </c>
      <c r="AH93" s="93">
        <f>ДЕКАБРЬ!AH93+ЯНВАРЬ!AH93+ФЕВРАЛЬ!AH93+МАРТ!AH93</f>
        <v>0</v>
      </c>
      <c r="AI93" s="93">
        <f>ДЕКАБРЬ!AI93+ЯНВАРЬ!AI93+ФЕВРАЛЬ!AI93+МАРТ!AI93</f>
        <v>0</v>
      </c>
      <c r="AJ93" s="93">
        <f>ДЕКАБРЬ!AJ93+ЯНВАРЬ!AJ93+ФЕВРАЛЬ!AJ93+МАРТ!AJ93</f>
        <v>0</v>
      </c>
      <c r="AK93" s="93"/>
      <c r="AL93" s="93">
        <f>ДЕКАБРЬ!AL93+ЯНВАРЬ!AL93+ФЕВРАЛЬ!AL93+МАРТ!AL93</f>
        <v>323.29404386540648</v>
      </c>
      <c r="AM93" s="93">
        <f>ДЕКАБРЬ!AM93+ЯНВАРЬ!AM93+ФЕВРАЛЬ!AM93+МАРТ!AM93</f>
        <v>0</v>
      </c>
      <c r="AN93" s="93">
        <f>ДЕКАБРЬ!AN93+ЯНВАРЬ!AN93+ФЕВРАЛЬ!AN93+МАРТ!AN93</f>
        <v>339.84403805572424</v>
      </c>
      <c r="AO93" s="95">
        <f t="shared" si="45"/>
        <v>1756.1719180788712</v>
      </c>
      <c r="AP93" s="96"/>
      <c r="AQ93" s="97">
        <f t="shared" si="7"/>
        <v>1283.03</v>
      </c>
      <c r="AR93" s="98">
        <f t="shared" si="26"/>
        <v>139.47</v>
      </c>
      <c r="AS93" s="98">
        <f t="shared" si="9"/>
        <v>486.97166666666652</v>
      </c>
      <c r="AT93" s="98">
        <f t="shared" si="10"/>
        <v>190.02749999999997</v>
      </c>
      <c r="AU93" s="98">
        <f t="shared" si="46"/>
        <v>0</v>
      </c>
      <c r="AV93" s="98">
        <f t="array" ref="AV93">_xlfn.IFS(U93=0,AO93,U93&lt;0,AO93/-U93,U93&gt;0,AO93/U93)</f>
        <v>292.69531967981186</v>
      </c>
      <c r="AW93" s="234">
        <f t="shared" si="35"/>
        <v>0.22812819628520914</v>
      </c>
      <c r="AX93" s="234">
        <f t="shared" si="36"/>
        <v>2.0986256519668163</v>
      </c>
      <c r="AY93" s="99"/>
      <c r="AZ93" s="94">
        <f t="shared" si="13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37"/>
        <v>0</v>
      </c>
      <c r="F94" s="93"/>
      <c r="G94" s="93"/>
      <c r="H94" s="93"/>
      <c r="I94" s="93"/>
      <c r="J94" s="93"/>
      <c r="K94" s="93">
        <v>400.08</v>
      </c>
      <c r="L94" s="92">
        <f t="shared" si="33"/>
        <v>0</v>
      </c>
      <c r="M94" s="89"/>
      <c r="N94" s="93">
        <f>ДЕКАБРЬ!N94+ЯНВАРЬ!N94+ФЕВРАЛЬ!N94+МАРТ!N94</f>
        <v>3</v>
      </c>
      <c r="O94" s="89"/>
      <c r="P94" s="89"/>
      <c r="Q94" s="233"/>
      <c r="R94" s="92"/>
      <c r="S94" s="93">
        <f>ДЕКАБРЬ!S94+ЯНВАРЬ!S94+ФЕВРАЛЬ!S94+МАРТ!S94</f>
        <v>2</v>
      </c>
      <c r="T94" s="93">
        <f>ДЕКАБРЬ!T94+ЯНВАРЬ!T94+ФЕВРАЛЬ!T94+МАРТ!T94</f>
        <v>0</v>
      </c>
      <c r="U94" s="92">
        <f t="shared" si="38"/>
        <v>2</v>
      </c>
      <c r="V94" s="93">
        <f>ДЕКАБРЬ!V94+ЯНВАРЬ!V94+ФЕВРАЛЬ!V94+МАРТ!V94</f>
        <v>1644</v>
      </c>
      <c r="W94" s="93">
        <f>ДЕКАБРЬ!W94+ЯНВАРЬ!W94+ФЕВРАЛЬ!W94+МАРТ!W94</f>
        <v>0</v>
      </c>
      <c r="X94" s="92">
        <f t="shared" si="39"/>
        <v>1644</v>
      </c>
      <c r="Y94" s="93">
        <f>ДЕКАБРЬ!Y94+ЯНВАРЬ!Y94+ФЕВРАЛЬ!Y94+МАРТ!Y94</f>
        <v>2555.09</v>
      </c>
      <c r="Z94" s="93">
        <f>ДЕКАБРЬ!Z94+ЯНВАРЬ!Z94+ФЕВРАЛЬ!Z94+МАРТ!Z94</f>
        <v>0</v>
      </c>
      <c r="AA94" s="232">
        <f t="shared" si="40"/>
        <v>2555.09</v>
      </c>
      <c r="AB94" s="92">
        <f t="shared" si="44"/>
        <v>0</v>
      </c>
      <c r="AC94" s="234">
        <f t="shared" si="41"/>
        <v>8.7935211480692161E-5</v>
      </c>
      <c r="AD94" s="92">
        <f t="shared" si="42"/>
        <v>800.16</v>
      </c>
      <c r="AE94" s="93">
        <f>ДЕКАБРЬ!AE94+ЯНВАРЬ!AE94+ФЕВРАЛЬ!AE94+МАРТ!AE94</f>
        <v>955.21999999999991</v>
      </c>
      <c r="AF94" s="234">
        <f t="shared" si="43"/>
        <v>0.37384984481955619</v>
      </c>
      <c r="AG94" s="93">
        <f>ДЕКАБРЬ!AG94+ЯНВАРЬ!AG94+ФЕВРАЛЬ!AG94+МАРТ!AG94</f>
        <v>218.23</v>
      </c>
      <c r="AH94" s="93">
        <f>ДЕКАБРЬ!AH94+ЯНВАРЬ!AH94+ФЕВРАЛЬ!AH94+МАРТ!AH94</f>
        <v>0</v>
      </c>
      <c r="AI94" s="93">
        <f>ДЕКАБРЬ!AI94+ЯНВАРЬ!AI94+ФЕВРАЛЬ!AI94+МАРТ!AI94</f>
        <v>0</v>
      </c>
      <c r="AJ94" s="93">
        <f>ДЕКАБРЬ!AJ94+ЯНВАРЬ!AJ94+ФЕВРАЛЬ!AJ94+МАРТ!AJ94</f>
        <v>0</v>
      </c>
      <c r="AK94" s="93"/>
      <c r="AL94" s="93">
        <f>ДЕКАБРЬ!AL94+ЯНВАРЬ!AL94+ФЕВРАЛЬ!AL94+МАРТ!AL94</f>
        <v>6.9949184371767323</v>
      </c>
      <c r="AM94" s="93">
        <f>ДЕКАБРЬ!AM94+ЯНВАРЬ!AM94+ФЕВРАЛЬ!AM94+МАРТ!AM94</f>
        <v>0</v>
      </c>
      <c r="AN94" s="93">
        <f>ДЕКАБРЬ!AN94+ЯНВАРЬ!AN94+ФЕВРАЛЬ!AN94+МАРТ!AN94</f>
        <v>92.028765656698113</v>
      </c>
      <c r="AO94" s="95">
        <f t="shared" si="45"/>
        <v>482.45631590612555</v>
      </c>
      <c r="AP94" s="96"/>
      <c r="AQ94" s="97">
        <f t="shared" si="7"/>
        <v>1277.5450000000001</v>
      </c>
      <c r="AR94" s="98">
        <f t="shared" si="26"/>
        <v>400.08</v>
      </c>
      <c r="AS94" s="98">
        <f t="shared" si="9"/>
        <v>477.60999999999996</v>
      </c>
      <c r="AT94" s="98">
        <f t="shared" si="10"/>
        <v>109.11499999999999</v>
      </c>
      <c r="AU94" s="98">
        <f t="shared" si="46"/>
        <v>0</v>
      </c>
      <c r="AV94" s="98">
        <f t="array" ref="AV94">_xlfn.IFS(U94=0,AO94,U94&lt;0,AO94/-U94,U94&gt;0,AO94/U94)</f>
        <v>241.22815795306278</v>
      </c>
      <c r="AW94" s="234">
        <f t="shared" si="35"/>
        <v>0.18882165242951346</v>
      </c>
      <c r="AX94" s="234">
        <f t="shared" si="36"/>
        <v>0.60294980492167261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37"/>
        <v>0</v>
      </c>
      <c r="F95" s="93"/>
      <c r="G95" s="93"/>
      <c r="H95" s="93"/>
      <c r="I95" s="93"/>
      <c r="J95" s="93"/>
      <c r="K95" s="93">
        <v>400.08</v>
      </c>
      <c r="L95" s="92">
        <f t="shared" si="33"/>
        <v>0</v>
      </c>
      <c r="M95" s="89"/>
      <c r="N95" s="93">
        <f>ДЕКАБРЬ!N95+ЯНВАРЬ!N95+ФЕВРАЛЬ!N95+МАРТ!N95</f>
        <v>1</v>
      </c>
      <c r="O95" s="89"/>
      <c r="P95" s="89"/>
      <c r="Q95" s="233"/>
      <c r="R95" s="92"/>
      <c r="S95" s="93">
        <f>ДЕКАБРЬ!S95+ЯНВАРЬ!S95+ФЕВРАЛЬ!S95+МАРТ!S95</f>
        <v>1</v>
      </c>
      <c r="T95" s="93">
        <f>ДЕКАБРЬ!T95+ЯНВАРЬ!T95+ФЕВРАЛЬ!T95+МАРТ!T95</f>
        <v>0</v>
      </c>
      <c r="U95" s="92">
        <f t="shared" si="38"/>
        <v>1</v>
      </c>
      <c r="V95" s="93">
        <f>ДЕКАБРЬ!V95+ЯНВАРЬ!V95+ФЕВРАЛЬ!V95+МАРТ!V95</f>
        <v>1025</v>
      </c>
      <c r="W95" s="93">
        <f>ДЕКАБРЬ!W95+ЯНВАРЬ!W95+ФЕВРАЛЬ!W95+МАРТ!W95</f>
        <v>0</v>
      </c>
      <c r="X95" s="92">
        <f t="shared" si="39"/>
        <v>1025</v>
      </c>
      <c r="Y95" s="93">
        <f>ДЕКАБРЬ!Y95+ЯНВАРЬ!Y95+ФЕВРАЛЬ!Y95+МАРТ!Y95</f>
        <v>1647</v>
      </c>
      <c r="Z95" s="93">
        <f>ДЕКАБРЬ!Z95+ЯНВАРЬ!Z95+ФЕВРАЛЬ!Z95+МАРТ!Z95</f>
        <v>0</v>
      </c>
      <c r="AA95" s="232">
        <f t="shared" si="40"/>
        <v>1647</v>
      </c>
      <c r="AB95" s="92">
        <f t="shared" si="44"/>
        <v>0</v>
      </c>
      <c r="AC95" s="234">
        <f t="shared" si="41"/>
        <v>5.6682658265931913E-5</v>
      </c>
      <c r="AD95" s="92">
        <f t="shared" si="42"/>
        <v>400.08</v>
      </c>
      <c r="AE95" s="93">
        <f>ДЕКАБРЬ!AE95+ЯНВАРЬ!AE95+ФЕВРАЛЬ!AE95+МАРТ!AE95</f>
        <v>607.45000000000005</v>
      </c>
      <c r="AF95" s="234">
        <f t="shared" si="43"/>
        <v>0.36882210078931393</v>
      </c>
      <c r="AG95" s="93">
        <f>ДЕКАБРЬ!AG95+ЯНВАРЬ!AG95+ФЕВРАЛЬ!AG95+МАРТ!AG95</f>
        <v>34.799999999999997</v>
      </c>
      <c r="AH95" s="93">
        <f>ДЕКАБРЬ!AH95+ЯНВАРЬ!AH95+ФЕВРАЛЬ!AH95+МАРТ!AH95</f>
        <v>0</v>
      </c>
      <c r="AI95" s="93">
        <f>ДЕКАБРЬ!AI95+ЯНВАРЬ!AI95+ФЕВРАЛЬ!AI95+МАРТ!AI95</f>
        <v>0</v>
      </c>
      <c r="AJ95" s="93">
        <f>ДЕКАБРЬ!AJ95+ЯНВАРЬ!AJ95+ФЕВРАЛЬ!AJ95+МАРТ!AJ95</f>
        <v>0</v>
      </c>
      <c r="AK95" s="93"/>
      <c r="AL95" s="93">
        <f>ДЕКАБРЬ!AL95+ЯНВАРЬ!AL95+ФЕВРАЛЬ!AL95+МАРТ!AL95</f>
        <v>3.4974592185883662</v>
      </c>
      <c r="AM95" s="93">
        <f>ДЕКАБРЬ!AM95+ЯНВАРЬ!AM95+ФЕВРАЛЬ!AM95+МАРТ!AM95</f>
        <v>0</v>
      </c>
      <c r="AN95" s="93">
        <f>ДЕКАБРЬ!AN95+ЯНВАРЬ!AN95+ФЕВРАЛЬ!AN95+МАРТ!AN95</f>
        <v>57.551606948479609</v>
      </c>
      <c r="AO95" s="95">
        <f t="shared" si="45"/>
        <v>543.62093383293211</v>
      </c>
      <c r="AP95" s="96"/>
      <c r="AQ95" s="97">
        <f t="shared" si="7"/>
        <v>1647</v>
      </c>
      <c r="AR95" s="98">
        <f t="shared" si="26"/>
        <v>400.08</v>
      </c>
      <c r="AS95" s="98">
        <f t="shared" si="9"/>
        <v>607.45000000000005</v>
      </c>
      <c r="AT95" s="98">
        <f t="shared" si="10"/>
        <v>34.799999999999997</v>
      </c>
      <c r="AU95" s="98">
        <f t="shared" si="46"/>
        <v>0</v>
      </c>
      <c r="AV95" s="98">
        <f t="array" ref="AV95">_xlfn.IFS(U95=0,AO95,U95&lt;0,AO95/-U95,U95&gt;0,AO95/U95)</f>
        <v>543.62093383293211</v>
      </c>
      <c r="AW95" s="234">
        <f t="shared" si="35"/>
        <v>0.33006735508981916</v>
      </c>
      <c r="AX95" s="234">
        <f t="shared" si="36"/>
        <v>1.3587805784666369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37"/>
        <v>0</v>
      </c>
      <c r="F96" s="93"/>
      <c r="G96" s="93"/>
      <c r="H96" s="93"/>
      <c r="I96" s="93"/>
      <c r="J96" s="93"/>
      <c r="K96" s="93">
        <v>300.08</v>
      </c>
      <c r="L96" s="92">
        <f t="shared" si="33"/>
        <v>0</v>
      </c>
      <c r="M96" s="89"/>
      <c r="N96" s="93">
        <f>ДЕКАБРЬ!N96+ЯНВАРЬ!N96+ФЕВРАЛЬ!N96+МАРТ!N96</f>
        <v>1</v>
      </c>
      <c r="O96" s="89"/>
      <c r="P96" s="89"/>
      <c r="Q96" s="233"/>
      <c r="R96" s="92"/>
      <c r="S96" s="93">
        <f>ДЕКАБРЬ!S96+ЯНВАРЬ!S96+ФЕВРАЛЬ!S96+МАРТ!S96</f>
        <v>1</v>
      </c>
      <c r="T96" s="93">
        <f>ДЕКАБРЬ!T96+ЯНВАРЬ!T96+ФЕВРАЛЬ!T96+МАРТ!T96</f>
        <v>0</v>
      </c>
      <c r="U96" s="92">
        <f t="shared" si="38"/>
        <v>1</v>
      </c>
      <c r="V96" s="93">
        <f>ДЕКАБРЬ!V96+ЯНВАРЬ!V96+ФЕВРАЛЬ!V96+МАРТ!V96</f>
        <v>684</v>
      </c>
      <c r="W96" s="93">
        <f>ДЕКАБРЬ!W96+ЯНВАРЬ!W96+ФЕВРАЛЬ!W96+МАРТ!W96</f>
        <v>0</v>
      </c>
      <c r="X96" s="92">
        <f t="shared" si="39"/>
        <v>684</v>
      </c>
      <c r="Y96" s="93">
        <f>ДЕКАБРЬ!Y96+ЯНВАРЬ!Y96+ФЕВРАЛЬ!Y96+МАРТ!Y96</f>
        <v>998</v>
      </c>
      <c r="Z96" s="93">
        <f>ДЕКАБРЬ!Z96+ЯНВАРЬ!Z96+ФЕВРАЛЬ!Z96+МАРТ!Z96</f>
        <v>0</v>
      </c>
      <c r="AA96" s="232">
        <f t="shared" si="40"/>
        <v>998</v>
      </c>
      <c r="AB96" s="92">
        <f t="shared" si="44"/>
        <v>0</v>
      </c>
      <c r="AC96" s="234">
        <f t="shared" si="41"/>
        <v>3.4346868821736519E-5</v>
      </c>
      <c r="AD96" s="92">
        <f t="shared" si="42"/>
        <v>300.08</v>
      </c>
      <c r="AE96" s="93">
        <f>ДЕКАБРЬ!AE96+ЯНВАРЬ!AE96+ФЕВРАЛЬ!AE96+МАРТ!AE96</f>
        <v>378.91999999999996</v>
      </c>
      <c r="AF96" s="234">
        <f t="shared" si="43"/>
        <v>0.37967935871743486</v>
      </c>
      <c r="AG96" s="93">
        <f>ДЕКАБРЬ!AG96+ЯНВАРЬ!AG96+ФЕВРАЛЬ!AG96+МАРТ!AG96</f>
        <v>163.6</v>
      </c>
      <c r="AH96" s="93">
        <f>ДЕКАБРЬ!AH96+ЯНВАРЬ!AH96+ФЕВРАЛЬ!AH96+МАРТ!AH96</f>
        <v>0</v>
      </c>
      <c r="AI96" s="93">
        <f>ДЕКАБРЬ!AI96+ЯНВАРЬ!AI96+ФЕВРАЛЬ!AI96+МАРТ!AI96</f>
        <v>0</v>
      </c>
      <c r="AJ96" s="93">
        <f>ДЕКАБРЬ!AJ96+ЯНВАРЬ!AJ96+ФЕВРАЛЬ!AJ96+МАРТ!AJ96</f>
        <v>0</v>
      </c>
      <c r="AK96" s="93"/>
      <c r="AL96" s="93">
        <f>ДЕКАБРЬ!AL96+ЯНВАРЬ!AL96+ФЕВРАЛЬ!AL96+МАРТ!AL96</f>
        <v>3.4974592185883662</v>
      </c>
      <c r="AM96" s="93">
        <f>ДЕКАБРЬ!AM96+ЯНВАРЬ!AM96+ФЕВРАЛЬ!AM96+МАРТ!AM96</f>
        <v>0</v>
      </c>
      <c r="AN96" s="93">
        <f>ДЕКАБРЬ!AN96+ЯНВАРЬ!AN96+ФЕВРАЛЬ!AN96+МАРТ!AN96</f>
        <v>41.520435379884496</v>
      </c>
      <c r="AO96" s="95">
        <f t="shared" si="45"/>
        <v>110.38210540152724</v>
      </c>
      <c r="AP96" s="96"/>
      <c r="AQ96" s="97">
        <f t="shared" si="7"/>
        <v>998</v>
      </c>
      <c r="AR96" s="98">
        <f t="shared" si="26"/>
        <v>300.08</v>
      </c>
      <c r="AS96" s="98">
        <f t="shared" si="9"/>
        <v>378.91999999999996</v>
      </c>
      <c r="AT96" s="98">
        <f t="shared" si="10"/>
        <v>163.6</v>
      </c>
      <c r="AU96" s="98">
        <f t="shared" si="46"/>
        <v>0</v>
      </c>
      <c r="AV96" s="98">
        <f t="array" ref="AV96">_xlfn.IFS(U96=0,AO96,U96&lt;0,AO96/-U96,U96&gt;0,AO96/U96)</f>
        <v>110.38210540152724</v>
      </c>
      <c r="AW96" s="234">
        <f t="shared" si="35"/>
        <v>0.1106033120255784</v>
      </c>
      <c r="AX96" s="234">
        <f t="shared" si="36"/>
        <v>0.36784226006907239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37"/>
        <v>0</v>
      </c>
      <c r="F97" s="93"/>
      <c r="G97" s="93"/>
      <c r="H97" s="93"/>
      <c r="I97" s="93"/>
      <c r="J97" s="93"/>
      <c r="K97" s="93">
        <v>400.08</v>
      </c>
      <c r="L97" s="92">
        <f t="shared" si="33"/>
        <v>0</v>
      </c>
      <c r="M97" s="89"/>
      <c r="N97" s="93">
        <f>ДЕКАБРЬ!N97+ЯНВАРЬ!N97+ФЕВРАЛЬ!N97+МАРТ!N97</f>
        <v>8</v>
      </c>
      <c r="O97" s="89"/>
      <c r="P97" s="89"/>
      <c r="Q97" s="233"/>
      <c r="R97" s="92"/>
      <c r="S97" s="93">
        <f>ДЕКАБРЬ!S97+ЯНВАРЬ!S97+ФЕВРАЛЬ!S97+МАРТ!S97</f>
        <v>2</v>
      </c>
      <c r="T97" s="93">
        <f>ДЕКАБРЬ!T97+ЯНВАРЬ!T97+ФЕВРАЛЬ!T97+МАРТ!T97</f>
        <v>0</v>
      </c>
      <c r="U97" s="92">
        <f t="shared" si="38"/>
        <v>2</v>
      </c>
      <c r="V97" s="93">
        <f>ДЕКАБРЬ!V97+ЯНВАРЬ!V97+ФЕВРАЛЬ!V97+МАРТ!V97</f>
        <v>1880</v>
      </c>
      <c r="W97" s="93">
        <f>ДЕКАБРЬ!W97+ЯНВАРЬ!W97+ФЕВРАЛЬ!W97+МАРТ!W97</f>
        <v>0</v>
      </c>
      <c r="X97" s="92">
        <f t="shared" si="39"/>
        <v>1880</v>
      </c>
      <c r="Y97" s="93">
        <f>ДЕКАБРЬ!Y97+ЯНВАРЬ!Y97+ФЕВРАЛЬ!Y97+МАРТ!Y97</f>
        <v>2988</v>
      </c>
      <c r="Z97" s="93">
        <f>ДЕКАБРЬ!Z97+ЯНВАРЬ!Z97+ФЕВРАЛЬ!Z97+МАРТ!Z97</f>
        <v>0</v>
      </c>
      <c r="AA97" s="232">
        <f t="shared" si="40"/>
        <v>2988</v>
      </c>
      <c r="AB97" s="92">
        <f t="shared" si="44"/>
        <v>0</v>
      </c>
      <c r="AC97" s="234">
        <f t="shared" si="41"/>
        <v>1.0283411226387647E-4</v>
      </c>
      <c r="AD97" s="92">
        <f t="shared" si="42"/>
        <v>800.16</v>
      </c>
      <c r="AE97" s="93">
        <f>ДЕКАБРЬ!AE97+ЯНВАРЬ!AE97+ФЕВРАЛЬ!AE97+МАРТ!AE97</f>
        <v>1111.8899999999999</v>
      </c>
      <c r="AF97" s="234">
        <f t="shared" si="43"/>
        <v>0.37211847389558228</v>
      </c>
      <c r="AG97" s="93">
        <f>ДЕКАБРЬ!AG97+ЯНВАРЬ!AG97+ФЕВРАЛЬ!AG97+МАРТ!AG97</f>
        <v>426.75</v>
      </c>
      <c r="AH97" s="93">
        <f>ДЕКАБРЬ!AH97+ЯНВАРЬ!AH97+ФЕВРАЛЬ!AH97+МАРТ!AH97</f>
        <v>0</v>
      </c>
      <c r="AI97" s="93">
        <f>ДЕКАБРЬ!AI97+ЯНВАРЬ!AI97+ФЕВРАЛЬ!AI97+МАРТ!AI97</f>
        <v>0</v>
      </c>
      <c r="AJ97" s="93">
        <f>ДЕКАБРЬ!AJ97+ЯНВАРЬ!AJ97+ФЕВРАЛЬ!AJ97+МАРТ!AJ97</f>
        <v>0</v>
      </c>
      <c r="AK97" s="93"/>
      <c r="AL97" s="93">
        <f>ДЕКАБРЬ!AL97+ЯНВАРЬ!AL97+ФЕВРАЛЬ!AL97+МАРТ!AL97</f>
        <v>18.330739917036837</v>
      </c>
      <c r="AM97" s="93">
        <f>ДЕКАБРЬ!AM97+ЯНВАРЬ!AM97+ФЕВРАЛЬ!AM97+МАРТ!AM97</f>
        <v>0</v>
      </c>
      <c r="AN97" s="93">
        <f>ДЕКАБРЬ!AN97+ЯНВАРЬ!AN97+ФЕВРАЛЬ!AN97+МАРТ!AN97</f>
        <v>104.92748313260054</v>
      </c>
      <c r="AO97" s="95">
        <f t="shared" si="45"/>
        <v>525.94177695036296</v>
      </c>
      <c r="AP97" s="96"/>
      <c r="AQ97" s="97">
        <f t="shared" si="7"/>
        <v>1494</v>
      </c>
      <c r="AR97" s="98">
        <f t="shared" si="26"/>
        <v>400.08</v>
      </c>
      <c r="AS97" s="98">
        <f t="shared" si="9"/>
        <v>555.94499999999994</v>
      </c>
      <c r="AT97" s="98">
        <f t="shared" si="10"/>
        <v>213.375</v>
      </c>
      <c r="AU97" s="98">
        <f t="shared" si="46"/>
        <v>0</v>
      </c>
      <c r="AV97" s="98">
        <f t="array" ref="AV97">_xlfn.IFS(U97=0,AO97,U97&lt;0,AO97/-U97,U97&gt;0,AO97/U97)</f>
        <v>262.97088847518148</v>
      </c>
      <c r="AW97" s="234">
        <f t="shared" si="35"/>
        <v>0.17601799764068371</v>
      </c>
      <c r="AX97" s="234">
        <f t="shared" si="36"/>
        <v>0.65729576203554663</v>
      </c>
      <c r="AY97" s="99"/>
      <c r="AZ97" s="94">
        <f t="shared" si="13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37"/>
        <v>0</v>
      </c>
      <c r="F98" s="93"/>
      <c r="G98" s="93"/>
      <c r="H98" s="93"/>
      <c r="I98" s="93"/>
      <c r="J98" s="93"/>
      <c r="K98" s="93">
        <v>300.08</v>
      </c>
      <c r="L98" s="92">
        <f t="shared" si="33"/>
        <v>0</v>
      </c>
      <c r="M98" s="89"/>
      <c r="N98" s="93">
        <f>ДЕКАБРЬ!N98+ЯНВАРЬ!N98+ФЕВРАЛЬ!N98+МАРТ!N98</f>
        <v>9</v>
      </c>
      <c r="O98" s="89"/>
      <c r="P98" s="89"/>
      <c r="Q98" s="233"/>
      <c r="R98" s="92"/>
      <c r="S98" s="93">
        <f>ДЕКАБРЬ!S98+ЯНВАРЬ!S98+ФЕВРАЛЬ!S98+МАРТ!S98</f>
        <v>3</v>
      </c>
      <c r="T98" s="93">
        <f>ДЕКАБРЬ!T98+ЯНВАРЬ!T98+ФЕВРАЛЬ!T98+МАРТ!T98</f>
        <v>0</v>
      </c>
      <c r="U98" s="92">
        <f t="shared" si="38"/>
        <v>3</v>
      </c>
      <c r="V98" s="93">
        <f>ДЕКАБРЬ!V98+ЯНВАРЬ!V98+ФЕВРАЛЬ!V98+МАРТ!V98</f>
        <v>1742</v>
      </c>
      <c r="W98" s="93">
        <f>ДЕКАБРЬ!W98+ЯНВАРЬ!W98+ФЕВРАЛЬ!W98+МАРТ!W98</f>
        <v>0</v>
      </c>
      <c r="X98" s="92">
        <f t="shared" si="39"/>
        <v>1742</v>
      </c>
      <c r="Y98" s="93">
        <f>ДЕКАБРЬ!Y98+ЯНВАРЬ!Y98+ФЕВРАЛЬ!Y98+МАРТ!Y98</f>
        <v>2634</v>
      </c>
      <c r="Z98" s="93">
        <f>ДЕКАБРЬ!Z98+ЯНВАРЬ!Z98+ФЕВРАЛЬ!Z98+МАРТ!Z98</f>
        <v>0</v>
      </c>
      <c r="AA98" s="232">
        <f t="shared" si="40"/>
        <v>2634</v>
      </c>
      <c r="AB98" s="92">
        <f t="shared" si="44"/>
        <v>0</v>
      </c>
      <c r="AC98" s="234">
        <f t="shared" si="41"/>
        <v>9.0650954385224449E-5</v>
      </c>
      <c r="AD98" s="92">
        <f t="shared" si="42"/>
        <v>900.24</v>
      </c>
      <c r="AE98" s="93">
        <f>ДЕКАБРЬ!AE98+ЯНВАРЬ!AE98+ФЕВРАЛЬ!AE98+МАРТ!AE98</f>
        <v>998.18000000000006</v>
      </c>
      <c r="AF98" s="234">
        <f t="shared" si="43"/>
        <v>0.37895975702353835</v>
      </c>
      <c r="AG98" s="93">
        <f>ДЕКАБРЬ!AG98+ЯНВАРЬ!AG98+ФЕВРАЛЬ!AG98+МАРТ!AG98</f>
        <v>617.03</v>
      </c>
      <c r="AH98" s="93">
        <f>ДЕКАБРЬ!AH98+ЯНВАРЬ!AH98+ФЕВРАЛЬ!AH98+МАРТ!AH98</f>
        <v>0</v>
      </c>
      <c r="AI98" s="93">
        <f>ДЕКАБРЬ!AI98+ЯНВАРЬ!AI98+ФЕВРАЛЬ!AI98+МАРТ!AI98</f>
        <v>0</v>
      </c>
      <c r="AJ98" s="93">
        <f>ДЕКАБРЬ!AJ98+ЯНВАРЬ!AJ98+ФЕВРАЛЬ!AJ98+МАРТ!AJ98</f>
        <v>0</v>
      </c>
      <c r="AK98" s="93"/>
      <c r="AL98" s="93">
        <f>ДЕКАБРЬ!AL98+ЯНВАРЬ!AL98+ФЕВРАЛЬ!AL98+МАРТ!AL98</f>
        <v>102.59861980419231</v>
      </c>
      <c r="AM98" s="93">
        <f>ДЕКАБРЬ!AM98+ЯНВАРЬ!AM98+ФЕВРАЛЬ!AM98+МАРТ!AM98</f>
        <v>0</v>
      </c>
      <c r="AN98" s="93">
        <f>ДЕКАБРЬ!AN98+ЯНВАРЬ!AN98+ФЕВРАЛЬ!AN98+МАРТ!AN98</f>
        <v>97.623165344138584</v>
      </c>
      <c r="AO98" s="95">
        <f t="shared" si="45"/>
        <v>-81.67178514833094</v>
      </c>
      <c r="AP98" s="96"/>
      <c r="AQ98" s="97">
        <f t="shared" ref="AQ98:AQ103" si="47">IF(U98=0,0,AA98/U98)</f>
        <v>878</v>
      </c>
      <c r="AR98" s="98">
        <f t="shared" si="26"/>
        <v>300.08</v>
      </c>
      <c r="AS98" s="98">
        <f t="shared" ref="AS98:AS103" si="48">IF(U98=0,0,AE98/U98)</f>
        <v>332.72666666666669</v>
      </c>
      <c r="AT98" s="98">
        <f t="shared" ref="AT98:AT103" si="49">IF(S98=0,AG98/1,AG98/S98)</f>
        <v>205.67666666666665</v>
      </c>
      <c r="AU98" s="98">
        <f t="shared" si="46"/>
        <v>0</v>
      </c>
      <c r="AV98" s="98">
        <f t="array" ref="AV98">_xlfn.IFS(U98=0,AO98,U98&lt;0,AO98/-U98,U98&gt;0,AO98/U98)</f>
        <v>-27.223928382776979</v>
      </c>
      <c r="AW98" s="234">
        <f t="shared" si="35"/>
        <v>-3.1006752144392913E-2</v>
      </c>
      <c r="AX98" s="234">
        <f t="shared" si="36"/>
        <v>-9.0722235346497537E-2</v>
      </c>
      <c r="AY98" s="99"/>
      <c r="AZ98" s="94">
        <f t="shared" ref="AZ98:AZ103" si="50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37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51">E99*K99</f>
        <v>0</v>
      </c>
      <c r="M99" s="89"/>
      <c r="N99" s="272">
        <f>ФЕВРАЛЬ!N99+МАРТ!N99</f>
        <v>1</v>
      </c>
      <c r="O99" s="89"/>
      <c r="P99" s="89"/>
      <c r="Q99" s="233"/>
      <c r="R99" s="92"/>
      <c r="S99" s="272">
        <f>ФЕВРАЛЬ!S99+МАРТ!S99</f>
        <v>0</v>
      </c>
      <c r="T99" s="272">
        <f>ФЕВРАЛЬ!T99+МАРТ!T99</f>
        <v>0</v>
      </c>
      <c r="U99" s="92">
        <f t="shared" si="38"/>
        <v>0</v>
      </c>
      <c r="V99" s="272">
        <f>ФЕВРАЛЬ!V99+МАРТ!V99</f>
        <v>0</v>
      </c>
      <c r="W99" s="272">
        <f>ФЕВРАЛЬ!W99+МАРТ!W99</f>
        <v>0</v>
      </c>
      <c r="X99" s="92">
        <f t="shared" si="39"/>
        <v>0</v>
      </c>
      <c r="Y99" s="272">
        <f>ФЕВРАЛЬ!Y99+МАРТ!Y99</f>
        <v>0</v>
      </c>
      <c r="Z99" s="272">
        <f>ФЕВРАЛЬ!Z99+МАРТ!Z99</f>
        <v>0</v>
      </c>
      <c r="AA99" s="232">
        <f t="shared" si="40"/>
        <v>0</v>
      </c>
      <c r="AB99" s="92">
        <f t="shared" si="44"/>
        <v>0</v>
      </c>
      <c r="AC99" s="234">
        <f t="shared" ref="AC99:AC103" si="52">AA99/$AA$126</f>
        <v>0</v>
      </c>
      <c r="AD99" s="92">
        <f t="shared" si="42"/>
        <v>0</v>
      </c>
      <c r="AE99" s="272">
        <f>ФЕВРАЛЬ!AE99+МАРТ!AE99</f>
        <v>0</v>
      </c>
      <c r="AF99" s="234">
        <f t="shared" si="43"/>
        <v>0</v>
      </c>
      <c r="AG99" s="272">
        <f>ФЕВРАЛЬ!AG99+МАРТ!AG99</f>
        <v>0</v>
      </c>
      <c r="AH99" s="272">
        <f>ФЕВРАЛЬ!AH99+МАРТ!AH99</f>
        <v>0</v>
      </c>
      <c r="AI99" s="272">
        <f>ФЕВРАЛЬ!AI99+МАРТ!AI99</f>
        <v>0</v>
      </c>
      <c r="AJ99" s="272">
        <f>ФЕВРАЛЬ!AJ99+МАРТ!AJ99</f>
        <v>0</v>
      </c>
      <c r="AK99" s="93"/>
      <c r="AL99" s="272">
        <f>ФЕВРАЛЬ!AL99+МАРТ!AL99</f>
        <v>0</v>
      </c>
      <c r="AM99" s="272">
        <f>ФЕВРАЛЬ!AM99+МАРТ!AM99</f>
        <v>476</v>
      </c>
      <c r="AN99" s="272">
        <f>ФЕВРАЛЬ!AN99+МАРТ!AN99</f>
        <v>0</v>
      </c>
      <c r="AO99" s="95">
        <f>AA99-AD99-AE99-AG99-AH99-AI99-AK99-AL99-AN99-AM99</f>
        <v>-476</v>
      </c>
      <c r="AP99" s="96"/>
      <c r="AQ99" s="97">
        <f t="shared" si="47"/>
        <v>0</v>
      </c>
      <c r="AR99" s="98">
        <f t="shared" ref="AR99:AR103" si="53">K99</f>
        <v>142.97999999999999</v>
      </c>
      <c r="AS99" s="98">
        <f t="shared" si="48"/>
        <v>0</v>
      </c>
      <c r="AT99" s="98">
        <f t="shared" si="49"/>
        <v>0</v>
      </c>
      <c r="AU99" s="98">
        <f t="shared" si="46"/>
        <v>0</v>
      </c>
      <c r="AV99" s="98">
        <f t="array" ref="AV99">_xlfn.IFS(U99=0,AO99,U99&lt;0,AO99/-U99,U99&gt;0,AO99/U99)</f>
        <v>-476</v>
      </c>
      <c r="AW99" s="234">
        <f t="shared" ref="AW99:AW103" si="54">IF(AQ99=0,0,AV99/AQ99)</f>
        <v>0</v>
      </c>
      <c r="AX99" s="234">
        <f t="shared" ref="AX99:AX103" si="55">IF(AR99=0,0,AV99/AR99)</f>
        <v>-3.3291369422296828</v>
      </c>
      <c r="AY99" s="99"/>
      <c r="AZ99" s="94">
        <f t="shared" si="50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7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51"/>
        <v>0</v>
      </c>
      <c r="M100" s="89"/>
      <c r="N100" s="272">
        <f>ФЕВРАЛЬ!N100+МАРТ!N100</f>
        <v>23</v>
      </c>
      <c r="O100" s="89"/>
      <c r="P100" s="89"/>
      <c r="Q100" s="233"/>
      <c r="R100" s="92"/>
      <c r="S100" s="272">
        <f>ФЕВРАЛЬ!S100+МАРТ!S100</f>
        <v>9</v>
      </c>
      <c r="T100" s="272">
        <f>ФЕВРАЛЬ!T100+МАРТ!T100</f>
        <v>0</v>
      </c>
      <c r="U100" s="92">
        <f t="shared" si="38"/>
        <v>9</v>
      </c>
      <c r="V100" s="272">
        <f>ФЕВРАЛЬ!V100+МАРТ!V100</f>
        <v>8520</v>
      </c>
      <c r="W100" s="272">
        <f>ФЕВРАЛЬ!W100+МАРТ!W100</f>
        <v>0</v>
      </c>
      <c r="X100" s="92">
        <f t="shared" si="39"/>
        <v>8520</v>
      </c>
      <c r="Y100" s="272">
        <f>ФЕВРАЛЬ!Y100+МАРТ!Y100</f>
        <v>13300</v>
      </c>
      <c r="Z100" s="272">
        <f>ФЕВРАЛЬ!Z100+МАРТ!Z100</f>
        <v>0</v>
      </c>
      <c r="AA100" s="232">
        <f t="shared" si="40"/>
        <v>13300</v>
      </c>
      <c r="AB100" s="92">
        <f t="shared" si="44"/>
        <v>0</v>
      </c>
      <c r="AC100" s="234">
        <f t="shared" si="52"/>
        <v>4.5772881295500574E-4</v>
      </c>
      <c r="AD100" s="92">
        <f t="shared" si="42"/>
        <v>1286.82</v>
      </c>
      <c r="AE100" s="272">
        <f>ФЕВРАЛЬ!AE100+МАРТ!AE100</f>
        <v>5029.0499999999993</v>
      </c>
      <c r="AF100" s="234">
        <f t="shared" si="43"/>
        <v>0.37812406015037586</v>
      </c>
      <c r="AG100" s="272">
        <f>ФЕВРАЛЬ!AG100+МАРТ!AG100</f>
        <v>1360.1599999999999</v>
      </c>
      <c r="AH100" s="272">
        <f>ФЕВРАЛЬ!AH100+МАРТ!AH100</f>
        <v>2000</v>
      </c>
      <c r="AI100" s="272">
        <f>ФЕВРАЛЬ!AI100+МАРТ!AI100</f>
        <v>2500</v>
      </c>
      <c r="AJ100" s="272">
        <f>ФЕВРАЛЬ!AJ100+МАРТ!AJ100</f>
        <v>0</v>
      </c>
      <c r="AK100" s="93"/>
      <c r="AL100" s="272">
        <f>ФЕВРАЛЬ!AL100+МАРТ!AL100</f>
        <v>164.3532420233939</v>
      </c>
      <c r="AM100" s="272">
        <f>ФЕВРАЛЬ!AM100+МАРТ!AM100</f>
        <v>0</v>
      </c>
      <c r="AN100" s="272">
        <f>ФЕВРАЛЬ!AN100+МАРТ!AN100</f>
        <v>475.52242355838121</v>
      </c>
      <c r="AO100" s="95">
        <f t="shared" si="45"/>
        <v>484.09433441822603</v>
      </c>
      <c r="AP100" s="96"/>
      <c r="AQ100" s="97">
        <f t="shared" si="47"/>
        <v>1477.7777777777778</v>
      </c>
      <c r="AR100" s="98">
        <f t="shared" si="53"/>
        <v>142.97999999999999</v>
      </c>
      <c r="AS100" s="98">
        <f t="shared" si="48"/>
        <v>558.7833333333333</v>
      </c>
      <c r="AT100" s="98">
        <f t="shared" si="49"/>
        <v>151.12888888888887</v>
      </c>
      <c r="AU100" s="98">
        <f t="shared" si="46"/>
        <v>500</v>
      </c>
      <c r="AV100" s="98">
        <f t="array" ref="AV100">_xlfn.IFS(U100=0,AO100,U100&lt;0,AO100/-U100,U100&gt;0,AO100/U100)</f>
        <v>53.788259379802895</v>
      </c>
      <c r="AW100" s="234">
        <f t="shared" si="54"/>
        <v>3.6398070257009474E-2</v>
      </c>
      <c r="AX100" s="234">
        <f t="shared" si="55"/>
        <v>0.37619428857044973</v>
      </c>
      <c r="AY100" s="99"/>
      <c r="AZ100" s="94">
        <f t="shared" si="5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7"/>
        <v>0</v>
      </c>
      <c r="F101" s="93"/>
      <c r="G101" s="93"/>
      <c r="H101" s="93"/>
      <c r="I101" s="93"/>
      <c r="J101" s="93"/>
      <c r="K101" s="92">
        <v>123.09</v>
      </c>
      <c r="L101" s="92">
        <f t="shared" si="51"/>
        <v>0</v>
      </c>
      <c r="M101" s="89"/>
      <c r="N101" s="272">
        <f>ФЕВРАЛЬ!N101+МАРТ!N101</f>
        <v>2</v>
      </c>
      <c r="O101" s="89"/>
      <c r="P101" s="89"/>
      <c r="Q101" s="233"/>
      <c r="R101" s="92"/>
      <c r="S101" s="272">
        <f>ФЕВРАЛЬ!S101+МАРТ!S101</f>
        <v>2</v>
      </c>
      <c r="T101" s="272">
        <f>ФЕВРАЛЬ!T101+МАРТ!T101</f>
        <v>0</v>
      </c>
      <c r="U101" s="92">
        <f t="shared" si="38"/>
        <v>2</v>
      </c>
      <c r="V101" s="272">
        <f>ФЕВРАЛЬ!V101+МАРТ!V101</f>
        <v>1254.94</v>
      </c>
      <c r="W101" s="272">
        <f>ФЕВРАЛЬ!W101+МАРТ!W101</f>
        <v>0</v>
      </c>
      <c r="X101" s="92">
        <f t="shared" si="39"/>
        <v>1254.94</v>
      </c>
      <c r="Y101" s="272">
        <f>ФЕВРАЛЬ!Y101+МАРТ!Y101</f>
        <v>1799.94</v>
      </c>
      <c r="Z101" s="272">
        <f>ФЕВРАЛЬ!Z101+МАРТ!Z101</f>
        <v>0</v>
      </c>
      <c r="AA101" s="232">
        <f t="shared" si="40"/>
        <v>1799.94</v>
      </c>
      <c r="AB101" s="92">
        <f t="shared" si="44"/>
        <v>0</v>
      </c>
      <c r="AC101" s="234">
        <f t="shared" si="52"/>
        <v>6.1946195457912259E-5</v>
      </c>
      <c r="AD101" s="92">
        <f t="shared" si="42"/>
        <v>246.18</v>
      </c>
      <c r="AE101" s="272">
        <f>ФЕВРАЛЬ!AE101+МАРТ!AE101</f>
        <v>748.51</v>
      </c>
      <c r="AF101" s="234">
        <f t="shared" si="43"/>
        <v>0.41585275064724375</v>
      </c>
      <c r="AG101" s="272">
        <f>ФЕВРАЛЬ!AG101+МАРТ!AG101</f>
        <v>116.58</v>
      </c>
      <c r="AH101" s="272">
        <f>ФЕВРАЛЬ!AH101+МАРТ!AH101</f>
        <v>0</v>
      </c>
      <c r="AI101" s="272">
        <f>ФЕВРАЛЬ!AI101+МАРТ!AI101</f>
        <v>0</v>
      </c>
      <c r="AJ101" s="272">
        <f>ФЕВРАЛЬ!AJ101+МАРТ!AJ101</f>
        <v>0</v>
      </c>
      <c r="AK101" s="93"/>
      <c r="AL101" s="272">
        <f>ФЕВРАЛЬ!AL101+МАРТ!AL101</f>
        <v>0</v>
      </c>
      <c r="AM101" s="272">
        <f>ФЕВРАЛЬ!AM101+МАРТ!AM101</f>
        <v>0</v>
      </c>
      <c r="AN101" s="272">
        <f>ФЕВРАЛЬ!AN101+МАРТ!AN101</f>
        <v>70.462257194073175</v>
      </c>
      <c r="AO101" s="95">
        <f t="shared" si="45"/>
        <v>618.20774280592673</v>
      </c>
      <c r="AP101" s="96"/>
      <c r="AQ101" s="97">
        <f t="shared" si="47"/>
        <v>899.97</v>
      </c>
      <c r="AR101" s="98">
        <f t="shared" si="53"/>
        <v>123.09</v>
      </c>
      <c r="AS101" s="98">
        <f t="shared" si="48"/>
        <v>374.255</v>
      </c>
      <c r="AT101" s="98">
        <f t="shared" si="49"/>
        <v>58.29</v>
      </c>
      <c r="AU101" s="98">
        <f t="shared" si="46"/>
        <v>0</v>
      </c>
      <c r="AV101" s="98">
        <f t="array" ref="AV101">_xlfn.IFS(U101=0,AO101,U101&lt;0,AO101/-U101,U101&gt;0,AO101/U101)</f>
        <v>309.10387140296336</v>
      </c>
      <c r="AW101" s="234">
        <f t="shared" si="54"/>
        <v>0.3434601946764485</v>
      </c>
      <c r="AX101" s="234">
        <f t="shared" si="55"/>
        <v>2.5112021399217106</v>
      </c>
      <c r="AY101" s="99"/>
      <c r="AZ101" s="94">
        <f t="shared" si="5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7"/>
        <v>0</v>
      </c>
      <c r="F102" s="93"/>
      <c r="G102" s="93"/>
      <c r="H102" s="93"/>
      <c r="I102" s="93"/>
      <c r="J102" s="93"/>
      <c r="K102" s="92">
        <v>123.09</v>
      </c>
      <c r="L102" s="92">
        <f t="shared" si="51"/>
        <v>0</v>
      </c>
      <c r="M102" s="89"/>
      <c r="N102" s="272">
        <f>ФЕВРАЛЬ!N102+МАРТ!N102</f>
        <v>150</v>
      </c>
      <c r="O102" s="89"/>
      <c r="P102" s="89"/>
      <c r="Q102" s="233"/>
      <c r="R102" s="92"/>
      <c r="S102" s="272">
        <f>ФЕВРАЛЬ!S102+МАРТ!S102</f>
        <v>46</v>
      </c>
      <c r="T102" s="272">
        <f>ФЕВРАЛЬ!T102+МАРТ!T102</f>
        <v>-2</v>
      </c>
      <c r="U102" s="92">
        <f t="shared" si="38"/>
        <v>44</v>
      </c>
      <c r="V102" s="272">
        <f>ФЕВРАЛЬ!V102+МАРТ!V102</f>
        <v>39732.18</v>
      </c>
      <c r="W102" s="272">
        <f>ФЕВРАЛЬ!W102+МАРТ!W102</f>
        <v>-1606</v>
      </c>
      <c r="X102" s="92">
        <f t="shared" si="39"/>
        <v>38126.18</v>
      </c>
      <c r="Y102" s="272">
        <f>ФЕВРАЛЬ!Y102+МАРТ!Y102</f>
        <v>59800.2</v>
      </c>
      <c r="Z102" s="272">
        <f>ФЕВРАЛЬ!Z102+МАРТ!Z102</f>
        <v>-2600</v>
      </c>
      <c r="AA102" s="232">
        <f t="shared" si="40"/>
        <v>57200.2</v>
      </c>
      <c r="AB102" s="92">
        <f t="shared" si="44"/>
        <v>0</v>
      </c>
      <c r="AC102" s="234">
        <f t="shared" si="52"/>
        <v>1.9685849358487906E-3</v>
      </c>
      <c r="AD102" s="92">
        <f t="shared" si="42"/>
        <v>5415.96</v>
      </c>
      <c r="AE102" s="272">
        <f>ФЕВРАЛЬ!AE102+МАРТ!AE102</f>
        <v>21585.8</v>
      </c>
      <c r="AF102" s="234">
        <f t="shared" si="43"/>
        <v>0.37737280638878884</v>
      </c>
      <c r="AG102" s="272">
        <f>ФЕВРАЛЬ!AG102+МАРТ!AG102</f>
        <v>8273.5399999999991</v>
      </c>
      <c r="AH102" s="272">
        <f>ФЕВРАЛЬ!AH102+МАРТ!AH102</f>
        <v>9623</v>
      </c>
      <c r="AI102" s="272">
        <f>ФЕВРАЛЬ!AI102+МАРТ!AI102</f>
        <v>7500</v>
      </c>
      <c r="AJ102" s="272">
        <f>ФЕВРАЛЬ!AJ102+МАРТ!AJ102</f>
        <v>0</v>
      </c>
      <c r="AK102" s="93"/>
      <c r="AL102" s="272">
        <f>ФЕВРАЛЬ!AL102+МАРТ!AL102</f>
        <v>193.16761498765078</v>
      </c>
      <c r="AM102" s="272">
        <f>ФЕВРАЛЬ!AM102+МАРТ!AM102</f>
        <v>0</v>
      </c>
      <c r="AN102" s="272">
        <f>ФЕВРАЛЬ!AN102+МАРТ!AN102</f>
        <v>2127.917079181113</v>
      </c>
      <c r="AO102" s="95">
        <f t="shared" si="45"/>
        <v>2480.8153058312373</v>
      </c>
      <c r="AP102" s="96"/>
      <c r="AQ102" s="97">
        <f t="shared" si="47"/>
        <v>1300.0045454545455</v>
      </c>
      <c r="AR102" s="98">
        <f t="shared" si="53"/>
        <v>123.09</v>
      </c>
      <c r="AS102" s="98">
        <f t="shared" si="48"/>
        <v>490.58636363636361</v>
      </c>
      <c r="AT102" s="98">
        <f t="shared" si="49"/>
        <v>179.85956521739129</v>
      </c>
      <c r="AU102" s="98">
        <f t="shared" si="46"/>
        <v>372.23913043478262</v>
      </c>
      <c r="AV102" s="98">
        <f t="array" ref="AV102">_xlfn.IFS(U102=0,AO102,U102&lt;0,AO102/-U102,U102&gt;0,AO102/U102)</f>
        <v>56.38216604161903</v>
      </c>
      <c r="AW102" s="234">
        <f t="shared" si="54"/>
        <v>4.337074530912894E-2</v>
      </c>
      <c r="AX102" s="234">
        <f t="shared" si="55"/>
        <v>0.45805643059240414</v>
      </c>
      <c r="AY102" s="99"/>
      <c r="AZ102" s="94">
        <f t="shared" si="5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7"/>
        <v>0</v>
      </c>
      <c r="F103" s="93"/>
      <c r="G103" s="93"/>
      <c r="H103" s="93"/>
      <c r="I103" s="93"/>
      <c r="J103" s="93"/>
      <c r="K103" s="93">
        <v>107.88</v>
      </c>
      <c r="L103" s="92">
        <f t="shared" si="51"/>
        <v>0</v>
      </c>
      <c r="M103" s="89"/>
      <c r="N103" s="272">
        <f>ФЕВРАЛЬ!N103+МАРТ!N103</f>
        <v>1</v>
      </c>
      <c r="O103" s="89"/>
      <c r="P103" s="89"/>
      <c r="Q103" s="233"/>
      <c r="R103" s="92"/>
      <c r="S103" s="272">
        <f>ФЕВРАЛЬ!S103+МАРТ!S103</f>
        <v>0</v>
      </c>
      <c r="T103" s="272">
        <f>ФЕВРАЛЬ!T103+МАРТ!T103</f>
        <v>0</v>
      </c>
      <c r="U103" s="92">
        <f t="shared" si="38"/>
        <v>0</v>
      </c>
      <c r="V103" s="272">
        <f>ФЕВРАЛЬ!V103+МАРТ!V103</f>
        <v>0</v>
      </c>
      <c r="W103" s="272">
        <f>ФЕВРАЛЬ!W103+МАРТ!W103</f>
        <v>0</v>
      </c>
      <c r="X103" s="92">
        <f t="shared" si="39"/>
        <v>0</v>
      </c>
      <c r="Y103" s="272">
        <f>ФЕВРАЛЬ!Y103+МАРТ!Y103</f>
        <v>0</v>
      </c>
      <c r="Z103" s="272">
        <f>ФЕВРАЛЬ!Z103+МАРТ!Z103</f>
        <v>0</v>
      </c>
      <c r="AA103" s="232">
        <f t="shared" si="40"/>
        <v>0</v>
      </c>
      <c r="AB103" s="92">
        <f t="shared" si="44"/>
        <v>0</v>
      </c>
      <c r="AC103" s="234">
        <f t="shared" si="52"/>
        <v>0</v>
      </c>
      <c r="AD103" s="92">
        <f t="shared" si="42"/>
        <v>0</v>
      </c>
      <c r="AE103" s="272">
        <f>ФЕВРАЛЬ!AE103+МАРТ!AE103</f>
        <v>0</v>
      </c>
      <c r="AF103" s="234">
        <f t="shared" si="43"/>
        <v>0</v>
      </c>
      <c r="AG103" s="272">
        <f>ФЕВРАЛЬ!AG103+МАРТ!AG103</f>
        <v>0</v>
      </c>
      <c r="AH103" s="272">
        <f>ФЕВРАЛЬ!AH103+МАРТ!AH103</f>
        <v>0</v>
      </c>
      <c r="AI103" s="272">
        <f>ФЕВРАЛЬ!AI103+МАРТ!AI103</f>
        <v>0</v>
      </c>
      <c r="AJ103" s="272">
        <f>ФЕВРАЛЬ!AJ103+МАРТ!AJ103</f>
        <v>0</v>
      </c>
      <c r="AK103" s="93"/>
      <c r="AL103" s="272">
        <f>ФЕВРАЛЬ!AL103+МАРТ!AL103</f>
        <v>0</v>
      </c>
      <c r="AM103" s="272">
        <f>ФЕВРАЛЬ!AM103+МАРТ!AM103</f>
        <v>336</v>
      </c>
      <c r="AN103" s="272">
        <f>ФЕВРАЛЬ!AN103+МАРТ!AN103</f>
        <v>0</v>
      </c>
      <c r="AO103" s="95">
        <f t="shared" si="45"/>
        <v>-336</v>
      </c>
      <c r="AP103" s="96"/>
      <c r="AQ103" s="97">
        <f t="shared" si="47"/>
        <v>0</v>
      </c>
      <c r="AR103" s="98">
        <f t="shared" si="53"/>
        <v>107.88</v>
      </c>
      <c r="AS103" s="98">
        <f t="shared" si="48"/>
        <v>0</v>
      </c>
      <c r="AT103" s="98">
        <f t="shared" si="49"/>
        <v>0</v>
      </c>
      <c r="AU103" s="98">
        <f t="shared" si="46"/>
        <v>0</v>
      </c>
      <c r="AV103" s="98">
        <f t="array" ref="AV103">_xlfn.IFS(U103=0,AO103,U103&lt;0,AO103/-U103,U103&gt;0,AO103/U103)</f>
        <v>-336</v>
      </c>
      <c r="AW103" s="234">
        <f t="shared" si="54"/>
        <v>0</v>
      </c>
      <c r="AX103" s="234">
        <f t="shared" si="55"/>
        <v>-3.1145717463848723</v>
      </c>
      <c r="AY103" s="99"/>
      <c r="AZ103" s="94">
        <f t="shared" si="5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3"/>
      <c r="T104" s="103"/>
      <c r="U104" s="105"/>
      <c r="V104" s="103"/>
      <c r="W104" s="103"/>
      <c r="X104" s="105"/>
      <c r="Y104" s="103"/>
      <c r="Z104" s="103"/>
      <c r="AA104" s="235"/>
      <c r="AB104" s="105"/>
      <c r="AC104" s="237"/>
      <c r="AD104" s="105"/>
      <c r="AE104" s="103"/>
      <c r="AF104" s="237"/>
      <c r="AG104" s="103"/>
      <c r="AH104" s="103"/>
      <c r="AI104" s="103"/>
      <c r="AJ104" s="103"/>
      <c r="AK104" s="106"/>
      <c r="AL104" s="107"/>
      <c r="AM104" s="103"/>
      <c r="AN104" s="103"/>
      <c r="AO104" s="109"/>
      <c r="AP104" s="110"/>
      <c r="AQ104" s="111">
        <f t="shared" ref="AQ104:AX104" si="56">AVERAGE(AQ7:AQ98)</f>
        <v>902.09436329045491</v>
      </c>
      <c r="AR104" s="111">
        <f t="shared" si="56"/>
        <v>141.22217391304349</v>
      </c>
      <c r="AS104" s="111">
        <f t="shared" si="56"/>
        <v>338.44286343236564</v>
      </c>
      <c r="AT104" s="111">
        <f t="shared" si="56"/>
        <v>226.1437322443999</v>
      </c>
      <c r="AU104" s="111">
        <f t="shared" si="56"/>
        <v>183.71224513381955</v>
      </c>
      <c r="AV104" s="111">
        <f t="shared" si="56"/>
        <v>-73.907521319669641</v>
      </c>
      <c r="AW104" s="112">
        <f t="shared" si="56"/>
        <v>-2.271104915860651E-2</v>
      </c>
      <c r="AX104" s="112">
        <f t="shared" si="56"/>
        <v>-0.60873792803036342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57">SUM(E3:E103)</f>
        <v>0</v>
      </c>
      <c r="F105" s="116">
        <f t="shared" si="57"/>
        <v>0</v>
      </c>
      <c r="G105" s="116">
        <f t="shared" si="57"/>
        <v>0</v>
      </c>
      <c r="H105" s="116">
        <f t="shared" si="57"/>
        <v>0</v>
      </c>
      <c r="I105" s="116">
        <f t="shared" si="57"/>
        <v>0</v>
      </c>
      <c r="J105" s="116">
        <f t="shared" si="57"/>
        <v>0</v>
      </c>
      <c r="K105" s="116"/>
      <c r="L105" s="116">
        <f>SUM(L3:L103)</f>
        <v>0</v>
      </c>
      <c r="M105" s="116"/>
      <c r="N105" s="116">
        <f>SUM(N3:N103)</f>
        <v>45254</v>
      </c>
      <c r="O105" s="116"/>
      <c r="P105" s="116"/>
      <c r="Q105" s="212"/>
      <c r="R105" s="116"/>
      <c r="S105" s="116">
        <f t="shared" ref="S105:AE105" si="58">SUM(S3:S103)</f>
        <v>23669</v>
      </c>
      <c r="T105" s="116">
        <f t="shared" si="58"/>
        <v>-533</v>
      </c>
      <c r="U105" s="116">
        <f t="shared" si="58"/>
        <v>23136</v>
      </c>
      <c r="V105" s="116">
        <f t="shared" si="58"/>
        <v>19600213.390000004</v>
      </c>
      <c r="W105" s="116">
        <f t="shared" si="58"/>
        <v>-443743.27</v>
      </c>
      <c r="X105" s="116">
        <f t="shared" si="58"/>
        <v>19156470.120000005</v>
      </c>
      <c r="Y105" s="116">
        <f t="shared" si="58"/>
        <v>29727854.209999997</v>
      </c>
      <c r="Z105" s="116">
        <f t="shared" si="58"/>
        <v>-673427.20999999985</v>
      </c>
      <c r="AA105" s="238">
        <f t="shared" si="58"/>
        <v>29054426.999999996</v>
      </c>
      <c r="AB105" s="116">
        <f t="shared" si="58"/>
        <v>0</v>
      </c>
      <c r="AC105" s="239">
        <f t="shared" si="58"/>
        <v>0.99992844975923822</v>
      </c>
      <c r="AD105" s="117">
        <f t="shared" si="58"/>
        <v>2885140.0400000014</v>
      </c>
      <c r="AE105" s="116">
        <f t="shared" si="58"/>
        <v>10894220.250000011</v>
      </c>
      <c r="AF105" s="239">
        <f>AE105/AA105</f>
        <v>0.37495904668847929</v>
      </c>
      <c r="AG105" s="116">
        <f t="shared" ref="AG105:AO105" si="59">SUM(AG3:AG103)</f>
        <v>2973326.2300000009</v>
      </c>
      <c r="AH105" s="116">
        <f t="shared" si="59"/>
        <v>1170953</v>
      </c>
      <c r="AI105" s="116">
        <f t="shared" si="59"/>
        <v>2377697</v>
      </c>
      <c r="AJ105" s="116">
        <f t="shared" si="59"/>
        <v>5543</v>
      </c>
      <c r="AK105" s="117">
        <f t="shared" si="59"/>
        <v>0</v>
      </c>
      <c r="AL105" s="117">
        <f>SUM(AL3:AL103)</f>
        <v>80031.692540781456</v>
      </c>
      <c r="AM105" s="116">
        <f t="shared" si="59"/>
        <v>3583.1099999999997</v>
      </c>
      <c r="AN105" s="116">
        <f t="shared" si="59"/>
        <v>1072680.7398917298</v>
      </c>
      <c r="AO105" s="117">
        <f t="shared" si="59"/>
        <v>7596794.9375674846</v>
      </c>
      <c r="AP105" s="118"/>
      <c r="AQ105" s="116"/>
      <c r="AR105" s="116"/>
      <c r="AS105" s="116"/>
      <c r="AT105" s="116"/>
      <c r="AU105" s="240">
        <f>(AH105+AI105+AJ105)/S105</f>
        <v>150.16236427394483</v>
      </c>
      <c r="AV105" s="116"/>
      <c r="AW105" s="116"/>
      <c r="AX105" s="116"/>
      <c r="AY105" s="119"/>
      <c r="AZ105" s="116">
        <f>SUM(AZ3:AZ103)</f>
        <v>0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89"/>
      <c r="T106" s="89"/>
      <c r="U106" s="93"/>
      <c r="V106" s="89"/>
      <c r="W106" s="89"/>
      <c r="X106" s="93"/>
      <c r="Y106" s="89"/>
      <c r="Z106" s="89"/>
      <c r="AA106" s="241"/>
      <c r="AB106" s="93"/>
      <c r="AC106" s="243"/>
      <c r="AD106" s="93"/>
      <c r="AE106" s="89"/>
      <c r="AF106" s="243"/>
      <c r="AG106" s="89"/>
      <c r="AH106" s="89"/>
      <c r="AI106" s="89"/>
      <c r="AJ106" s="89"/>
      <c r="AK106" s="310"/>
      <c r="AL106" s="122"/>
      <c r="AM106" s="89"/>
      <c r="AN106" s="89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60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/>
      <c r="N107" s="93">
        <f>ДЕКАБРЬ!N102+ЯНВАРЬ!N102+ФЕВРАЛЬ!N107</f>
        <v>0</v>
      </c>
      <c r="O107" s="89"/>
      <c r="P107" s="89"/>
      <c r="Q107" s="233"/>
      <c r="R107" s="92"/>
      <c r="S107" s="93">
        <f>ДЕКАБРЬ!S102+ЯНВАРЬ!S102+ФЕВРАЛЬ!S107</f>
        <v>0</v>
      </c>
      <c r="T107" s="93">
        <f>ДЕКАБРЬ!T102+ЯНВАРЬ!T102+ФЕВРАЛЬ!T107</f>
        <v>0</v>
      </c>
      <c r="U107" s="92">
        <f t="shared" ref="U107:U111" si="61">S107+T107</f>
        <v>0</v>
      </c>
      <c r="V107" s="93">
        <f>ДЕКАБРЬ!V102+ЯНВАРЬ!V102+ФЕВРАЛЬ!V107</f>
        <v>0</v>
      </c>
      <c r="W107" s="93">
        <f>ДЕКАБРЬ!W102+ЯНВАРЬ!W102+ФЕВРАЛЬ!W107</f>
        <v>0</v>
      </c>
      <c r="X107" s="92">
        <f t="shared" ref="X107:X111" si="62">V107+W107</f>
        <v>0</v>
      </c>
      <c r="Y107" s="93">
        <f>ДЕКАБРЬ!Y102+ЯНВАРЬ!Y102+ФЕВРАЛЬ!Y107</f>
        <v>0</v>
      </c>
      <c r="Z107" s="93">
        <f>ДЕКАБРЬ!Z102+ЯНВАРЬ!Z102+ФЕВРАЛЬ!Z107</f>
        <v>0</v>
      </c>
      <c r="AA107" s="232">
        <f t="shared" ref="AA107:AA111" si="63">Y107+Z107</f>
        <v>0</v>
      </c>
      <c r="AB107" s="92">
        <f t="shared" ref="AB107:AB111" si="64">N107*O107*P107/100</f>
        <v>0</v>
      </c>
      <c r="AC107" s="234">
        <f t="shared" ref="AC107:AC111" si="65">AA107/$AA$126</f>
        <v>0</v>
      </c>
      <c r="AD107" s="92">
        <f t="shared" ref="AD107:AD111" si="66">U107*K107</f>
        <v>0</v>
      </c>
      <c r="AE107" s="93">
        <f>ДЕКАБРЬ!AE102+ЯНВАРЬ!AE102+ФЕВРАЛЬ!AE107</f>
        <v>0</v>
      </c>
      <c r="AF107" s="234">
        <f t="shared" ref="AF107:AF111" si="67">IF(AA107=0,0,AE107/AA107)</f>
        <v>0</v>
      </c>
      <c r="AG107" s="93">
        <f>ДЕКАБРЬ!AG102+ЯНВАРЬ!AG102+ФЕВРАЛЬ!AG107</f>
        <v>0</v>
      </c>
      <c r="AH107" s="93">
        <f>ДЕКАБРЬ!AH102+ЯНВАРЬ!AH102+ФЕВРАЛЬ!AH107</f>
        <v>0</v>
      </c>
      <c r="AI107" s="93">
        <f>ДЕКАБРЬ!AI102+ЯНВАРЬ!AI102+ФЕВРАЛЬ!AI107</f>
        <v>0</v>
      </c>
      <c r="AJ107" s="93">
        <f>ДЕКАБРЬ!AJ102+ЯНВАРЬ!AJ102+ФЕВРАЛЬ!AJ107</f>
        <v>0</v>
      </c>
      <c r="AK107" s="93"/>
      <c r="AL107" s="93">
        <f>ДЕКАБРЬ!AL102+ЯНВАРЬ!AL102+ФЕВРАЛЬ!AL107</f>
        <v>0</v>
      </c>
      <c r="AM107" s="93">
        <f>ДЕКАБРЬ!AM102+ЯНВАРЬ!AM102+ФЕВРАЛЬ!AM107</f>
        <v>0</v>
      </c>
      <c r="AN107" s="93">
        <f>ДЕКАБРЬ!AN102+ЯНВАРЬ!AN102+ФЕВРАЛЬ!AN107</f>
        <v>0</v>
      </c>
      <c r="AO107" s="95">
        <f t="shared" ref="AO107:AO111" si="68">AA107-AD107-AE107-AG107-AH107-AI107-AK107-AL107-AN107-AM107</f>
        <v>0</v>
      </c>
      <c r="AP107" s="96"/>
      <c r="AQ107" s="97">
        <f t="shared" ref="AQ107:AQ111" si="69">IF(U107=0,0,AA107/U107)</f>
        <v>0</v>
      </c>
      <c r="AR107" s="98">
        <f t="shared" ref="AR107:AR111" si="70">K107</f>
        <v>579.17999999999995</v>
      </c>
      <c r="AS107" s="98">
        <f t="shared" ref="AS107:AS111" si="71">IF(U107=0,0,AE107/U107)</f>
        <v>0</v>
      </c>
      <c r="AT107" s="98">
        <f t="shared" ref="AT107:AT111" si="72">IF(S107=0,AG107/1,AG107/S107)</f>
        <v>0</v>
      </c>
      <c r="AU107" s="98">
        <f t="shared" ref="AU107:AU111" si="73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74">IF(AQ107=0,0,AV107/AQ107)</f>
        <v>0</v>
      </c>
      <c r="AX107" s="234">
        <f t="shared" ref="AX107:AX111" si="75">IF(AR107=0,0,AV107/AR107)</f>
        <v>0</v>
      </c>
      <c r="AY107" s="99"/>
      <c r="AZ107" s="94">
        <f t="shared" ref="AZ107:AZ111" si="76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60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77">E108*K108</f>
        <v>1158.3599999999999</v>
      </c>
      <c r="M108" s="89"/>
      <c r="N108" s="93">
        <f>ДЕКАБРЬ!N103+ЯНВАРЬ!N103+ФЕВРАЛЬ!N108</f>
        <v>2</v>
      </c>
      <c r="O108" s="89"/>
      <c r="P108" s="89"/>
      <c r="Q108" s="233"/>
      <c r="R108" s="92"/>
      <c r="S108" s="93">
        <f>ДЕКАБРЬ!S103+ЯНВАРЬ!S103+ФЕВРАЛЬ!S108</f>
        <v>1</v>
      </c>
      <c r="T108" s="93">
        <f>ДЕКАБРЬ!T103+ЯНВАРЬ!T103+ФЕВРАЛЬ!T108</f>
        <v>0</v>
      </c>
      <c r="U108" s="92">
        <f t="shared" si="61"/>
        <v>1</v>
      </c>
      <c r="V108" s="93">
        <f>ДЕКАБРЬ!V103+ЯНВАРЬ!V103+ФЕВРАЛЬ!V108</f>
        <v>1407</v>
      </c>
      <c r="W108" s="93">
        <f>ДЕКАБРЬ!W103+ЯНВАРЬ!W103+ФЕВРАЛЬ!W108</f>
        <v>0</v>
      </c>
      <c r="X108" s="92">
        <f t="shared" si="62"/>
        <v>1407</v>
      </c>
      <c r="Y108" s="93">
        <f>ДЕКАБРЬ!Y103+ЯНВАРЬ!Y103+ФЕВРАЛЬ!Y108</f>
        <v>2079</v>
      </c>
      <c r="Z108" s="93">
        <f>ДЕКАБРЬ!Z103+ЯНВАРЬ!Z103+ФЕВРАЛЬ!Z108</f>
        <v>0</v>
      </c>
      <c r="AA108" s="232">
        <f t="shared" si="63"/>
        <v>2079</v>
      </c>
      <c r="AB108" s="92">
        <f t="shared" si="64"/>
        <v>0</v>
      </c>
      <c r="AC108" s="234">
        <f t="shared" si="65"/>
        <v>7.1550240761914058E-5</v>
      </c>
      <c r="AD108" s="92">
        <f t="shared" si="66"/>
        <v>579.17999999999995</v>
      </c>
      <c r="AE108" s="93">
        <f>ДЕКАБРЬ!AE103+ЯНВАРЬ!AE103+ФЕВРАЛЬ!AE108</f>
        <v>763.08999999999992</v>
      </c>
      <c r="AF108" s="234">
        <f t="shared" si="67"/>
        <v>0.36704665704665701</v>
      </c>
      <c r="AG108" s="93">
        <f>ДЕКАБРЬ!AG103+ЯНВАРЬ!AG103+ФЕВРАЛЬ!AG108</f>
        <v>307.56</v>
      </c>
      <c r="AH108" s="93">
        <f>ДЕКАБРЬ!AH103+ЯНВАРЬ!AH103+ФЕВРАЛЬ!AH108</f>
        <v>0</v>
      </c>
      <c r="AI108" s="93">
        <f>ДЕКАБРЬ!AI103+ЯНВАРЬ!AI103+ФЕВРАЛЬ!AI108</f>
        <v>0</v>
      </c>
      <c r="AJ108" s="93">
        <f>ДЕКАБРЬ!AJ103+ЯНВАРЬ!AJ103+ФЕВРАЛЬ!AJ108</f>
        <v>0</v>
      </c>
      <c r="AK108" s="93"/>
      <c r="AL108" s="93">
        <f>ДЕКАБРЬ!AL103+ЯНВАРЬ!AL103+ФЕВРАЛЬ!AL108</f>
        <v>33392.707459218589</v>
      </c>
      <c r="AM108" s="93">
        <f>ДЕКАБРЬ!AM103+ЯНВАРЬ!AM103+ФЕВРАЛЬ!AM108</f>
        <v>0</v>
      </c>
      <c r="AN108" s="93">
        <f>ДЕКАБРЬ!AN103+ЯНВАРЬ!AN103+ФЕВРАЛЬ!AN108</f>
        <v>79.000108269766642</v>
      </c>
      <c r="AO108" s="95">
        <f t="shared" si="68"/>
        <v>-33042.537567488354</v>
      </c>
      <c r="AP108" s="96"/>
      <c r="AQ108" s="97">
        <f t="shared" si="69"/>
        <v>2079</v>
      </c>
      <c r="AR108" s="98">
        <f t="shared" si="70"/>
        <v>579.17999999999995</v>
      </c>
      <c r="AS108" s="98">
        <f t="shared" si="71"/>
        <v>763.08999999999992</v>
      </c>
      <c r="AT108" s="98">
        <f t="shared" si="72"/>
        <v>307.56</v>
      </c>
      <c r="AU108" s="98">
        <f t="shared" si="73"/>
        <v>0</v>
      </c>
      <c r="AV108" s="98">
        <f t="array" ref="AV108">_xlfn.IFS(U108=0,AO108,U108&lt;0,AO108/-U108,U108&gt;0,AO108/U108)</f>
        <v>-33042.537567488354</v>
      </c>
      <c r="AW108" s="234">
        <f t="shared" si="74"/>
        <v>-15.893476463438361</v>
      </c>
      <c r="AX108" s="234">
        <f t="shared" si="75"/>
        <v>-57.05055003192161</v>
      </c>
      <c r="AY108" s="99"/>
      <c r="AZ108" s="94">
        <f t="shared" si="76"/>
        <v>-66085.075134976709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60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77"/>
        <v>1083.3599999999999</v>
      </c>
      <c r="M109" s="89"/>
      <c r="N109" s="93">
        <f>ДЕКАБРЬ!N104+ЯНВАРЬ!N104+ФЕВРАЛЬ!N109</f>
        <v>0</v>
      </c>
      <c r="O109" s="89"/>
      <c r="P109" s="89"/>
      <c r="Q109" s="233"/>
      <c r="R109" s="92"/>
      <c r="S109" s="93">
        <f>ДЕКАБРЬ!S104+ЯНВАРЬ!S104+ФЕВРАЛЬ!S109</f>
        <v>0</v>
      </c>
      <c r="T109" s="93">
        <f>ДЕКАБРЬ!T104+ЯНВАРЬ!T104+ФЕВРАЛЬ!T109</f>
        <v>0</v>
      </c>
      <c r="U109" s="92">
        <f t="shared" si="61"/>
        <v>0</v>
      </c>
      <c r="V109" s="93">
        <f>ДЕКАБРЬ!V104+ЯНВАРЬ!V104+ФЕВРАЛЬ!V109</f>
        <v>0</v>
      </c>
      <c r="W109" s="93">
        <f>ДЕКАБРЬ!W104+ЯНВАРЬ!W104+ФЕВРАЛЬ!W109</f>
        <v>0</v>
      </c>
      <c r="X109" s="92">
        <f t="shared" si="62"/>
        <v>0</v>
      </c>
      <c r="Y109" s="93">
        <f>ДЕКАБРЬ!Y104+ЯНВАРЬ!Y104+ФЕВРАЛЬ!Y109</f>
        <v>0</v>
      </c>
      <c r="Z109" s="93">
        <f>ДЕКАБРЬ!Z104+ЯНВАРЬ!Z104+ФЕВРАЛЬ!Z109</f>
        <v>0</v>
      </c>
      <c r="AA109" s="232">
        <f t="shared" si="63"/>
        <v>0</v>
      </c>
      <c r="AB109" s="92">
        <f t="shared" si="64"/>
        <v>0</v>
      </c>
      <c r="AC109" s="234">
        <f t="shared" si="65"/>
        <v>0</v>
      </c>
      <c r="AD109" s="92">
        <f t="shared" si="66"/>
        <v>0</v>
      </c>
      <c r="AE109" s="93">
        <f>ДЕКАБРЬ!AE104+ЯНВАРЬ!AE104+ФЕВРАЛЬ!AE109</f>
        <v>0</v>
      </c>
      <c r="AF109" s="234">
        <f t="shared" si="67"/>
        <v>0</v>
      </c>
      <c r="AG109" s="93">
        <f>ДЕКАБРЬ!AG104+ЯНВАРЬ!AG104+ФЕВРАЛЬ!AG109</f>
        <v>0</v>
      </c>
      <c r="AH109" s="93">
        <f>ДЕКАБРЬ!AH104+ЯНВАРЬ!AH104+ФЕВРАЛЬ!AH109</f>
        <v>0</v>
      </c>
      <c r="AI109" s="93">
        <f>ДЕКАБРЬ!AI104+ЯНВАРЬ!AI104+ФЕВРАЛЬ!AI109</f>
        <v>0</v>
      </c>
      <c r="AJ109" s="93">
        <f>ДЕКАБРЬ!AJ104+ЯНВАРЬ!AJ104+ФЕВРАЛЬ!AJ109</f>
        <v>0</v>
      </c>
      <c r="AK109" s="93"/>
      <c r="AL109" s="93">
        <f>ДЕКАБРЬ!AL104+ЯНВАРЬ!AL104+ФЕВРАЛЬ!AL109</f>
        <v>0</v>
      </c>
      <c r="AM109" s="93">
        <f>ДЕКАБРЬ!AM104+ЯНВАРЬ!AM104+ФЕВРАЛЬ!AM109</f>
        <v>0</v>
      </c>
      <c r="AN109" s="93">
        <f>ДЕКАБРЬ!AN104+ЯНВАРЬ!AN104+ФЕВРАЛЬ!AN109</f>
        <v>0</v>
      </c>
      <c r="AO109" s="95">
        <f t="shared" si="68"/>
        <v>0</v>
      </c>
      <c r="AP109" s="96"/>
      <c r="AQ109" s="97">
        <f t="shared" si="69"/>
        <v>0</v>
      </c>
      <c r="AR109" s="98">
        <f t="shared" si="70"/>
        <v>541.67999999999995</v>
      </c>
      <c r="AS109" s="98">
        <f t="shared" si="71"/>
        <v>0</v>
      </c>
      <c r="AT109" s="98">
        <f t="shared" si="72"/>
        <v>0</v>
      </c>
      <c r="AU109" s="98">
        <f t="shared" si="73"/>
        <v>0</v>
      </c>
      <c r="AV109" s="98">
        <f t="array" ref="AV109">_xlfn.IFS(U109=0,AO109,U109&lt;0,AO109/-U109,U109&gt;0,AO109/U109)</f>
        <v>0</v>
      </c>
      <c r="AW109" s="234">
        <f t="shared" si="74"/>
        <v>0</v>
      </c>
      <c r="AX109" s="234">
        <f t="shared" si="75"/>
        <v>0</v>
      </c>
      <c r="AY109" s="99"/>
      <c r="AZ109" s="94">
        <f t="shared" si="76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60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77"/>
        <v>541.67999999999995</v>
      </c>
      <c r="M110" s="89"/>
      <c r="N110" s="93">
        <f>ДЕКАБРЬ!N105+ЯНВАРЬ!N105+ФЕВРАЛЬ!N110</f>
        <v>0</v>
      </c>
      <c r="O110" s="89"/>
      <c r="P110" s="89"/>
      <c r="Q110" s="233"/>
      <c r="R110" s="92"/>
      <c r="S110" s="93">
        <f>ДЕКАБРЬ!S105+ЯНВАРЬ!S105+ФЕВРАЛЬ!S110</f>
        <v>0</v>
      </c>
      <c r="T110" s="93">
        <f>ДЕКАБРЬ!T105+ЯНВАРЬ!T105+ФЕВРАЛЬ!T110</f>
        <v>0</v>
      </c>
      <c r="U110" s="92">
        <f t="shared" si="61"/>
        <v>0</v>
      </c>
      <c r="V110" s="93">
        <f>ДЕКАБРЬ!V105+ЯНВАРЬ!V105+ФЕВРАЛЬ!V110</f>
        <v>0</v>
      </c>
      <c r="W110" s="93">
        <f>ДЕКАБРЬ!W105+ЯНВАРЬ!W105+ФЕВРАЛЬ!W110</f>
        <v>0</v>
      </c>
      <c r="X110" s="92">
        <f t="shared" si="62"/>
        <v>0</v>
      </c>
      <c r="Y110" s="93">
        <f>ДЕКАБРЬ!Y105+ЯНВАРЬ!Y105+ФЕВРАЛЬ!Y110</f>
        <v>0</v>
      </c>
      <c r="Z110" s="93">
        <f>ДЕКАБРЬ!Z105+ЯНВАРЬ!Z105+ФЕВРАЛЬ!Z110</f>
        <v>0</v>
      </c>
      <c r="AA110" s="232">
        <f t="shared" si="63"/>
        <v>0</v>
      </c>
      <c r="AB110" s="92">
        <f t="shared" si="64"/>
        <v>0</v>
      </c>
      <c r="AC110" s="234">
        <f t="shared" si="65"/>
        <v>0</v>
      </c>
      <c r="AD110" s="92">
        <f t="shared" si="66"/>
        <v>0</v>
      </c>
      <c r="AE110" s="93">
        <f>ДЕКАБРЬ!AE105+ЯНВАРЬ!AE105+ФЕВРАЛЬ!AE110</f>
        <v>0</v>
      </c>
      <c r="AF110" s="234">
        <f t="shared" si="67"/>
        <v>0</v>
      </c>
      <c r="AG110" s="93">
        <f>ДЕКАБРЬ!AG105+ЯНВАРЬ!AG105+ФЕВРАЛЬ!AG110</f>
        <v>0</v>
      </c>
      <c r="AH110" s="93">
        <f>ДЕКАБРЬ!AH105+ЯНВАРЬ!AH105+ФЕВРАЛЬ!AH110</f>
        <v>0</v>
      </c>
      <c r="AI110" s="93">
        <f>ДЕКАБРЬ!AI105+ЯНВАРЬ!AI105+ФЕВРАЛЬ!AI110</f>
        <v>0</v>
      </c>
      <c r="AJ110" s="93">
        <f>ДЕКАБРЬ!AJ105+ЯНВАРЬ!AJ105+ФЕВРАЛЬ!AJ110</f>
        <v>0</v>
      </c>
      <c r="AK110" s="93"/>
      <c r="AL110" s="93">
        <f>ДЕКАБРЬ!AL105+ЯНВАРЬ!AL105+ФЕВРАЛЬ!AL110</f>
        <v>0</v>
      </c>
      <c r="AM110" s="93">
        <f>ДЕКАБРЬ!AM105+ЯНВАРЬ!AM105+ФЕВРАЛЬ!AM110</f>
        <v>0</v>
      </c>
      <c r="AN110" s="93">
        <f>ДЕКАБРЬ!AN105+ЯНВАРЬ!AN105+ФЕВРАЛЬ!AN110</f>
        <v>0</v>
      </c>
      <c r="AO110" s="95">
        <f t="shared" si="68"/>
        <v>0</v>
      </c>
      <c r="AP110" s="96"/>
      <c r="AQ110" s="97">
        <f t="shared" si="69"/>
        <v>0</v>
      </c>
      <c r="AR110" s="98">
        <f t="shared" si="70"/>
        <v>541.67999999999995</v>
      </c>
      <c r="AS110" s="98">
        <f t="shared" si="71"/>
        <v>0</v>
      </c>
      <c r="AT110" s="98">
        <f t="shared" si="72"/>
        <v>0</v>
      </c>
      <c r="AU110" s="98">
        <f t="shared" si="73"/>
        <v>0</v>
      </c>
      <c r="AV110" s="98">
        <f t="array" ref="AV110">_xlfn.IFS(U110=0,AO110,U110&lt;0,AO110/-U110,U110&gt;0,AO110/U110)</f>
        <v>0</v>
      </c>
      <c r="AW110" s="234">
        <f t="shared" si="74"/>
        <v>0</v>
      </c>
      <c r="AX110" s="234">
        <f t="shared" si="75"/>
        <v>0</v>
      </c>
      <c r="AY110" s="99"/>
      <c r="AZ110" s="94">
        <f t="shared" si="76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60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77"/>
        <v>541.67999999999995</v>
      </c>
      <c r="M111" s="89"/>
      <c r="N111" s="93">
        <f>ДЕКАБРЬ!N106+ЯНВАРЬ!N106+ФЕВРАЛЬ!N111</f>
        <v>0</v>
      </c>
      <c r="O111" s="89"/>
      <c r="P111" s="89"/>
      <c r="Q111" s="233"/>
      <c r="R111" s="92"/>
      <c r="S111" s="93">
        <f>ДЕКАБРЬ!S106+ЯНВАРЬ!S106+ФЕВРАЛЬ!S111</f>
        <v>0</v>
      </c>
      <c r="T111" s="93">
        <f>ДЕКАБРЬ!T106+ЯНВАРЬ!T106+ФЕВРАЛЬ!T111</f>
        <v>0</v>
      </c>
      <c r="U111" s="92">
        <f t="shared" si="61"/>
        <v>0</v>
      </c>
      <c r="V111" s="93">
        <f>ДЕКАБРЬ!V106+ЯНВАРЬ!V106+ФЕВРАЛЬ!V111</f>
        <v>0</v>
      </c>
      <c r="W111" s="93">
        <f>ДЕКАБРЬ!W106+ЯНВАРЬ!W106+ФЕВРАЛЬ!W111</f>
        <v>0</v>
      </c>
      <c r="X111" s="92">
        <f t="shared" si="62"/>
        <v>0</v>
      </c>
      <c r="Y111" s="93">
        <f>ДЕКАБРЬ!Y106+ЯНВАРЬ!Y106+ФЕВРАЛЬ!Y111</f>
        <v>0</v>
      </c>
      <c r="Z111" s="93">
        <f>ДЕКАБРЬ!Z106+ЯНВАРЬ!Z106+ФЕВРАЛЬ!Z111</f>
        <v>0</v>
      </c>
      <c r="AA111" s="232">
        <f t="shared" si="63"/>
        <v>0</v>
      </c>
      <c r="AB111" s="92">
        <f t="shared" si="64"/>
        <v>0</v>
      </c>
      <c r="AC111" s="234">
        <f t="shared" si="65"/>
        <v>0</v>
      </c>
      <c r="AD111" s="92">
        <f t="shared" si="66"/>
        <v>0</v>
      </c>
      <c r="AE111" s="93">
        <f>ДЕКАБРЬ!AE106+ЯНВАРЬ!AE106+ФЕВРАЛЬ!AE111</f>
        <v>0</v>
      </c>
      <c r="AF111" s="234">
        <f t="shared" si="67"/>
        <v>0</v>
      </c>
      <c r="AG111" s="93">
        <f>ДЕКАБРЬ!AG106+ЯНВАРЬ!AG106+ФЕВРАЛЬ!AG111</f>
        <v>0</v>
      </c>
      <c r="AH111" s="93">
        <f>ДЕКАБРЬ!AH106+ЯНВАРЬ!AH106+ФЕВРАЛЬ!AH111</f>
        <v>0</v>
      </c>
      <c r="AI111" s="93">
        <f>ДЕКАБРЬ!AI106+ЯНВАРЬ!AI106+ФЕВРАЛЬ!AI111</f>
        <v>0</v>
      </c>
      <c r="AJ111" s="93">
        <f>ДЕКАБРЬ!AJ106+ЯНВАРЬ!AJ106+ФЕВРАЛЬ!AJ111</f>
        <v>0</v>
      </c>
      <c r="AK111" s="93"/>
      <c r="AL111" s="93">
        <f>ДЕКАБРЬ!AL106+ЯНВАРЬ!AL106+ФЕВРАЛЬ!AL111</f>
        <v>0</v>
      </c>
      <c r="AM111" s="93">
        <f>ДЕКАБРЬ!AM106+ЯНВАРЬ!AM106+ФЕВРАЛЬ!AM111</f>
        <v>0</v>
      </c>
      <c r="AN111" s="93">
        <f>ДЕКАБРЬ!AN106+ЯНВАРЬ!AN106+ФЕВРАЛЬ!AN111</f>
        <v>0</v>
      </c>
      <c r="AO111" s="95">
        <f t="shared" si="68"/>
        <v>0</v>
      </c>
      <c r="AP111" s="96"/>
      <c r="AQ111" s="97">
        <f t="shared" si="69"/>
        <v>0</v>
      </c>
      <c r="AR111" s="98">
        <f t="shared" si="70"/>
        <v>541.67999999999995</v>
      </c>
      <c r="AS111" s="98">
        <f t="shared" si="71"/>
        <v>0</v>
      </c>
      <c r="AT111" s="98">
        <f t="shared" si="72"/>
        <v>0</v>
      </c>
      <c r="AU111" s="98">
        <f t="shared" si="73"/>
        <v>0</v>
      </c>
      <c r="AV111" s="98">
        <f t="array" ref="AV111">_xlfn.IFS(U111=0,AO111,U111&lt;0,AO111/-U111,U111&gt;0,AO111/U111)</f>
        <v>0</v>
      </c>
      <c r="AW111" s="234">
        <f t="shared" si="74"/>
        <v>0</v>
      </c>
      <c r="AX111" s="234">
        <f t="shared" si="75"/>
        <v>0</v>
      </c>
      <c r="AY111" s="99"/>
      <c r="AZ111" s="94">
        <f t="shared" si="76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89"/>
      <c r="T112" s="89"/>
      <c r="U112" s="93"/>
      <c r="V112" s="89"/>
      <c r="W112" s="89"/>
      <c r="X112" s="93"/>
      <c r="Y112" s="89"/>
      <c r="Z112" s="89"/>
      <c r="AA112" s="241"/>
      <c r="AB112" s="93"/>
      <c r="AC112" s="243"/>
      <c r="AD112" s="93"/>
      <c r="AE112" s="89"/>
      <c r="AF112" s="243"/>
      <c r="AG112" s="89"/>
      <c r="AH112" s="89"/>
      <c r="AI112" s="89"/>
      <c r="AJ112" s="89"/>
      <c r="AK112" s="310"/>
      <c r="AL112" s="122"/>
      <c r="AM112" s="89"/>
      <c r="AN112" s="89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78">AVERAGE(AS107:AS111)</f>
        <v>152.61799999999999</v>
      </c>
      <c r="AT112" s="245">
        <f t="shared" si="78"/>
        <v>61.512</v>
      </c>
      <c r="AU112" s="245">
        <f t="shared" si="78"/>
        <v>0</v>
      </c>
      <c r="AV112" s="245">
        <f t="shared" si="78"/>
        <v>-6608.5075134976705</v>
      </c>
      <c r="AW112" s="246">
        <f t="shared" si="78"/>
        <v>-3.1786952926876721</v>
      </c>
      <c r="AX112" s="246">
        <f t="shared" si="78"/>
        <v>-11.410110006384322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79">SUM(E107:E111)</f>
        <v>7</v>
      </c>
      <c r="F113" s="249">
        <f t="shared" si="79"/>
        <v>0</v>
      </c>
      <c r="G113" s="249">
        <f t="shared" si="79"/>
        <v>0</v>
      </c>
      <c r="H113" s="249">
        <f t="shared" si="79"/>
        <v>1</v>
      </c>
      <c r="I113" s="249">
        <f t="shared" si="79"/>
        <v>0</v>
      </c>
      <c r="J113" s="249">
        <f t="shared" si="79"/>
        <v>6</v>
      </c>
      <c r="K113" s="249"/>
      <c r="L113" s="249">
        <f>SUM(L107:L111)</f>
        <v>3904.2599999999993</v>
      </c>
      <c r="M113" s="249"/>
      <c r="N113" s="249">
        <f>SUM(N107:N111)</f>
        <v>2</v>
      </c>
      <c r="O113" s="249"/>
      <c r="P113" s="249"/>
      <c r="Q113" s="251"/>
      <c r="R113" s="249"/>
      <c r="S113" s="249">
        <f>SUM(S107:S111)</f>
        <v>1</v>
      </c>
      <c r="T113" s="249">
        <f>SUM(T107:T111)</f>
        <v>0</v>
      </c>
      <c r="U113" s="249">
        <f t="shared" ref="U113:AD113" si="80">SUM(U107:U111)</f>
        <v>1</v>
      </c>
      <c r="V113" s="249">
        <f>SUM(V107:V111)</f>
        <v>1407</v>
      </c>
      <c r="W113" s="249">
        <f>SUM(W107:W111)</f>
        <v>0</v>
      </c>
      <c r="X113" s="249">
        <f t="shared" si="80"/>
        <v>1407</v>
      </c>
      <c r="Y113" s="249">
        <f>SUM(Y107:Y111)</f>
        <v>2079</v>
      </c>
      <c r="Z113" s="249">
        <f>SUM(Z107:Z111)</f>
        <v>0</v>
      </c>
      <c r="AA113" s="250">
        <f t="shared" si="80"/>
        <v>2079</v>
      </c>
      <c r="AB113" s="249">
        <f t="shared" si="80"/>
        <v>0</v>
      </c>
      <c r="AC113" s="252">
        <f t="shared" si="80"/>
        <v>7.1550240761914058E-5</v>
      </c>
      <c r="AD113" s="253">
        <f t="shared" si="80"/>
        <v>579.17999999999995</v>
      </c>
      <c r="AE113" s="249">
        <f>SUM(AE107:AE111)</f>
        <v>763.08999999999992</v>
      </c>
      <c r="AF113" s="252">
        <f>AE113/AA113</f>
        <v>0.36704665704665701</v>
      </c>
      <c r="AG113" s="249">
        <f>SUM(AG107:AG111)</f>
        <v>307.56</v>
      </c>
      <c r="AH113" s="249">
        <f>SUM(AH107:AH111)</f>
        <v>0</v>
      </c>
      <c r="AI113" s="249">
        <f>SUM(AI107:AI111)</f>
        <v>0</v>
      </c>
      <c r="AJ113" s="249">
        <f>SUM(AJ107:AJ111)</f>
        <v>0</v>
      </c>
      <c r="AK113" s="253">
        <f t="shared" ref="AK113:AO113" si="81">SUM(AK107:AK111)</f>
        <v>0</v>
      </c>
      <c r="AL113" s="253">
        <f>SUM(AL107:AL111)</f>
        <v>33392.707459218589</v>
      </c>
      <c r="AM113" s="249">
        <f>SUM(AM107:AM111)</f>
        <v>0</v>
      </c>
      <c r="AN113" s="249">
        <f>SUM(AN107:AN111)</f>
        <v>79.000108269766642</v>
      </c>
      <c r="AO113" s="253">
        <f t="shared" si="81"/>
        <v>-33042.537567488354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-66085.075134976709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139"/>
      <c r="AI114" s="139"/>
      <c r="AJ114" s="139"/>
      <c r="AK114" s="262"/>
      <c r="AL114" s="262"/>
      <c r="AM114" s="139"/>
      <c r="AN114" s="139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82">E115*K115</f>
        <v>280</v>
      </c>
      <c r="M115" s="89"/>
      <c r="N115" s="93">
        <f>ДЕКАБРЬ!N110+ЯНВАРЬ!N110+ФЕВРАЛЬ!N115</f>
        <v>0</v>
      </c>
      <c r="O115" s="89"/>
      <c r="P115" s="89"/>
      <c r="Q115" s="233"/>
      <c r="R115" s="92"/>
      <c r="S115" s="93">
        <f>ДЕКАБРЬ!S110+ЯНВАРЬ!S110+ФЕВРАЛЬ!S115</f>
        <v>0</v>
      </c>
      <c r="T115" s="93">
        <f>ДЕКАБРЬ!T110+ЯНВАРЬ!T110+ФЕВРАЛЬ!T115</f>
        <v>0</v>
      </c>
      <c r="U115" s="92">
        <f t="shared" ref="U115:U122" si="83">S115+T115</f>
        <v>0</v>
      </c>
      <c r="V115" s="93">
        <f>ДЕКАБРЬ!V110+ЯНВАРЬ!V110+ФЕВРАЛЬ!V115</f>
        <v>0</v>
      </c>
      <c r="W115" s="93">
        <f>ДЕКАБРЬ!W110+ЯНВАРЬ!W110+ФЕВРАЛЬ!W115</f>
        <v>0</v>
      </c>
      <c r="X115" s="92">
        <f t="shared" ref="X115:X122" si="84">V115+W115</f>
        <v>0</v>
      </c>
      <c r="Y115" s="93">
        <f>ДЕКАБРЬ!Y110+ЯНВАРЬ!Y110+ФЕВРАЛЬ!Y115</f>
        <v>0</v>
      </c>
      <c r="Z115" s="93">
        <f>ДЕКАБРЬ!Z110+ЯНВАРЬ!Z110+ФЕВРАЛЬ!Z115</f>
        <v>0</v>
      </c>
      <c r="AA115" s="232">
        <f t="shared" ref="AA115:AA122" si="85">Y115+Z115</f>
        <v>0</v>
      </c>
      <c r="AB115" s="92">
        <f t="shared" ref="AB115:AB122" si="86">N115*O115*P115/100</f>
        <v>0</v>
      </c>
      <c r="AC115" s="234">
        <f t="shared" ref="AC115:AC122" si="87">AA115/$AA$126</f>
        <v>0</v>
      </c>
      <c r="AD115" s="92">
        <f t="shared" ref="AD115:AD122" si="88">U115*K115</f>
        <v>0</v>
      </c>
      <c r="AE115" s="93">
        <f>ДЕКАБРЬ!AE110+ЯНВАРЬ!AE110+ФЕВРАЛЬ!AE115</f>
        <v>0</v>
      </c>
      <c r="AF115" s="234">
        <f t="shared" ref="AF115:AF122" si="89">IF(AA115=0,0,AE115/AA115)</f>
        <v>0</v>
      </c>
      <c r="AG115" s="93">
        <f>ДЕКАБРЬ!AG110+ЯНВАРЬ!AG110+ФЕВРАЛЬ!AG115</f>
        <v>0</v>
      </c>
      <c r="AH115" s="93">
        <f>ДЕКАБРЬ!AH110+ЯНВАРЬ!AH110+ФЕВРАЛЬ!AH115</f>
        <v>0</v>
      </c>
      <c r="AI115" s="93">
        <f>ДЕКАБРЬ!AI110+ЯНВАРЬ!AI110+ФЕВРАЛЬ!AI115</f>
        <v>0</v>
      </c>
      <c r="AJ115" s="93">
        <f>ДЕКАБРЬ!AJ110+ЯНВАРЬ!AJ110+ФЕВРАЛЬ!AJ115</f>
        <v>0</v>
      </c>
      <c r="AK115" s="93"/>
      <c r="AL115" s="93">
        <f>ДЕКАБРЬ!AL110+ЯНВАРЬ!AL110+ФЕВРАЛЬ!AL115</f>
        <v>0</v>
      </c>
      <c r="AM115" s="93">
        <f>ДЕКАБРЬ!AM110+ЯНВАРЬ!AM110+ФЕВРАЛЬ!AM115</f>
        <v>0</v>
      </c>
      <c r="AN115" s="93">
        <f>ДЕКАБРЬ!AN110+ЯНВАРЬ!AN110+ФЕВРАЛЬ!AN115</f>
        <v>0</v>
      </c>
      <c r="AO115" s="95">
        <f t="shared" ref="AO115:AO123" si="90">AA115-AD115-AE115-AG115-AH115-AI115-AK115-AL115-AN115-AM115</f>
        <v>0</v>
      </c>
      <c r="AP115" s="96"/>
      <c r="AQ115" s="97">
        <f t="shared" ref="AQ115:AQ122" si="91">IF(U115=0,0,AA115/U115)</f>
        <v>0</v>
      </c>
      <c r="AR115" s="98">
        <f t="shared" ref="AR115:AR122" si="92">K115</f>
        <v>140</v>
      </c>
      <c r="AS115" s="98">
        <f t="shared" ref="AS115:AS122" si="93">IF(U115=0,0,AE115/U115)</f>
        <v>0</v>
      </c>
      <c r="AT115" s="98">
        <f t="shared" ref="AT115:AT122" si="94">IF(S115=0,AG115/1,AG115/S115)</f>
        <v>0</v>
      </c>
      <c r="AU115" s="98">
        <f t="shared" ref="AU115:AU122" si="95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96">IF(AQ115=0,0,AV115/AQ115)</f>
        <v>0</v>
      </c>
      <c r="AX115" s="234">
        <f t="shared" ref="AX115:AX122" si="97">IF(AR115=0,0,AV115/AR115)</f>
        <v>0</v>
      </c>
      <c r="AY115" s="99"/>
      <c r="AZ115" s="94">
        <f t="shared" ref="AZ115:AZ122" si="98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99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82"/>
        <v>154</v>
      </c>
      <c r="M116" s="89"/>
      <c r="N116" s="93">
        <f>ДЕКАБРЬ!N111+ЯНВАРЬ!N111+ФЕВРАЛЬ!N116</f>
        <v>0</v>
      </c>
      <c r="O116" s="89"/>
      <c r="P116" s="89"/>
      <c r="Q116" s="233"/>
      <c r="R116" s="92"/>
      <c r="S116" s="93">
        <f>ДЕКАБРЬ!S111+ЯНВАРЬ!S111+ФЕВРАЛЬ!S116</f>
        <v>0</v>
      </c>
      <c r="T116" s="93">
        <f>ДЕКАБРЬ!T111+ЯНВАРЬ!T111+ФЕВРАЛЬ!T116</f>
        <v>0</v>
      </c>
      <c r="U116" s="92">
        <f t="shared" si="83"/>
        <v>0</v>
      </c>
      <c r="V116" s="93">
        <f>ДЕКАБРЬ!V111+ЯНВАРЬ!V111+ФЕВРАЛЬ!V116</f>
        <v>0</v>
      </c>
      <c r="W116" s="93">
        <f>ДЕКАБРЬ!W111+ЯНВАРЬ!W111+ФЕВРАЛЬ!W116</f>
        <v>0</v>
      </c>
      <c r="X116" s="92">
        <f t="shared" si="84"/>
        <v>0</v>
      </c>
      <c r="Y116" s="93">
        <f>ДЕКАБРЬ!Y111+ЯНВАРЬ!Y111+ФЕВРАЛЬ!Y116</f>
        <v>0</v>
      </c>
      <c r="Z116" s="93">
        <f>ДЕКАБРЬ!Z111+ЯНВАРЬ!Z111+ФЕВРАЛЬ!Z116</f>
        <v>0</v>
      </c>
      <c r="AA116" s="232">
        <f t="shared" si="85"/>
        <v>0</v>
      </c>
      <c r="AB116" s="92">
        <f t="shared" si="86"/>
        <v>0</v>
      </c>
      <c r="AC116" s="234">
        <f t="shared" si="87"/>
        <v>0</v>
      </c>
      <c r="AD116" s="92">
        <f t="shared" si="88"/>
        <v>0</v>
      </c>
      <c r="AE116" s="93">
        <f>ДЕКАБРЬ!AE111+ЯНВАРЬ!AE111+ФЕВРАЛЬ!AE116</f>
        <v>0</v>
      </c>
      <c r="AF116" s="234">
        <f t="shared" si="89"/>
        <v>0</v>
      </c>
      <c r="AG116" s="93">
        <f>ДЕКАБРЬ!AG111+ЯНВАРЬ!AG111+ФЕВРАЛЬ!AG116</f>
        <v>0</v>
      </c>
      <c r="AH116" s="93">
        <f>ДЕКАБРЬ!AH111+ЯНВАРЬ!AH111+ФЕВРАЛЬ!AH116</f>
        <v>0</v>
      </c>
      <c r="AI116" s="93">
        <f>ДЕКАБРЬ!AI111+ЯНВАРЬ!AI111+ФЕВРАЛЬ!AI116</f>
        <v>0</v>
      </c>
      <c r="AJ116" s="93">
        <f>ДЕКАБРЬ!AJ111+ЯНВАРЬ!AJ111+ФЕВРАЛЬ!AJ116</f>
        <v>0</v>
      </c>
      <c r="AK116" s="93"/>
      <c r="AL116" s="93">
        <f>ДЕКАБРЬ!AL111+ЯНВАРЬ!AL111+ФЕВРАЛЬ!AL116</f>
        <v>0</v>
      </c>
      <c r="AM116" s="93">
        <f>ДЕКАБРЬ!AM111+ЯНВАРЬ!AM111+ФЕВРАЛЬ!AM116</f>
        <v>0</v>
      </c>
      <c r="AN116" s="93">
        <f>ДЕКАБРЬ!AN111+ЯНВАРЬ!AN111+ФЕВРАЛЬ!AN116</f>
        <v>0</v>
      </c>
      <c r="AO116" s="95">
        <f t="shared" si="90"/>
        <v>0</v>
      </c>
      <c r="AP116" s="96"/>
      <c r="AQ116" s="97">
        <f t="shared" si="91"/>
        <v>0</v>
      </c>
      <c r="AR116" s="98">
        <f t="shared" si="92"/>
        <v>154</v>
      </c>
      <c r="AS116" s="98">
        <f t="shared" si="93"/>
        <v>0</v>
      </c>
      <c r="AT116" s="98">
        <f t="shared" si="94"/>
        <v>0</v>
      </c>
      <c r="AU116" s="98">
        <f t="shared" si="95"/>
        <v>0</v>
      </c>
      <c r="AV116" s="98">
        <f t="array" ref="AV116">_xlfn.IFS(U116=0,AO116,U116&lt;0,AO116/-U116,U116&gt;0,AO116/U116)</f>
        <v>0</v>
      </c>
      <c r="AW116" s="234">
        <f t="shared" si="96"/>
        <v>0</v>
      </c>
      <c r="AX116" s="234">
        <f t="shared" si="97"/>
        <v>0</v>
      </c>
      <c r="AY116" s="99"/>
      <c r="AZ116" s="94">
        <f t="shared" si="98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99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82"/>
        <v>220</v>
      </c>
      <c r="M117" s="89"/>
      <c r="N117" s="93">
        <f>ДЕКАБРЬ!N112+ЯНВАРЬ!N112+ФЕВРАЛЬ!N117</f>
        <v>0</v>
      </c>
      <c r="O117" s="89"/>
      <c r="P117" s="89"/>
      <c r="Q117" s="233"/>
      <c r="R117" s="92"/>
      <c r="S117" s="93">
        <f>ДЕКАБРЬ!S112+ЯНВАРЬ!S112+ФЕВРАЛЬ!S117</f>
        <v>0</v>
      </c>
      <c r="T117" s="93">
        <f>ДЕКАБРЬ!T112+ЯНВАРЬ!T112+ФЕВРАЛЬ!T117</f>
        <v>0</v>
      </c>
      <c r="U117" s="92">
        <f t="shared" si="83"/>
        <v>0</v>
      </c>
      <c r="V117" s="93">
        <f>ДЕКАБРЬ!V112+ЯНВАРЬ!V112+ФЕВРАЛЬ!V117</f>
        <v>0</v>
      </c>
      <c r="W117" s="93">
        <f>ДЕКАБРЬ!W112+ЯНВАРЬ!W112+ФЕВРАЛЬ!W117</f>
        <v>0</v>
      </c>
      <c r="X117" s="92">
        <f t="shared" si="84"/>
        <v>0</v>
      </c>
      <c r="Y117" s="93">
        <f>ДЕКАБРЬ!Y112+ЯНВАРЬ!Y112+ФЕВРАЛЬ!Y117</f>
        <v>0</v>
      </c>
      <c r="Z117" s="93">
        <f>ДЕКАБРЬ!Z112+ЯНВАРЬ!Z112+ФЕВРАЛЬ!Z117</f>
        <v>0</v>
      </c>
      <c r="AA117" s="232">
        <f t="shared" si="85"/>
        <v>0</v>
      </c>
      <c r="AB117" s="92">
        <f t="shared" si="86"/>
        <v>0</v>
      </c>
      <c r="AC117" s="234">
        <f t="shared" si="87"/>
        <v>0</v>
      </c>
      <c r="AD117" s="92">
        <f t="shared" si="88"/>
        <v>0</v>
      </c>
      <c r="AE117" s="93">
        <f>ДЕКАБРЬ!AE112+ЯНВАРЬ!AE112+ФЕВРАЛЬ!AE117</f>
        <v>0</v>
      </c>
      <c r="AF117" s="234">
        <f t="shared" si="89"/>
        <v>0</v>
      </c>
      <c r="AG117" s="93">
        <f>ДЕКАБРЬ!AG112+ЯНВАРЬ!AG112+ФЕВРАЛЬ!AG117</f>
        <v>0</v>
      </c>
      <c r="AH117" s="93">
        <f>ДЕКАБРЬ!AH112+ЯНВАРЬ!AH112+ФЕВРАЛЬ!AH117</f>
        <v>0</v>
      </c>
      <c r="AI117" s="93">
        <f>ДЕКАБРЬ!AI112+ЯНВАРЬ!AI112+ФЕВРАЛЬ!AI117</f>
        <v>0</v>
      </c>
      <c r="AJ117" s="93">
        <f>ДЕКАБРЬ!AJ112+ЯНВАРЬ!AJ112+ФЕВРАЛЬ!AJ117</f>
        <v>0</v>
      </c>
      <c r="AK117" s="93"/>
      <c r="AL117" s="93">
        <f>ДЕКАБРЬ!AL112+ЯНВАРЬ!AL112+ФЕВРАЛЬ!AL117</f>
        <v>0</v>
      </c>
      <c r="AM117" s="93">
        <f>ДЕКАБРЬ!AM112+ЯНВАРЬ!AM112+ФЕВРАЛЬ!AM117</f>
        <v>0</v>
      </c>
      <c r="AN117" s="93">
        <f>ДЕКАБРЬ!AN112+ЯНВАРЬ!AN112+ФЕВРАЛЬ!AN117</f>
        <v>0</v>
      </c>
      <c r="AO117" s="95">
        <f t="shared" si="90"/>
        <v>0</v>
      </c>
      <c r="AP117" s="96"/>
      <c r="AQ117" s="97">
        <f t="shared" si="91"/>
        <v>0</v>
      </c>
      <c r="AR117" s="98">
        <f t="shared" si="92"/>
        <v>220</v>
      </c>
      <c r="AS117" s="98">
        <f t="shared" si="93"/>
        <v>0</v>
      </c>
      <c r="AT117" s="98">
        <f t="shared" si="94"/>
        <v>0</v>
      </c>
      <c r="AU117" s="98">
        <f t="shared" si="95"/>
        <v>0</v>
      </c>
      <c r="AV117" s="98">
        <f t="array" ref="AV117">_xlfn.IFS(U117=0,AO117,U117&lt;0,AO117/-U117,U117&gt;0,AO117/U117)</f>
        <v>0</v>
      </c>
      <c r="AW117" s="234">
        <f t="shared" si="96"/>
        <v>0</v>
      </c>
      <c r="AX117" s="234">
        <f t="shared" si="97"/>
        <v>0</v>
      </c>
      <c r="AY117" s="99"/>
      <c r="AZ117" s="94">
        <f t="shared" si="98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99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82"/>
        <v>220</v>
      </c>
      <c r="M118" s="89"/>
      <c r="N118" s="93">
        <f>ДЕКАБРЬ!N113+ЯНВАРЬ!N113+ФЕВРАЛЬ!N118</f>
        <v>0</v>
      </c>
      <c r="O118" s="89"/>
      <c r="P118" s="89"/>
      <c r="Q118" s="233"/>
      <c r="R118" s="92"/>
      <c r="S118" s="93">
        <f>ДЕКАБРЬ!S113+ЯНВАРЬ!S113+ФЕВРАЛЬ!S118</f>
        <v>0</v>
      </c>
      <c r="T118" s="93">
        <f>ДЕКАБРЬ!T113+ЯНВАРЬ!T113+ФЕВРАЛЬ!T118</f>
        <v>0</v>
      </c>
      <c r="U118" s="92">
        <f t="shared" si="83"/>
        <v>0</v>
      </c>
      <c r="V118" s="93">
        <f>ДЕКАБРЬ!V113+ЯНВАРЬ!V113+ФЕВРАЛЬ!V118</f>
        <v>0</v>
      </c>
      <c r="W118" s="93">
        <f>ДЕКАБРЬ!W113+ЯНВАРЬ!W113+ФЕВРАЛЬ!W118</f>
        <v>0</v>
      </c>
      <c r="X118" s="92">
        <f t="shared" si="84"/>
        <v>0</v>
      </c>
      <c r="Y118" s="93">
        <f>ДЕКАБРЬ!Y113+ЯНВАРЬ!Y113+ФЕВРАЛЬ!Y118</f>
        <v>0</v>
      </c>
      <c r="Z118" s="93">
        <f>ДЕКАБРЬ!Z113+ЯНВАРЬ!Z113+ФЕВРАЛЬ!Z118</f>
        <v>0</v>
      </c>
      <c r="AA118" s="232">
        <f t="shared" si="85"/>
        <v>0</v>
      </c>
      <c r="AB118" s="92">
        <f t="shared" si="86"/>
        <v>0</v>
      </c>
      <c r="AC118" s="234">
        <f t="shared" si="87"/>
        <v>0</v>
      </c>
      <c r="AD118" s="92">
        <f t="shared" si="88"/>
        <v>0</v>
      </c>
      <c r="AE118" s="93">
        <f>ДЕКАБРЬ!AE113+ЯНВАРЬ!AE113+ФЕВРАЛЬ!AE118</f>
        <v>0</v>
      </c>
      <c r="AF118" s="234">
        <f t="shared" si="89"/>
        <v>0</v>
      </c>
      <c r="AG118" s="93">
        <f>ДЕКАБРЬ!AG113+ЯНВАРЬ!AG113+ФЕВРАЛЬ!AG118</f>
        <v>0</v>
      </c>
      <c r="AH118" s="93">
        <f>ДЕКАБРЬ!AH113+ЯНВАРЬ!AH113+ФЕВРАЛЬ!AH118</f>
        <v>0</v>
      </c>
      <c r="AI118" s="93">
        <f>ДЕКАБРЬ!AI113+ЯНВАРЬ!AI113+ФЕВРАЛЬ!AI118</f>
        <v>0</v>
      </c>
      <c r="AJ118" s="93">
        <f>ДЕКАБРЬ!AJ113+ЯНВАРЬ!AJ113+ФЕВРАЛЬ!AJ118</f>
        <v>0</v>
      </c>
      <c r="AK118" s="93"/>
      <c r="AL118" s="93">
        <f>ДЕКАБРЬ!AL113+ЯНВАРЬ!AL113+ФЕВРАЛЬ!AL118</f>
        <v>0</v>
      </c>
      <c r="AM118" s="93">
        <f>ДЕКАБРЬ!AM113+ЯНВАРЬ!AM113+ФЕВРАЛЬ!AM118</f>
        <v>0</v>
      </c>
      <c r="AN118" s="93">
        <f>ДЕКАБРЬ!AN113+ЯНВАРЬ!AN113+ФЕВРАЛЬ!AN118</f>
        <v>0</v>
      </c>
      <c r="AO118" s="95">
        <f t="shared" si="90"/>
        <v>0</v>
      </c>
      <c r="AP118" s="96"/>
      <c r="AQ118" s="97">
        <f t="shared" si="91"/>
        <v>0</v>
      </c>
      <c r="AR118" s="98">
        <f t="shared" si="92"/>
        <v>220</v>
      </c>
      <c r="AS118" s="98">
        <f t="shared" si="93"/>
        <v>0</v>
      </c>
      <c r="AT118" s="98">
        <f t="shared" si="94"/>
        <v>0</v>
      </c>
      <c r="AU118" s="98">
        <f t="shared" si="95"/>
        <v>0</v>
      </c>
      <c r="AV118" s="98">
        <f t="array" ref="AV118">_xlfn.IFS(U118=0,AO118,U118&lt;0,AO118/-U118,U118&gt;0,AO118/U118)</f>
        <v>0</v>
      </c>
      <c r="AW118" s="234">
        <f t="shared" si="96"/>
        <v>0</v>
      </c>
      <c r="AX118" s="234">
        <f t="shared" si="97"/>
        <v>0</v>
      </c>
      <c r="AY118" s="99"/>
      <c r="AZ118" s="94">
        <f t="shared" si="98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99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82"/>
        <v>1320</v>
      </c>
      <c r="M119" s="89"/>
      <c r="N119" s="93">
        <f>ДЕКАБРЬ!N114+ЯНВАРЬ!N114+ФЕВРАЛЬ!N119</f>
        <v>0</v>
      </c>
      <c r="O119" s="89"/>
      <c r="P119" s="89"/>
      <c r="Q119" s="233"/>
      <c r="R119" s="92"/>
      <c r="S119" s="93">
        <f>ДЕКАБРЬ!S114+ЯНВАРЬ!S114+ФЕВРАЛЬ!S119</f>
        <v>0</v>
      </c>
      <c r="T119" s="93">
        <f>ДЕКАБРЬ!T114+ЯНВАРЬ!T114+ФЕВРАЛЬ!T119</f>
        <v>0</v>
      </c>
      <c r="U119" s="92">
        <f t="shared" si="83"/>
        <v>0</v>
      </c>
      <c r="V119" s="93">
        <f>ДЕКАБРЬ!V114+ЯНВАРЬ!V114+ФЕВРАЛЬ!V119</f>
        <v>0</v>
      </c>
      <c r="W119" s="93">
        <f>ДЕКАБРЬ!W114+ЯНВАРЬ!W114+ФЕВРАЛЬ!W119</f>
        <v>0</v>
      </c>
      <c r="X119" s="92">
        <f t="shared" si="84"/>
        <v>0</v>
      </c>
      <c r="Y119" s="93">
        <f>ДЕКАБРЬ!Y114+ЯНВАРЬ!Y114+ФЕВРАЛЬ!Y119</f>
        <v>0</v>
      </c>
      <c r="Z119" s="93">
        <f>ДЕКАБРЬ!Z114+ЯНВАРЬ!Z114+ФЕВРАЛЬ!Z119</f>
        <v>0</v>
      </c>
      <c r="AA119" s="232">
        <f t="shared" si="85"/>
        <v>0</v>
      </c>
      <c r="AB119" s="92">
        <f t="shared" si="86"/>
        <v>0</v>
      </c>
      <c r="AC119" s="234">
        <f t="shared" si="87"/>
        <v>0</v>
      </c>
      <c r="AD119" s="92">
        <f t="shared" si="88"/>
        <v>0</v>
      </c>
      <c r="AE119" s="93">
        <f>ДЕКАБРЬ!AE114+ЯНВАРЬ!AE114+ФЕВРАЛЬ!AE119</f>
        <v>0</v>
      </c>
      <c r="AF119" s="234">
        <f t="shared" si="89"/>
        <v>0</v>
      </c>
      <c r="AG119" s="93">
        <f>ДЕКАБРЬ!AG114+ЯНВАРЬ!AG114+ФЕВРАЛЬ!AG119</f>
        <v>0</v>
      </c>
      <c r="AH119" s="93">
        <f>ДЕКАБРЬ!AH114+ЯНВАРЬ!AH114+ФЕВРАЛЬ!AH119</f>
        <v>0</v>
      </c>
      <c r="AI119" s="93">
        <f>ДЕКАБРЬ!AI114+ЯНВАРЬ!AI114+ФЕВРАЛЬ!AI119</f>
        <v>0</v>
      </c>
      <c r="AJ119" s="93">
        <f>ДЕКАБРЬ!AJ114+ЯНВАРЬ!AJ114+ФЕВРАЛЬ!AJ119</f>
        <v>0</v>
      </c>
      <c r="AK119" s="93"/>
      <c r="AL119" s="93">
        <f>ДЕКАБРЬ!AL114+ЯНВАРЬ!AL114+ФЕВРАЛЬ!AL119</f>
        <v>0</v>
      </c>
      <c r="AM119" s="93">
        <f>ДЕКАБРЬ!AM114+ЯНВАРЬ!AM114+ФЕВРАЛЬ!AM119</f>
        <v>0</v>
      </c>
      <c r="AN119" s="93">
        <f>ДЕКАБРЬ!AN114+ЯНВАРЬ!AN114+ФЕВРАЛЬ!AN119</f>
        <v>0</v>
      </c>
      <c r="AO119" s="95">
        <f t="shared" si="90"/>
        <v>0</v>
      </c>
      <c r="AP119" s="96"/>
      <c r="AQ119" s="97">
        <f t="shared" si="91"/>
        <v>0</v>
      </c>
      <c r="AR119" s="98">
        <f t="shared" si="92"/>
        <v>220</v>
      </c>
      <c r="AS119" s="98">
        <f t="shared" si="93"/>
        <v>0</v>
      </c>
      <c r="AT119" s="98">
        <f t="shared" si="94"/>
        <v>0</v>
      </c>
      <c r="AU119" s="98">
        <f t="shared" si="95"/>
        <v>0</v>
      </c>
      <c r="AV119" s="98">
        <f t="array" ref="AV119">_xlfn.IFS(U119=0,AO119,U119&lt;0,AO119/-U119,U119&gt;0,AO119/U119)</f>
        <v>0</v>
      </c>
      <c r="AW119" s="234">
        <f t="shared" si="96"/>
        <v>0</v>
      </c>
      <c r="AX119" s="234">
        <f t="shared" si="97"/>
        <v>0</v>
      </c>
      <c r="AY119" s="99"/>
      <c r="AZ119" s="94">
        <f t="shared" si="98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99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82"/>
        <v>205</v>
      </c>
      <c r="M120" s="89"/>
      <c r="N120" s="93">
        <f>ДЕКАБРЬ!N115+ЯНВАРЬ!N115+ФЕВРАЛЬ!N120</f>
        <v>0</v>
      </c>
      <c r="O120" s="89"/>
      <c r="P120" s="89"/>
      <c r="Q120" s="233"/>
      <c r="R120" s="92"/>
      <c r="S120" s="93">
        <f>ДЕКАБРЬ!S115+ЯНВАРЬ!S115+ФЕВРАЛЬ!S120</f>
        <v>0</v>
      </c>
      <c r="T120" s="93">
        <f>ДЕКАБРЬ!T115+ЯНВАРЬ!T115+ФЕВРАЛЬ!T120</f>
        <v>0</v>
      </c>
      <c r="U120" s="92">
        <f t="shared" si="83"/>
        <v>0</v>
      </c>
      <c r="V120" s="93">
        <f>ДЕКАБРЬ!V115+ЯНВАРЬ!V115+ФЕВРАЛЬ!V120</f>
        <v>0</v>
      </c>
      <c r="W120" s="93">
        <f>ДЕКАБРЬ!W115+ЯНВАРЬ!W115+ФЕВРАЛЬ!W120</f>
        <v>0</v>
      </c>
      <c r="X120" s="92">
        <f t="shared" si="84"/>
        <v>0</v>
      </c>
      <c r="Y120" s="93">
        <f>ДЕКАБРЬ!Y115+ЯНВАРЬ!Y115+ФЕВРАЛЬ!Y120</f>
        <v>0</v>
      </c>
      <c r="Z120" s="93">
        <f>ДЕКАБРЬ!Z115+ЯНВАРЬ!Z115+ФЕВРАЛЬ!Z120</f>
        <v>0</v>
      </c>
      <c r="AA120" s="232">
        <f t="shared" si="85"/>
        <v>0</v>
      </c>
      <c r="AB120" s="92">
        <f t="shared" si="86"/>
        <v>0</v>
      </c>
      <c r="AC120" s="234">
        <f t="shared" si="87"/>
        <v>0</v>
      </c>
      <c r="AD120" s="92">
        <f t="shared" si="88"/>
        <v>0</v>
      </c>
      <c r="AE120" s="93">
        <f>ДЕКАБРЬ!AE115+ЯНВАРЬ!AE115+ФЕВРАЛЬ!AE120</f>
        <v>0</v>
      </c>
      <c r="AF120" s="234">
        <f t="shared" si="89"/>
        <v>0</v>
      </c>
      <c r="AG120" s="93">
        <f>ДЕКАБРЬ!AG115+ЯНВАРЬ!AG115+ФЕВРАЛЬ!AG120</f>
        <v>0</v>
      </c>
      <c r="AH120" s="93">
        <f>ДЕКАБРЬ!AH115+ЯНВАРЬ!AH115+ФЕВРАЛЬ!AH120</f>
        <v>0</v>
      </c>
      <c r="AI120" s="93">
        <f>ДЕКАБРЬ!AI115+ЯНВАРЬ!AI115+ФЕВРАЛЬ!AI120</f>
        <v>0</v>
      </c>
      <c r="AJ120" s="93">
        <f>ДЕКАБРЬ!AJ115+ЯНВАРЬ!AJ115+ФЕВРАЛЬ!AJ120</f>
        <v>0</v>
      </c>
      <c r="AK120" s="93"/>
      <c r="AL120" s="93">
        <f>ДЕКАБРЬ!AL115+ЯНВАРЬ!AL115+ФЕВРАЛЬ!AL120</f>
        <v>0</v>
      </c>
      <c r="AM120" s="93">
        <f>ДЕКАБРЬ!AM115+ЯНВАРЬ!AM115+ФЕВРАЛЬ!AM120</f>
        <v>0</v>
      </c>
      <c r="AN120" s="93">
        <f>ДЕКАБРЬ!AN115+ЯНВАРЬ!AN115+ФЕВРАЛЬ!AN120</f>
        <v>0</v>
      </c>
      <c r="AO120" s="95">
        <f t="shared" si="90"/>
        <v>0</v>
      </c>
      <c r="AP120" s="96"/>
      <c r="AQ120" s="97">
        <f t="shared" si="91"/>
        <v>0</v>
      </c>
      <c r="AR120" s="98">
        <f t="shared" si="92"/>
        <v>205</v>
      </c>
      <c r="AS120" s="98">
        <f t="shared" si="93"/>
        <v>0</v>
      </c>
      <c r="AT120" s="98">
        <f t="shared" si="94"/>
        <v>0</v>
      </c>
      <c r="AU120" s="98">
        <f t="shared" si="95"/>
        <v>0</v>
      </c>
      <c r="AV120" s="98">
        <f t="array" ref="AV120">_xlfn.IFS(U120=0,AO120,U120&lt;0,AO120/-U120,U120&gt;0,AO120/U120)</f>
        <v>0</v>
      </c>
      <c r="AW120" s="234">
        <f t="shared" si="96"/>
        <v>0</v>
      </c>
      <c r="AX120" s="234">
        <f t="shared" si="97"/>
        <v>0</v>
      </c>
      <c r="AY120" s="99"/>
      <c r="AZ120" s="94">
        <f t="shared" si="98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99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82"/>
        <v>205</v>
      </c>
      <c r="M121" s="89"/>
      <c r="N121" s="93">
        <f>ДЕКАБРЬ!N116+ЯНВАРЬ!N116+ФЕВРАЛЬ!N121</f>
        <v>0</v>
      </c>
      <c r="O121" s="89"/>
      <c r="P121" s="89"/>
      <c r="Q121" s="233"/>
      <c r="R121" s="92"/>
      <c r="S121" s="93">
        <f>ДЕКАБРЬ!S116+ЯНВАРЬ!S116+ФЕВРАЛЬ!S121</f>
        <v>0</v>
      </c>
      <c r="T121" s="93">
        <f>ДЕКАБРЬ!T116+ЯНВАРЬ!T116+ФЕВРАЛЬ!T121</f>
        <v>0</v>
      </c>
      <c r="U121" s="92">
        <f t="shared" si="83"/>
        <v>0</v>
      </c>
      <c r="V121" s="93">
        <f>ДЕКАБРЬ!V116+ЯНВАРЬ!V116+ФЕВРАЛЬ!V121</f>
        <v>0</v>
      </c>
      <c r="W121" s="93">
        <f>ДЕКАБРЬ!W116+ЯНВАРЬ!W116+ФЕВРАЛЬ!W121</f>
        <v>0</v>
      </c>
      <c r="X121" s="92">
        <f t="shared" si="84"/>
        <v>0</v>
      </c>
      <c r="Y121" s="93">
        <f>ДЕКАБРЬ!Y116+ЯНВАРЬ!Y116+ФЕВРАЛЬ!Y121</f>
        <v>0</v>
      </c>
      <c r="Z121" s="93">
        <f>ДЕКАБРЬ!Z116+ЯНВАРЬ!Z116+ФЕВРАЛЬ!Z121</f>
        <v>0</v>
      </c>
      <c r="AA121" s="232">
        <f t="shared" si="85"/>
        <v>0</v>
      </c>
      <c r="AB121" s="92">
        <f t="shared" si="86"/>
        <v>0</v>
      </c>
      <c r="AC121" s="234">
        <f t="shared" si="87"/>
        <v>0</v>
      </c>
      <c r="AD121" s="92">
        <f t="shared" si="88"/>
        <v>0</v>
      </c>
      <c r="AE121" s="93">
        <f>ДЕКАБРЬ!AE116+ЯНВАРЬ!AE116+ФЕВРАЛЬ!AE121</f>
        <v>0</v>
      </c>
      <c r="AF121" s="234">
        <f t="shared" si="89"/>
        <v>0</v>
      </c>
      <c r="AG121" s="93">
        <f>ДЕКАБРЬ!AG116+ЯНВАРЬ!AG116+ФЕВРАЛЬ!AG121</f>
        <v>0</v>
      </c>
      <c r="AH121" s="93">
        <f>ДЕКАБРЬ!AH116+ЯНВАРЬ!AH116+ФЕВРАЛЬ!AH121</f>
        <v>0</v>
      </c>
      <c r="AI121" s="93">
        <f>ДЕКАБРЬ!AI116+ЯНВАРЬ!AI116+ФЕВРАЛЬ!AI121</f>
        <v>0</v>
      </c>
      <c r="AJ121" s="93">
        <f>ДЕКАБРЬ!AJ116+ЯНВАРЬ!AJ116+ФЕВРАЛЬ!AJ121</f>
        <v>0</v>
      </c>
      <c r="AK121" s="93"/>
      <c r="AL121" s="93">
        <f>ДЕКАБРЬ!AL116+ЯНВАРЬ!AL116+ФЕВРАЛЬ!AL121</f>
        <v>0</v>
      </c>
      <c r="AM121" s="93">
        <f>ДЕКАБРЬ!AM116+ЯНВАРЬ!AM116+ФЕВРАЛЬ!AM121</f>
        <v>0</v>
      </c>
      <c r="AN121" s="93">
        <f>ДЕКАБРЬ!AN116+ЯНВАРЬ!AN116+ФЕВРАЛЬ!AN121</f>
        <v>0</v>
      </c>
      <c r="AO121" s="95">
        <f t="shared" si="90"/>
        <v>0</v>
      </c>
      <c r="AP121" s="96"/>
      <c r="AQ121" s="97">
        <f t="shared" si="91"/>
        <v>0</v>
      </c>
      <c r="AR121" s="98">
        <f t="shared" si="92"/>
        <v>205</v>
      </c>
      <c r="AS121" s="98">
        <f t="shared" si="93"/>
        <v>0</v>
      </c>
      <c r="AT121" s="98">
        <f t="shared" si="94"/>
        <v>0</v>
      </c>
      <c r="AU121" s="98">
        <f t="shared" si="95"/>
        <v>0</v>
      </c>
      <c r="AV121" s="98">
        <f t="array" ref="AV121">_xlfn.IFS(U121=0,AO121,U121&lt;0,AO121/-U121,U121&gt;0,AO121/U121)</f>
        <v>0</v>
      </c>
      <c r="AW121" s="234">
        <f t="shared" si="96"/>
        <v>0</v>
      </c>
      <c r="AX121" s="234">
        <f t="shared" si="97"/>
        <v>0</v>
      </c>
      <c r="AY121" s="99"/>
      <c r="AZ121" s="94">
        <f t="shared" si="98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99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82"/>
        <v>453</v>
      </c>
      <c r="M122" s="89"/>
      <c r="N122" s="93">
        <f>ДЕКАБРЬ!N117+ЯНВАРЬ!N117+ФЕВРАЛЬ!N122</f>
        <v>0</v>
      </c>
      <c r="O122" s="89"/>
      <c r="P122" s="89"/>
      <c r="Q122" s="233"/>
      <c r="R122" s="92"/>
      <c r="S122" s="93">
        <f>ДЕКАБРЬ!S117+ЯНВАРЬ!S117+ФЕВРАЛЬ!S122</f>
        <v>0</v>
      </c>
      <c r="T122" s="93">
        <f>ДЕКАБРЬ!T117+ЯНВАРЬ!T117+ФЕВРАЛЬ!T122</f>
        <v>0</v>
      </c>
      <c r="U122" s="92">
        <f t="shared" si="83"/>
        <v>0</v>
      </c>
      <c r="V122" s="93">
        <f>ДЕКАБРЬ!V117+ЯНВАРЬ!V117+ФЕВРАЛЬ!V122</f>
        <v>0</v>
      </c>
      <c r="W122" s="93">
        <f>ДЕКАБРЬ!W117+ЯНВАРЬ!W117+ФЕВРАЛЬ!W122</f>
        <v>0</v>
      </c>
      <c r="X122" s="92">
        <f t="shared" si="84"/>
        <v>0</v>
      </c>
      <c r="Y122" s="93">
        <f>ДЕКАБРЬ!Y117+ЯНВАРЬ!Y117+ФЕВРАЛЬ!Y122</f>
        <v>0</v>
      </c>
      <c r="Z122" s="93">
        <f>ДЕКАБРЬ!Z117+ЯНВАРЬ!Z117+ФЕВРАЛЬ!Z122</f>
        <v>0</v>
      </c>
      <c r="AA122" s="232">
        <f t="shared" si="85"/>
        <v>0</v>
      </c>
      <c r="AB122" s="92">
        <f t="shared" si="86"/>
        <v>0</v>
      </c>
      <c r="AC122" s="234">
        <f t="shared" si="87"/>
        <v>0</v>
      </c>
      <c r="AD122" s="92">
        <f t="shared" si="88"/>
        <v>0</v>
      </c>
      <c r="AE122" s="93">
        <f>ДЕКАБРЬ!AE117+ЯНВАРЬ!AE117+ФЕВРАЛЬ!AE122</f>
        <v>0</v>
      </c>
      <c r="AF122" s="234">
        <f t="shared" si="89"/>
        <v>0</v>
      </c>
      <c r="AG122" s="93">
        <f>ДЕКАБРЬ!AG117+ЯНВАРЬ!AG117+ФЕВРАЛЬ!AG122</f>
        <v>0</v>
      </c>
      <c r="AH122" s="93">
        <f>ДЕКАБРЬ!AH117+ЯНВАРЬ!AH117+ФЕВРАЛЬ!AH122</f>
        <v>0</v>
      </c>
      <c r="AI122" s="93">
        <f>ДЕКАБРЬ!AI117+ЯНВАРЬ!AI117+ФЕВРАЛЬ!AI122</f>
        <v>0</v>
      </c>
      <c r="AJ122" s="93">
        <f>ДЕКАБРЬ!AJ117+ЯНВАРЬ!AJ117+ФЕВРАЛЬ!AJ122</f>
        <v>0</v>
      </c>
      <c r="AK122" s="93"/>
      <c r="AL122" s="93">
        <f>ДЕКАБРЬ!AL117+ЯНВАРЬ!AL117+ФЕВРАЛЬ!AL122</f>
        <v>0</v>
      </c>
      <c r="AM122" s="93">
        <f>ДЕКАБРЬ!AM117+ЯНВАРЬ!AM117+ФЕВРАЛЬ!AM122</f>
        <v>0</v>
      </c>
      <c r="AN122" s="93">
        <f>ДЕКАБРЬ!AN117+ЯНВАРЬ!AN117+ФЕВРАЛЬ!AN122</f>
        <v>0</v>
      </c>
      <c r="AO122" s="95">
        <f t="shared" si="90"/>
        <v>0</v>
      </c>
      <c r="AP122" s="96"/>
      <c r="AQ122" s="97">
        <f t="shared" si="91"/>
        <v>0</v>
      </c>
      <c r="AR122" s="98">
        <f t="shared" si="92"/>
        <v>453</v>
      </c>
      <c r="AS122" s="98">
        <f t="shared" si="93"/>
        <v>0</v>
      </c>
      <c r="AT122" s="98">
        <f t="shared" si="94"/>
        <v>0</v>
      </c>
      <c r="AU122" s="98">
        <f t="shared" si="95"/>
        <v>0</v>
      </c>
      <c r="AV122" s="98">
        <f t="array" ref="AV122">_xlfn.IFS(U122=0,AO122,U122&lt;0,AO122/-U122,U122&gt;0,AO122/U122)</f>
        <v>0</v>
      </c>
      <c r="AW122" s="234">
        <f t="shared" si="96"/>
        <v>0</v>
      </c>
      <c r="AX122" s="234">
        <f t="shared" si="97"/>
        <v>0</v>
      </c>
      <c r="AY122" s="99"/>
      <c r="AZ122" s="94">
        <f t="shared" si="98"/>
        <v>0</v>
      </c>
    </row>
    <row r="123" spans="1:52">
      <c r="A123" s="127"/>
      <c r="B123" s="100"/>
      <c r="C123" s="103" t="s">
        <v>218</v>
      </c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129"/>
      <c r="T123" s="129"/>
      <c r="U123" s="92"/>
      <c r="V123" s="129"/>
      <c r="W123" s="129"/>
      <c r="X123" s="92"/>
      <c r="Y123" s="129"/>
      <c r="Z123" s="129"/>
      <c r="AA123" s="232"/>
      <c r="AB123" s="92"/>
      <c r="AC123" s="234"/>
      <c r="AD123" s="92"/>
      <c r="AE123" s="129"/>
      <c r="AF123" s="234"/>
      <c r="AG123" s="106">
        <f>ДЕКАБРЬ!AG118+ЯНВАРЬ!AG118+ФЕВРАЛЬ!AG123</f>
        <v>172.96</v>
      </c>
      <c r="AH123" s="129"/>
      <c r="AI123" s="129"/>
      <c r="AJ123" s="129"/>
      <c r="AK123" s="93"/>
      <c r="AL123" s="122"/>
      <c r="AM123" s="129"/>
      <c r="AN123" s="129"/>
      <c r="AO123" s="95">
        <f t="shared" si="90"/>
        <v>-172.96</v>
      </c>
      <c r="AP123" s="96"/>
      <c r="AQ123" s="130">
        <f t="shared" ref="AQ123:AX123" si="100">AVERAGE(AQ115:AQ122)</f>
        <v>0</v>
      </c>
      <c r="AR123" s="130">
        <f t="shared" si="100"/>
        <v>227.125</v>
      </c>
      <c r="AS123" s="130">
        <f t="shared" si="100"/>
        <v>0</v>
      </c>
      <c r="AT123" s="130">
        <f t="shared" si="100"/>
        <v>0</v>
      </c>
      <c r="AU123" s="130">
        <f t="shared" si="100"/>
        <v>0</v>
      </c>
      <c r="AV123" s="130">
        <f t="shared" si="100"/>
        <v>0</v>
      </c>
      <c r="AW123" s="131">
        <f t="shared" si="100"/>
        <v>0</v>
      </c>
      <c r="AX123" s="131">
        <f t="shared" si="100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01">SUM(E115:E122)</f>
        <v>14</v>
      </c>
      <c r="F124" s="134">
        <f t="shared" si="101"/>
        <v>0</v>
      </c>
      <c r="G124" s="134">
        <f t="shared" si="101"/>
        <v>0</v>
      </c>
      <c r="H124" s="134">
        <f t="shared" si="101"/>
        <v>0</v>
      </c>
      <c r="I124" s="134">
        <f t="shared" si="101"/>
        <v>8</v>
      </c>
      <c r="J124" s="134">
        <f t="shared" si="101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>SUM(S115:S122)</f>
        <v>0</v>
      </c>
      <c r="T124" s="134">
        <f>SUM(T115:T122)</f>
        <v>0</v>
      </c>
      <c r="U124" s="134">
        <f t="shared" ref="U124:AD124" si="102">SUM(U115:U122)</f>
        <v>0</v>
      </c>
      <c r="V124" s="134">
        <f>SUM(V115:V122)</f>
        <v>0</v>
      </c>
      <c r="W124" s="134">
        <f>SUM(W115:W122)</f>
        <v>0</v>
      </c>
      <c r="X124" s="134">
        <f t="shared" si="102"/>
        <v>0</v>
      </c>
      <c r="Y124" s="134">
        <f>SUM(Y115:Y122)</f>
        <v>0</v>
      </c>
      <c r="Z124" s="134">
        <f>SUM(Z115:Z122)</f>
        <v>0</v>
      </c>
      <c r="AA124" s="264">
        <f t="shared" si="102"/>
        <v>0</v>
      </c>
      <c r="AB124" s="134">
        <f t="shared" si="102"/>
        <v>0</v>
      </c>
      <c r="AC124" s="265">
        <f t="shared" si="102"/>
        <v>0</v>
      </c>
      <c r="AD124" s="135">
        <f t="shared" si="102"/>
        <v>0</v>
      </c>
      <c r="AE124" s="134">
        <f>SUM(AE115:AE122)</f>
        <v>0</v>
      </c>
      <c r="AF124" s="265" t="e">
        <f>AE124/AA124</f>
        <v>#DIV/0!</v>
      </c>
      <c r="AG124" s="134">
        <f>SUM(AG115:AG123)</f>
        <v>172.96</v>
      </c>
      <c r="AH124" s="134">
        <f>SUM(AH115:AH122)</f>
        <v>0</v>
      </c>
      <c r="AI124" s="134">
        <f>SUM(AI115:AI122)</f>
        <v>0</v>
      </c>
      <c r="AJ124" s="134">
        <f>SUM(AJ115:AJ122)</f>
        <v>0</v>
      </c>
      <c r="AK124" s="134">
        <f t="shared" ref="AK124" si="103">SUM(AK115:AK122)</f>
        <v>0</v>
      </c>
      <c r="AL124" s="136">
        <f>SUM(AL115:AL122)</f>
        <v>0</v>
      </c>
      <c r="AM124" s="134">
        <f>SUM(AM115:AM122)</f>
        <v>0</v>
      </c>
      <c r="AN124" s="134">
        <f>SUM(AN115:AN122)</f>
        <v>0</v>
      </c>
      <c r="AO124" s="134">
        <f>SUM(AO115:AO123)</f>
        <v>-172.96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4"/>
      <c r="T125" s="144"/>
      <c r="U125" s="147"/>
      <c r="V125" s="144"/>
      <c r="W125" s="144"/>
      <c r="X125" s="147"/>
      <c r="Y125" s="144"/>
      <c r="Z125" s="144"/>
      <c r="AA125" s="303"/>
      <c r="AB125" s="147"/>
      <c r="AE125" s="144"/>
      <c r="AG125" s="106">
        <f>ДЕКАБРЬ!AG120+ЯНВАРЬ!AG120+ФЕВРАЛЬ!AG125</f>
        <v>170</v>
      </c>
      <c r="AH125" s="144"/>
      <c r="AI125" s="144"/>
      <c r="AJ125" s="144"/>
      <c r="AK125" s="306"/>
      <c r="AL125" s="149"/>
      <c r="AM125" s="144"/>
      <c r="AN125" s="144"/>
      <c r="AO125" s="95">
        <f t="shared" ref="AO125" si="104">AA125-AD125-AE125-AG125-AH125-AI125-AK125-AL125-AN125-AM125</f>
        <v>-170</v>
      </c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D126" si="105">E105+E113+E124</f>
        <v>21</v>
      </c>
      <c r="F126" s="267">
        <f t="shared" si="105"/>
        <v>0</v>
      </c>
      <c r="G126" s="267">
        <f t="shared" si="105"/>
        <v>0</v>
      </c>
      <c r="H126" s="267">
        <f t="shared" si="105"/>
        <v>1</v>
      </c>
      <c r="I126" s="267">
        <f t="shared" si="105"/>
        <v>8</v>
      </c>
      <c r="J126" s="267">
        <f t="shared" si="105"/>
        <v>12</v>
      </c>
      <c r="K126" s="267">
        <f t="shared" si="105"/>
        <v>0</v>
      </c>
      <c r="L126" s="267">
        <f t="shared" si="105"/>
        <v>6961.2599999999993</v>
      </c>
      <c r="M126" s="267">
        <f t="shared" si="105"/>
        <v>0</v>
      </c>
      <c r="N126" s="267">
        <f t="shared" si="105"/>
        <v>45256</v>
      </c>
      <c r="O126" s="267">
        <f t="shared" si="105"/>
        <v>0</v>
      </c>
      <c r="P126" s="267">
        <f t="shared" si="105"/>
        <v>0</v>
      </c>
      <c r="Q126" s="215">
        <f t="shared" si="105"/>
        <v>0</v>
      </c>
      <c r="R126" s="267">
        <f t="shared" si="105"/>
        <v>0</v>
      </c>
      <c r="S126" s="267">
        <f>S105+S113+S124</f>
        <v>23670</v>
      </c>
      <c r="T126" s="267">
        <f t="shared" ref="T126" si="106">T105+T113+T124</f>
        <v>-533</v>
      </c>
      <c r="U126" s="267">
        <f t="shared" si="105"/>
        <v>23137</v>
      </c>
      <c r="V126" s="267">
        <f t="shared" ref="V126:W126" si="107">V105+V113+V124</f>
        <v>19601620.390000004</v>
      </c>
      <c r="W126" s="267">
        <f t="shared" si="107"/>
        <v>-443743.27</v>
      </c>
      <c r="X126" s="267">
        <f t="shared" si="105"/>
        <v>19157877.120000005</v>
      </c>
      <c r="Y126" s="267">
        <f t="shared" ref="Y126:Z126" si="108">Y105+Y113+Y124</f>
        <v>29729933.209999997</v>
      </c>
      <c r="Z126" s="267">
        <f t="shared" si="108"/>
        <v>-673427.20999999985</v>
      </c>
      <c r="AA126" s="267">
        <f t="shared" si="105"/>
        <v>29056505.999999996</v>
      </c>
      <c r="AB126" s="267">
        <f t="shared" si="105"/>
        <v>0</v>
      </c>
      <c r="AC126" s="267">
        <f t="shared" si="105"/>
        <v>1.0000000000000002</v>
      </c>
      <c r="AD126" s="267">
        <f t="shared" si="105"/>
        <v>2885719.2200000016</v>
      </c>
      <c r="AE126" s="267">
        <f t="shared" ref="AE126" si="109">AE105+AE113+AE124</f>
        <v>10894983.340000011</v>
      </c>
      <c r="AF126" s="268">
        <f>AE126/AA126</f>
        <v>0.3749584805550954</v>
      </c>
      <c r="AG126" s="267">
        <f>AG105+AG113+AG124+AG125</f>
        <v>2973976.7500000009</v>
      </c>
      <c r="AH126" s="267">
        <f t="shared" ref="AH126" si="110">AH105+AH113+AH124</f>
        <v>1170953</v>
      </c>
      <c r="AI126" s="267">
        <f t="shared" ref="AI126:AJ126" si="111">AI105+AI113+AI124</f>
        <v>2377697</v>
      </c>
      <c r="AJ126" s="267">
        <f t="shared" si="111"/>
        <v>5543</v>
      </c>
      <c r="AK126" s="267">
        <f>AK105+AK113+AK124</f>
        <v>0</v>
      </c>
      <c r="AL126" s="267">
        <f>AL105+AL113+AL124</f>
        <v>113424.40000000005</v>
      </c>
      <c r="AM126" s="267">
        <f t="shared" ref="AM126" si="112">AM105+AM113+AM124</f>
        <v>3583.1099999999997</v>
      </c>
      <c r="AN126" s="267">
        <f>AN105+AN113+AN124</f>
        <v>1072759.7399999995</v>
      </c>
      <c r="AO126" s="267">
        <f>AO105+AO113+AO124+AO125</f>
        <v>7563409.4399999967</v>
      </c>
      <c r="AP126" s="155"/>
      <c r="AQ126" s="155"/>
      <c r="AR126" s="155"/>
      <c r="AS126" s="155"/>
      <c r="AT126" s="155"/>
      <c r="AU126" s="155">
        <f>(AH126+AI126)/S126</f>
        <v>149.92184199408533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3"/>
      <c r="AB127" s="147"/>
      <c r="AE127" s="148"/>
      <c r="AG127" s="160"/>
      <c r="AH127" s="338"/>
      <c r="AI127" s="338"/>
      <c r="AJ127" s="306"/>
      <c r="AK127" s="306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N128" s="100">
        <f>Сводная!G28</f>
        <v>60843</v>
      </c>
      <c r="S128" s="100">
        <f>Сводная!H28</f>
        <v>32560</v>
      </c>
      <c r="T128" s="100">
        <f>Сводная!I28</f>
        <v>-759</v>
      </c>
      <c r="Y128" s="163">
        <f>Сводная!M28</f>
        <v>42999099.389999993</v>
      </c>
      <c r="Z128" s="163">
        <f>Сводная!N28</f>
        <v>-1006843.73</v>
      </c>
      <c r="AD128" s="100">
        <f>Сводная!P28</f>
        <v>3960292.3800000013</v>
      </c>
      <c r="AE128" s="100">
        <f>Сводная!R28</f>
        <v>15771412.689999999</v>
      </c>
      <c r="AG128" s="100">
        <f>Сводная!Q28</f>
        <v>4165489.5600000015</v>
      </c>
      <c r="AH128" s="92">
        <f>Сводная!W28</f>
        <v>1232837</v>
      </c>
      <c r="AI128" s="92">
        <f>Сводная!X28</f>
        <v>3639693</v>
      </c>
      <c r="AL128" s="165">
        <f>Сводная!S28</f>
        <v>152891.9</v>
      </c>
      <c r="AM128" s="92">
        <f>Сводная!U28</f>
        <v>13887.09</v>
      </c>
      <c r="AN128" s="339">
        <f>Сводная!AC28</f>
        <v>1566485.757272</v>
      </c>
      <c r="AO128" s="339">
        <f>Сводная!AF28+Сводная!V28+Сводная!T28</f>
        <v>11251902.382727997</v>
      </c>
    </row>
    <row r="129" spans="3:41">
      <c r="C129" s="162"/>
      <c r="D129" s="162"/>
    </row>
    <row r="130" spans="3:41">
      <c r="AO130" s="339"/>
    </row>
    <row r="132" spans="3:41">
      <c r="AO132" s="381"/>
    </row>
  </sheetData>
  <mergeCells count="8">
    <mergeCell ref="AH1:AI1"/>
    <mergeCell ref="AQ1:AX1"/>
    <mergeCell ref="F1:H1"/>
    <mergeCell ref="I1:J1"/>
    <mergeCell ref="N1:P1"/>
    <mergeCell ref="S1:T1"/>
    <mergeCell ref="V1:W1"/>
    <mergeCell ref="Y1:Z1"/>
  </mergeCells>
  <conditionalFormatting sqref="AC128:AC1048576">
    <cfRule type="cellIs" dxfId="130" priority="29" operator="greaterThan">
      <formula>0.23</formula>
    </cfRule>
  </conditionalFormatting>
  <conditionalFormatting sqref="M123:O123 M106:M112 M3:M104">
    <cfRule type="cellIs" dxfId="129" priority="41" operator="greaterThan">
      <formula>120</formula>
    </cfRule>
  </conditionalFormatting>
  <conditionalFormatting sqref="AC125 AC127">
    <cfRule type="cellIs" dxfId="128" priority="42" operator="greaterThan">
      <formula>0.23</formula>
    </cfRule>
  </conditionalFormatting>
  <conditionalFormatting sqref="AA123:AC123 AA106:AC106 AA112:AC112 AA3:AC10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{378727E1-09E4-4A11-893D-0B4A53572678}</x14:id>
        </ext>
      </extLst>
    </cfRule>
  </conditionalFormatting>
  <conditionalFormatting sqref="AC112 AC106 AC3:AC104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{6D09C3F4-3DC7-40FC-880C-CB088C179831}</x14:id>
        </ext>
      </extLst>
    </cfRule>
  </conditionalFormatting>
  <conditionalFormatting sqref="AC1">
    <cfRule type="cellIs" dxfId="127" priority="40" operator="greaterThan">
      <formula>0.23</formula>
    </cfRule>
  </conditionalFormatting>
  <conditionalFormatting sqref="AV107:AV111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{CDD71E7D-3FB6-4E1A-AF48-27696A1C0797}</x14:id>
        </ext>
      </extLst>
    </cfRule>
  </conditionalFormatting>
  <conditionalFormatting sqref="AW107:AX111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{F7324DBE-BEA0-4468-834A-E9DA81378DA4}</x14:id>
        </ext>
      </extLst>
    </cfRule>
  </conditionalFormatting>
  <conditionalFormatting sqref="AZ107:AZ111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{3DB53CB3-BE91-4084-AD0C-4AF2E0E7DBAF}</x14:id>
        </ext>
      </extLst>
    </cfRule>
  </conditionalFormatting>
  <conditionalFormatting sqref="AZ107:AZ111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{6285812B-6C97-4307-80CC-475DAD9C2DE9}</x14:id>
        </ext>
      </extLst>
    </cfRule>
  </conditionalFormatting>
  <conditionalFormatting sqref="Q123">
    <cfRule type="cellIs" dxfId="126" priority="35" operator="between">
      <formula>0.000001</formula>
      <formula>25</formula>
    </cfRule>
  </conditionalFormatting>
  <conditionalFormatting sqref="AV44:AV93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{D8A53FB6-5CB4-4C4F-8D28-B5CB56BB8F3F}</x14:id>
        </ext>
      </extLst>
    </cfRule>
  </conditionalFormatting>
  <conditionalFormatting sqref="AW44:AX9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{F1A7C6CF-C548-4442-809E-ACE7D85BBF0F}</x14:id>
        </ext>
      </extLst>
    </cfRule>
  </conditionalFormatting>
  <conditionalFormatting sqref="AZ44:AZ9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{4B95B14B-E8FE-4112-BD66-B8D4658E17DF}</x14:id>
        </ext>
      </extLst>
    </cfRule>
  </conditionalFormatting>
  <conditionalFormatting sqref="AV17:AV25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{BF6F7804-0E78-4824-96AE-E63E4FF8A6A1}</x14:id>
        </ext>
      </extLst>
    </cfRule>
  </conditionalFormatting>
  <conditionalFormatting sqref="AW17:AX25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{8454C7F0-CBAF-4930-8163-3D2E9871CDA9}</x14:id>
        </ext>
      </extLst>
    </cfRule>
  </conditionalFormatting>
  <conditionalFormatting sqref="AZ17:AZ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{8FFE0058-1866-44CF-9437-7C3B41DE2F5C}</x14:id>
        </ext>
      </extLst>
    </cfRule>
  </conditionalFormatting>
  <conditionalFormatting sqref="AZ3:AZ16 AZ106 AZ123 AZ112 AZ26:AZ43 AZ94:AZ10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{C429AA92-C532-4C9C-AD6A-BFB03A5CA404}</x14:id>
        </ext>
      </extLst>
    </cfRule>
  </conditionalFormatting>
  <conditionalFormatting sqref="AZ115:AZ122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{21392AD6-89B6-4E1E-A7D2-77AC50F420E1}</x14:id>
        </ext>
      </extLst>
    </cfRule>
  </conditionalFormatting>
  <conditionalFormatting sqref="AV3:AV16 AV106 AV26:AV43 AV94:AV103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{AE26D5DC-60F9-4D81-9B23-F3BD0FBEA3D2}</x14:id>
        </ext>
      </extLst>
    </cfRule>
  </conditionalFormatting>
  <conditionalFormatting sqref="AW106:AX106 AW3:AX16 AW26:AX43 AW94:AX103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{9757F81C-A696-4E01-AA70-0FD9577EFC3E}</x14:id>
        </ext>
      </extLst>
    </cfRule>
  </conditionalFormatting>
  <conditionalFormatting sqref="AZ3:AZ16 AZ106 AZ112 AZ26:AZ43 AZ94:AZ10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{6CB370EC-1E4D-4D32-8572-EEBD987EC592}</x14:id>
        </ext>
      </extLst>
    </cfRule>
  </conditionalFormatting>
  <conditionalFormatting sqref="AZ115:AZ122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{D38C52C2-1A74-43FC-8AE8-AA23CDF9E784}</x14:id>
        </ext>
      </extLst>
    </cfRule>
  </conditionalFormatting>
  <conditionalFormatting sqref="AV115:AV122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{34256D0C-7187-420D-A993-F284DAB2C306}</x14:id>
        </ext>
      </extLst>
    </cfRule>
  </conditionalFormatting>
  <conditionalFormatting sqref="AW115:AX122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{0B69F2CC-6DAD-4FB7-9262-61BB2C477DF7}</x14:id>
        </ext>
      </extLst>
    </cfRule>
  </conditionalFormatting>
  <conditionalFormatting sqref="M115:M122">
    <cfRule type="cellIs" dxfId="125" priority="30" operator="greaterThan">
      <formula>120</formula>
    </cfRule>
  </conditionalFormatting>
  <conditionalFormatting sqref="AA107:AC111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{9AE5EAB7-6503-48B2-A5EB-1EE71F48E043}</x14:id>
        </ext>
      </extLst>
    </cfRule>
  </conditionalFormatting>
  <conditionalFormatting sqref="AA115:AC122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{7CBDAE7C-0E19-4F9A-A830-AB24015F4628}</x14:id>
        </ext>
      </extLst>
    </cfRule>
  </conditionalFormatting>
  <conditionalFormatting sqref="AC115:AC12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{71F7675E-3316-4BA8-B705-CE45002EC737}</x14:id>
        </ext>
      </extLst>
    </cfRule>
  </conditionalFormatting>
  <conditionalFormatting sqref="AO106 AO112 AO3:AO10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{6DD698CF-E2C3-471F-9DC2-287318416067}</x14:id>
        </ext>
      </extLst>
    </cfRule>
  </conditionalFormatting>
  <conditionalFormatting sqref="AO106 AO112 AO3:AO10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{66E7196B-1E0C-425E-A6AB-645A16A28D92}</x14:id>
        </ext>
      </extLst>
    </cfRule>
  </conditionalFormatting>
  <conditionalFormatting sqref="S123">
    <cfRule type="cellIs" dxfId="124" priority="19" operator="greaterThan">
      <formula>120</formula>
    </cfRule>
  </conditionalFormatting>
  <conditionalFormatting sqref="T123">
    <cfRule type="cellIs" dxfId="123" priority="18" operator="greaterThan">
      <formula>120</formula>
    </cfRule>
  </conditionalFormatting>
  <conditionalFormatting sqref="V123">
    <cfRule type="cellIs" dxfId="122" priority="17" operator="greaterThan">
      <formula>120</formula>
    </cfRule>
  </conditionalFormatting>
  <conditionalFormatting sqref="W123">
    <cfRule type="cellIs" dxfId="121" priority="16" operator="greaterThan">
      <formula>120</formula>
    </cfRule>
  </conditionalFormatting>
  <conditionalFormatting sqref="Y123">
    <cfRule type="cellIs" dxfId="120" priority="15" operator="greaterThan">
      <formula>120</formula>
    </cfRule>
  </conditionalFormatting>
  <conditionalFormatting sqref="Z123">
    <cfRule type="cellIs" dxfId="119" priority="14" operator="greaterThan">
      <formula>120</formula>
    </cfRule>
  </conditionalFormatting>
  <conditionalFormatting sqref="AE123">
    <cfRule type="cellIs" dxfId="118" priority="13" operator="greaterThan">
      <formula>120</formula>
    </cfRule>
  </conditionalFormatting>
  <conditionalFormatting sqref="AH123">
    <cfRule type="cellIs" dxfId="117" priority="11" operator="greaterThan">
      <formula>120</formula>
    </cfRule>
  </conditionalFormatting>
  <conditionalFormatting sqref="AI123">
    <cfRule type="cellIs" dxfId="116" priority="10" operator="greaterThan">
      <formula>120</formula>
    </cfRule>
  </conditionalFormatting>
  <conditionalFormatting sqref="AJ123">
    <cfRule type="cellIs" dxfId="115" priority="9" operator="greaterThan">
      <formula>120</formula>
    </cfRule>
  </conditionalFormatting>
  <conditionalFormatting sqref="AM123">
    <cfRule type="cellIs" dxfId="114" priority="8" operator="greaterThan">
      <formula>120</formula>
    </cfRule>
  </conditionalFormatting>
  <conditionalFormatting sqref="AN123">
    <cfRule type="cellIs" dxfId="113" priority="7" operator="greaterThan">
      <formula>120</formula>
    </cfRule>
  </conditionalFormatting>
  <conditionalFormatting sqref="AO1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{CA98C7B8-95F7-4B83-BF52-BCB85B77413A}</x14:id>
        </ext>
      </extLst>
    </cfRule>
  </conditionalFormatting>
  <conditionalFormatting sqref="AO1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{CF76201D-3917-4794-AA2C-B77333F92FDF}</x14:id>
        </ext>
      </extLst>
    </cfRule>
  </conditionalFormatting>
  <conditionalFormatting sqref="AO107:AO1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{191CDC0B-78E5-4065-B33B-97FF6F14AAF1}</x14:id>
        </ext>
      </extLst>
    </cfRule>
  </conditionalFormatting>
  <conditionalFormatting sqref="AO107:AO1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{87C0557C-B82D-4C2C-8C94-BC4A8F5D0B31}</x14:id>
        </ext>
      </extLst>
    </cfRule>
  </conditionalFormatting>
  <conditionalFormatting sqref="AO115:AO1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{3D431E4B-A373-4F83-9470-5D0EFF7C35ED}</x14:id>
        </ext>
      </extLst>
    </cfRule>
  </conditionalFormatting>
  <conditionalFormatting sqref="AO115:AO12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{3B9F33A6-C614-4853-B0E1-C762F31FAC4C}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8727E1-09E4-4A11-893D-0B4A535726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6D09C3F4-3DC7-40FC-880C-CB088C1798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CDD71E7D-3FB6-4E1A-AF48-27696A1C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F7324DBE-BEA0-4468-834A-E9DA81378D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3DB53CB3-BE91-4084-AD0C-4AF2E0E7DB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6285812B-6C97-4307-80CC-475DAD9C2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8A53FB6-5CB4-4C4F-8D28-B5CB56BB8F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1A7C6CF-C548-4442-809E-ACE7D85BBF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B95B14B-E8FE-4112-BD66-B8D4658E17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F6F7804-0E78-4824-96AE-E63E4FF8A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454C7F0-CBAF-4930-8163-3D2E9871C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FFE0058-1866-44CF-9437-7C3B41DE2F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429AA92-C532-4C9C-AD6A-BFB03A5CA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21392AD6-89B6-4E1E-A7D2-77AC50F42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AE26D5DC-60F9-4D81-9B23-F3BD0FBEA3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9757F81C-A696-4E01-AA70-0FD9577EFC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CB370EC-1E4D-4D32-8572-EEBD987EC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D38C52C2-1A74-43FC-8AE8-AA23CDF9E7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4256D0C-7187-420D-A993-F284DAB2C3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0B69F2CC-6DAD-4FB7-9262-61BB2C477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9AE5EAB7-6503-48B2-A5EB-1EE71F48E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7CBDAE7C-0E19-4F9A-A830-AB24015F4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71F7675E-3316-4BA8-B705-CE45002EC7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6DD698CF-E2C3-471F-9DC2-2873184160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66E7196B-1E0C-425E-A6AB-645A16A28D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CA98C7B8-95F7-4B83-BF52-BCB85B7741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CF76201D-3917-4794-AA2C-B77333F92F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191CDC0B-78E5-4065-B33B-97FF6F14AA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87C0557C-B82D-4C2C-8C94-BC4A8F5D0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D431E4B-A373-4F83-9470-5D0EFF7C3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AO115:AO123</xm:sqref>
        </x14:conditionalFormatting>
        <x14:conditionalFormatting xmlns:xm="http://schemas.microsoft.com/office/excel/2006/main">
          <x14:cfRule type="dataBar" id="{3B9F33A6-C614-4853-B0E1-C762F31FAC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7DED-4AA6-4B22-B417-527AF5A52C95}">
  <dimension ref="A1:J129"/>
  <sheetViews>
    <sheetView zoomScale="70" zoomScaleNormal="70" workbookViewId="0">
      <pane xSplit="3" ySplit="2" topLeftCell="D36" activePane="bottomRight" state="frozen"/>
      <selection pane="topRight" activeCell="D1" sqref="D1"/>
      <selection pane="bottomLeft" activeCell="A3" sqref="A3"/>
      <selection pane="bottomRight" activeCell="C41" sqref="C4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6384" width="12.54296875" style="100"/>
  </cols>
  <sheetData>
    <row r="1" spans="1:10" s="74" customFormat="1" ht="16" customHeight="1">
      <c r="A1" s="72"/>
      <c r="B1" s="73"/>
      <c r="C1" s="72"/>
      <c r="D1" s="72"/>
      <c r="E1" s="222"/>
      <c r="F1" s="539" t="s">
        <v>42</v>
      </c>
      <c r="G1" s="539"/>
      <c r="H1" s="539"/>
      <c r="I1" s="540" t="s">
        <v>115</v>
      </c>
      <c r="J1" s="541"/>
    </row>
    <row r="2" spans="1:10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311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</row>
    <row r="3" spans="1:10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 t="shared" ref="E3:E34" si="0">SUM(F3:J3)</f>
        <v>3843</v>
      </c>
      <c r="F3" s="93">
        <v>197</v>
      </c>
      <c r="G3" s="93">
        <v>54</v>
      </c>
      <c r="H3" s="93">
        <v>446</v>
      </c>
      <c r="I3" s="100">
        <v>1</v>
      </c>
      <c r="J3" s="93">
        <v>3145</v>
      </c>
    </row>
    <row r="4" spans="1:10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 t="shared" si="0"/>
        <v>6637</v>
      </c>
      <c r="F4" s="93">
        <v>557</v>
      </c>
      <c r="G4" s="93">
        <v>160</v>
      </c>
      <c r="H4" s="93">
        <v>643</v>
      </c>
      <c r="I4" s="100">
        <v>0</v>
      </c>
      <c r="J4" s="93">
        <v>5277</v>
      </c>
    </row>
    <row r="5" spans="1:10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 t="shared" si="0"/>
        <v>5548</v>
      </c>
      <c r="F5" s="93">
        <v>159</v>
      </c>
      <c r="G5" s="93">
        <v>34</v>
      </c>
      <c r="H5" s="93">
        <v>532</v>
      </c>
      <c r="I5" s="100">
        <v>0</v>
      </c>
      <c r="J5" s="93">
        <v>4823</v>
      </c>
    </row>
    <row r="6" spans="1:10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si="0"/>
        <v>10485</v>
      </c>
      <c r="F6" s="93">
        <v>106</v>
      </c>
      <c r="G6" s="93">
        <v>27</v>
      </c>
      <c r="H6" s="93">
        <v>478</v>
      </c>
      <c r="I6" s="100">
        <v>0</v>
      </c>
      <c r="J6" s="93">
        <v>9874</v>
      </c>
    </row>
    <row r="7" spans="1:10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 t="shared" si="0"/>
        <v>2013</v>
      </c>
      <c r="F7" s="93">
        <v>236</v>
      </c>
      <c r="G7" s="93">
        <v>74</v>
      </c>
      <c r="H7" s="93">
        <v>624</v>
      </c>
      <c r="I7" s="100">
        <v>3</v>
      </c>
      <c r="J7" s="93">
        <v>1076</v>
      </c>
    </row>
    <row r="8" spans="1:10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 t="shared" si="0"/>
        <v>219</v>
      </c>
      <c r="F8" s="93">
        <v>70</v>
      </c>
      <c r="G8" s="93">
        <v>22</v>
      </c>
      <c r="H8" s="93">
        <v>127</v>
      </c>
      <c r="I8" s="100">
        <v>0</v>
      </c>
      <c r="J8" s="93">
        <v>0</v>
      </c>
    </row>
    <row r="9" spans="1:10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 t="shared" si="0"/>
        <v>10249</v>
      </c>
      <c r="F9" s="93">
        <v>359</v>
      </c>
      <c r="G9" s="93">
        <v>105</v>
      </c>
      <c r="H9" s="93">
        <v>408</v>
      </c>
      <c r="I9" s="100">
        <v>0</v>
      </c>
      <c r="J9" s="93">
        <v>9377</v>
      </c>
    </row>
    <row r="10" spans="1:10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 t="shared" si="0"/>
        <v>8859</v>
      </c>
      <c r="F10" s="93">
        <v>209</v>
      </c>
      <c r="G10" s="93">
        <v>61</v>
      </c>
      <c r="H10" s="93">
        <v>566</v>
      </c>
      <c r="I10" s="100">
        <v>0</v>
      </c>
      <c r="J10" s="93">
        <v>8023</v>
      </c>
    </row>
    <row r="11" spans="1:10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si="0"/>
        <v>1622</v>
      </c>
      <c r="F11" s="93">
        <v>126</v>
      </c>
      <c r="G11" s="93">
        <v>18</v>
      </c>
      <c r="H11" s="93">
        <v>252</v>
      </c>
      <c r="I11" s="100">
        <v>0</v>
      </c>
      <c r="J11" s="93">
        <v>1226</v>
      </c>
    </row>
    <row r="12" spans="1:10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0"/>
        <v>6619</v>
      </c>
      <c r="F12" s="93">
        <v>165</v>
      </c>
      <c r="G12" s="93">
        <v>42</v>
      </c>
      <c r="H12" s="93">
        <v>300</v>
      </c>
      <c r="I12" s="100">
        <v>1</v>
      </c>
      <c r="J12" s="93">
        <v>6111</v>
      </c>
    </row>
    <row r="13" spans="1:10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0"/>
        <v>4144</v>
      </c>
      <c r="F13" s="93">
        <v>311</v>
      </c>
      <c r="G13" s="93">
        <v>85</v>
      </c>
      <c r="H13" s="93">
        <v>731</v>
      </c>
      <c r="I13" s="100">
        <v>1</v>
      </c>
      <c r="J13" s="93">
        <v>3016</v>
      </c>
    </row>
    <row r="14" spans="1:10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0"/>
        <v>2610</v>
      </c>
      <c r="F14" s="93">
        <v>72</v>
      </c>
      <c r="G14" s="93">
        <v>24</v>
      </c>
      <c r="H14" s="93">
        <v>213</v>
      </c>
      <c r="I14" s="100">
        <v>2</v>
      </c>
      <c r="J14" s="93">
        <v>2299</v>
      </c>
    </row>
    <row r="15" spans="1:10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0"/>
        <v>4864</v>
      </c>
      <c r="F15" s="93">
        <v>67</v>
      </c>
      <c r="G15" s="93">
        <v>13</v>
      </c>
      <c r="H15" s="93">
        <v>320</v>
      </c>
      <c r="I15" s="100">
        <v>0</v>
      </c>
      <c r="J15" s="93">
        <v>4464</v>
      </c>
    </row>
    <row r="16" spans="1:10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0"/>
        <v>3455</v>
      </c>
      <c r="F16" s="93">
        <v>198</v>
      </c>
      <c r="G16" s="93">
        <v>41</v>
      </c>
      <c r="H16" s="93">
        <v>585</v>
      </c>
      <c r="I16" s="100">
        <v>2</v>
      </c>
      <c r="J16" s="93">
        <v>2629</v>
      </c>
    </row>
    <row r="17" spans="1:10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0"/>
        <v>2059</v>
      </c>
      <c r="F17" s="93">
        <v>55</v>
      </c>
      <c r="G17" s="93">
        <v>9</v>
      </c>
      <c r="H17" s="93">
        <v>81</v>
      </c>
      <c r="I17" s="100">
        <v>1</v>
      </c>
      <c r="J17" s="93">
        <v>1913</v>
      </c>
    </row>
    <row r="18" spans="1:10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0"/>
        <v>1806</v>
      </c>
      <c r="F18" s="93">
        <v>94</v>
      </c>
      <c r="G18" s="93">
        <v>23</v>
      </c>
      <c r="H18" s="93">
        <v>278</v>
      </c>
      <c r="I18" s="100">
        <v>2</v>
      </c>
      <c r="J18" s="93">
        <v>1409</v>
      </c>
    </row>
    <row r="19" spans="1:10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0"/>
        <v>1</v>
      </c>
      <c r="F19" s="93">
        <v>0</v>
      </c>
      <c r="G19" s="93">
        <v>0</v>
      </c>
      <c r="H19" s="93">
        <v>0</v>
      </c>
      <c r="I19" s="100">
        <v>1</v>
      </c>
      <c r="J19" s="93">
        <v>0</v>
      </c>
    </row>
    <row r="20" spans="1:10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0"/>
        <v>317</v>
      </c>
      <c r="F20" s="93">
        <v>6</v>
      </c>
      <c r="G20" s="93" t="s">
        <v>100</v>
      </c>
      <c r="H20" s="93">
        <v>60</v>
      </c>
      <c r="I20" s="100">
        <v>1</v>
      </c>
      <c r="J20" s="93">
        <v>250</v>
      </c>
    </row>
    <row r="21" spans="1:10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0"/>
        <v>321</v>
      </c>
      <c r="F21" s="93">
        <v>13</v>
      </c>
      <c r="G21" s="93">
        <v>2</v>
      </c>
      <c r="H21" s="93">
        <v>40</v>
      </c>
      <c r="I21" s="100">
        <v>1</v>
      </c>
      <c r="J21" s="93">
        <v>265</v>
      </c>
    </row>
    <row r="22" spans="1:10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0"/>
        <v>319</v>
      </c>
      <c r="F22" s="93">
        <v>4</v>
      </c>
      <c r="G22" s="93" t="s">
        <v>100</v>
      </c>
      <c r="H22" s="93">
        <v>54</v>
      </c>
      <c r="I22" s="100">
        <v>1</v>
      </c>
      <c r="J22" s="93">
        <v>260</v>
      </c>
    </row>
    <row r="23" spans="1:10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0"/>
        <v>1</v>
      </c>
      <c r="F23" s="93">
        <v>0</v>
      </c>
      <c r="G23" s="93">
        <v>0</v>
      </c>
      <c r="H23" s="93">
        <v>0</v>
      </c>
      <c r="I23" s="100">
        <v>1</v>
      </c>
      <c r="J23" s="93">
        <v>0</v>
      </c>
    </row>
    <row r="24" spans="1:10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0"/>
        <v>28</v>
      </c>
      <c r="F24" s="93">
        <v>0</v>
      </c>
      <c r="G24" s="93">
        <v>0</v>
      </c>
      <c r="H24" s="93">
        <v>0</v>
      </c>
      <c r="I24" s="100">
        <v>1</v>
      </c>
      <c r="J24" s="93">
        <v>27</v>
      </c>
    </row>
    <row r="25" spans="1:10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0"/>
        <v>1</v>
      </c>
      <c r="F25" s="93">
        <v>0</v>
      </c>
      <c r="G25" s="93">
        <v>0</v>
      </c>
      <c r="H25" s="93">
        <v>0</v>
      </c>
      <c r="I25" s="100">
        <v>1</v>
      </c>
      <c r="J25" s="93">
        <v>0</v>
      </c>
    </row>
    <row r="26" spans="1:10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0"/>
        <v>777</v>
      </c>
      <c r="F26" s="93">
        <v>30</v>
      </c>
      <c r="G26" s="93">
        <v>24</v>
      </c>
      <c r="H26" s="93">
        <v>335</v>
      </c>
      <c r="I26" s="100">
        <v>376</v>
      </c>
      <c r="J26" s="93">
        <v>12</v>
      </c>
    </row>
    <row r="27" spans="1:10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0"/>
        <v>707</v>
      </c>
      <c r="F27" s="93">
        <v>4</v>
      </c>
      <c r="G27" s="93">
        <v>3</v>
      </c>
      <c r="H27" s="93">
        <v>2</v>
      </c>
      <c r="I27" s="100">
        <v>320</v>
      </c>
      <c r="J27" s="93">
        <v>378</v>
      </c>
    </row>
    <row r="28" spans="1:10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si="0"/>
        <v>971</v>
      </c>
      <c r="F28" s="93">
        <v>182</v>
      </c>
      <c r="G28" s="93">
        <v>63</v>
      </c>
      <c r="H28" s="93">
        <v>604</v>
      </c>
      <c r="I28" s="100">
        <v>0</v>
      </c>
      <c r="J28" s="93">
        <v>122</v>
      </c>
    </row>
    <row r="29" spans="1:10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 t="shared" si="0"/>
        <v>997</v>
      </c>
      <c r="F29" s="93">
        <v>0</v>
      </c>
      <c r="G29" s="93">
        <v>0</v>
      </c>
      <c r="H29" s="93">
        <v>0</v>
      </c>
      <c r="I29" s="100">
        <v>640</v>
      </c>
      <c r="J29" s="93">
        <v>357</v>
      </c>
    </row>
    <row r="30" spans="1:10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 t="shared" si="0"/>
        <v>61</v>
      </c>
      <c r="F30" s="93">
        <v>0</v>
      </c>
      <c r="G30" s="93">
        <v>0</v>
      </c>
      <c r="H30" s="93">
        <v>0</v>
      </c>
      <c r="I30" s="100">
        <v>0</v>
      </c>
      <c r="J30" s="93">
        <v>61</v>
      </c>
    </row>
    <row r="31" spans="1:10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 t="shared" si="0"/>
        <v>0</v>
      </c>
      <c r="F31" s="93">
        <v>0</v>
      </c>
      <c r="G31" s="93">
        <v>0</v>
      </c>
      <c r="H31" s="93">
        <v>0</v>
      </c>
      <c r="I31" s="100">
        <v>0</v>
      </c>
      <c r="J31" s="93">
        <v>0</v>
      </c>
    </row>
    <row r="32" spans="1:10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si="0"/>
        <v>84</v>
      </c>
      <c r="F32" s="93">
        <v>0</v>
      </c>
      <c r="G32" s="93">
        <v>0</v>
      </c>
      <c r="H32" s="93">
        <v>0</v>
      </c>
      <c r="I32" s="100">
        <v>84</v>
      </c>
      <c r="J32" s="93">
        <v>0</v>
      </c>
    </row>
    <row r="33" spans="1:10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 t="shared" si="0"/>
        <v>265</v>
      </c>
      <c r="F33" s="93">
        <v>12</v>
      </c>
      <c r="G33" s="93">
        <v>4</v>
      </c>
      <c r="H33" s="93">
        <v>110</v>
      </c>
      <c r="I33" s="100">
        <v>20</v>
      </c>
      <c r="J33" s="93">
        <v>119</v>
      </c>
    </row>
    <row r="34" spans="1:10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 t="shared" si="0"/>
        <v>119</v>
      </c>
      <c r="F34" s="93" t="s">
        <v>100</v>
      </c>
      <c r="G34" s="93">
        <v>1</v>
      </c>
      <c r="H34" s="93" t="s">
        <v>100</v>
      </c>
      <c r="I34" s="100">
        <v>1</v>
      </c>
      <c r="J34" s="93">
        <v>117</v>
      </c>
    </row>
    <row r="35" spans="1:10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66" si="1">SUM(F35:J35)</f>
        <v>43</v>
      </c>
      <c r="F35" s="93">
        <v>0</v>
      </c>
      <c r="G35" s="93">
        <v>0</v>
      </c>
      <c r="H35" s="93">
        <v>0</v>
      </c>
      <c r="I35" s="100">
        <v>0</v>
      </c>
      <c r="J35" s="93">
        <v>43</v>
      </c>
    </row>
    <row r="36" spans="1:10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1"/>
        <v>40</v>
      </c>
      <c r="F36" s="93">
        <v>0</v>
      </c>
      <c r="G36" s="93">
        <v>0</v>
      </c>
      <c r="H36" s="93">
        <v>0</v>
      </c>
      <c r="I36" s="100">
        <v>0</v>
      </c>
      <c r="J36" s="93">
        <v>40</v>
      </c>
    </row>
    <row r="37" spans="1:10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1"/>
        <v>27</v>
      </c>
      <c r="F37" s="93" t="s">
        <v>100</v>
      </c>
      <c r="G37" s="93">
        <v>1</v>
      </c>
      <c r="H37" s="93" t="s">
        <v>100</v>
      </c>
      <c r="I37" s="100">
        <v>0</v>
      </c>
      <c r="J37" s="93">
        <v>26</v>
      </c>
    </row>
    <row r="38" spans="1:10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1"/>
        <v>45</v>
      </c>
      <c r="F38" s="93">
        <v>1</v>
      </c>
      <c r="G38" s="93">
        <v>2</v>
      </c>
      <c r="H38" s="93">
        <v>41</v>
      </c>
      <c r="I38" s="100">
        <v>0</v>
      </c>
      <c r="J38" s="93">
        <v>1</v>
      </c>
    </row>
    <row r="39" spans="1:10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1"/>
        <v>13</v>
      </c>
      <c r="F39" s="93">
        <v>3</v>
      </c>
      <c r="G39" s="93">
        <v>5</v>
      </c>
      <c r="H39" s="93">
        <v>4</v>
      </c>
      <c r="I39" s="100">
        <v>0</v>
      </c>
      <c r="J39" s="93">
        <v>1</v>
      </c>
    </row>
    <row r="40" spans="1:10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1"/>
        <v>34</v>
      </c>
      <c r="F40" s="93">
        <v>5</v>
      </c>
      <c r="G40" s="93">
        <v>2</v>
      </c>
      <c r="H40" s="93">
        <v>26</v>
      </c>
      <c r="I40" s="100">
        <v>0</v>
      </c>
      <c r="J40" s="93">
        <v>1</v>
      </c>
    </row>
    <row r="41" spans="1:10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1"/>
        <v>43</v>
      </c>
      <c r="F41" s="93">
        <v>1</v>
      </c>
      <c r="G41" s="93">
        <v>1</v>
      </c>
      <c r="H41" s="93">
        <v>40</v>
      </c>
      <c r="I41" s="100">
        <v>0</v>
      </c>
      <c r="J41" s="93">
        <v>1</v>
      </c>
    </row>
    <row r="42" spans="1:10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1"/>
        <v>32</v>
      </c>
      <c r="F42" s="93">
        <v>8</v>
      </c>
      <c r="G42" s="93">
        <v>5</v>
      </c>
      <c r="H42" s="93">
        <v>18</v>
      </c>
      <c r="I42" s="100">
        <v>0</v>
      </c>
      <c r="J42" s="93">
        <v>1</v>
      </c>
    </row>
    <row r="43" spans="1:10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1"/>
        <v>7</v>
      </c>
      <c r="F43" s="93">
        <v>3</v>
      </c>
      <c r="G43" s="93">
        <v>3</v>
      </c>
      <c r="H43" s="93" t="s">
        <v>100</v>
      </c>
      <c r="I43" s="100">
        <v>0</v>
      </c>
      <c r="J43" s="93">
        <v>1</v>
      </c>
    </row>
    <row r="44" spans="1:10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1"/>
        <v>1204</v>
      </c>
      <c r="F44" s="93">
        <v>63</v>
      </c>
      <c r="G44" s="93">
        <v>22</v>
      </c>
      <c r="H44" s="93">
        <v>122</v>
      </c>
      <c r="I44" s="100">
        <v>0</v>
      </c>
      <c r="J44" s="93">
        <v>997</v>
      </c>
    </row>
    <row r="45" spans="1:10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1"/>
        <v>358</v>
      </c>
      <c r="F45" s="93">
        <v>44</v>
      </c>
      <c r="G45" s="93">
        <v>16</v>
      </c>
      <c r="H45" s="93">
        <v>143</v>
      </c>
      <c r="I45" s="100">
        <v>0</v>
      </c>
      <c r="J45" s="93">
        <v>155</v>
      </c>
    </row>
    <row r="46" spans="1:10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1"/>
        <v>1</v>
      </c>
      <c r="F46" s="93">
        <v>0</v>
      </c>
      <c r="G46" s="93">
        <v>0</v>
      </c>
      <c r="H46" s="93">
        <v>0</v>
      </c>
      <c r="I46" s="100">
        <v>0</v>
      </c>
      <c r="J46" s="93">
        <v>1</v>
      </c>
    </row>
    <row r="47" spans="1:10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1"/>
        <v>69</v>
      </c>
      <c r="F47" s="93">
        <v>13</v>
      </c>
      <c r="G47" s="93">
        <v>4</v>
      </c>
      <c r="H47" s="93">
        <v>32</v>
      </c>
      <c r="I47" s="100">
        <v>0</v>
      </c>
      <c r="J47" s="93">
        <v>20</v>
      </c>
    </row>
    <row r="48" spans="1:10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1"/>
        <v>510</v>
      </c>
      <c r="F48" s="93">
        <v>107</v>
      </c>
      <c r="G48" s="93">
        <v>29</v>
      </c>
      <c r="H48" s="93">
        <v>168</v>
      </c>
      <c r="I48" s="100">
        <v>0</v>
      </c>
      <c r="J48" s="93">
        <v>206</v>
      </c>
    </row>
    <row r="49" spans="1:10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1"/>
        <v>1505</v>
      </c>
      <c r="F49" s="93">
        <v>105</v>
      </c>
      <c r="G49" s="93">
        <v>30</v>
      </c>
      <c r="H49" s="93">
        <v>128</v>
      </c>
      <c r="I49" s="100">
        <v>0</v>
      </c>
      <c r="J49" s="93">
        <v>1242</v>
      </c>
    </row>
    <row r="50" spans="1:10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1"/>
        <v>1203</v>
      </c>
      <c r="F50" s="93">
        <v>62</v>
      </c>
      <c r="G50" s="93">
        <v>11</v>
      </c>
      <c r="H50" s="93">
        <v>104</v>
      </c>
      <c r="I50" s="100">
        <v>0</v>
      </c>
      <c r="J50" s="93">
        <v>1026</v>
      </c>
    </row>
    <row r="51" spans="1:10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1"/>
        <v>206</v>
      </c>
      <c r="F51" s="93">
        <v>1</v>
      </c>
      <c r="G51" s="93" t="s">
        <v>100</v>
      </c>
      <c r="H51" s="93" t="s">
        <v>100</v>
      </c>
      <c r="I51" s="100">
        <v>0</v>
      </c>
      <c r="J51" s="93">
        <v>205</v>
      </c>
    </row>
    <row r="52" spans="1:10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1"/>
        <v>31</v>
      </c>
      <c r="F52" s="93">
        <v>17</v>
      </c>
      <c r="G52" s="93">
        <v>8</v>
      </c>
      <c r="H52" s="93">
        <v>5</v>
      </c>
      <c r="I52" s="100">
        <v>0</v>
      </c>
      <c r="J52" s="93">
        <v>1</v>
      </c>
    </row>
    <row r="53" spans="1:10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1"/>
        <v>40</v>
      </c>
      <c r="F53" s="93">
        <v>13</v>
      </c>
      <c r="G53" s="93">
        <v>6</v>
      </c>
      <c r="H53" s="93">
        <v>20</v>
      </c>
      <c r="I53" s="100">
        <v>0</v>
      </c>
      <c r="J53" s="93">
        <v>1</v>
      </c>
    </row>
    <row r="54" spans="1:10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si="1"/>
        <v>32</v>
      </c>
      <c r="F54" s="93">
        <v>11</v>
      </c>
      <c r="G54" s="93">
        <v>5</v>
      </c>
      <c r="H54" s="93">
        <v>15</v>
      </c>
      <c r="I54" s="100">
        <v>0</v>
      </c>
      <c r="J54" s="93">
        <v>1</v>
      </c>
    </row>
    <row r="55" spans="1:10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1"/>
        <v>2</v>
      </c>
      <c r="F55" s="93">
        <v>1</v>
      </c>
      <c r="G55" s="93" t="s">
        <v>100</v>
      </c>
      <c r="H55" s="93" t="s">
        <v>100</v>
      </c>
      <c r="I55" s="100">
        <v>0</v>
      </c>
      <c r="J55" s="93">
        <v>1</v>
      </c>
    </row>
    <row r="56" spans="1:10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1"/>
        <v>0</v>
      </c>
      <c r="F56" s="93">
        <v>0</v>
      </c>
      <c r="G56" s="93">
        <v>0</v>
      </c>
      <c r="H56" s="93">
        <v>0</v>
      </c>
      <c r="I56" s="100">
        <v>0</v>
      </c>
      <c r="J56" s="93">
        <v>0</v>
      </c>
    </row>
    <row r="57" spans="1:10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1"/>
        <v>41</v>
      </c>
      <c r="F57" s="93">
        <v>0</v>
      </c>
      <c r="G57" s="93">
        <v>0</v>
      </c>
      <c r="H57" s="93">
        <v>0</v>
      </c>
      <c r="I57" s="100">
        <v>0</v>
      </c>
      <c r="J57" s="93">
        <v>41</v>
      </c>
    </row>
    <row r="58" spans="1:10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1"/>
        <v>24</v>
      </c>
      <c r="F58" s="93">
        <v>7</v>
      </c>
      <c r="G58" s="93">
        <v>3</v>
      </c>
      <c r="H58" s="93">
        <v>13</v>
      </c>
      <c r="I58" s="100">
        <v>0</v>
      </c>
      <c r="J58" s="93">
        <v>1</v>
      </c>
    </row>
    <row r="59" spans="1:10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1"/>
        <v>35</v>
      </c>
      <c r="F59" s="93">
        <v>0</v>
      </c>
      <c r="G59" s="93">
        <v>0</v>
      </c>
      <c r="H59" s="93">
        <v>0</v>
      </c>
      <c r="I59" s="100">
        <v>0</v>
      </c>
      <c r="J59" s="93">
        <v>35</v>
      </c>
    </row>
    <row r="60" spans="1:10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1"/>
        <v>64</v>
      </c>
      <c r="F60" s="93" t="s">
        <v>100</v>
      </c>
      <c r="G60" s="93">
        <v>1</v>
      </c>
      <c r="H60" s="93">
        <v>22</v>
      </c>
      <c r="I60" s="100">
        <v>0</v>
      </c>
      <c r="J60" s="93">
        <v>41</v>
      </c>
    </row>
    <row r="61" spans="1:10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1"/>
        <v>482</v>
      </c>
      <c r="F61" s="93">
        <v>6</v>
      </c>
      <c r="G61" s="93" t="s">
        <v>100</v>
      </c>
      <c r="H61" s="93">
        <v>155</v>
      </c>
      <c r="I61" s="100">
        <v>0</v>
      </c>
      <c r="J61" s="93">
        <v>321</v>
      </c>
    </row>
    <row r="62" spans="1:10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1"/>
        <v>92</v>
      </c>
      <c r="F62" s="93">
        <v>0</v>
      </c>
      <c r="G62" s="93">
        <v>0</v>
      </c>
      <c r="H62" s="93">
        <v>0</v>
      </c>
      <c r="I62" s="100">
        <v>0</v>
      </c>
      <c r="J62" s="93">
        <v>92</v>
      </c>
    </row>
    <row r="63" spans="1:10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1"/>
        <v>3</v>
      </c>
      <c r="F63" s="93">
        <v>0</v>
      </c>
      <c r="G63" s="93">
        <v>0</v>
      </c>
      <c r="H63" s="93">
        <v>0</v>
      </c>
      <c r="I63" s="100">
        <v>0</v>
      </c>
      <c r="J63" s="93">
        <v>3</v>
      </c>
    </row>
    <row r="64" spans="1:10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1"/>
        <v>43</v>
      </c>
      <c r="F64" s="93">
        <v>0</v>
      </c>
      <c r="G64" s="93">
        <v>0</v>
      </c>
      <c r="H64" s="93">
        <v>0</v>
      </c>
      <c r="I64" s="100">
        <v>0</v>
      </c>
      <c r="J64" s="93">
        <v>43</v>
      </c>
    </row>
    <row r="65" spans="1:10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1"/>
        <v>95</v>
      </c>
      <c r="F65" s="93" t="s">
        <v>100</v>
      </c>
      <c r="G65" s="93" t="s">
        <v>100</v>
      </c>
      <c r="H65" s="93">
        <v>1</v>
      </c>
      <c r="I65" s="100">
        <v>0</v>
      </c>
      <c r="J65" s="93">
        <v>94</v>
      </c>
    </row>
    <row r="66" spans="1:10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1"/>
        <v>95</v>
      </c>
      <c r="F66" s="93" t="s">
        <v>100</v>
      </c>
      <c r="G66" s="93" t="s">
        <v>100</v>
      </c>
      <c r="H66" s="93">
        <v>2</v>
      </c>
      <c r="I66" s="100">
        <v>0</v>
      </c>
      <c r="J66" s="93">
        <v>93</v>
      </c>
    </row>
    <row r="67" spans="1:10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ref="E67:E98" si="2">SUM(F67:J67)</f>
        <v>1</v>
      </c>
      <c r="F67" s="93">
        <v>0</v>
      </c>
      <c r="G67" s="93">
        <v>0</v>
      </c>
      <c r="H67" s="93">
        <v>0</v>
      </c>
      <c r="I67" s="100">
        <v>0</v>
      </c>
      <c r="J67" s="93">
        <v>1</v>
      </c>
    </row>
    <row r="68" spans="1:10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2"/>
        <v>1</v>
      </c>
      <c r="F68" s="93">
        <v>0</v>
      </c>
      <c r="G68" s="93">
        <v>0</v>
      </c>
      <c r="H68" s="93">
        <v>0</v>
      </c>
      <c r="I68" s="100">
        <v>0</v>
      </c>
      <c r="J68" s="93">
        <v>1</v>
      </c>
    </row>
    <row r="69" spans="1:10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2"/>
        <v>8</v>
      </c>
      <c r="F69" s="93">
        <v>3</v>
      </c>
      <c r="G69" s="93">
        <v>1</v>
      </c>
      <c r="H69" s="93">
        <v>3</v>
      </c>
      <c r="I69" s="100">
        <v>0</v>
      </c>
      <c r="J69" s="93">
        <v>1</v>
      </c>
    </row>
    <row r="70" spans="1:10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2"/>
        <v>2</v>
      </c>
      <c r="F70" s="93" t="s">
        <v>100</v>
      </c>
      <c r="G70" s="93" t="s">
        <v>100</v>
      </c>
      <c r="H70" s="93">
        <v>1</v>
      </c>
      <c r="I70" s="100">
        <v>0</v>
      </c>
      <c r="J70" s="93">
        <v>1</v>
      </c>
    </row>
    <row r="71" spans="1:10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2"/>
        <v>27</v>
      </c>
      <c r="F71" s="93">
        <v>1</v>
      </c>
      <c r="G71" s="93">
        <v>1</v>
      </c>
      <c r="H71" s="93">
        <v>1</v>
      </c>
      <c r="I71" s="100">
        <v>0</v>
      </c>
      <c r="J71" s="93">
        <v>24</v>
      </c>
    </row>
    <row r="72" spans="1:10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2"/>
        <v>2</v>
      </c>
      <c r="F72" s="93">
        <v>1</v>
      </c>
      <c r="G72" s="93" t="s">
        <v>100</v>
      </c>
      <c r="H72" s="93" t="s">
        <v>100</v>
      </c>
      <c r="I72" s="100">
        <v>0</v>
      </c>
      <c r="J72" s="93">
        <v>1</v>
      </c>
    </row>
    <row r="73" spans="1:10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2"/>
        <v>6</v>
      </c>
      <c r="F73" s="93">
        <v>3</v>
      </c>
      <c r="G73" s="93">
        <v>2</v>
      </c>
      <c r="H73" s="93" t="s">
        <v>100</v>
      </c>
      <c r="I73" s="100">
        <v>0</v>
      </c>
      <c r="J73" s="93">
        <v>1</v>
      </c>
    </row>
    <row r="74" spans="1:10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2"/>
        <v>3</v>
      </c>
      <c r="F74" s="93">
        <v>2</v>
      </c>
      <c r="G74" s="93" t="s">
        <v>100</v>
      </c>
      <c r="H74" s="93" t="s">
        <v>100</v>
      </c>
      <c r="I74" s="100">
        <v>0</v>
      </c>
      <c r="J74" s="93">
        <v>1</v>
      </c>
    </row>
    <row r="75" spans="1:10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2"/>
        <v>20</v>
      </c>
      <c r="F75" s="93">
        <v>9</v>
      </c>
      <c r="G75" s="93">
        <v>6</v>
      </c>
      <c r="H75" s="93">
        <v>4</v>
      </c>
      <c r="I75" s="100">
        <v>0</v>
      </c>
      <c r="J75" s="93">
        <v>1</v>
      </c>
    </row>
    <row r="76" spans="1:10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2"/>
        <v>43</v>
      </c>
      <c r="F76" s="93">
        <v>24</v>
      </c>
      <c r="G76" s="93">
        <v>3</v>
      </c>
      <c r="H76" s="93">
        <v>15</v>
      </c>
      <c r="I76" s="100">
        <v>0</v>
      </c>
      <c r="J76" s="93">
        <v>1</v>
      </c>
    </row>
    <row r="77" spans="1:10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2"/>
        <v>38</v>
      </c>
      <c r="F77" s="93">
        <v>7</v>
      </c>
      <c r="G77" s="93">
        <v>4</v>
      </c>
      <c r="H77" s="93">
        <v>23</v>
      </c>
      <c r="I77" s="100">
        <v>0</v>
      </c>
      <c r="J77" s="93">
        <v>4</v>
      </c>
    </row>
    <row r="78" spans="1:10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2"/>
        <v>21</v>
      </c>
      <c r="F78" s="93">
        <v>5</v>
      </c>
      <c r="G78" s="93">
        <v>3</v>
      </c>
      <c r="H78" s="93">
        <v>12</v>
      </c>
      <c r="I78" s="100">
        <v>0</v>
      </c>
      <c r="J78" s="93">
        <v>1</v>
      </c>
    </row>
    <row r="79" spans="1:10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2"/>
        <v>47</v>
      </c>
      <c r="F79" s="93">
        <v>9</v>
      </c>
      <c r="G79" s="93">
        <v>4</v>
      </c>
      <c r="H79" s="93">
        <v>33</v>
      </c>
      <c r="I79" s="100">
        <v>0</v>
      </c>
      <c r="J79" s="93">
        <v>1</v>
      </c>
    </row>
    <row r="80" spans="1:10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2"/>
        <v>31</v>
      </c>
      <c r="F80" s="93">
        <v>3</v>
      </c>
      <c r="G80" s="93">
        <v>5</v>
      </c>
      <c r="H80" s="93">
        <v>22</v>
      </c>
      <c r="I80" s="100">
        <v>0</v>
      </c>
      <c r="J80" s="93">
        <v>1</v>
      </c>
    </row>
    <row r="81" spans="1:10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2"/>
        <v>15</v>
      </c>
      <c r="F81" s="93">
        <v>4</v>
      </c>
      <c r="G81" s="93">
        <v>2</v>
      </c>
      <c r="H81" s="93">
        <v>8</v>
      </c>
      <c r="I81" s="100">
        <v>0</v>
      </c>
      <c r="J81" s="93">
        <v>1</v>
      </c>
    </row>
    <row r="82" spans="1:10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2"/>
        <v>46</v>
      </c>
      <c r="F82" s="93">
        <v>2</v>
      </c>
      <c r="G82" s="93" t="s">
        <v>100</v>
      </c>
      <c r="H82" s="93">
        <v>43</v>
      </c>
      <c r="I82" s="100">
        <v>0</v>
      </c>
      <c r="J82" s="93">
        <v>1</v>
      </c>
    </row>
    <row r="83" spans="1:10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2"/>
        <v>45</v>
      </c>
      <c r="F83" s="93">
        <v>3</v>
      </c>
      <c r="G83" s="93">
        <v>1</v>
      </c>
      <c r="H83" s="93">
        <v>40</v>
      </c>
      <c r="I83" s="100">
        <v>0</v>
      </c>
      <c r="J83" s="93">
        <v>1</v>
      </c>
    </row>
    <row r="84" spans="1:10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2"/>
        <v>47</v>
      </c>
      <c r="F84" s="93">
        <v>17</v>
      </c>
      <c r="G84" s="93">
        <v>6</v>
      </c>
      <c r="H84" s="93">
        <v>23</v>
      </c>
      <c r="I84" s="100">
        <v>0</v>
      </c>
      <c r="J84" s="93">
        <v>1</v>
      </c>
    </row>
    <row r="85" spans="1:10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2"/>
        <v>36</v>
      </c>
      <c r="F85" s="93">
        <v>5</v>
      </c>
      <c r="G85" s="93">
        <v>4</v>
      </c>
      <c r="H85" s="93">
        <v>26</v>
      </c>
      <c r="I85" s="100">
        <v>0</v>
      </c>
      <c r="J85" s="93">
        <v>1</v>
      </c>
    </row>
    <row r="86" spans="1:10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2"/>
        <v>44</v>
      </c>
      <c r="F86" s="93">
        <v>7</v>
      </c>
      <c r="G86" s="93">
        <v>2</v>
      </c>
      <c r="H86" s="93">
        <v>34</v>
      </c>
      <c r="I86" s="100">
        <v>0</v>
      </c>
      <c r="J86" s="93">
        <v>1</v>
      </c>
    </row>
    <row r="87" spans="1:10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2"/>
        <v>16</v>
      </c>
      <c r="F87" s="93">
        <v>11</v>
      </c>
      <c r="G87" s="93">
        <v>4</v>
      </c>
      <c r="H87" s="93" t="s">
        <v>100</v>
      </c>
      <c r="I87" s="100">
        <v>0</v>
      </c>
      <c r="J87" s="93">
        <v>1</v>
      </c>
    </row>
    <row r="88" spans="1:10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2"/>
        <v>4</v>
      </c>
      <c r="F88" s="93">
        <v>3</v>
      </c>
      <c r="G88" s="93" t="s">
        <v>100</v>
      </c>
      <c r="H88" s="93" t="s">
        <v>100</v>
      </c>
      <c r="I88" s="100">
        <v>0</v>
      </c>
      <c r="J88" s="93">
        <v>1</v>
      </c>
    </row>
    <row r="89" spans="1:10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2"/>
        <v>20</v>
      </c>
      <c r="F89" s="93">
        <v>6</v>
      </c>
      <c r="G89" s="93">
        <v>4</v>
      </c>
      <c r="H89" s="93">
        <v>9</v>
      </c>
      <c r="I89" s="100">
        <v>0</v>
      </c>
      <c r="J89" s="93">
        <v>1</v>
      </c>
    </row>
    <row r="90" spans="1:10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2"/>
        <v>50</v>
      </c>
      <c r="F90" s="93" t="s">
        <v>100</v>
      </c>
      <c r="G90" s="93" t="s">
        <v>100</v>
      </c>
      <c r="H90" s="93">
        <v>49</v>
      </c>
      <c r="I90" s="100">
        <v>0</v>
      </c>
      <c r="J90" s="93">
        <v>1</v>
      </c>
    </row>
    <row r="91" spans="1:10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2"/>
        <v>34</v>
      </c>
      <c r="F91" s="93">
        <v>11</v>
      </c>
      <c r="G91" s="93">
        <v>6</v>
      </c>
      <c r="H91" s="93">
        <v>11</v>
      </c>
      <c r="I91" s="100">
        <v>0</v>
      </c>
      <c r="J91" s="93">
        <v>6</v>
      </c>
    </row>
    <row r="92" spans="1:10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2"/>
        <v>50</v>
      </c>
      <c r="F92" s="93">
        <v>1</v>
      </c>
      <c r="G92" s="93">
        <v>1</v>
      </c>
      <c r="H92" s="93">
        <v>47</v>
      </c>
      <c r="I92" s="100">
        <v>0</v>
      </c>
      <c r="J92" s="93">
        <v>1</v>
      </c>
    </row>
    <row r="93" spans="1:10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2"/>
        <v>42</v>
      </c>
      <c r="F93" s="93">
        <v>2</v>
      </c>
      <c r="G93" s="93">
        <v>1</v>
      </c>
      <c r="H93" s="93">
        <v>38</v>
      </c>
      <c r="I93" s="100">
        <v>0</v>
      </c>
      <c r="J93" s="93">
        <v>1</v>
      </c>
    </row>
    <row r="94" spans="1:10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2"/>
        <v>0</v>
      </c>
      <c r="F94" s="93">
        <v>0</v>
      </c>
      <c r="G94" s="93">
        <v>0</v>
      </c>
      <c r="H94" s="93">
        <v>0</v>
      </c>
      <c r="I94" s="100">
        <v>0</v>
      </c>
      <c r="J94" s="93">
        <v>0</v>
      </c>
    </row>
    <row r="95" spans="1:10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2"/>
        <v>0</v>
      </c>
      <c r="F95" s="93">
        <v>0</v>
      </c>
      <c r="G95" s="93">
        <v>0</v>
      </c>
      <c r="H95" s="93">
        <v>0</v>
      </c>
      <c r="I95" s="100">
        <v>0</v>
      </c>
      <c r="J95" s="93">
        <v>0</v>
      </c>
    </row>
    <row r="96" spans="1:10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2"/>
        <v>0</v>
      </c>
      <c r="F96" s="93">
        <v>0</v>
      </c>
      <c r="G96" s="93">
        <v>0</v>
      </c>
      <c r="H96" s="93">
        <v>0</v>
      </c>
      <c r="I96" s="100">
        <v>0</v>
      </c>
      <c r="J96" s="93">
        <v>0</v>
      </c>
    </row>
    <row r="97" spans="1:10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2"/>
        <v>2</v>
      </c>
      <c r="F97" s="93">
        <v>1</v>
      </c>
      <c r="G97" s="93">
        <v>1</v>
      </c>
      <c r="H97" s="93" t="s">
        <v>100</v>
      </c>
      <c r="I97" s="100">
        <v>0</v>
      </c>
      <c r="J97" s="93">
        <v>0</v>
      </c>
    </row>
    <row r="98" spans="1:10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2"/>
        <v>11</v>
      </c>
      <c r="F98" s="93" t="s">
        <v>100</v>
      </c>
      <c r="G98" s="93">
        <v>1</v>
      </c>
      <c r="H98" s="93">
        <v>10</v>
      </c>
      <c r="I98" s="100">
        <v>0</v>
      </c>
      <c r="J98" s="93">
        <v>0</v>
      </c>
    </row>
    <row r="99" spans="1:10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3">SUM(F99:J99)</f>
        <v>0</v>
      </c>
      <c r="F99" s="93">
        <v>0</v>
      </c>
      <c r="G99" s="93">
        <v>0</v>
      </c>
      <c r="H99" s="93">
        <v>0</v>
      </c>
      <c r="I99" s="100">
        <v>0</v>
      </c>
      <c r="J99" s="93">
        <v>0</v>
      </c>
    </row>
    <row r="100" spans="1:10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"/>
        <v>41</v>
      </c>
      <c r="F100" s="93">
        <v>6</v>
      </c>
      <c r="G100" s="93" t="s">
        <v>100</v>
      </c>
      <c r="H100" s="93">
        <v>35</v>
      </c>
      <c r="I100" s="100">
        <v>0</v>
      </c>
      <c r="J100" s="93">
        <v>0</v>
      </c>
    </row>
    <row r="101" spans="1:10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"/>
        <v>0</v>
      </c>
      <c r="F101" s="93">
        <v>0</v>
      </c>
      <c r="G101" s="93">
        <v>0</v>
      </c>
      <c r="H101" s="93">
        <v>0</v>
      </c>
      <c r="I101" s="100">
        <v>0</v>
      </c>
      <c r="J101" s="93">
        <v>0</v>
      </c>
    </row>
    <row r="102" spans="1:10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"/>
        <v>150</v>
      </c>
      <c r="F102" s="93">
        <v>38</v>
      </c>
      <c r="G102" s="93">
        <v>22</v>
      </c>
      <c r="H102" s="93">
        <v>90</v>
      </c>
      <c r="I102" s="100">
        <v>0</v>
      </c>
      <c r="J102" s="93">
        <v>0</v>
      </c>
    </row>
    <row r="103" spans="1:10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"/>
        <v>0</v>
      </c>
      <c r="F103" s="93">
        <v>0</v>
      </c>
      <c r="G103" s="93">
        <v>0</v>
      </c>
      <c r="H103" s="93">
        <v>0</v>
      </c>
      <c r="I103" s="100">
        <v>0</v>
      </c>
      <c r="J103" s="93">
        <v>0</v>
      </c>
    </row>
    <row r="104" spans="1:10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</row>
    <row r="105" spans="1:10" s="120" customFormat="1">
      <c r="A105" s="114" t="s">
        <v>85</v>
      </c>
      <c r="B105" s="115"/>
      <c r="C105" s="116"/>
      <c r="D105" s="116"/>
      <c r="E105" s="238">
        <f t="shared" ref="E105:J105" si="4">SUM(E3:E103)</f>
        <v>87323</v>
      </c>
      <c r="F105" s="116">
        <f t="shared" si="4"/>
        <v>3887</v>
      </c>
      <c r="G105" s="116">
        <f t="shared" si="4"/>
        <v>1127</v>
      </c>
      <c r="H105" s="116">
        <f t="shared" si="4"/>
        <v>9425</v>
      </c>
      <c r="I105" s="116">
        <f t="shared" si="4"/>
        <v>1461</v>
      </c>
      <c r="J105" s="116">
        <f t="shared" si="4"/>
        <v>71423</v>
      </c>
    </row>
    <row r="106" spans="1:10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</row>
    <row r="107" spans="1:10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</row>
    <row r="108" spans="1:10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</row>
    <row r="109" spans="1:10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</row>
    <row r="110" spans="1:10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</row>
    <row r="111" spans="1:10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</row>
    <row r="112" spans="1:10" hidden="1" outlineLevel="1">
      <c r="A112" s="89"/>
      <c r="B112" s="100"/>
      <c r="C112" s="100"/>
      <c r="D112" s="100"/>
      <c r="E112" s="100"/>
      <c r="H112" s="270"/>
    </row>
    <row r="113" spans="1:10" s="120" customFormat="1" hidden="1" outlineLevel="1">
      <c r="A113" s="247" t="s">
        <v>226</v>
      </c>
      <c r="B113" s="248"/>
      <c r="C113" s="249"/>
      <c r="D113" s="249"/>
      <c r="E113" s="250">
        <f t="shared" ref="E113:J113" si="5">SUM(E107:E111)</f>
        <v>0</v>
      </c>
      <c r="F113" s="249">
        <f t="shared" si="5"/>
        <v>0</v>
      </c>
      <c r="G113" s="249">
        <f t="shared" si="5"/>
        <v>0</v>
      </c>
      <c r="H113" s="249">
        <f t="shared" si="5"/>
        <v>0</v>
      </c>
      <c r="I113" s="249">
        <f t="shared" si="5"/>
        <v>0</v>
      </c>
      <c r="J113" s="249">
        <f t="shared" si="5"/>
        <v>0</v>
      </c>
    </row>
    <row r="114" spans="1:10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</row>
    <row r="115" spans="1:10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</row>
    <row r="116" spans="1:10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</row>
    <row r="117" spans="1:10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</row>
    <row r="118" spans="1:10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</row>
    <row r="119" spans="1:10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</row>
    <row r="120" spans="1:10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</row>
    <row r="121" spans="1:10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</row>
    <row r="122" spans="1:10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</row>
    <row r="123" spans="1:10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</row>
    <row r="124" spans="1:10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6">SUM(E115:E122)</f>
        <v>0</v>
      </c>
      <c r="F124" s="134">
        <f t="shared" si="6"/>
        <v>0</v>
      </c>
      <c r="G124" s="134">
        <f t="shared" si="6"/>
        <v>0</v>
      </c>
      <c r="H124" s="134">
        <f t="shared" si="6"/>
        <v>0</v>
      </c>
      <c r="I124" s="134">
        <f t="shared" si="6"/>
        <v>0</v>
      </c>
      <c r="J124" s="134">
        <f t="shared" si="6"/>
        <v>0</v>
      </c>
    </row>
    <row r="125" spans="1:10" s="143" customFormat="1" collapsed="1">
      <c r="A125" s="140"/>
      <c r="B125" s="141"/>
      <c r="C125" s="140"/>
      <c r="D125" s="142"/>
      <c r="E125" s="266"/>
      <c r="H125" s="144"/>
    </row>
    <row r="126" spans="1:10" s="158" customFormat="1">
      <c r="A126" s="153" t="s">
        <v>6</v>
      </c>
      <c r="B126" s="154"/>
      <c r="C126" s="155"/>
      <c r="D126" s="155"/>
      <c r="E126" s="267">
        <f t="shared" ref="E126:J126" si="7">E105+E113+E124</f>
        <v>87323</v>
      </c>
      <c r="F126" s="267">
        <f t="shared" si="7"/>
        <v>3887</v>
      </c>
      <c r="G126" s="267">
        <f t="shared" si="7"/>
        <v>1127</v>
      </c>
      <c r="H126" s="267">
        <f t="shared" si="7"/>
        <v>9425</v>
      </c>
      <c r="I126" s="267">
        <f t="shared" si="7"/>
        <v>1461</v>
      </c>
      <c r="J126" s="267">
        <f t="shared" si="7"/>
        <v>71423</v>
      </c>
    </row>
    <row r="127" spans="1:10" s="143" customFormat="1">
      <c r="A127" s="142"/>
      <c r="B127" s="141"/>
      <c r="C127" s="159"/>
      <c r="D127" s="142"/>
      <c r="E127" s="266"/>
    </row>
    <row r="128" spans="1:10">
      <c r="C128" s="162"/>
      <c r="D128" s="162"/>
    </row>
    <row r="129" spans="3:4">
      <c r="C129" s="162"/>
      <c r="D129" s="162"/>
    </row>
  </sheetData>
  <mergeCells count="2">
    <mergeCell ref="F1:H1"/>
    <mergeCell ref="I1:J1"/>
  </mergeCells>
  <pageMargins left="0.7" right="0.7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12BD-B249-4B28-A678-A39DC4571812}">
  <dimension ref="A1:AZ130"/>
  <sheetViews>
    <sheetView zoomScale="70" zoomScaleNormal="70" workbookViewId="0">
      <pane xSplit="3" ySplit="2" topLeftCell="D90" activePane="bottomRight" state="frozen"/>
      <selection pane="topRight" activeCell="D1" sqref="D1"/>
      <selection pane="bottomLeft" activeCell="A3" sqref="A3"/>
      <selection pane="bottomRight" activeCell="D128" sqref="D128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350</v>
      </c>
      <c r="B1" s="73"/>
      <c r="C1" s="72"/>
      <c r="D1" s="72"/>
      <c r="E1" s="222"/>
      <c r="F1" s="539" t="s">
        <v>42</v>
      </c>
      <c r="G1" s="539"/>
      <c r="H1" s="539"/>
      <c r="I1" s="540" t="s">
        <v>115</v>
      </c>
      <c r="J1" s="541"/>
      <c r="M1" s="488" t="s">
        <v>43</v>
      </c>
      <c r="N1" s="539" t="s">
        <v>116</v>
      </c>
      <c r="O1" s="539"/>
      <c r="P1" s="539"/>
      <c r="R1" s="224"/>
      <c r="S1" s="542"/>
      <c r="T1" s="542"/>
      <c r="U1" s="224"/>
      <c r="V1" s="543"/>
      <c r="W1" s="544"/>
      <c r="X1" s="224"/>
      <c r="Y1" s="542"/>
      <c r="Z1" s="542"/>
      <c r="AA1" s="224"/>
      <c r="AB1" s="224"/>
      <c r="AC1" s="224"/>
      <c r="AD1" s="224"/>
      <c r="AE1" s="225"/>
      <c r="AF1" s="224"/>
      <c r="AG1" s="225"/>
      <c r="AH1" s="535"/>
      <c r="AI1" s="535"/>
      <c r="AJ1" s="283" t="s">
        <v>248</v>
      </c>
      <c r="AK1" s="487"/>
      <c r="AL1" s="489" t="s">
        <v>44</v>
      </c>
      <c r="AM1" s="225"/>
      <c r="AQ1" s="536" t="s">
        <v>45</v>
      </c>
      <c r="AR1" s="537"/>
      <c r="AS1" s="537"/>
      <c r="AT1" s="537"/>
      <c r="AU1" s="537"/>
      <c r="AV1" s="537"/>
      <c r="AW1" s="537"/>
      <c r="AX1" s="538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349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89"/>
      <c r="O3" s="89"/>
      <c r="P3" s="89"/>
      <c r="Q3" s="233">
        <f>N3/7</f>
        <v>0</v>
      </c>
      <c r="R3" s="92">
        <f>U3/7</f>
        <v>0</v>
      </c>
      <c r="S3" s="93"/>
      <c r="T3" s="93"/>
      <c r="U3" s="92">
        <f t="shared" ref="U3:U66" si="1">S3+T3</f>
        <v>0</v>
      </c>
      <c r="V3" s="93"/>
      <c r="W3" s="93"/>
      <c r="X3" s="92">
        <f t="shared" ref="X3:X66" si="2">V3+W3</f>
        <v>0</v>
      </c>
      <c r="Y3" s="93"/>
      <c r="Z3" s="93"/>
      <c r="AA3" s="92">
        <f>Y3+Z3</f>
        <v>0</v>
      </c>
      <c r="AB3" s="92">
        <f>N3*O3*P3/100</f>
        <v>0</v>
      </c>
      <c r="AC3" s="234" t="e">
        <f t="shared" ref="AC3:AC66" si="3">AA3/$AA$127</f>
        <v>#DIV/0!</v>
      </c>
      <c r="AD3" s="92">
        <f t="shared" ref="AD3:AD66" si="4">U3*K3</f>
        <v>0</v>
      </c>
      <c r="AE3" s="93"/>
      <c r="AF3" s="234">
        <f t="shared" ref="AF3:AF66" si="5">IF(AA3=0,0,AE3/AA3)</f>
        <v>0</v>
      </c>
      <c r="AG3" s="93"/>
      <c r="AH3" s="93"/>
      <c r="AI3" s="93"/>
      <c r="AJ3" s="93"/>
      <c r="AK3" s="93"/>
      <c r="AL3" s="122">
        <f t="shared" ref="AL3:AL66" si="6">IFERROR($AL$127*H3/$H$127,0)</f>
        <v>0</v>
      </c>
      <c r="AM3" s="93"/>
      <c r="AN3" s="94">
        <f>X3*5.71%</f>
        <v>0</v>
      </c>
      <c r="AO3" s="95">
        <f>AA3-AD3-AE3-AG3-AH3-AI3-AK3-AL3-AN3-AM3</f>
        <v>0</v>
      </c>
      <c r="AP3" s="96"/>
      <c r="AQ3" s="97">
        <f t="shared" ref="AQ3:AQ97" si="7">IF(U3=0,0,AA3/U3)</f>
        <v>0</v>
      </c>
      <c r="AR3" s="98">
        <f t="shared" ref="AR3:AR19" si="8">K3</f>
        <v>142.97999999999999</v>
      </c>
      <c r="AS3" s="98">
        <f t="shared" ref="AS3:AS97" si="9">IF(U3=0,0,AE3/U3)</f>
        <v>0</v>
      </c>
      <c r="AT3" s="98">
        <f t="shared" ref="AT3:AT97" si="10">IF(S3=0,AG3/1,AG3/S3)</f>
        <v>0</v>
      </c>
      <c r="AU3" s="98">
        <f>IF(S3=0,0,(AH3+AI3+AJ3)/S3)</f>
        <v>0</v>
      </c>
      <c r="AV3" s="98">
        <f>_xlfn.IFS(U3=0,AO3,U3&lt;0,AO3/-U3,U3&gt;0,AO3/U3)</f>
        <v>0</v>
      </c>
      <c r="AW3" s="234">
        <f t="shared" ref="AW3" si="11">IF(AQ3=0,0,AV3/AQ3)</f>
        <v>0</v>
      </c>
      <c r="AX3" s="234">
        <f t="shared" ref="AX3" si="12">IF(AR3=0,0,AV3/AR3)</f>
        <v>0</v>
      </c>
      <c r="AY3" s="99"/>
      <c r="AZ3" s="94">
        <f t="shared" ref="AZ3:AZ97" si="13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89"/>
      <c r="O4" s="89"/>
      <c r="P4" s="89"/>
      <c r="Q4" s="233">
        <f t="shared" ref="Q4:Q67" si="14">N4/7</f>
        <v>0</v>
      </c>
      <c r="R4" s="92">
        <f t="shared" ref="R4:R67" si="15">U4/7</f>
        <v>0</v>
      </c>
      <c r="S4" s="93"/>
      <c r="T4" s="93"/>
      <c r="U4" s="92">
        <f t="shared" si="1"/>
        <v>0</v>
      </c>
      <c r="V4" s="93"/>
      <c r="W4" s="93"/>
      <c r="X4" s="92">
        <f t="shared" si="2"/>
        <v>0</v>
      </c>
      <c r="Y4" s="93"/>
      <c r="Z4" s="93"/>
      <c r="AA4" s="92">
        <f t="shared" ref="AA4:AA67" si="16">Y4+Z4</f>
        <v>0</v>
      </c>
      <c r="AB4" s="92">
        <f t="shared" ref="AB4:AB67" si="17">N4*O4*P4/100</f>
        <v>0</v>
      </c>
      <c r="AC4" s="234" t="e">
        <f t="shared" si="3"/>
        <v>#DIV/0!</v>
      </c>
      <c r="AD4" s="92">
        <f t="shared" si="4"/>
        <v>0</v>
      </c>
      <c r="AE4" s="93"/>
      <c r="AF4" s="234">
        <f t="shared" si="5"/>
        <v>0</v>
      </c>
      <c r="AG4" s="93"/>
      <c r="AH4" s="93"/>
      <c r="AI4" s="93"/>
      <c r="AJ4" s="93"/>
      <c r="AK4" s="93"/>
      <c r="AL4" s="122">
        <f t="shared" si="6"/>
        <v>0</v>
      </c>
      <c r="AM4" s="93"/>
      <c r="AN4" s="94">
        <f t="shared" ref="AN4:AN67" si="18">X4*5.71%</f>
        <v>0</v>
      </c>
      <c r="AO4" s="95">
        <f>AA4-AD4-AE4-AG4-AH4-AI4-AK4-AL4-AN4-AM4</f>
        <v>0</v>
      </c>
      <c r="AP4" s="96"/>
      <c r="AQ4" s="97">
        <f t="shared" si="7"/>
        <v>0</v>
      </c>
      <c r="AR4" s="98">
        <f t="shared" si="8"/>
        <v>123.09</v>
      </c>
      <c r="AS4" s="98">
        <f t="shared" si="9"/>
        <v>0</v>
      </c>
      <c r="AT4" s="98">
        <f t="shared" si="10"/>
        <v>0</v>
      </c>
      <c r="AU4" s="98">
        <f t="shared" ref="AU4:AU70" si="19">IF(S4=0,0,(AH4+AI4+AJ4)/S4)</f>
        <v>0</v>
      </c>
      <c r="AV4" s="98">
        <f t="array" ref="AV4">_xlfn.IFS(U4=0,AO4,U4&lt;0,AO4/-U4,U4&gt;0,AO4/U4)</f>
        <v>0</v>
      </c>
      <c r="AW4" s="234">
        <f>IF(AQ4=0,0,AV4/AQ4)</f>
        <v>0</v>
      </c>
      <c r="AX4" s="234">
        <f>IF(AR4=0,0,AV4/AR4)</f>
        <v>0</v>
      </c>
      <c r="AY4" s="99"/>
      <c r="AZ4" s="94">
        <f t="shared" si="13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89"/>
      <c r="O5" s="89"/>
      <c r="P5" s="89"/>
      <c r="Q5" s="233">
        <f t="shared" si="14"/>
        <v>0</v>
      </c>
      <c r="R5" s="92">
        <f t="shared" si="15"/>
        <v>0</v>
      </c>
      <c r="S5" s="93"/>
      <c r="T5" s="93"/>
      <c r="U5" s="92">
        <f t="shared" si="1"/>
        <v>0</v>
      </c>
      <c r="V5" s="93"/>
      <c r="W5" s="93"/>
      <c r="X5" s="92">
        <f t="shared" si="2"/>
        <v>0</v>
      </c>
      <c r="Y5" s="93"/>
      <c r="Z5" s="93"/>
      <c r="AA5" s="92">
        <f t="shared" si="16"/>
        <v>0</v>
      </c>
      <c r="AB5" s="92">
        <f t="shared" si="17"/>
        <v>0</v>
      </c>
      <c r="AC5" s="234" t="e">
        <f t="shared" si="3"/>
        <v>#DIV/0!</v>
      </c>
      <c r="AD5" s="92">
        <f t="shared" si="4"/>
        <v>0</v>
      </c>
      <c r="AE5" s="93"/>
      <c r="AF5" s="234">
        <f t="shared" si="5"/>
        <v>0</v>
      </c>
      <c r="AG5" s="93"/>
      <c r="AH5" s="93"/>
      <c r="AI5" s="93"/>
      <c r="AJ5" s="93"/>
      <c r="AK5" s="93"/>
      <c r="AL5" s="122">
        <f t="shared" si="6"/>
        <v>0</v>
      </c>
      <c r="AM5" s="93"/>
      <c r="AN5" s="94">
        <f t="shared" si="18"/>
        <v>0</v>
      </c>
      <c r="AO5" s="95">
        <f t="shared" ref="AO5:AO68" si="20">AA5-AD5-AE5-AG5-AH5-AI5-AK5-AL5-AN5-AM5</f>
        <v>0</v>
      </c>
      <c r="AP5" s="96"/>
      <c r="AQ5" s="97">
        <f t="shared" si="7"/>
        <v>0</v>
      </c>
      <c r="AR5" s="98">
        <f t="shared" si="8"/>
        <v>123.09</v>
      </c>
      <c r="AS5" s="98">
        <f t="shared" si="9"/>
        <v>0</v>
      </c>
      <c r="AT5" s="98">
        <f t="shared" si="10"/>
        <v>0</v>
      </c>
      <c r="AU5" s="98">
        <f t="shared" si="19"/>
        <v>0</v>
      </c>
      <c r="AV5" s="98">
        <f t="array" ref="AV5">_xlfn.IFS(U5=0,AO5,U5&lt;0,AO5/-U5,U5&gt;0,AO5/U5)</f>
        <v>0</v>
      </c>
      <c r="AW5" s="234">
        <f>IF(AQ5=0,0,AV5/AQ5)</f>
        <v>0</v>
      </c>
      <c r="AX5" s="234">
        <f>IF(AR5=0,0,AV5/AR5)</f>
        <v>0</v>
      </c>
      <c r="AY5" s="99"/>
      <c r="AZ5" s="94">
        <f t="shared" si="13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1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2">E6*K6</f>
        <v>0</v>
      </c>
      <c r="M6" s="89"/>
      <c r="N6" s="89"/>
      <c r="O6" s="89"/>
      <c r="P6" s="89"/>
      <c r="Q6" s="233">
        <f t="shared" si="14"/>
        <v>0</v>
      </c>
      <c r="R6" s="92">
        <f t="shared" si="15"/>
        <v>0</v>
      </c>
      <c r="S6" s="93"/>
      <c r="T6" s="93"/>
      <c r="U6" s="92">
        <f t="shared" si="1"/>
        <v>0</v>
      </c>
      <c r="V6" s="93"/>
      <c r="W6" s="93"/>
      <c r="X6" s="92">
        <f t="shared" si="2"/>
        <v>0</v>
      </c>
      <c r="Y6" s="93"/>
      <c r="Z6" s="93"/>
      <c r="AA6" s="92">
        <f t="shared" si="16"/>
        <v>0</v>
      </c>
      <c r="AB6" s="92">
        <f t="shared" si="17"/>
        <v>0</v>
      </c>
      <c r="AC6" s="234" t="e">
        <f t="shared" si="3"/>
        <v>#DIV/0!</v>
      </c>
      <c r="AD6" s="92">
        <f t="shared" si="4"/>
        <v>0</v>
      </c>
      <c r="AE6" s="93"/>
      <c r="AF6" s="234">
        <f t="shared" si="5"/>
        <v>0</v>
      </c>
      <c r="AG6" s="93"/>
      <c r="AH6" s="93"/>
      <c r="AI6" s="93"/>
      <c r="AJ6" s="93"/>
      <c r="AK6" s="93"/>
      <c r="AL6" s="122">
        <f t="shared" si="6"/>
        <v>0</v>
      </c>
      <c r="AM6" s="93"/>
      <c r="AN6" s="94">
        <f t="shared" si="18"/>
        <v>0</v>
      </c>
      <c r="AO6" s="95">
        <f t="shared" si="20"/>
        <v>0</v>
      </c>
      <c r="AP6" s="96"/>
      <c r="AQ6" s="97">
        <f t="shared" si="7"/>
        <v>0</v>
      </c>
      <c r="AR6" s="98">
        <f t="shared" si="8"/>
        <v>123.09</v>
      </c>
      <c r="AS6" s="98">
        <f t="shared" si="9"/>
        <v>0</v>
      </c>
      <c r="AT6" s="98">
        <f t="shared" si="10"/>
        <v>0</v>
      </c>
      <c r="AU6" s="98">
        <f t="shared" si="19"/>
        <v>0</v>
      </c>
      <c r="AV6" s="98">
        <f t="array" ref="AV6">_xlfn.IFS(U6=0,AO6,U6&lt;0,AO6/-U6,U6&gt;0,AO6/U6)</f>
        <v>0</v>
      </c>
      <c r="AW6" s="234">
        <f t="shared" ref="AW6" si="23">IF(AQ6=0,0,AV6/AQ6)</f>
        <v>0</v>
      </c>
      <c r="AX6" s="234">
        <f t="shared" ref="AX6" si="24">IF(AR6=0,0,AV6/AR6)</f>
        <v>0</v>
      </c>
      <c r="AY6" s="99"/>
      <c r="AZ6" s="94">
        <f t="shared" si="13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89"/>
      <c r="O7" s="89"/>
      <c r="P7" s="89"/>
      <c r="Q7" s="233">
        <f t="shared" si="14"/>
        <v>0</v>
      </c>
      <c r="R7" s="92">
        <f t="shared" si="15"/>
        <v>0</v>
      </c>
      <c r="S7" s="93"/>
      <c r="T7" s="93"/>
      <c r="U7" s="92">
        <f t="shared" si="1"/>
        <v>0</v>
      </c>
      <c r="V7" s="93"/>
      <c r="W7" s="93"/>
      <c r="X7" s="92">
        <f t="shared" si="2"/>
        <v>0</v>
      </c>
      <c r="Y7" s="93"/>
      <c r="Z7" s="93"/>
      <c r="AA7" s="92">
        <f t="shared" si="16"/>
        <v>0</v>
      </c>
      <c r="AB7" s="92">
        <f t="shared" si="17"/>
        <v>0</v>
      </c>
      <c r="AC7" s="234" t="e">
        <f t="shared" si="3"/>
        <v>#DIV/0!</v>
      </c>
      <c r="AD7" s="92">
        <f t="shared" si="4"/>
        <v>0</v>
      </c>
      <c r="AE7" s="93"/>
      <c r="AF7" s="234">
        <f t="shared" si="5"/>
        <v>0</v>
      </c>
      <c r="AG7" s="93"/>
      <c r="AH7" s="93"/>
      <c r="AI7" s="93"/>
      <c r="AJ7" s="93"/>
      <c r="AK7" s="93"/>
      <c r="AL7" s="122">
        <f t="shared" si="6"/>
        <v>0</v>
      </c>
      <c r="AM7" s="93"/>
      <c r="AN7" s="94">
        <f t="shared" si="18"/>
        <v>0</v>
      </c>
      <c r="AO7" s="95">
        <f t="shared" si="20"/>
        <v>0</v>
      </c>
      <c r="AP7" s="96"/>
      <c r="AQ7" s="97">
        <f t="shared" si="7"/>
        <v>0</v>
      </c>
      <c r="AR7" s="98">
        <f t="shared" si="8"/>
        <v>117.24</v>
      </c>
      <c r="AS7" s="98">
        <f t="shared" si="9"/>
        <v>0</v>
      </c>
      <c r="AT7" s="98">
        <f t="shared" si="10"/>
        <v>0</v>
      </c>
      <c r="AU7" s="98">
        <f t="shared" si="19"/>
        <v>0</v>
      </c>
      <c r="AV7" s="98">
        <f t="array" ref="AV7">_xlfn.IFS(U7=0,AO7,U7&lt;0,AO7/-U7,U7&gt;0,AO7/U7)</f>
        <v>0</v>
      </c>
      <c r="AW7" s="234">
        <f>IF(AQ7=0,0,AV7/AQ7)</f>
        <v>0</v>
      </c>
      <c r="AX7" s="234">
        <f>IF(AR7=0,0,AV7/AR7)</f>
        <v>0</v>
      </c>
      <c r="AY7" s="99"/>
      <c r="AZ7" s="94">
        <f t="shared" si="13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89"/>
      <c r="O8" s="89"/>
      <c r="P8" s="89"/>
      <c r="Q8" s="233">
        <f t="shared" si="14"/>
        <v>0</v>
      </c>
      <c r="R8" s="92">
        <f t="shared" si="15"/>
        <v>0</v>
      </c>
      <c r="S8" s="93"/>
      <c r="T8" s="93"/>
      <c r="U8" s="92">
        <f t="shared" si="1"/>
        <v>0</v>
      </c>
      <c r="V8" s="93"/>
      <c r="W8" s="93"/>
      <c r="X8" s="92">
        <f t="shared" si="2"/>
        <v>0</v>
      </c>
      <c r="Y8" s="93"/>
      <c r="Z8" s="93"/>
      <c r="AA8" s="92">
        <f t="shared" si="16"/>
        <v>0</v>
      </c>
      <c r="AB8" s="92">
        <f t="shared" si="17"/>
        <v>0</v>
      </c>
      <c r="AC8" s="234" t="e">
        <f t="shared" si="3"/>
        <v>#DIV/0!</v>
      </c>
      <c r="AD8" s="92">
        <f t="shared" si="4"/>
        <v>0</v>
      </c>
      <c r="AE8" s="93"/>
      <c r="AF8" s="234">
        <f t="shared" si="5"/>
        <v>0</v>
      </c>
      <c r="AG8" s="93"/>
      <c r="AH8" s="93"/>
      <c r="AI8" s="93"/>
      <c r="AJ8" s="93"/>
      <c r="AK8" s="93"/>
      <c r="AL8" s="122">
        <f t="shared" si="6"/>
        <v>0</v>
      </c>
      <c r="AM8" s="93"/>
      <c r="AN8" s="94">
        <f t="shared" si="18"/>
        <v>0</v>
      </c>
      <c r="AO8" s="95">
        <f t="shared" si="20"/>
        <v>0</v>
      </c>
      <c r="AP8" s="96"/>
      <c r="AQ8" s="97">
        <f t="shared" si="7"/>
        <v>0</v>
      </c>
      <c r="AR8" s="98">
        <f t="shared" si="8"/>
        <v>169.89</v>
      </c>
      <c r="AS8" s="98">
        <f t="shared" si="9"/>
        <v>0</v>
      </c>
      <c r="AT8" s="98">
        <f t="shared" si="10"/>
        <v>0</v>
      </c>
      <c r="AU8" s="98">
        <f t="shared" si="19"/>
        <v>0</v>
      </c>
      <c r="AV8" s="98">
        <f t="array" ref="AV8">_xlfn.IFS(U8=0,AO8,U8&lt;0,AO8/-U8,U8&gt;0,AO8/U8)</f>
        <v>0</v>
      </c>
      <c r="AW8" s="234">
        <f>IF(AQ8=0,0,AV8/AQ8)</f>
        <v>0</v>
      </c>
      <c r="AX8" s="234">
        <f>IF(AR8=0,0,AV8/AR8)</f>
        <v>0</v>
      </c>
      <c r="AY8" s="99"/>
      <c r="AZ8" s="94">
        <f t="shared" si="13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89"/>
      <c r="O9" s="89"/>
      <c r="P9" s="89"/>
      <c r="Q9" s="233">
        <f t="shared" si="14"/>
        <v>0</v>
      </c>
      <c r="R9" s="92">
        <f t="shared" si="15"/>
        <v>0</v>
      </c>
      <c r="S9" s="93"/>
      <c r="T9" s="93"/>
      <c r="U9" s="92">
        <f t="shared" si="1"/>
        <v>0</v>
      </c>
      <c r="V9" s="93"/>
      <c r="W9" s="93"/>
      <c r="X9" s="92">
        <f t="shared" si="2"/>
        <v>0</v>
      </c>
      <c r="Y9" s="93"/>
      <c r="Z9" s="93"/>
      <c r="AA9" s="92">
        <f t="shared" si="16"/>
        <v>0</v>
      </c>
      <c r="AB9" s="92">
        <f t="shared" si="17"/>
        <v>0</v>
      </c>
      <c r="AC9" s="234" t="e">
        <f t="shared" si="3"/>
        <v>#DIV/0!</v>
      </c>
      <c r="AD9" s="92">
        <f t="shared" si="4"/>
        <v>0</v>
      </c>
      <c r="AE9" s="93"/>
      <c r="AF9" s="234">
        <f t="shared" si="5"/>
        <v>0</v>
      </c>
      <c r="AG9" s="93"/>
      <c r="AH9" s="93"/>
      <c r="AI9" s="93"/>
      <c r="AJ9" s="93"/>
      <c r="AK9" s="93"/>
      <c r="AL9" s="122">
        <f t="shared" si="6"/>
        <v>0</v>
      </c>
      <c r="AM9" s="93"/>
      <c r="AN9" s="94">
        <f t="shared" si="18"/>
        <v>0</v>
      </c>
      <c r="AO9" s="95">
        <f t="shared" si="20"/>
        <v>0</v>
      </c>
      <c r="AP9" s="96"/>
      <c r="AQ9" s="97">
        <f t="shared" si="7"/>
        <v>0</v>
      </c>
      <c r="AR9" s="98">
        <f t="shared" si="8"/>
        <v>123.09</v>
      </c>
      <c r="AS9" s="98">
        <f t="shared" si="9"/>
        <v>0</v>
      </c>
      <c r="AT9" s="98">
        <f t="shared" si="10"/>
        <v>0</v>
      </c>
      <c r="AU9" s="98">
        <f t="shared" si="19"/>
        <v>0</v>
      </c>
      <c r="AV9" s="98">
        <f t="array" ref="AV9">_xlfn.IFS(U9=0,AO9,U9&lt;0,AO9/-U9,U9&gt;0,AO9/U9)</f>
        <v>0</v>
      </c>
      <c r="AW9" s="234">
        <f>IF(AQ9=0,0,AV9/AQ9)</f>
        <v>0</v>
      </c>
      <c r="AX9" s="234">
        <f>IF(AR9=0,0,AV9/AR9)</f>
        <v>0</v>
      </c>
      <c r="AY9" s="99"/>
      <c r="AZ9" s="94">
        <f t="shared" si="13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89"/>
      <c r="O10" s="89"/>
      <c r="P10" s="89"/>
      <c r="Q10" s="233">
        <f t="shared" si="14"/>
        <v>0</v>
      </c>
      <c r="R10" s="92">
        <f t="shared" si="15"/>
        <v>0</v>
      </c>
      <c r="S10" s="93"/>
      <c r="T10" s="93"/>
      <c r="U10" s="92">
        <f t="shared" si="1"/>
        <v>0</v>
      </c>
      <c r="V10" s="93"/>
      <c r="W10" s="93"/>
      <c r="X10" s="92">
        <f t="shared" si="2"/>
        <v>0</v>
      </c>
      <c r="Y10" s="93"/>
      <c r="Z10" s="93"/>
      <c r="AA10" s="92">
        <f t="shared" si="16"/>
        <v>0</v>
      </c>
      <c r="AB10" s="92">
        <f t="shared" si="17"/>
        <v>0</v>
      </c>
      <c r="AC10" s="234" t="e">
        <f t="shared" si="3"/>
        <v>#DIV/0!</v>
      </c>
      <c r="AD10" s="92">
        <f t="shared" si="4"/>
        <v>0</v>
      </c>
      <c r="AE10" s="93"/>
      <c r="AF10" s="234">
        <f t="shared" si="5"/>
        <v>0</v>
      </c>
      <c r="AG10" s="93"/>
      <c r="AH10" s="93"/>
      <c r="AI10" s="93"/>
      <c r="AJ10" s="93"/>
      <c r="AK10" s="93"/>
      <c r="AL10" s="122">
        <f t="shared" si="6"/>
        <v>0</v>
      </c>
      <c r="AM10" s="93"/>
      <c r="AN10" s="94">
        <f t="shared" si="18"/>
        <v>0</v>
      </c>
      <c r="AO10" s="95">
        <f t="shared" si="20"/>
        <v>0</v>
      </c>
      <c r="AP10" s="96"/>
      <c r="AQ10" s="97">
        <f t="shared" si="7"/>
        <v>0</v>
      </c>
      <c r="AR10" s="98">
        <f t="shared" si="8"/>
        <v>123.09</v>
      </c>
      <c r="AS10" s="98">
        <f t="shared" si="9"/>
        <v>0</v>
      </c>
      <c r="AT10" s="98">
        <f t="shared" si="10"/>
        <v>0</v>
      </c>
      <c r="AU10" s="98">
        <f t="shared" si="19"/>
        <v>0</v>
      </c>
      <c r="AV10" s="98">
        <f t="array" ref="AV10">_xlfn.IFS(U10=0,AO10,U10&lt;0,AO10/-U10,U10&gt;0,AO10/U10)</f>
        <v>0</v>
      </c>
      <c r="AW10" s="234">
        <f>IF(AQ10=0,0,AV10/AQ10)</f>
        <v>0</v>
      </c>
      <c r="AX10" s="234">
        <f>IF(AR10=0,0,AV10/AR10)</f>
        <v>0</v>
      </c>
      <c r="AY10" s="99"/>
      <c r="AZ10" s="94">
        <f t="shared" si="13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5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6">E11*K11</f>
        <v>0</v>
      </c>
      <c r="M11" s="89"/>
      <c r="N11" s="89"/>
      <c r="O11" s="89"/>
      <c r="P11" s="89"/>
      <c r="Q11" s="233">
        <f t="shared" si="14"/>
        <v>0</v>
      </c>
      <c r="R11" s="92">
        <f t="shared" si="15"/>
        <v>0</v>
      </c>
      <c r="S11" s="93"/>
      <c r="T11" s="93"/>
      <c r="U11" s="92">
        <f t="shared" si="1"/>
        <v>0</v>
      </c>
      <c r="V11" s="93"/>
      <c r="W11" s="93"/>
      <c r="X11" s="92">
        <f t="shared" si="2"/>
        <v>0</v>
      </c>
      <c r="Y11" s="93"/>
      <c r="Z11" s="93"/>
      <c r="AA11" s="92">
        <f t="shared" si="16"/>
        <v>0</v>
      </c>
      <c r="AB11" s="92">
        <f t="shared" si="17"/>
        <v>0</v>
      </c>
      <c r="AC11" s="234" t="e">
        <f t="shared" si="3"/>
        <v>#DIV/0!</v>
      </c>
      <c r="AD11" s="92">
        <f t="shared" si="4"/>
        <v>0</v>
      </c>
      <c r="AE11" s="93"/>
      <c r="AF11" s="234">
        <f t="shared" si="5"/>
        <v>0</v>
      </c>
      <c r="AG11" s="93"/>
      <c r="AH11" s="93"/>
      <c r="AI11" s="93"/>
      <c r="AJ11" s="93"/>
      <c r="AK11" s="93"/>
      <c r="AL11" s="122">
        <f t="shared" si="6"/>
        <v>0</v>
      </c>
      <c r="AM11" s="93"/>
      <c r="AN11" s="94">
        <f t="shared" si="18"/>
        <v>0</v>
      </c>
      <c r="AO11" s="95">
        <f t="shared" si="20"/>
        <v>0</v>
      </c>
      <c r="AP11" s="96"/>
      <c r="AQ11" s="97">
        <f t="shared" si="7"/>
        <v>0</v>
      </c>
      <c r="AR11" s="98">
        <f t="shared" si="8"/>
        <v>123.09</v>
      </c>
      <c r="AS11" s="98">
        <f t="shared" si="9"/>
        <v>0</v>
      </c>
      <c r="AT11" s="98">
        <f t="shared" si="10"/>
        <v>0</v>
      </c>
      <c r="AU11" s="98">
        <f t="shared" si="19"/>
        <v>0</v>
      </c>
      <c r="AV11" s="98">
        <f t="array" ref="AV11">_xlfn.IFS(U11=0,AO11,U11&lt;0,AO11/-U11,U11&gt;0,AO11/U11)</f>
        <v>0</v>
      </c>
      <c r="AW11" s="234">
        <f t="shared" ref="AW11:AW28" si="27">IF(AQ11=0,0,AV11/AQ11)</f>
        <v>0</v>
      </c>
      <c r="AX11" s="234">
        <f t="shared" ref="AX11:AX28" si="28">IF(AR11=0,0,AV11/AR11)</f>
        <v>0</v>
      </c>
      <c r="AY11" s="99"/>
      <c r="AZ11" s="94">
        <f t="shared" si="13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5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89"/>
      <c r="O12" s="89"/>
      <c r="P12" s="89"/>
      <c r="Q12" s="233">
        <f t="shared" si="14"/>
        <v>0</v>
      </c>
      <c r="R12" s="92">
        <f t="shared" si="15"/>
        <v>0</v>
      </c>
      <c r="S12" s="93"/>
      <c r="T12" s="93"/>
      <c r="U12" s="92">
        <f t="shared" si="1"/>
        <v>0</v>
      </c>
      <c r="V12" s="93"/>
      <c r="W12" s="93"/>
      <c r="X12" s="92">
        <f t="shared" si="2"/>
        <v>0</v>
      </c>
      <c r="Y12" s="93"/>
      <c r="Z12" s="93"/>
      <c r="AA12" s="92">
        <f t="shared" si="16"/>
        <v>0</v>
      </c>
      <c r="AB12" s="92">
        <f t="shared" si="17"/>
        <v>0</v>
      </c>
      <c r="AC12" s="234" t="e">
        <f t="shared" si="3"/>
        <v>#DIV/0!</v>
      </c>
      <c r="AD12" s="92">
        <f t="shared" si="4"/>
        <v>0</v>
      </c>
      <c r="AE12" s="93"/>
      <c r="AF12" s="234">
        <f t="shared" si="5"/>
        <v>0</v>
      </c>
      <c r="AG12" s="93"/>
      <c r="AH12" s="93"/>
      <c r="AI12" s="93"/>
      <c r="AJ12" s="93"/>
      <c r="AK12" s="93"/>
      <c r="AL12" s="122">
        <f t="shared" si="6"/>
        <v>0</v>
      </c>
      <c r="AM12" s="93"/>
      <c r="AN12" s="94">
        <f t="shared" si="18"/>
        <v>0</v>
      </c>
      <c r="AO12" s="95">
        <f t="shared" si="20"/>
        <v>0</v>
      </c>
      <c r="AP12" s="96"/>
      <c r="AQ12" s="97">
        <f t="shared" si="7"/>
        <v>0</v>
      </c>
      <c r="AR12" s="98">
        <f t="shared" si="8"/>
        <v>117.24</v>
      </c>
      <c r="AS12" s="98">
        <f t="shared" si="9"/>
        <v>0</v>
      </c>
      <c r="AT12" s="98">
        <f t="shared" si="10"/>
        <v>0</v>
      </c>
      <c r="AU12" s="98">
        <f t="shared" si="19"/>
        <v>0</v>
      </c>
      <c r="AV12" s="98">
        <f t="array" ref="AV12">_xlfn.IFS(U12=0,AO12,U12&lt;0,AO12/-U12,U12&gt;0,AO12/U12)</f>
        <v>0</v>
      </c>
      <c r="AW12" s="234">
        <f t="shared" si="27"/>
        <v>0</v>
      </c>
      <c r="AX12" s="234">
        <f t="shared" si="28"/>
        <v>0</v>
      </c>
      <c r="AY12" s="99"/>
      <c r="AZ12" s="94">
        <f t="shared" si="13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5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9">E13*K13</f>
        <v>0</v>
      </c>
      <c r="M13" s="89"/>
      <c r="N13" s="89"/>
      <c r="O13" s="89"/>
      <c r="P13" s="89"/>
      <c r="Q13" s="233">
        <f t="shared" si="14"/>
        <v>0</v>
      </c>
      <c r="R13" s="92">
        <f t="shared" si="15"/>
        <v>0</v>
      </c>
      <c r="S13" s="93"/>
      <c r="T13" s="93"/>
      <c r="U13" s="92">
        <f t="shared" si="1"/>
        <v>0</v>
      </c>
      <c r="V13" s="93"/>
      <c r="W13" s="93"/>
      <c r="X13" s="92">
        <f t="shared" si="2"/>
        <v>0</v>
      </c>
      <c r="Y13" s="93"/>
      <c r="Z13" s="93"/>
      <c r="AA13" s="92">
        <f t="shared" si="16"/>
        <v>0</v>
      </c>
      <c r="AB13" s="92">
        <f t="shared" si="17"/>
        <v>0</v>
      </c>
      <c r="AC13" s="234" t="e">
        <f t="shared" si="3"/>
        <v>#DIV/0!</v>
      </c>
      <c r="AD13" s="92">
        <f t="shared" si="4"/>
        <v>0</v>
      </c>
      <c r="AE13" s="93"/>
      <c r="AF13" s="234">
        <f t="shared" si="5"/>
        <v>0</v>
      </c>
      <c r="AG13" s="93"/>
      <c r="AH13" s="93"/>
      <c r="AI13" s="93"/>
      <c r="AJ13" s="93"/>
      <c r="AK13" s="93"/>
      <c r="AL13" s="122">
        <f t="shared" si="6"/>
        <v>0</v>
      </c>
      <c r="AM13" s="93"/>
      <c r="AN13" s="94">
        <f t="shared" si="18"/>
        <v>0</v>
      </c>
      <c r="AO13" s="95">
        <f t="shared" si="20"/>
        <v>0</v>
      </c>
      <c r="AP13" s="96"/>
      <c r="AQ13" s="97">
        <f t="shared" si="7"/>
        <v>0</v>
      </c>
      <c r="AR13" s="98">
        <f t="shared" si="8"/>
        <v>123.09</v>
      </c>
      <c r="AS13" s="98">
        <f t="shared" si="9"/>
        <v>0</v>
      </c>
      <c r="AT13" s="98">
        <f t="shared" si="10"/>
        <v>0</v>
      </c>
      <c r="AU13" s="98">
        <f t="shared" si="19"/>
        <v>0</v>
      </c>
      <c r="AV13" s="98">
        <f t="array" ref="AV13">_xlfn.IFS(U13=0,AO13,U13&lt;0,AO13/-U13,U13&gt;0,AO13/U13)</f>
        <v>0</v>
      </c>
      <c r="AW13" s="234">
        <f t="shared" si="27"/>
        <v>0</v>
      </c>
      <c r="AX13" s="234">
        <f t="shared" si="28"/>
        <v>0</v>
      </c>
      <c r="AY13" s="99"/>
      <c r="AZ13" s="94">
        <f t="shared" si="13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5"/>
        <v>0</v>
      </c>
      <c r="F14" s="93"/>
      <c r="G14" s="93"/>
      <c r="H14" s="93"/>
      <c r="I14" s="93"/>
      <c r="J14" s="93"/>
      <c r="K14" s="92">
        <v>123.09</v>
      </c>
      <c r="L14" s="92">
        <f t="shared" si="29"/>
        <v>0</v>
      </c>
      <c r="M14" s="89"/>
      <c r="N14" s="89"/>
      <c r="O14" s="89"/>
      <c r="P14" s="89"/>
      <c r="Q14" s="233">
        <f t="shared" si="14"/>
        <v>0</v>
      </c>
      <c r="R14" s="92">
        <f t="shared" si="15"/>
        <v>0</v>
      </c>
      <c r="S14" s="93"/>
      <c r="T14" s="93"/>
      <c r="U14" s="92">
        <f t="shared" si="1"/>
        <v>0</v>
      </c>
      <c r="V14" s="93"/>
      <c r="W14" s="93"/>
      <c r="X14" s="92">
        <f t="shared" si="2"/>
        <v>0</v>
      </c>
      <c r="Y14" s="93"/>
      <c r="Z14" s="93"/>
      <c r="AA14" s="92">
        <f t="shared" si="16"/>
        <v>0</v>
      </c>
      <c r="AB14" s="92">
        <f t="shared" si="17"/>
        <v>0</v>
      </c>
      <c r="AC14" s="234" t="e">
        <f t="shared" si="3"/>
        <v>#DIV/0!</v>
      </c>
      <c r="AD14" s="92">
        <f t="shared" si="4"/>
        <v>0</v>
      </c>
      <c r="AE14" s="93"/>
      <c r="AF14" s="234">
        <f t="shared" si="5"/>
        <v>0</v>
      </c>
      <c r="AG14" s="93"/>
      <c r="AH14" s="93"/>
      <c r="AI14" s="93"/>
      <c r="AJ14" s="93"/>
      <c r="AK14" s="93"/>
      <c r="AL14" s="122">
        <f t="shared" si="6"/>
        <v>0</v>
      </c>
      <c r="AM14" s="93"/>
      <c r="AN14" s="94">
        <f t="shared" si="18"/>
        <v>0</v>
      </c>
      <c r="AO14" s="95">
        <f t="shared" si="20"/>
        <v>0</v>
      </c>
      <c r="AP14" s="96"/>
      <c r="AQ14" s="97">
        <f t="shared" si="7"/>
        <v>0</v>
      </c>
      <c r="AR14" s="98">
        <f t="shared" si="8"/>
        <v>123.09</v>
      </c>
      <c r="AS14" s="98">
        <f t="shared" si="9"/>
        <v>0</v>
      </c>
      <c r="AT14" s="98">
        <f t="shared" si="10"/>
        <v>0</v>
      </c>
      <c r="AU14" s="98">
        <f t="shared" si="19"/>
        <v>0</v>
      </c>
      <c r="AV14" s="98">
        <f t="array" ref="AV14">_xlfn.IFS(U14=0,AO14,U14&lt;0,AO14/-U14,U14&gt;0,AO14/U14)</f>
        <v>0</v>
      </c>
      <c r="AW14" s="234">
        <f t="shared" si="27"/>
        <v>0</v>
      </c>
      <c r="AX14" s="234">
        <f t="shared" si="28"/>
        <v>0</v>
      </c>
      <c r="AY14" s="99"/>
      <c r="AZ14" s="94">
        <f t="shared" si="13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5"/>
        <v>0</v>
      </c>
      <c r="F15" s="93"/>
      <c r="G15" s="93"/>
      <c r="H15" s="93"/>
      <c r="I15" s="93"/>
      <c r="J15" s="93"/>
      <c r="K15" s="92">
        <v>123.09</v>
      </c>
      <c r="L15" s="92">
        <f t="shared" si="29"/>
        <v>0</v>
      </c>
      <c r="M15" s="89"/>
      <c r="N15" s="89"/>
      <c r="O15" s="89"/>
      <c r="P15" s="89"/>
      <c r="Q15" s="233">
        <f t="shared" si="14"/>
        <v>0</v>
      </c>
      <c r="R15" s="92">
        <f t="shared" si="15"/>
        <v>0</v>
      </c>
      <c r="S15" s="93"/>
      <c r="T15" s="93"/>
      <c r="U15" s="92">
        <f t="shared" si="1"/>
        <v>0</v>
      </c>
      <c r="V15" s="93"/>
      <c r="W15" s="93"/>
      <c r="X15" s="92">
        <f t="shared" si="2"/>
        <v>0</v>
      </c>
      <c r="Y15" s="93"/>
      <c r="Z15" s="93"/>
      <c r="AA15" s="92">
        <f t="shared" si="16"/>
        <v>0</v>
      </c>
      <c r="AB15" s="92">
        <f t="shared" si="17"/>
        <v>0</v>
      </c>
      <c r="AC15" s="234" t="e">
        <f t="shared" si="3"/>
        <v>#DIV/0!</v>
      </c>
      <c r="AD15" s="92">
        <f t="shared" si="4"/>
        <v>0</v>
      </c>
      <c r="AE15" s="93"/>
      <c r="AF15" s="234">
        <f t="shared" si="5"/>
        <v>0</v>
      </c>
      <c r="AG15" s="93"/>
      <c r="AH15" s="93"/>
      <c r="AI15" s="93"/>
      <c r="AJ15" s="93"/>
      <c r="AK15" s="93"/>
      <c r="AL15" s="122">
        <f t="shared" si="6"/>
        <v>0</v>
      </c>
      <c r="AM15" s="93"/>
      <c r="AN15" s="94">
        <f t="shared" si="18"/>
        <v>0</v>
      </c>
      <c r="AO15" s="95">
        <f t="shared" si="20"/>
        <v>0</v>
      </c>
      <c r="AP15" s="96"/>
      <c r="AQ15" s="97">
        <f t="shared" si="7"/>
        <v>0</v>
      </c>
      <c r="AR15" s="98">
        <f t="shared" si="8"/>
        <v>123.09</v>
      </c>
      <c r="AS15" s="98">
        <f t="shared" si="9"/>
        <v>0</v>
      </c>
      <c r="AT15" s="98">
        <f t="shared" si="10"/>
        <v>0</v>
      </c>
      <c r="AU15" s="98">
        <f t="shared" si="19"/>
        <v>0</v>
      </c>
      <c r="AV15" s="98">
        <f t="array" ref="AV15">_xlfn.IFS(U15=0,AO15,U15&lt;0,AO15/-U15,U15&gt;0,AO15/U15)</f>
        <v>0</v>
      </c>
      <c r="AW15" s="234">
        <f t="shared" si="27"/>
        <v>0</v>
      </c>
      <c r="AX15" s="234">
        <f t="shared" si="28"/>
        <v>0</v>
      </c>
      <c r="AY15" s="99"/>
      <c r="AZ15" s="94">
        <f t="shared" si="13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5"/>
        <v>0</v>
      </c>
      <c r="F16" s="93"/>
      <c r="G16" s="93"/>
      <c r="H16" s="93"/>
      <c r="I16" s="93"/>
      <c r="J16" s="93"/>
      <c r="K16" s="92">
        <v>117.24</v>
      </c>
      <c r="L16" s="92">
        <f t="shared" si="29"/>
        <v>0</v>
      </c>
      <c r="M16" s="89"/>
      <c r="N16" s="89"/>
      <c r="O16" s="89"/>
      <c r="P16" s="89"/>
      <c r="Q16" s="233">
        <f t="shared" si="14"/>
        <v>0</v>
      </c>
      <c r="R16" s="92">
        <f t="shared" si="15"/>
        <v>0</v>
      </c>
      <c r="S16" s="93"/>
      <c r="T16" s="93"/>
      <c r="U16" s="92">
        <f t="shared" si="1"/>
        <v>0</v>
      </c>
      <c r="V16" s="93"/>
      <c r="W16" s="93"/>
      <c r="X16" s="92">
        <f t="shared" si="2"/>
        <v>0</v>
      </c>
      <c r="Y16" s="93"/>
      <c r="Z16" s="93"/>
      <c r="AA16" s="92">
        <f t="shared" si="16"/>
        <v>0</v>
      </c>
      <c r="AB16" s="92">
        <f t="shared" si="17"/>
        <v>0</v>
      </c>
      <c r="AC16" s="234" t="e">
        <f t="shared" si="3"/>
        <v>#DIV/0!</v>
      </c>
      <c r="AD16" s="92">
        <f t="shared" si="4"/>
        <v>0</v>
      </c>
      <c r="AE16" s="93"/>
      <c r="AF16" s="234">
        <f t="shared" si="5"/>
        <v>0</v>
      </c>
      <c r="AG16" s="93"/>
      <c r="AH16" s="93"/>
      <c r="AI16" s="93"/>
      <c r="AJ16" s="93"/>
      <c r="AK16" s="93"/>
      <c r="AL16" s="122">
        <f t="shared" si="6"/>
        <v>0</v>
      </c>
      <c r="AM16" s="93"/>
      <c r="AN16" s="94">
        <f t="shared" si="18"/>
        <v>0</v>
      </c>
      <c r="AO16" s="95">
        <f t="shared" si="20"/>
        <v>0</v>
      </c>
      <c r="AP16" s="96"/>
      <c r="AQ16" s="97">
        <f t="shared" si="7"/>
        <v>0</v>
      </c>
      <c r="AR16" s="98">
        <f t="shared" si="8"/>
        <v>117.24</v>
      </c>
      <c r="AS16" s="98">
        <f t="shared" si="9"/>
        <v>0</v>
      </c>
      <c r="AT16" s="98">
        <f t="shared" si="10"/>
        <v>0</v>
      </c>
      <c r="AU16" s="98">
        <f t="shared" si="19"/>
        <v>0</v>
      </c>
      <c r="AV16" s="98">
        <f t="array" ref="AV16">_xlfn.IFS(U16=0,AO16,U16&lt;0,AO16/-U16,U16&gt;0,AO16/U16)</f>
        <v>0</v>
      </c>
      <c r="AW16" s="234">
        <f t="shared" si="27"/>
        <v>0</v>
      </c>
      <c r="AX16" s="234">
        <f t="shared" si="28"/>
        <v>0</v>
      </c>
      <c r="AY16" s="99"/>
      <c r="AZ16" s="94">
        <f t="shared" si="13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5"/>
        <v>0</v>
      </c>
      <c r="F17" s="93"/>
      <c r="G17" s="93"/>
      <c r="H17" s="93"/>
      <c r="I17" s="93"/>
      <c r="J17" s="93"/>
      <c r="K17" s="93">
        <v>123.09</v>
      </c>
      <c r="L17" s="92">
        <f t="shared" si="29"/>
        <v>0</v>
      </c>
      <c r="M17" s="89"/>
      <c r="N17" s="89"/>
      <c r="O17" s="89"/>
      <c r="P17" s="89"/>
      <c r="Q17" s="233">
        <f t="shared" si="14"/>
        <v>0</v>
      </c>
      <c r="R17" s="92">
        <f t="shared" si="15"/>
        <v>0</v>
      </c>
      <c r="S17" s="93"/>
      <c r="T17" s="93"/>
      <c r="U17" s="92">
        <f t="shared" si="1"/>
        <v>0</v>
      </c>
      <c r="V17" s="93"/>
      <c r="W17" s="93"/>
      <c r="X17" s="92">
        <f t="shared" si="2"/>
        <v>0</v>
      </c>
      <c r="Y17" s="93"/>
      <c r="Z17" s="93"/>
      <c r="AA17" s="92">
        <f t="shared" si="16"/>
        <v>0</v>
      </c>
      <c r="AB17" s="92">
        <f t="shared" si="17"/>
        <v>0</v>
      </c>
      <c r="AC17" s="234" t="e">
        <f t="shared" si="3"/>
        <v>#DIV/0!</v>
      </c>
      <c r="AD17" s="92">
        <f t="shared" si="4"/>
        <v>0</v>
      </c>
      <c r="AE17" s="93"/>
      <c r="AF17" s="234">
        <f t="shared" si="5"/>
        <v>0</v>
      </c>
      <c r="AG17" s="93"/>
      <c r="AH17" s="93"/>
      <c r="AI17" s="93"/>
      <c r="AJ17" s="93"/>
      <c r="AK17" s="93"/>
      <c r="AL17" s="122">
        <f t="shared" si="6"/>
        <v>0</v>
      </c>
      <c r="AM17" s="93"/>
      <c r="AN17" s="94">
        <f t="shared" si="18"/>
        <v>0</v>
      </c>
      <c r="AO17" s="95">
        <f t="shared" si="20"/>
        <v>0</v>
      </c>
      <c r="AP17" s="96"/>
      <c r="AQ17" s="97">
        <f t="shared" si="7"/>
        <v>0</v>
      </c>
      <c r="AR17" s="98">
        <f t="shared" si="8"/>
        <v>123.09</v>
      </c>
      <c r="AS17" s="98">
        <f t="shared" si="9"/>
        <v>0</v>
      </c>
      <c r="AT17" s="98">
        <f t="shared" si="10"/>
        <v>0</v>
      </c>
      <c r="AU17" s="98">
        <f t="shared" si="19"/>
        <v>0</v>
      </c>
      <c r="AV17" s="98">
        <f t="array" ref="AV17">_xlfn.IFS(U17=0,AO17,U17&lt;0,AO17/-U17,U17&gt;0,AO17/U17)</f>
        <v>0</v>
      </c>
      <c r="AW17" s="234">
        <f t="shared" si="27"/>
        <v>0</v>
      </c>
      <c r="AX17" s="234">
        <f t="shared" si="28"/>
        <v>0</v>
      </c>
      <c r="AY17" s="99"/>
      <c r="AZ17" s="94">
        <f t="shared" si="13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5"/>
        <v>0</v>
      </c>
      <c r="F18" s="93"/>
      <c r="G18" s="93"/>
      <c r="H18" s="93"/>
      <c r="I18" s="93"/>
      <c r="J18" s="93"/>
      <c r="K18" s="93">
        <v>123.09</v>
      </c>
      <c r="L18" s="92">
        <f t="shared" si="29"/>
        <v>0</v>
      </c>
      <c r="M18" s="89"/>
      <c r="N18" s="89"/>
      <c r="O18" s="89"/>
      <c r="P18" s="89"/>
      <c r="Q18" s="233">
        <f t="shared" si="14"/>
        <v>0</v>
      </c>
      <c r="R18" s="92">
        <f t="shared" si="15"/>
        <v>0</v>
      </c>
      <c r="S18" s="93"/>
      <c r="T18" s="93"/>
      <c r="U18" s="92">
        <f t="shared" si="1"/>
        <v>0</v>
      </c>
      <c r="V18" s="93"/>
      <c r="W18" s="93"/>
      <c r="X18" s="92">
        <f t="shared" si="2"/>
        <v>0</v>
      </c>
      <c r="Y18" s="93"/>
      <c r="Z18" s="93"/>
      <c r="AA18" s="92">
        <f t="shared" si="16"/>
        <v>0</v>
      </c>
      <c r="AB18" s="92">
        <f t="shared" si="17"/>
        <v>0</v>
      </c>
      <c r="AC18" s="234" t="e">
        <f t="shared" si="3"/>
        <v>#DIV/0!</v>
      </c>
      <c r="AD18" s="92">
        <f t="shared" si="4"/>
        <v>0</v>
      </c>
      <c r="AE18" s="93"/>
      <c r="AF18" s="234">
        <f t="shared" si="5"/>
        <v>0</v>
      </c>
      <c r="AG18" s="93"/>
      <c r="AH18" s="93"/>
      <c r="AI18" s="93"/>
      <c r="AJ18" s="93"/>
      <c r="AK18" s="93"/>
      <c r="AL18" s="122">
        <f t="shared" si="6"/>
        <v>0</v>
      </c>
      <c r="AM18" s="93"/>
      <c r="AN18" s="94">
        <f t="shared" si="18"/>
        <v>0</v>
      </c>
      <c r="AO18" s="95">
        <f t="shared" si="20"/>
        <v>0</v>
      </c>
      <c r="AP18" s="96"/>
      <c r="AQ18" s="97">
        <f t="shared" si="7"/>
        <v>0</v>
      </c>
      <c r="AR18" s="98">
        <f t="shared" si="8"/>
        <v>123.09</v>
      </c>
      <c r="AS18" s="98">
        <f t="shared" si="9"/>
        <v>0</v>
      </c>
      <c r="AT18" s="98">
        <f t="shared" si="10"/>
        <v>0</v>
      </c>
      <c r="AU18" s="98">
        <f t="shared" si="19"/>
        <v>0</v>
      </c>
      <c r="AV18" s="98">
        <f t="array" ref="AV18">_xlfn.IFS(U18=0,AO18,U18&lt;0,AO18/-U18,U18&gt;0,AO18/U18)</f>
        <v>0</v>
      </c>
      <c r="AW18" s="234">
        <f t="shared" si="27"/>
        <v>0</v>
      </c>
      <c r="AX18" s="234">
        <f t="shared" si="28"/>
        <v>0</v>
      </c>
      <c r="AY18" s="99"/>
      <c r="AZ18" s="94">
        <f t="shared" si="13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5"/>
        <v>0</v>
      </c>
      <c r="F19" s="93"/>
      <c r="G19" s="93"/>
      <c r="H19" s="93"/>
      <c r="I19" s="93"/>
      <c r="J19" s="93"/>
      <c r="K19" s="93">
        <v>123.09</v>
      </c>
      <c r="L19" s="92">
        <f t="shared" si="29"/>
        <v>0</v>
      </c>
      <c r="M19" s="89"/>
      <c r="N19" s="89"/>
      <c r="O19" s="89"/>
      <c r="P19" s="89"/>
      <c r="Q19" s="233">
        <f t="shared" si="14"/>
        <v>0</v>
      </c>
      <c r="R19" s="92">
        <f t="shared" si="15"/>
        <v>0</v>
      </c>
      <c r="S19" s="93"/>
      <c r="T19" s="93"/>
      <c r="U19" s="92">
        <f t="shared" si="1"/>
        <v>0</v>
      </c>
      <c r="V19" s="93"/>
      <c r="W19" s="93"/>
      <c r="X19" s="92">
        <f t="shared" si="2"/>
        <v>0</v>
      </c>
      <c r="Y19" s="93"/>
      <c r="Z19" s="93"/>
      <c r="AA19" s="92">
        <f t="shared" si="16"/>
        <v>0</v>
      </c>
      <c r="AB19" s="92">
        <f t="shared" si="17"/>
        <v>0</v>
      </c>
      <c r="AC19" s="234" t="e">
        <f t="shared" si="3"/>
        <v>#DIV/0!</v>
      </c>
      <c r="AD19" s="92">
        <f t="shared" si="4"/>
        <v>0</v>
      </c>
      <c r="AE19" s="93"/>
      <c r="AF19" s="234">
        <f t="shared" si="5"/>
        <v>0</v>
      </c>
      <c r="AG19" s="93"/>
      <c r="AH19" s="93"/>
      <c r="AI19" s="93"/>
      <c r="AJ19" s="93"/>
      <c r="AK19" s="93"/>
      <c r="AL19" s="122">
        <f t="shared" si="6"/>
        <v>0</v>
      </c>
      <c r="AM19" s="93"/>
      <c r="AN19" s="94">
        <f t="shared" si="18"/>
        <v>0</v>
      </c>
      <c r="AO19" s="95">
        <f t="shared" si="20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19"/>
        <v>0</v>
      </c>
      <c r="AV19" s="98">
        <f t="array" ref="AV19">_xlfn.IFS(U19=0,AO19,U19&lt;0,AO19/-U19,U19&gt;0,AO19/U19)</f>
        <v>0</v>
      </c>
      <c r="AW19" s="234">
        <f t="shared" si="27"/>
        <v>0</v>
      </c>
      <c r="AX19" s="234">
        <f t="shared" si="28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5"/>
        <v>0</v>
      </c>
      <c r="F20" s="93"/>
      <c r="G20" s="93"/>
      <c r="H20" s="93"/>
      <c r="I20" s="93"/>
      <c r="J20" s="93"/>
      <c r="K20" s="93">
        <v>117.24</v>
      </c>
      <c r="L20" s="92">
        <f t="shared" si="29"/>
        <v>0</v>
      </c>
      <c r="M20" s="89"/>
      <c r="N20" s="89"/>
      <c r="O20" s="89"/>
      <c r="P20" s="89"/>
      <c r="Q20" s="233">
        <f t="shared" si="14"/>
        <v>0</v>
      </c>
      <c r="R20" s="92">
        <f t="shared" si="15"/>
        <v>0</v>
      </c>
      <c r="S20" s="93"/>
      <c r="T20" s="93"/>
      <c r="U20" s="92">
        <f t="shared" si="1"/>
        <v>0</v>
      </c>
      <c r="V20" s="93"/>
      <c r="W20" s="93"/>
      <c r="X20" s="92">
        <f t="shared" si="2"/>
        <v>0</v>
      </c>
      <c r="Y20" s="93"/>
      <c r="Z20" s="93"/>
      <c r="AA20" s="92">
        <f t="shared" si="16"/>
        <v>0</v>
      </c>
      <c r="AB20" s="92">
        <f t="shared" si="17"/>
        <v>0</v>
      </c>
      <c r="AC20" s="234" t="e">
        <f t="shared" si="3"/>
        <v>#DIV/0!</v>
      </c>
      <c r="AD20" s="92">
        <f t="shared" si="4"/>
        <v>0</v>
      </c>
      <c r="AE20" s="93"/>
      <c r="AF20" s="234">
        <f t="shared" si="5"/>
        <v>0</v>
      </c>
      <c r="AG20" s="93"/>
      <c r="AH20" s="93"/>
      <c r="AI20" s="93"/>
      <c r="AJ20" s="93"/>
      <c r="AK20" s="93"/>
      <c r="AL20" s="122">
        <f t="shared" si="6"/>
        <v>0</v>
      </c>
      <c r="AM20" s="93"/>
      <c r="AN20" s="94">
        <f t="shared" si="18"/>
        <v>0</v>
      </c>
      <c r="AO20" s="95">
        <f t="shared" si="20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19"/>
        <v>0</v>
      </c>
      <c r="AV20" s="98">
        <f t="array" ref="AV20">_xlfn.IFS(U20=0,AO20,U20&lt;0,AO20/-U20,U20&gt;0,AO20/U20)</f>
        <v>0</v>
      </c>
      <c r="AW20" s="234">
        <f t="shared" si="27"/>
        <v>0</v>
      </c>
      <c r="AX20" s="234">
        <f t="shared" si="28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5"/>
        <v>0</v>
      </c>
      <c r="F21" s="93"/>
      <c r="G21" s="93"/>
      <c r="H21" s="93"/>
      <c r="I21" s="93"/>
      <c r="J21" s="93"/>
      <c r="K21" s="93">
        <v>117.24</v>
      </c>
      <c r="L21" s="92">
        <f t="shared" si="29"/>
        <v>0</v>
      </c>
      <c r="M21" s="89"/>
      <c r="N21" s="89"/>
      <c r="O21" s="89"/>
      <c r="P21" s="89"/>
      <c r="Q21" s="233">
        <f t="shared" si="14"/>
        <v>0</v>
      </c>
      <c r="R21" s="92">
        <f t="shared" si="15"/>
        <v>0</v>
      </c>
      <c r="S21" s="93"/>
      <c r="T21" s="93"/>
      <c r="U21" s="92">
        <f t="shared" si="1"/>
        <v>0</v>
      </c>
      <c r="V21" s="93"/>
      <c r="W21" s="93"/>
      <c r="X21" s="92">
        <f t="shared" si="2"/>
        <v>0</v>
      </c>
      <c r="Y21" s="93"/>
      <c r="Z21" s="93"/>
      <c r="AA21" s="92">
        <f t="shared" si="16"/>
        <v>0</v>
      </c>
      <c r="AB21" s="92">
        <f t="shared" si="17"/>
        <v>0</v>
      </c>
      <c r="AC21" s="234" t="e">
        <f t="shared" si="3"/>
        <v>#DIV/0!</v>
      </c>
      <c r="AD21" s="92">
        <f t="shared" si="4"/>
        <v>0</v>
      </c>
      <c r="AE21" s="93"/>
      <c r="AF21" s="234">
        <f t="shared" si="5"/>
        <v>0</v>
      </c>
      <c r="AG21" s="93"/>
      <c r="AH21" s="93"/>
      <c r="AI21" s="93"/>
      <c r="AJ21" s="93"/>
      <c r="AK21" s="93"/>
      <c r="AL21" s="122">
        <f t="shared" si="6"/>
        <v>0</v>
      </c>
      <c r="AM21" s="93"/>
      <c r="AN21" s="94">
        <f t="shared" si="18"/>
        <v>0</v>
      </c>
      <c r="AO21" s="95">
        <f t="shared" si="20"/>
        <v>0</v>
      </c>
      <c r="AP21" s="96"/>
      <c r="AQ21" s="97">
        <f t="shared" si="7"/>
        <v>0</v>
      </c>
      <c r="AR21" s="98">
        <f t="shared" ref="AR21:AR98" si="30">K21</f>
        <v>117.24</v>
      </c>
      <c r="AS21" s="98">
        <f t="shared" si="9"/>
        <v>0</v>
      </c>
      <c r="AT21" s="98">
        <f t="shared" si="10"/>
        <v>0</v>
      </c>
      <c r="AU21" s="98">
        <f t="shared" si="19"/>
        <v>0</v>
      </c>
      <c r="AV21" s="98">
        <f t="array" ref="AV21">_xlfn.IFS(U21=0,AO21,U21&lt;0,AO21/-U21,U21&gt;0,AO21/U21)</f>
        <v>0</v>
      </c>
      <c r="AW21" s="234">
        <f t="shared" si="27"/>
        <v>0</v>
      </c>
      <c r="AX21" s="234">
        <f t="shared" si="28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5"/>
        <v>0</v>
      </c>
      <c r="F22" s="93"/>
      <c r="G22" s="93"/>
      <c r="H22" s="93"/>
      <c r="I22" s="93"/>
      <c r="J22" s="93"/>
      <c r="K22" s="93">
        <v>117.24</v>
      </c>
      <c r="L22" s="92">
        <f t="shared" si="29"/>
        <v>0</v>
      </c>
      <c r="M22" s="89"/>
      <c r="N22" s="89"/>
      <c r="O22" s="89"/>
      <c r="P22" s="89"/>
      <c r="Q22" s="233">
        <f t="shared" si="14"/>
        <v>0</v>
      </c>
      <c r="R22" s="92">
        <f t="shared" si="15"/>
        <v>0</v>
      </c>
      <c r="S22" s="93"/>
      <c r="T22" s="93"/>
      <c r="U22" s="92">
        <f t="shared" si="1"/>
        <v>0</v>
      </c>
      <c r="V22" s="93"/>
      <c r="W22" s="93"/>
      <c r="X22" s="92">
        <f t="shared" si="2"/>
        <v>0</v>
      </c>
      <c r="Y22" s="93"/>
      <c r="Z22" s="93"/>
      <c r="AA22" s="92">
        <f t="shared" si="16"/>
        <v>0</v>
      </c>
      <c r="AB22" s="92">
        <f t="shared" si="17"/>
        <v>0</v>
      </c>
      <c r="AC22" s="234" t="e">
        <f t="shared" si="3"/>
        <v>#DIV/0!</v>
      </c>
      <c r="AD22" s="92">
        <f t="shared" si="4"/>
        <v>0</v>
      </c>
      <c r="AE22" s="93"/>
      <c r="AF22" s="234">
        <f t="shared" si="5"/>
        <v>0</v>
      </c>
      <c r="AG22" s="93"/>
      <c r="AH22" s="93"/>
      <c r="AI22" s="93"/>
      <c r="AJ22" s="93"/>
      <c r="AK22" s="93"/>
      <c r="AL22" s="122">
        <f t="shared" si="6"/>
        <v>0</v>
      </c>
      <c r="AM22" s="93"/>
      <c r="AN22" s="94">
        <f t="shared" si="18"/>
        <v>0</v>
      </c>
      <c r="AO22" s="95">
        <f t="shared" si="20"/>
        <v>0</v>
      </c>
      <c r="AP22" s="96"/>
      <c r="AQ22" s="97">
        <f t="shared" si="7"/>
        <v>0</v>
      </c>
      <c r="AR22" s="98">
        <f t="shared" si="30"/>
        <v>117.24</v>
      </c>
      <c r="AS22" s="98">
        <f t="shared" si="9"/>
        <v>0</v>
      </c>
      <c r="AT22" s="98">
        <f t="shared" si="10"/>
        <v>0</v>
      </c>
      <c r="AU22" s="98">
        <f t="shared" si="19"/>
        <v>0</v>
      </c>
      <c r="AV22" s="98">
        <f t="array" ref="AV22">_xlfn.IFS(U22=0,AO22,U22&lt;0,AO22/-U22,U22&gt;0,AO22/U22)</f>
        <v>0</v>
      </c>
      <c r="AW22" s="234">
        <f t="shared" si="27"/>
        <v>0</v>
      </c>
      <c r="AX22" s="234">
        <f t="shared" si="28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5"/>
        <v>0</v>
      </c>
      <c r="F23" s="93"/>
      <c r="G23" s="93"/>
      <c r="H23" s="93"/>
      <c r="I23" s="93"/>
      <c r="J23" s="93"/>
      <c r="K23" s="93">
        <v>117.24</v>
      </c>
      <c r="L23" s="92">
        <f t="shared" si="29"/>
        <v>0</v>
      </c>
      <c r="M23" s="89"/>
      <c r="N23" s="89"/>
      <c r="O23" s="89"/>
      <c r="P23" s="89"/>
      <c r="Q23" s="233">
        <f t="shared" si="14"/>
        <v>0</v>
      </c>
      <c r="R23" s="92">
        <f t="shared" si="15"/>
        <v>0</v>
      </c>
      <c r="S23" s="93"/>
      <c r="T23" s="93"/>
      <c r="U23" s="92">
        <f t="shared" si="1"/>
        <v>0</v>
      </c>
      <c r="V23" s="93"/>
      <c r="W23" s="93"/>
      <c r="X23" s="92">
        <f t="shared" si="2"/>
        <v>0</v>
      </c>
      <c r="Y23" s="93"/>
      <c r="Z23" s="93"/>
      <c r="AA23" s="92">
        <f t="shared" si="16"/>
        <v>0</v>
      </c>
      <c r="AB23" s="92">
        <f t="shared" si="17"/>
        <v>0</v>
      </c>
      <c r="AC23" s="234" t="e">
        <f t="shared" si="3"/>
        <v>#DIV/0!</v>
      </c>
      <c r="AD23" s="92">
        <f t="shared" si="4"/>
        <v>0</v>
      </c>
      <c r="AE23" s="93"/>
      <c r="AF23" s="234">
        <f t="shared" si="5"/>
        <v>0</v>
      </c>
      <c r="AG23" s="93"/>
      <c r="AH23" s="93"/>
      <c r="AI23" s="93"/>
      <c r="AJ23" s="93"/>
      <c r="AK23" s="93"/>
      <c r="AL23" s="122">
        <f t="shared" si="6"/>
        <v>0</v>
      </c>
      <c r="AM23" s="93"/>
      <c r="AN23" s="94">
        <f t="shared" si="18"/>
        <v>0</v>
      </c>
      <c r="AO23" s="95">
        <f t="shared" si="20"/>
        <v>0</v>
      </c>
      <c r="AP23" s="96"/>
      <c r="AQ23" s="97">
        <f t="shared" si="7"/>
        <v>0</v>
      </c>
      <c r="AR23" s="98">
        <f t="shared" si="30"/>
        <v>117.24</v>
      </c>
      <c r="AS23" s="98">
        <f t="shared" si="9"/>
        <v>0</v>
      </c>
      <c r="AT23" s="98">
        <f t="shared" si="10"/>
        <v>0</v>
      </c>
      <c r="AU23" s="98">
        <f t="shared" si="19"/>
        <v>0</v>
      </c>
      <c r="AV23" s="98">
        <f t="array" ref="AV23">_xlfn.IFS(U23=0,AO23,U23&lt;0,AO23/-U23,U23&gt;0,AO23/U23)</f>
        <v>0</v>
      </c>
      <c r="AW23" s="234">
        <f t="shared" si="27"/>
        <v>0</v>
      </c>
      <c r="AX23" s="234">
        <f t="shared" si="28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5"/>
        <v>0</v>
      </c>
      <c r="F24" s="93"/>
      <c r="G24" s="93"/>
      <c r="H24" s="93"/>
      <c r="I24" s="93"/>
      <c r="J24" s="93"/>
      <c r="K24" s="93">
        <v>117.24</v>
      </c>
      <c r="L24" s="92">
        <f t="shared" si="29"/>
        <v>0</v>
      </c>
      <c r="M24" s="89"/>
      <c r="N24" s="89"/>
      <c r="O24" s="89"/>
      <c r="P24" s="89"/>
      <c r="Q24" s="233">
        <f t="shared" si="14"/>
        <v>0</v>
      </c>
      <c r="R24" s="92">
        <f t="shared" si="15"/>
        <v>0</v>
      </c>
      <c r="S24" s="93"/>
      <c r="T24" s="93"/>
      <c r="U24" s="92">
        <f t="shared" si="1"/>
        <v>0</v>
      </c>
      <c r="V24" s="93"/>
      <c r="W24" s="93"/>
      <c r="X24" s="92">
        <f t="shared" si="2"/>
        <v>0</v>
      </c>
      <c r="Y24" s="93"/>
      <c r="Z24" s="93"/>
      <c r="AA24" s="92">
        <f t="shared" si="16"/>
        <v>0</v>
      </c>
      <c r="AB24" s="92">
        <f t="shared" si="17"/>
        <v>0</v>
      </c>
      <c r="AC24" s="234" t="e">
        <f t="shared" si="3"/>
        <v>#DIV/0!</v>
      </c>
      <c r="AD24" s="92">
        <f t="shared" si="4"/>
        <v>0</v>
      </c>
      <c r="AE24" s="93"/>
      <c r="AF24" s="234">
        <f t="shared" si="5"/>
        <v>0</v>
      </c>
      <c r="AG24" s="93"/>
      <c r="AH24" s="93"/>
      <c r="AI24" s="93"/>
      <c r="AJ24" s="93"/>
      <c r="AK24" s="93"/>
      <c r="AL24" s="122">
        <f t="shared" si="6"/>
        <v>0</v>
      </c>
      <c r="AM24" s="93"/>
      <c r="AN24" s="94">
        <f t="shared" si="18"/>
        <v>0</v>
      </c>
      <c r="AO24" s="95">
        <f t="shared" si="20"/>
        <v>0</v>
      </c>
      <c r="AP24" s="96"/>
      <c r="AQ24" s="97">
        <f t="shared" si="7"/>
        <v>0</v>
      </c>
      <c r="AR24" s="98">
        <f t="shared" si="30"/>
        <v>117.24</v>
      </c>
      <c r="AS24" s="98">
        <f t="shared" si="9"/>
        <v>0</v>
      </c>
      <c r="AT24" s="98">
        <f t="shared" si="10"/>
        <v>0</v>
      </c>
      <c r="AU24" s="98">
        <f t="shared" si="19"/>
        <v>0</v>
      </c>
      <c r="AV24" s="98">
        <f t="array" ref="AV24">_xlfn.IFS(U24=0,AO24,U24&lt;0,AO24/-U24,U24&gt;0,AO24/U24)</f>
        <v>0</v>
      </c>
      <c r="AW24" s="234">
        <f t="shared" si="27"/>
        <v>0</v>
      </c>
      <c r="AX24" s="234">
        <f t="shared" si="28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5"/>
        <v>0</v>
      </c>
      <c r="F25" s="93"/>
      <c r="G25" s="93"/>
      <c r="H25" s="93"/>
      <c r="I25" s="93"/>
      <c r="J25" s="93"/>
      <c r="K25" s="93">
        <v>117.24</v>
      </c>
      <c r="L25" s="92">
        <f t="shared" si="29"/>
        <v>0</v>
      </c>
      <c r="M25" s="89"/>
      <c r="N25" s="89"/>
      <c r="O25" s="89"/>
      <c r="P25" s="89"/>
      <c r="Q25" s="233">
        <f t="shared" si="14"/>
        <v>0</v>
      </c>
      <c r="R25" s="92">
        <f t="shared" si="15"/>
        <v>0</v>
      </c>
      <c r="S25" s="93"/>
      <c r="T25" s="93"/>
      <c r="U25" s="92">
        <f t="shared" si="1"/>
        <v>0</v>
      </c>
      <c r="V25" s="93"/>
      <c r="W25" s="93"/>
      <c r="X25" s="92">
        <f t="shared" si="2"/>
        <v>0</v>
      </c>
      <c r="Y25" s="93"/>
      <c r="Z25" s="93"/>
      <c r="AA25" s="92">
        <f t="shared" si="16"/>
        <v>0</v>
      </c>
      <c r="AB25" s="92">
        <f t="shared" si="17"/>
        <v>0</v>
      </c>
      <c r="AC25" s="234" t="e">
        <f t="shared" si="3"/>
        <v>#DIV/0!</v>
      </c>
      <c r="AD25" s="92">
        <f t="shared" si="4"/>
        <v>0</v>
      </c>
      <c r="AE25" s="93"/>
      <c r="AF25" s="234">
        <f t="shared" si="5"/>
        <v>0</v>
      </c>
      <c r="AG25" s="93"/>
      <c r="AH25" s="93"/>
      <c r="AI25" s="93"/>
      <c r="AJ25" s="93"/>
      <c r="AK25" s="93"/>
      <c r="AL25" s="122">
        <f t="shared" si="6"/>
        <v>0</v>
      </c>
      <c r="AM25" s="93"/>
      <c r="AN25" s="94">
        <f t="shared" si="18"/>
        <v>0</v>
      </c>
      <c r="AO25" s="95">
        <f t="shared" si="20"/>
        <v>0</v>
      </c>
      <c r="AP25" s="96"/>
      <c r="AQ25" s="97">
        <f t="shared" si="7"/>
        <v>0</v>
      </c>
      <c r="AR25" s="98">
        <f t="shared" si="30"/>
        <v>117.24</v>
      </c>
      <c r="AS25" s="98">
        <f t="shared" si="9"/>
        <v>0</v>
      </c>
      <c r="AT25" s="98">
        <f t="shared" si="10"/>
        <v>0</v>
      </c>
      <c r="AU25" s="98">
        <f t="shared" si="19"/>
        <v>0</v>
      </c>
      <c r="AV25" s="98">
        <f t="array" ref="AV25">_xlfn.IFS(U25=0,AO25,U25&lt;0,AO25/-U25,U25&gt;0,AO25/U25)</f>
        <v>0</v>
      </c>
      <c r="AW25" s="234">
        <f t="shared" si="27"/>
        <v>0</v>
      </c>
      <c r="AX25" s="234">
        <f t="shared" si="28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5"/>
        <v>0</v>
      </c>
      <c r="F26" s="93"/>
      <c r="G26" s="93"/>
      <c r="H26" s="93"/>
      <c r="I26" s="93"/>
      <c r="J26" s="93"/>
      <c r="K26" s="93">
        <v>123.09</v>
      </c>
      <c r="L26" s="92">
        <f t="shared" si="29"/>
        <v>0</v>
      </c>
      <c r="M26" s="89"/>
      <c r="N26" s="89"/>
      <c r="O26" s="89"/>
      <c r="P26" s="89"/>
      <c r="Q26" s="233">
        <f t="shared" si="14"/>
        <v>0</v>
      </c>
      <c r="R26" s="92">
        <f t="shared" si="15"/>
        <v>0</v>
      </c>
      <c r="S26" s="93"/>
      <c r="T26" s="93"/>
      <c r="U26" s="92">
        <f t="shared" si="1"/>
        <v>0</v>
      </c>
      <c r="V26" s="93"/>
      <c r="W26" s="93"/>
      <c r="X26" s="92">
        <f t="shared" si="2"/>
        <v>0</v>
      </c>
      <c r="Y26" s="93"/>
      <c r="Z26" s="93"/>
      <c r="AA26" s="92">
        <f t="shared" si="16"/>
        <v>0</v>
      </c>
      <c r="AB26" s="92">
        <f t="shared" si="17"/>
        <v>0</v>
      </c>
      <c r="AC26" s="234" t="e">
        <f t="shared" si="3"/>
        <v>#DIV/0!</v>
      </c>
      <c r="AD26" s="92">
        <f t="shared" si="4"/>
        <v>0</v>
      </c>
      <c r="AE26" s="93"/>
      <c r="AF26" s="234">
        <f t="shared" si="5"/>
        <v>0</v>
      </c>
      <c r="AG26" s="93"/>
      <c r="AH26" s="93"/>
      <c r="AI26" s="93"/>
      <c r="AJ26" s="93"/>
      <c r="AK26" s="93"/>
      <c r="AL26" s="122">
        <f t="shared" si="6"/>
        <v>0</v>
      </c>
      <c r="AM26" s="93"/>
      <c r="AN26" s="94">
        <f t="shared" si="18"/>
        <v>0</v>
      </c>
      <c r="AO26" s="95">
        <f t="shared" si="20"/>
        <v>0</v>
      </c>
      <c r="AP26" s="96"/>
      <c r="AQ26" s="97">
        <f t="shared" si="7"/>
        <v>0</v>
      </c>
      <c r="AR26" s="98">
        <f t="shared" si="30"/>
        <v>123.09</v>
      </c>
      <c r="AS26" s="98">
        <f t="shared" si="9"/>
        <v>0</v>
      </c>
      <c r="AT26" s="98">
        <f t="shared" si="10"/>
        <v>0</v>
      </c>
      <c r="AU26" s="98">
        <f t="shared" si="19"/>
        <v>0</v>
      </c>
      <c r="AV26" s="98">
        <f t="array" ref="AV26">_xlfn.IFS(U26=0,AO26,U26&lt;0,AO26/-U26,U26&gt;0,AO26/U26)</f>
        <v>0</v>
      </c>
      <c r="AW26" s="234">
        <f t="shared" si="27"/>
        <v>0</v>
      </c>
      <c r="AX26" s="234">
        <f t="shared" si="28"/>
        <v>0</v>
      </c>
      <c r="AY26" s="99"/>
      <c r="AZ26" s="94">
        <f t="shared" si="13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5"/>
        <v>0</v>
      </c>
      <c r="F27" s="93"/>
      <c r="G27" s="93"/>
      <c r="H27" s="93"/>
      <c r="I27" s="93"/>
      <c r="J27" s="93"/>
      <c r="K27" s="93">
        <v>181.59</v>
      </c>
      <c r="L27" s="92">
        <f t="shared" si="29"/>
        <v>0</v>
      </c>
      <c r="M27" s="89"/>
      <c r="N27" s="89"/>
      <c r="O27" s="89"/>
      <c r="P27" s="89"/>
      <c r="Q27" s="233">
        <f t="shared" si="14"/>
        <v>0</v>
      </c>
      <c r="R27" s="92">
        <f t="shared" si="15"/>
        <v>0</v>
      </c>
      <c r="S27" s="93"/>
      <c r="T27" s="93"/>
      <c r="U27" s="92">
        <f t="shared" si="1"/>
        <v>0</v>
      </c>
      <c r="V27" s="93"/>
      <c r="W27" s="93"/>
      <c r="X27" s="92">
        <f t="shared" si="2"/>
        <v>0</v>
      </c>
      <c r="Y27" s="93"/>
      <c r="Z27" s="93"/>
      <c r="AA27" s="92">
        <f t="shared" si="16"/>
        <v>0</v>
      </c>
      <c r="AB27" s="92">
        <f t="shared" si="17"/>
        <v>0</v>
      </c>
      <c r="AC27" s="234" t="e">
        <f t="shared" si="3"/>
        <v>#DIV/0!</v>
      </c>
      <c r="AD27" s="92">
        <f t="shared" si="4"/>
        <v>0</v>
      </c>
      <c r="AE27" s="93"/>
      <c r="AF27" s="234">
        <f t="shared" si="5"/>
        <v>0</v>
      </c>
      <c r="AG27" s="93"/>
      <c r="AH27" s="93"/>
      <c r="AI27" s="93"/>
      <c r="AJ27" s="93"/>
      <c r="AK27" s="93"/>
      <c r="AL27" s="122">
        <f t="shared" si="6"/>
        <v>0</v>
      </c>
      <c r="AM27" s="93"/>
      <c r="AN27" s="94">
        <f t="shared" si="18"/>
        <v>0</v>
      </c>
      <c r="AO27" s="95">
        <f t="shared" si="20"/>
        <v>0</v>
      </c>
      <c r="AP27" s="96"/>
      <c r="AQ27" s="97">
        <f t="shared" si="7"/>
        <v>0</v>
      </c>
      <c r="AR27" s="98">
        <f t="shared" si="30"/>
        <v>181.59</v>
      </c>
      <c r="AS27" s="98">
        <f t="shared" si="9"/>
        <v>0</v>
      </c>
      <c r="AT27" s="98">
        <f t="shared" si="10"/>
        <v>0</v>
      </c>
      <c r="AU27" s="98">
        <f t="shared" si="19"/>
        <v>0</v>
      </c>
      <c r="AV27" s="98">
        <f t="array" ref="AV27">_xlfn.IFS(U27=0,AO27,U27&lt;0,AO27/-U27,U27&gt;0,AO27/U27)</f>
        <v>0</v>
      </c>
      <c r="AW27" s="234">
        <f t="shared" si="27"/>
        <v>0</v>
      </c>
      <c r="AX27" s="234">
        <f t="shared" si="28"/>
        <v>0</v>
      </c>
      <c r="AY27" s="99"/>
      <c r="AZ27" s="94">
        <f t="shared" si="13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1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9"/>
        <v>0</v>
      </c>
      <c r="M28" s="89"/>
      <c r="N28" s="89"/>
      <c r="O28" s="89"/>
      <c r="P28" s="89"/>
      <c r="Q28" s="233">
        <f t="shared" si="14"/>
        <v>0</v>
      </c>
      <c r="R28" s="92">
        <f t="shared" si="15"/>
        <v>0</v>
      </c>
      <c r="S28" s="93"/>
      <c r="T28" s="93"/>
      <c r="U28" s="92">
        <f t="shared" si="1"/>
        <v>0</v>
      </c>
      <c r="V28" s="93"/>
      <c r="W28" s="93"/>
      <c r="X28" s="92">
        <f t="shared" si="2"/>
        <v>0</v>
      </c>
      <c r="Y28" s="93"/>
      <c r="Z28" s="93"/>
      <c r="AA28" s="92">
        <f t="shared" si="16"/>
        <v>0</v>
      </c>
      <c r="AB28" s="92">
        <f t="shared" si="17"/>
        <v>0</v>
      </c>
      <c r="AC28" s="234" t="e">
        <f t="shared" si="3"/>
        <v>#DIV/0!</v>
      </c>
      <c r="AD28" s="92">
        <f t="shared" si="4"/>
        <v>0</v>
      </c>
      <c r="AE28" s="93"/>
      <c r="AF28" s="234">
        <f t="shared" si="5"/>
        <v>0</v>
      </c>
      <c r="AG28" s="93"/>
      <c r="AH28" s="93"/>
      <c r="AI28" s="93"/>
      <c r="AJ28" s="93"/>
      <c r="AK28" s="93"/>
      <c r="AL28" s="122">
        <f t="shared" si="6"/>
        <v>0</v>
      </c>
      <c r="AM28" s="93"/>
      <c r="AN28" s="94">
        <f t="shared" si="18"/>
        <v>0</v>
      </c>
      <c r="AO28" s="95">
        <f t="shared" si="20"/>
        <v>0</v>
      </c>
      <c r="AP28" s="96"/>
      <c r="AQ28" s="97">
        <f t="shared" si="7"/>
        <v>0</v>
      </c>
      <c r="AR28" s="98">
        <f t="shared" si="30"/>
        <v>133.62</v>
      </c>
      <c r="AS28" s="98">
        <f t="shared" si="9"/>
        <v>0</v>
      </c>
      <c r="AT28" s="98">
        <f t="shared" si="10"/>
        <v>0</v>
      </c>
      <c r="AU28" s="98">
        <f t="shared" si="19"/>
        <v>0</v>
      </c>
      <c r="AV28" s="98">
        <f>_xlfn.IFS(U28=0,AO28,U28&lt;0,AO28/-U28,U28&gt;0,AO28/U28)</f>
        <v>0</v>
      </c>
      <c r="AW28" s="234">
        <f t="shared" si="27"/>
        <v>0</v>
      </c>
      <c r="AX28" s="234">
        <f t="shared" si="28"/>
        <v>0</v>
      </c>
      <c r="AY28" s="99"/>
      <c r="AZ28" s="94">
        <f t="shared" si="13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89"/>
      <c r="O29" s="89"/>
      <c r="P29" s="89"/>
      <c r="Q29" s="233">
        <f t="shared" si="14"/>
        <v>0</v>
      </c>
      <c r="R29" s="92">
        <f t="shared" si="15"/>
        <v>0</v>
      </c>
      <c r="S29" s="93"/>
      <c r="T29" s="93"/>
      <c r="U29" s="92">
        <f t="shared" si="1"/>
        <v>0</v>
      </c>
      <c r="V29" s="93"/>
      <c r="W29" s="93"/>
      <c r="X29" s="92">
        <f t="shared" si="2"/>
        <v>0</v>
      </c>
      <c r="Y29" s="93"/>
      <c r="Z29" s="93"/>
      <c r="AA29" s="92">
        <f t="shared" si="16"/>
        <v>0</v>
      </c>
      <c r="AB29" s="92">
        <f t="shared" si="17"/>
        <v>0</v>
      </c>
      <c r="AC29" s="234" t="e">
        <f t="shared" si="3"/>
        <v>#DIV/0!</v>
      </c>
      <c r="AD29" s="92">
        <f t="shared" si="4"/>
        <v>0</v>
      </c>
      <c r="AE29" s="93"/>
      <c r="AF29" s="234">
        <f t="shared" si="5"/>
        <v>0</v>
      </c>
      <c r="AG29" s="93"/>
      <c r="AH29" s="93"/>
      <c r="AI29" s="93"/>
      <c r="AJ29" s="93"/>
      <c r="AK29" s="93"/>
      <c r="AL29" s="122">
        <f t="shared" si="6"/>
        <v>0</v>
      </c>
      <c r="AM29" s="93"/>
      <c r="AN29" s="94">
        <f t="shared" si="18"/>
        <v>0</v>
      </c>
      <c r="AO29" s="95">
        <f t="shared" si="20"/>
        <v>0</v>
      </c>
      <c r="AP29" s="96"/>
      <c r="AQ29" s="97">
        <f t="shared" si="7"/>
        <v>0</v>
      </c>
      <c r="AR29" s="98">
        <f t="shared" si="30"/>
        <v>111.39</v>
      </c>
      <c r="AS29" s="98">
        <f t="shared" si="9"/>
        <v>0</v>
      </c>
      <c r="AT29" s="98">
        <f t="shared" si="10"/>
        <v>0</v>
      </c>
      <c r="AU29" s="98">
        <f t="shared" si="19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89"/>
      <c r="O30" s="89"/>
      <c r="P30" s="89"/>
      <c r="Q30" s="233">
        <f t="shared" si="14"/>
        <v>0</v>
      </c>
      <c r="R30" s="92">
        <f t="shared" si="15"/>
        <v>0</v>
      </c>
      <c r="S30" s="93"/>
      <c r="T30" s="93"/>
      <c r="U30" s="92">
        <f t="shared" si="1"/>
        <v>0</v>
      </c>
      <c r="V30" s="93"/>
      <c r="W30" s="93"/>
      <c r="X30" s="92">
        <f t="shared" si="2"/>
        <v>0</v>
      </c>
      <c r="Y30" s="93"/>
      <c r="Z30" s="93"/>
      <c r="AA30" s="92">
        <f t="shared" si="16"/>
        <v>0</v>
      </c>
      <c r="AB30" s="92">
        <f t="shared" si="17"/>
        <v>0</v>
      </c>
      <c r="AC30" s="234" t="e">
        <f t="shared" si="3"/>
        <v>#DIV/0!</v>
      </c>
      <c r="AD30" s="92">
        <f t="shared" si="4"/>
        <v>0</v>
      </c>
      <c r="AE30" s="93"/>
      <c r="AF30" s="234">
        <f t="shared" si="5"/>
        <v>0</v>
      </c>
      <c r="AG30" s="93"/>
      <c r="AH30" s="93"/>
      <c r="AI30" s="93"/>
      <c r="AJ30" s="93"/>
      <c r="AK30" s="93"/>
      <c r="AL30" s="122">
        <f t="shared" si="6"/>
        <v>0</v>
      </c>
      <c r="AM30" s="93"/>
      <c r="AN30" s="94">
        <f t="shared" si="18"/>
        <v>0</v>
      </c>
      <c r="AO30" s="95">
        <f t="shared" si="20"/>
        <v>0</v>
      </c>
      <c r="AP30" s="96"/>
      <c r="AQ30" s="97">
        <f t="shared" si="7"/>
        <v>0</v>
      </c>
      <c r="AR30" s="98">
        <f t="shared" si="30"/>
        <v>111.39</v>
      </c>
      <c r="AS30" s="98">
        <f t="shared" si="9"/>
        <v>0</v>
      </c>
      <c r="AT30" s="98">
        <f t="shared" si="10"/>
        <v>0</v>
      </c>
      <c r="AU30" s="98">
        <f t="shared" si="19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89"/>
      <c r="O31" s="89"/>
      <c r="P31" s="89"/>
      <c r="Q31" s="233">
        <f t="shared" si="14"/>
        <v>0</v>
      </c>
      <c r="R31" s="92">
        <f t="shared" si="15"/>
        <v>0</v>
      </c>
      <c r="S31" s="93"/>
      <c r="T31" s="93"/>
      <c r="U31" s="92">
        <f t="shared" si="1"/>
        <v>0</v>
      </c>
      <c r="V31" s="93"/>
      <c r="W31" s="93"/>
      <c r="X31" s="92">
        <f t="shared" si="2"/>
        <v>0</v>
      </c>
      <c r="Y31" s="93"/>
      <c r="Z31" s="93"/>
      <c r="AA31" s="92">
        <f t="shared" si="16"/>
        <v>0</v>
      </c>
      <c r="AB31" s="92">
        <f t="shared" si="17"/>
        <v>0</v>
      </c>
      <c r="AC31" s="234" t="e">
        <f t="shared" si="3"/>
        <v>#DIV/0!</v>
      </c>
      <c r="AD31" s="92">
        <f t="shared" si="4"/>
        <v>0</v>
      </c>
      <c r="AE31" s="93"/>
      <c r="AF31" s="234">
        <f t="shared" si="5"/>
        <v>0</v>
      </c>
      <c r="AG31" s="93"/>
      <c r="AH31" s="93"/>
      <c r="AI31" s="93"/>
      <c r="AJ31" s="93"/>
      <c r="AK31" s="93"/>
      <c r="AL31" s="122">
        <f t="shared" si="6"/>
        <v>0</v>
      </c>
      <c r="AM31" s="93"/>
      <c r="AN31" s="94">
        <f t="shared" si="18"/>
        <v>0</v>
      </c>
      <c r="AO31" s="95">
        <f t="shared" si="20"/>
        <v>0</v>
      </c>
      <c r="AP31" s="96"/>
      <c r="AQ31" s="97">
        <f t="shared" si="7"/>
        <v>0</v>
      </c>
      <c r="AR31" s="98">
        <f t="shared" si="30"/>
        <v>105.54</v>
      </c>
      <c r="AS31" s="98">
        <f t="shared" si="9"/>
        <v>0</v>
      </c>
      <c r="AT31" s="98">
        <f t="shared" si="10"/>
        <v>0</v>
      </c>
      <c r="AU31" s="98">
        <f t="shared" si="19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2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3">E32*K32</f>
        <v>0</v>
      </c>
      <c r="M32" s="89"/>
      <c r="N32" s="89"/>
      <c r="O32" s="89"/>
      <c r="P32" s="89"/>
      <c r="Q32" s="233">
        <f t="shared" si="14"/>
        <v>0</v>
      </c>
      <c r="R32" s="92">
        <f t="shared" si="15"/>
        <v>0</v>
      </c>
      <c r="S32" s="93"/>
      <c r="T32" s="93"/>
      <c r="U32" s="92">
        <f t="shared" si="1"/>
        <v>0</v>
      </c>
      <c r="V32" s="93"/>
      <c r="W32" s="93"/>
      <c r="X32" s="92">
        <f t="shared" si="2"/>
        <v>0</v>
      </c>
      <c r="Y32" s="93"/>
      <c r="Z32" s="93"/>
      <c r="AA32" s="92">
        <f t="shared" si="16"/>
        <v>0</v>
      </c>
      <c r="AB32" s="92">
        <f t="shared" si="17"/>
        <v>0</v>
      </c>
      <c r="AC32" s="234" t="e">
        <f t="shared" si="3"/>
        <v>#DIV/0!</v>
      </c>
      <c r="AD32" s="92">
        <f t="shared" si="4"/>
        <v>0</v>
      </c>
      <c r="AE32" s="93"/>
      <c r="AF32" s="234">
        <f t="shared" si="5"/>
        <v>0</v>
      </c>
      <c r="AG32" s="93"/>
      <c r="AH32" s="93"/>
      <c r="AI32" s="93"/>
      <c r="AJ32" s="93"/>
      <c r="AK32" s="93"/>
      <c r="AL32" s="122">
        <f t="shared" si="6"/>
        <v>0</v>
      </c>
      <c r="AM32" s="93"/>
      <c r="AN32" s="94">
        <f t="shared" si="18"/>
        <v>0</v>
      </c>
      <c r="AO32" s="95">
        <f t="shared" si="20"/>
        <v>0</v>
      </c>
      <c r="AP32" s="96"/>
      <c r="AQ32" s="97">
        <f t="shared" si="7"/>
        <v>0</v>
      </c>
      <c r="AR32" s="98">
        <f t="shared" si="30"/>
        <v>140.63999999999999</v>
      </c>
      <c r="AS32" s="98">
        <f t="shared" si="9"/>
        <v>0</v>
      </c>
      <c r="AT32" s="98">
        <f t="shared" si="10"/>
        <v>0</v>
      </c>
      <c r="AU32" s="98">
        <f t="shared" si="19"/>
        <v>0</v>
      </c>
      <c r="AV32" s="98">
        <f t="array" ref="AV32">_xlfn.IFS(U32=0,AO32,U32&lt;0,AO32/-U32,U32&gt;0,AO32/U32)</f>
        <v>0</v>
      </c>
      <c r="AW32" s="234">
        <f t="shared" ref="AW32" si="34">IF(AQ32=0,0,AV32/AQ32)</f>
        <v>0</v>
      </c>
      <c r="AX32" s="234">
        <f t="shared" ref="AX32" si="35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89"/>
      <c r="O33" s="89"/>
      <c r="P33" s="89"/>
      <c r="Q33" s="233">
        <f t="shared" si="14"/>
        <v>0</v>
      </c>
      <c r="R33" s="92">
        <f t="shared" si="15"/>
        <v>0</v>
      </c>
      <c r="S33" s="93"/>
      <c r="T33" s="93"/>
      <c r="U33" s="92">
        <f t="shared" si="1"/>
        <v>0</v>
      </c>
      <c r="V33" s="93"/>
      <c r="W33" s="93"/>
      <c r="X33" s="92">
        <f t="shared" si="2"/>
        <v>0</v>
      </c>
      <c r="Y33" s="93"/>
      <c r="Z33" s="93"/>
      <c r="AA33" s="92">
        <f t="shared" si="16"/>
        <v>0</v>
      </c>
      <c r="AB33" s="92">
        <f t="shared" si="17"/>
        <v>0</v>
      </c>
      <c r="AC33" s="234" t="e">
        <f t="shared" si="3"/>
        <v>#DIV/0!</v>
      </c>
      <c r="AD33" s="92">
        <f t="shared" si="4"/>
        <v>0</v>
      </c>
      <c r="AE33" s="93"/>
      <c r="AF33" s="234">
        <f t="shared" si="5"/>
        <v>0</v>
      </c>
      <c r="AG33" s="93"/>
      <c r="AH33" s="93"/>
      <c r="AI33" s="93"/>
      <c r="AJ33" s="93"/>
      <c r="AK33" s="93"/>
      <c r="AL33" s="122">
        <f t="shared" si="6"/>
        <v>0</v>
      </c>
      <c r="AM33" s="93"/>
      <c r="AN33" s="94">
        <f t="shared" si="18"/>
        <v>0</v>
      </c>
      <c r="AO33" s="95">
        <f t="shared" si="20"/>
        <v>0</v>
      </c>
      <c r="AP33" s="96"/>
      <c r="AQ33" s="97">
        <f t="shared" si="7"/>
        <v>0</v>
      </c>
      <c r="AR33" s="98">
        <f t="shared" si="30"/>
        <v>123.09</v>
      </c>
      <c r="AS33" s="98">
        <f t="shared" si="9"/>
        <v>0</v>
      </c>
      <c r="AT33" s="98">
        <f t="shared" si="10"/>
        <v>0</v>
      </c>
      <c r="AU33" s="98">
        <f t="shared" si="19"/>
        <v>0</v>
      </c>
      <c r="AV33" s="98">
        <f t="array" ref="AV33">_xlfn.IFS(U33=0,AO33,U33&lt;0,AO33/-U33,U33&gt;0,AO33/U33)</f>
        <v>0</v>
      </c>
      <c r="AW33" s="234">
        <f>IF(AQ33=0,0,AV33/AQ33)</f>
        <v>0</v>
      </c>
      <c r="AX33" s="234">
        <f>IF(AR33=0,0,AV33/AR33)</f>
        <v>0</v>
      </c>
      <c r="AY33" s="99"/>
      <c r="AZ33" s="94">
        <f t="shared" si="13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89"/>
      <c r="O34" s="89"/>
      <c r="P34" s="89"/>
      <c r="Q34" s="233">
        <f t="shared" si="14"/>
        <v>0</v>
      </c>
      <c r="R34" s="92">
        <f t="shared" si="15"/>
        <v>0</v>
      </c>
      <c r="S34" s="93"/>
      <c r="T34" s="93"/>
      <c r="U34" s="92">
        <f t="shared" si="1"/>
        <v>0</v>
      </c>
      <c r="V34" s="93"/>
      <c r="W34" s="93"/>
      <c r="X34" s="92">
        <f t="shared" si="2"/>
        <v>0</v>
      </c>
      <c r="Y34" s="93"/>
      <c r="Z34" s="93"/>
      <c r="AA34" s="92">
        <f t="shared" si="16"/>
        <v>0</v>
      </c>
      <c r="AB34" s="92">
        <f t="shared" si="17"/>
        <v>0</v>
      </c>
      <c r="AC34" s="234" t="e">
        <f t="shared" si="3"/>
        <v>#DIV/0!</v>
      </c>
      <c r="AD34" s="92">
        <f t="shared" si="4"/>
        <v>0</v>
      </c>
      <c r="AE34" s="93"/>
      <c r="AF34" s="234">
        <f t="shared" si="5"/>
        <v>0</v>
      </c>
      <c r="AG34" s="93"/>
      <c r="AH34" s="93"/>
      <c r="AI34" s="93"/>
      <c r="AJ34" s="93"/>
      <c r="AK34" s="93"/>
      <c r="AL34" s="122">
        <f t="shared" si="6"/>
        <v>0</v>
      </c>
      <c r="AM34" s="93"/>
      <c r="AN34" s="94">
        <f t="shared" si="18"/>
        <v>0</v>
      </c>
      <c r="AO34" s="95">
        <f t="shared" si="20"/>
        <v>0</v>
      </c>
      <c r="AP34" s="96"/>
      <c r="AQ34" s="97">
        <f t="shared" si="7"/>
        <v>0</v>
      </c>
      <c r="AR34" s="98">
        <f t="shared" si="30"/>
        <v>117.24</v>
      </c>
      <c r="AS34" s="98">
        <f t="shared" si="9"/>
        <v>0</v>
      </c>
      <c r="AT34" s="98">
        <f t="shared" si="10"/>
        <v>0</v>
      </c>
      <c r="AU34" s="98">
        <f t="shared" si="19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6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7">E35*K35</f>
        <v>0</v>
      </c>
      <c r="M35" s="89"/>
      <c r="N35" s="89"/>
      <c r="O35" s="89"/>
      <c r="P35" s="89"/>
      <c r="Q35" s="233">
        <f t="shared" si="14"/>
        <v>0</v>
      </c>
      <c r="R35" s="92">
        <f t="shared" si="15"/>
        <v>0</v>
      </c>
      <c r="S35" s="93"/>
      <c r="T35" s="93"/>
      <c r="U35" s="92">
        <f t="shared" si="1"/>
        <v>0</v>
      </c>
      <c r="V35" s="93"/>
      <c r="W35" s="93"/>
      <c r="X35" s="92">
        <f t="shared" si="2"/>
        <v>0</v>
      </c>
      <c r="Y35" s="93"/>
      <c r="Z35" s="93"/>
      <c r="AA35" s="92">
        <f t="shared" si="16"/>
        <v>0</v>
      </c>
      <c r="AB35" s="92">
        <f t="shared" si="17"/>
        <v>0</v>
      </c>
      <c r="AC35" s="234" t="e">
        <f t="shared" si="3"/>
        <v>#DIV/0!</v>
      </c>
      <c r="AD35" s="92">
        <f t="shared" si="4"/>
        <v>0</v>
      </c>
      <c r="AE35" s="93"/>
      <c r="AF35" s="234">
        <f t="shared" si="5"/>
        <v>0</v>
      </c>
      <c r="AG35" s="93"/>
      <c r="AH35" s="93"/>
      <c r="AI35" s="93"/>
      <c r="AJ35" s="93"/>
      <c r="AK35" s="93"/>
      <c r="AL35" s="122">
        <f t="shared" si="6"/>
        <v>0</v>
      </c>
      <c r="AM35" s="93"/>
      <c r="AN35" s="94">
        <f t="shared" si="18"/>
        <v>0</v>
      </c>
      <c r="AO35" s="95">
        <f t="shared" si="20"/>
        <v>0</v>
      </c>
      <c r="AP35" s="96"/>
      <c r="AQ35" s="97">
        <f t="shared" si="7"/>
        <v>0</v>
      </c>
      <c r="AR35" s="98">
        <f t="shared" si="30"/>
        <v>128.94</v>
      </c>
      <c r="AS35" s="98">
        <f t="shared" si="9"/>
        <v>0</v>
      </c>
      <c r="AT35" s="98">
        <f t="shared" si="10"/>
        <v>0</v>
      </c>
      <c r="AU35" s="98">
        <f t="shared" si="19"/>
        <v>0</v>
      </c>
      <c r="AV35" s="98">
        <f t="array" ref="AV35">_xlfn.IFS(U35=0,AO35,U35&lt;0,AO35/-U35,U35&gt;0,AO35/U35)</f>
        <v>0</v>
      </c>
      <c r="AW35" s="234">
        <f t="shared" ref="AW35:AW98" si="38">IF(AQ35=0,0,AV35/AQ35)</f>
        <v>0</v>
      </c>
      <c r="AX35" s="234">
        <f t="shared" ref="AX35:AX98" si="39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6"/>
        <v>0</v>
      </c>
      <c r="F36" s="93"/>
      <c r="G36" s="93"/>
      <c r="H36" s="93"/>
      <c r="I36" s="93"/>
      <c r="J36" s="93"/>
      <c r="K36" s="93">
        <v>169.89</v>
      </c>
      <c r="L36" s="92">
        <f t="shared" si="37"/>
        <v>0</v>
      </c>
      <c r="M36" s="89"/>
      <c r="N36" s="89"/>
      <c r="O36" s="89"/>
      <c r="P36" s="89"/>
      <c r="Q36" s="233">
        <f t="shared" si="14"/>
        <v>0</v>
      </c>
      <c r="R36" s="92">
        <f t="shared" si="15"/>
        <v>0</v>
      </c>
      <c r="S36" s="93"/>
      <c r="T36" s="93"/>
      <c r="U36" s="92">
        <f t="shared" si="1"/>
        <v>0</v>
      </c>
      <c r="V36" s="93"/>
      <c r="W36" s="93"/>
      <c r="X36" s="92">
        <f t="shared" si="2"/>
        <v>0</v>
      </c>
      <c r="Y36" s="93"/>
      <c r="Z36" s="93"/>
      <c r="AA36" s="92">
        <f t="shared" si="16"/>
        <v>0</v>
      </c>
      <c r="AB36" s="92">
        <f t="shared" si="17"/>
        <v>0</v>
      </c>
      <c r="AC36" s="234" t="e">
        <f t="shared" si="3"/>
        <v>#DIV/0!</v>
      </c>
      <c r="AD36" s="92">
        <f t="shared" si="4"/>
        <v>0</v>
      </c>
      <c r="AE36" s="93"/>
      <c r="AF36" s="234">
        <f t="shared" si="5"/>
        <v>0</v>
      </c>
      <c r="AG36" s="93"/>
      <c r="AH36" s="93"/>
      <c r="AI36" s="93"/>
      <c r="AJ36" s="93"/>
      <c r="AK36" s="93"/>
      <c r="AL36" s="122">
        <f t="shared" si="6"/>
        <v>0</v>
      </c>
      <c r="AM36" s="93"/>
      <c r="AN36" s="94">
        <f t="shared" si="18"/>
        <v>0</v>
      </c>
      <c r="AO36" s="95">
        <f t="shared" si="20"/>
        <v>0</v>
      </c>
      <c r="AP36" s="96"/>
      <c r="AQ36" s="97">
        <f t="shared" si="7"/>
        <v>0</v>
      </c>
      <c r="AR36" s="98">
        <f t="shared" si="30"/>
        <v>169.89</v>
      </c>
      <c r="AS36" s="98">
        <f t="shared" si="9"/>
        <v>0</v>
      </c>
      <c r="AT36" s="98">
        <f t="shared" si="10"/>
        <v>0</v>
      </c>
      <c r="AU36" s="98">
        <f t="shared" si="19"/>
        <v>0</v>
      </c>
      <c r="AV36" s="98">
        <f t="array" ref="AV36">_xlfn.IFS(U36=0,AO36,U36&lt;0,AO36/-U36,U36&gt;0,AO36/U36)</f>
        <v>0</v>
      </c>
      <c r="AW36" s="234">
        <f t="shared" si="38"/>
        <v>0</v>
      </c>
      <c r="AX36" s="234">
        <f t="shared" si="39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6"/>
        <v>0</v>
      </c>
      <c r="F37" s="93"/>
      <c r="G37" s="93"/>
      <c r="H37" s="93"/>
      <c r="I37" s="93"/>
      <c r="J37" s="93"/>
      <c r="K37" s="93">
        <v>169.89</v>
      </c>
      <c r="L37" s="92">
        <f t="shared" si="37"/>
        <v>0</v>
      </c>
      <c r="M37" s="89"/>
      <c r="N37" s="89"/>
      <c r="O37" s="89"/>
      <c r="P37" s="89"/>
      <c r="Q37" s="233">
        <f t="shared" si="14"/>
        <v>0</v>
      </c>
      <c r="R37" s="92">
        <f t="shared" si="15"/>
        <v>0</v>
      </c>
      <c r="S37" s="93"/>
      <c r="T37" s="93"/>
      <c r="U37" s="92">
        <f t="shared" si="1"/>
        <v>0</v>
      </c>
      <c r="V37" s="93"/>
      <c r="W37" s="93"/>
      <c r="X37" s="92">
        <f t="shared" si="2"/>
        <v>0</v>
      </c>
      <c r="Y37" s="93"/>
      <c r="Z37" s="93"/>
      <c r="AA37" s="92">
        <f t="shared" si="16"/>
        <v>0</v>
      </c>
      <c r="AB37" s="92">
        <f t="shared" si="17"/>
        <v>0</v>
      </c>
      <c r="AC37" s="234" t="e">
        <f t="shared" si="3"/>
        <v>#DIV/0!</v>
      </c>
      <c r="AD37" s="92">
        <f t="shared" si="4"/>
        <v>0</v>
      </c>
      <c r="AE37" s="93"/>
      <c r="AF37" s="234">
        <f t="shared" si="5"/>
        <v>0</v>
      </c>
      <c r="AG37" s="93"/>
      <c r="AH37" s="93"/>
      <c r="AI37" s="93"/>
      <c r="AJ37" s="93"/>
      <c r="AK37" s="93"/>
      <c r="AL37" s="122">
        <f t="shared" si="6"/>
        <v>0</v>
      </c>
      <c r="AM37" s="93"/>
      <c r="AN37" s="94">
        <f t="shared" si="18"/>
        <v>0</v>
      </c>
      <c r="AO37" s="95">
        <f t="shared" si="20"/>
        <v>0</v>
      </c>
      <c r="AP37" s="96"/>
      <c r="AQ37" s="97">
        <f t="shared" si="7"/>
        <v>0</v>
      </c>
      <c r="AR37" s="98">
        <f t="shared" si="30"/>
        <v>169.89</v>
      </c>
      <c r="AS37" s="98">
        <f t="shared" si="9"/>
        <v>0</v>
      </c>
      <c r="AT37" s="98">
        <f t="shared" si="10"/>
        <v>0</v>
      </c>
      <c r="AU37" s="98">
        <f t="shared" si="19"/>
        <v>0</v>
      </c>
      <c r="AV37" s="98">
        <f t="array" ref="AV37">_xlfn.IFS(U37=0,AO37,U37&lt;0,AO37/-U37,U37&gt;0,AO37/U37)</f>
        <v>0</v>
      </c>
      <c r="AW37" s="234">
        <f t="shared" si="38"/>
        <v>0</v>
      </c>
      <c r="AX37" s="234">
        <f t="shared" si="39"/>
        <v>0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6"/>
        <v>0</v>
      </c>
      <c r="F38" s="93"/>
      <c r="G38" s="93"/>
      <c r="H38" s="93"/>
      <c r="I38" s="93"/>
      <c r="J38" s="93"/>
      <c r="K38" s="92">
        <v>105.54</v>
      </c>
      <c r="L38" s="92">
        <f t="shared" si="37"/>
        <v>0</v>
      </c>
      <c r="M38" s="89"/>
      <c r="N38" s="89"/>
      <c r="O38" s="89"/>
      <c r="P38" s="89"/>
      <c r="Q38" s="233">
        <f t="shared" si="14"/>
        <v>0</v>
      </c>
      <c r="R38" s="92">
        <f t="shared" si="15"/>
        <v>0</v>
      </c>
      <c r="S38" s="93"/>
      <c r="T38" s="93"/>
      <c r="U38" s="92">
        <f t="shared" si="1"/>
        <v>0</v>
      </c>
      <c r="V38" s="93"/>
      <c r="W38" s="93"/>
      <c r="X38" s="92">
        <f t="shared" si="2"/>
        <v>0</v>
      </c>
      <c r="Y38" s="93"/>
      <c r="Z38" s="93"/>
      <c r="AA38" s="92">
        <f t="shared" si="16"/>
        <v>0</v>
      </c>
      <c r="AB38" s="92">
        <f t="shared" si="17"/>
        <v>0</v>
      </c>
      <c r="AC38" s="234" t="e">
        <f t="shared" si="3"/>
        <v>#DIV/0!</v>
      </c>
      <c r="AD38" s="92">
        <f t="shared" si="4"/>
        <v>0</v>
      </c>
      <c r="AE38" s="93"/>
      <c r="AF38" s="234">
        <f t="shared" si="5"/>
        <v>0</v>
      </c>
      <c r="AG38" s="93"/>
      <c r="AH38" s="93"/>
      <c r="AI38" s="93"/>
      <c r="AJ38" s="93"/>
      <c r="AK38" s="93"/>
      <c r="AL38" s="122">
        <f t="shared" si="6"/>
        <v>0</v>
      </c>
      <c r="AM38" s="93"/>
      <c r="AN38" s="94">
        <f t="shared" si="18"/>
        <v>0</v>
      </c>
      <c r="AO38" s="95">
        <f t="shared" si="20"/>
        <v>0</v>
      </c>
      <c r="AP38" s="96"/>
      <c r="AQ38" s="97">
        <f t="shared" si="7"/>
        <v>0</v>
      </c>
      <c r="AR38" s="98">
        <f t="shared" si="30"/>
        <v>105.54</v>
      </c>
      <c r="AS38" s="98">
        <f t="shared" si="9"/>
        <v>0</v>
      </c>
      <c r="AT38" s="98">
        <f t="shared" si="10"/>
        <v>0</v>
      </c>
      <c r="AU38" s="98">
        <f t="shared" si="19"/>
        <v>0</v>
      </c>
      <c r="AV38" s="98">
        <f t="array" ref="AV38">_xlfn.IFS(U38=0,AO38,U38&lt;0,AO38/-U38,U38&gt;0,AO38/U38)</f>
        <v>0</v>
      </c>
      <c r="AW38" s="234">
        <f t="shared" si="38"/>
        <v>0</v>
      </c>
      <c r="AX38" s="234">
        <f t="shared" si="39"/>
        <v>0</v>
      </c>
      <c r="AY38" s="99"/>
      <c r="AZ38" s="94">
        <f t="shared" si="13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6"/>
        <v>0</v>
      </c>
      <c r="F39" s="93"/>
      <c r="G39" s="93"/>
      <c r="H39" s="93"/>
      <c r="I39" s="93"/>
      <c r="J39" s="93"/>
      <c r="K39" s="92">
        <v>105.54</v>
      </c>
      <c r="L39" s="92">
        <f t="shared" si="37"/>
        <v>0</v>
      </c>
      <c r="M39" s="89"/>
      <c r="N39" s="89"/>
      <c r="O39" s="89"/>
      <c r="P39" s="89"/>
      <c r="Q39" s="233">
        <f t="shared" si="14"/>
        <v>0</v>
      </c>
      <c r="R39" s="92">
        <f t="shared" si="15"/>
        <v>0</v>
      </c>
      <c r="S39" s="93"/>
      <c r="T39" s="93"/>
      <c r="U39" s="92">
        <f t="shared" si="1"/>
        <v>0</v>
      </c>
      <c r="V39" s="93"/>
      <c r="W39" s="93"/>
      <c r="X39" s="92">
        <f t="shared" si="2"/>
        <v>0</v>
      </c>
      <c r="Y39" s="93"/>
      <c r="Z39" s="93"/>
      <c r="AA39" s="92">
        <f t="shared" si="16"/>
        <v>0</v>
      </c>
      <c r="AB39" s="92">
        <f t="shared" si="17"/>
        <v>0</v>
      </c>
      <c r="AC39" s="234" t="e">
        <f t="shared" si="3"/>
        <v>#DIV/0!</v>
      </c>
      <c r="AD39" s="92">
        <f t="shared" si="4"/>
        <v>0</v>
      </c>
      <c r="AE39" s="93"/>
      <c r="AF39" s="234">
        <f t="shared" si="5"/>
        <v>0</v>
      </c>
      <c r="AG39" s="93"/>
      <c r="AH39" s="93"/>
      <c r="AI39" s="93"/>
      <c r="AJ39" s="93"/>
      <c r="AK39" s="93"/>
      <c r="AL39" s="122">
        <f t="shared" si="6"/>
        <v>0</v>
      </c>
      <c r="AM39" s="93"/>
      <c r="AN39" s="94">
        <f t="shared" si="18"/>
        <v>0</v>
      </c>
      <c r="AO39" s="95">
        <f t="shared" si="20"/>
        <v>0</v>
      </c>
      <c r="AP39" s="96"/>
      <c r="AQ39" s="97">
        <f t="shared" si="7"/>
        <v>0</v>
      </c>
      <c r="AR39" s="98">
        <f t="shared" si="30"/>
        <v>105.54</v>
      </c>
      <c r="AS39" s="98">
        <f t="shared" si="9"/>
        <v>0</v>
      </c>
      <c r="AT39" s="98">
        <f t="shared" si="10"/>
        <v>0</v>
      </c>
      <c r="AU39" s="98">
        <f t="shared" si="19"/>
        <v>0</v>
      </c>
      <c r="AV39" s="98">
        <f t="array" ref="AV39">_xlfn.IFS(U39=0,AO39,U39&lt;0,AO39/-U39,U39&gt;0,AO39/U39)</f>
        <v>0</v>
      </c>
      <c r="AW39" s="234">
        <f t="shared" si="38"/>
        <v>0</v>
      </c>
      <c r="AX39" s="234">
        <f t="shared" si="39"/>
        <v>0</v>
      </c>
      <c r="AY39" s="99"/>
      <c r="AZ39" s="94">
        <f t="shared" si="13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6"/>
        <v>0</v>
      </c>
      <c r="F40" s="93"/>
      <c r="G40" s="93"/>
      <c r="H40" s="93"/>
      <c r="I40" s="93"/>
      <c r="J40" s="93"/>
      <c r="K40" s="92">
        <v>105.54</v>
      </c>
      <c r="L40" s="92">
        <f t="shared" si="37"/>
        <v>0</v>
      </c>
      <c r="M40" s="89"/>
      <c r="N40" s="89"/>
      <c r="O40" s="89"/>
      <c r="P40" s="89"/>
      <c r="Q40" s="233">
        <f t="shared" si="14"/>
        <v>0</v>
      </c>
      <c r="R40" s="92">
        <f t="shared" si="15"/>
        <v>0</v>
      </c>
      <c r="S40" s="93"/>
      <c r="T40" s="93"/>
      <c r="U40" s="92">
        <f t="shared" si="1"/>
        <v>0</v>
      </c>
      <c r="V40" s="93"/>
      <c r="W40" s="93"/>
      <c r="X40" s="92">
        <f t="shared" si="2"/>
        <v>0</v>
      </c>
      <c r="Y40" s="93"/>
      <c r="Z40" s="93"/>
      <c r="AA40" s="92">
        <f t="shared" si="16"/>
        <v>0</v>
      </c>
      <c r="AB40" s="92">
        <f t="shared" si="17"/>
        <v>0</v>
      </c>
      <c r="AC40" s="234" t="e">
        <f t="shared" si="3"/>
        <v>#DIV/0!</v>
      </c>
      <c r="AD40" s="92">
        <f t="shared" si="4"/>
        <v>0</v>
      </c>
      <c r="AE40" s="93"/>
      <c r="AF40" s="234">
        <f t="shared" si="5"/>
        <v>0</v>
      </c>
      <c r="AG40" s="93"/>
      <c r="AH40" s="93"/>
      <c r="AI40" s="93"/>
      <c r="AJ40" s="93"/>
      <c r="AK40" s="93"/>
      <c r="AL40" s="122">
        <f t="shared" si="6"/>
        <v>0</v>
      </c>
      <c r="AM40" s="93"/>
      <c r="AN40" s="94">
        <f t="shared" si="18"/>
        <v>0</v>
      </c>
      <c r="AO40" s="95">
        <f t="shared" si="20"/>
        <v>0</v>
      </c>
      <c r="AP40" s="96"/>
      <c r="AQ40" s="97">
        <f t="shared" si="7"/>
        <v>0</v>
      </c>
      <c r="AR40" s="98">
        <f t="shared" si="30"/>
        <v>105.54</v>
      </c>
      <c r="AS40" s="98">
        <f t="shared" si="9"/>
        <v>0</v>
      </c>
      <c r="AT40" s="98">
        <f t="shared" si="10"/>
        <v>0</v>
      </c>
      <c r="AU40" s="98">
        <f t="shared" si="19"/>
        <v>0</v>
      </c>
      <c r="AV40" s="98">
        <f t="array" ref="AV40">_xlfn.IFS(U40=0,AO40,U40&lt;0,AO40/-U40,U40&gt;0,AO40/U40)</f>
        <v>0</v>
      </c>
      <c r="AW40" s="234">
        <f t="shared" si="38"/>
        <v>0</v>
      </c>
      <c r="AX40" s="234">
        <f t="shared" si="39"/>
        <v>0</v>
      </c>
      <c r="AY40" s="99"/>
      <c r="AZ40" s="94">
        <f t="shared" si="13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6"/>
        <v>0</v>
      </c>
      <c r="F41" s="93"/>
      <c r="G41" s="93"/>
      <c r="H41" s="93"/>
      <c r="I41" s="93"/>
      <c r="J41" s="93"/>
      <c r="K41" s="92">
        <v>123.09</v>
      </c>
      <c r="L41" s="92">
        <f t="shared" si="37"/>
        <v>0</v>
      </c>
      <c r="M41" s="89"/>
      <c r="N41" s="89"/>
      <c r="O41" s="89"/>
      <c r="P41" s="89"/>
      <c r="Q41" s="233">
        <f t="shared" si="14"/>
        <v>0</v>
      </c>
      <c r="R41" s="92">
        <f t="shared" si="15"/>
        <v>0</v>
      </c>
      <c r="S41" s="93"/>
      <c r="T41" s="93"/>
      <c r="U41" s="92">
        <f t="shared" si="1"/>
        <v>0</v>
      </c>
      <c r="V41" s="93"/>
      <c r="W41" s="93"/>
      <c r="X41" s="92">
        <f t="shared" si="2"/>
        <v>0</v>
      </c>
      <c r="Y41" s="93"/>
      <c r="Z41" s="93"/>
      <c r="AA41" s="92">
        <f t="shared" si="16"/>
        <v>0</v>
      </c>
      <c r="AB41" s="92">
        <f t="shared" si="17"/>
        <v>0</v>
      </c>
      <c r="AC41" s="234" t="e">
        <f t="shared" si="3"/>
        <v>#DIV/0!</v>
      </c>
      <c r="AD41" s="92">
        <f t="shared" si="4"/>
        <v>0</v>
      </c>
      <c r="AE41" s="93"/>
      <c r="AF41" s="234">
        <f t="shared" si="5"/>
        <v>0</v>
      </c>
      <c r="AG41" s="93"/>
      <c r="AH41" s="93"/>
      <c r="AI41" s="93"/>
      <c r="AJ41" s="93"/>
      <c r="AK41" s="93"/>
      <c r="AL41" s="122">
        <f t="shared" si="6"/>
        <v>0</v>
      </c>
      <c r="AM41" s="93"/>
      <c r="AN41" s="94">
        <f t="shared" si="18"/>
        <v>0</v>
      </c>
      <c r="AO41" s="95">
        <f t="shared" si="20"/>
        <v>0</v>
      </c>
      <c r="AP41" s="96"/>
      <c r="AQ41" s="97">
        <f t="shared" si="7"/>
        <v>0</v>
      </c>
      <c r="AR41" s="98">
        <f t="shared" si="30"/>
        <v>123.09</v>
      </c>
      <c r="AS41" s="98">
        <f t="shared" si="9"/>
        <v>0</v>
      </c>
      <c r="AT41" s="98">
        <f t="shared" si="10"/>
        <v>0</v>
      </c>
      <c r="AU41" s="98">
        <f t="shared" si="19"/>
        <v>0</v>
      </c>
      <c r="AV41" s="98">
        <f t="array" ref="AV41">_xlfn.IFS(U41=0,AO41,U41&lt;0,AO41/-U41,U41&gt;0,AO41/U41)</f>
        <v>0</v>
      </c>
      <c r="AW41" s="234">
        <f t="shared" si="38"/>
        <v>0</v>
      </c>
      <c r="AX41" s="234">
        <f t="shared" si="39"/>
        <v>0</v>
      </c>
      <c r="AY41" s="99"/>
      <c r="AZ41" s="94">
        <f t="shared" si="13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6"/>
        <v>0</v>
      </c>
      <c r="F42" s="93"/>
      <c r="G42" s="93"/>
      <c r="H42" s="93"/>
      <c r="I42" s="93"/>
      <c r="J42" s="93"/>
      <c r="K42" s="92">
        <v>123.09</v>
      </c>
      <c r="L42" s="92">
        <f t="shared" si="37"/>
        <v>0</v>
      </c>
      <c r="M42" s="89"/>
      <c r="N42" s="89"/>
      <c r="O42" s="89"/>
      <c r="P42" s="89"/>
      <c r="Q42" s="233">
        <f t="shared" si="14"/>
        <v>0</v>
      </c>
      <c r="R42" s="92">
        <f t="shared" si="15"/>
        <v>0</v>
      </c>
      <c r="S42" s="93"/>
      <c r="T42" s="93"/>
      <c r="U42" s="92">
        <f t="shared" si="1"/>
        <v>0</v>
      </c>
      <c r="V42" s="93"/>
      <c r="W42" s="93"/>
      <c r="X42" s="92">
        <f t="shared" si="2"/>
        <v>0</v>
      </c>
      <c r="Y42" s="93"/>
      <c r="Z42" s="93"/>
      <c r="AA42" s="92">
        <f t="shared" si="16"/>
        <v>0</v>
      </c>
      <c r="AB42" s="92">
        <f t="shared" si="17"/>
        <v>0</v>
      </c>
      <c r="AC42" s="234" t="e">
        <f t="shared" si="3"/>
        <v>#DIV/0!</v>
      </c>
      <c r="AD42" s="92">
        <f t="shared" si="4"/>
        <v>0</v>
      </c>
      <c r="AE42" s="93"/>
      <c r="AF42" s="234">
        <f t="shared" si="5"/>
        <v>0</v>
      </c>
      <c r="AG42" s="93"/>
      <c r="AH42" s="93"/>
      <c r="AI42" s="93"/>
      <c r="AJ42" s="93"/>
      <c r="AK42" s="93"/>
      <c r="AL42" s="122">
        <f t="shared" si="6"/>
        <v>0</v>
      </c>
      <c r="AM42" s="93"/>
      <c r="AN42" s="94">
        <f t="shared" si="18"/>
        <v>0</v>
      </c>
      <c r="AO42" s="95">
        <f t="shared" si="20"/>
        <v>0</v>
      </c>
      <c r="AP42" s="96"/>
      <c r="AQ42" s="97">
        <f t="shared" si="7"/>
        <v>0</v>
      </c>
      <c r="AR42" s="98">
        <f t="shared" si="30"/>
        <v>123.09</v>
      </c>
      <c r="AS42" s="98">
        <f t="shared" si="9"/>
        <v>0</v>
      </c>
      <c r="AT42" s="98">
        <f t="shared" si="10"/>
        <v>0</v>
      </c>
      <c r="AU42" s="98">
        <f t="shared" si="19"/>
        <v>0</v>
      </c>
      <c r="AV42" s="98">
        <f t="array" ref="AV42">_xlfn.IFS(U42=0,AO42,U42&lt;0,AO42/-U42,U42&gt;0,AO42/U42)</f>
        <v>0</v>
      </c>
      <c r="AW42" s="234">
        <f t="shared" si="38"/>
        <v>0</v>
      </c>
      <c r="AX42" s="234">
        <f t="shared" si="39"/>
        <v>0</v>
      </c>
      <c r="AY42" s="99"/>
      <c r="AZ42" s="94">
        <f t="shared" si="13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6"/>
        <v>0</v>
      </c>
      <c r="F43" s="93"/>
      <c r="G43" s="93"/>
      <c r="H43" s="93"/>
      <c r="I43" s="93"/>
      <c r="J43" s="93"/>
      <c r="K43" s="92">
        <v>123.09</v>
      </c>
      <c r="L43" s="92">
        <f t="shared" si="37"/>
        <v>0</v>
      </c>
      <c r="M43" s="89"/>
      <c r="N43" s="89"/>
      <c r="O43" s="89"/>
      <c r="P43" s="89"/>
      <c r="Q43" s="233">
        <f t="shared" si="14"/>
        <v>0</v>
      </c>
      <c r="R43" s="92">
        <f t="shared" si="15"/>
        <v>0</v>
      </c>
      <c r="S43" s="93"/>
      <c r="T43" s="93"/>
      <c r="U43" s="92">
        <f t="shared" si="1"/>
        <v>0</v>
      </c>
      <c r="V43" s="93"/>
      <c r="W43" s="93"/>
      <c r="X43" s="92">
        <f t="shared" si="2"/>
        <v>0</v>
      </c>
      <c r="Y43" s="93"/>
      <c r="Z43" s="93"/>
      <c r="AA43" s="92">
        <f t="shared" si="16"/>
        <v>0</v>
      </c>
      <c r="AB43" s="92">
        <f t="shared" si="17"/>
        <v>0</v>
      </c>
      <c r="AC43" s="234" t="e">
        <f t="shared" si="3"/>
        <v>#DIV/0!</v>
      </c>
      <c r="AD43" s="92">
        <f t="shared" si="4"/>
        <v>0</v>
      </c>
      <c r="AE43" s="93"/>
      <c r="AF43" s="234">
        <f t="shared" si="5"/>
        <v>0</v>
      </c>
      <c r="AG43" s="93"/>
      <c r="AH43" s="93"/>
      <c r="AI43" s="93"/>
      <c r="AJ43" s="93"/>
      <c r="AK43" s="93"/>
      <c r="AL43" s="122">
        <f t="shared" si="6"/>
        <v>0</v>
      </c>
      <c r="AM43" s="93"/>
      <c r="AN43" s="94">
        <f t="shared" si="18"/>
        <v>0</v>
      </c>
      <c r="AO43" s="95">
        <f t="shared" si="20"/>
        <v>0</v>
      </c>
      <c r="AP43" s="96"/>
      <c r="AQ43" s="97">
        <f t="shared" si="7"/>
        <v>0</v>
      </c>
      <c r="AR43" s="98">
        <f t="shared" si="30"/>
        <v>123.09</v>
      </c>
      <c r="AS43" s="98">
        <f t="shared" si="9"/>
        <v>0</v>
      </c>
      <c r="AT43" s="98">
        <f t="shared" si="10"/>
        <v>0</v>
      </c>
      <c r="AU43" s="98">
        <f t="shared" si="19"/>
        <v>0</v>
      </c>
      <c r="AV43" s="98">
        <f t="array" ref="AV43">_xlfn.IFS(U43=0,AO43,U43&lt;0,AO43/-U43,U43&gt;0,AO43/U43)</f>
        <v>0</v>
      </c>
      <c r="AW43" s="234">
        <f t="shared" si="38"/>
        <v>0</v>
      </c>
      <c r="AX43" s="234">
        <f t="shared" si="39"/>
        <v>0</v>
      </c>
      <c r="AY43" s="99"/>
      <c r="AZ43" s="94">
        <f t="shared" si="13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6"/>
        <v>0</v>
      </c>
      <c r="F44" s="93"/>
      <c r="G44" s="93"/>
      <c r="H44" s="93"/>
      <c r="I44" s="93"/>
      <c r="J44" s="93"/>
      <c r="K44" s="92">
        <v>111.39</v>
      </c>
      <c r="L44" s="92">
        <f t="shared" si="37"/>
        <v>0</v>
      </c>
      <c r="M44" s="89"/>
      <c r="N44" s="89"/>
      <c r="O44" s="89"/>
      <c r="P44" s="89"/>
      <c r="Q44" s="233">
        <f t="shared" si="14"/>
        <v>0</v>
      </c>
      <c r="R44" s="92">
        <f t="shared" si="15"/>
        <v>0</v>
      </c>
      <c r="S44" s="93"/>
      <c r="T44" s="93"/>
      <c r="U44" s="92">
        <f t="shared" si="1"/>
        <v>0</v>
      </c>
      <c r="V44" s="93"/>
      <c r="W44" s="93"/>
      <c r="X44" s="92">
        <f t="shared" si="2"/>
        <v>0</v>
      </c>
      <c r="Y44" s="93"/>
      <c r="Z44" s="93"/>
      <c r="AA44" s="92">
        <f t="shared" si="16"/>
        <v>0</v>
      </c>
      <c r="AB44" s="92">
        <f t="shared" si="17"/>
        <v>0</v>
      </c>
      <c r="AC44" s="234" t="e">
        <f t="shared" si="3"/>
        <v>#DIV/0!</v>
      </c>
      <c r="AD44" s="92">
        <f t="shared" si="4"/>
        <v>0</v>
      </c>
      <c r="AE44" s="93"/>
      <c r="AF44" s="234">
        <f t="shared" si="5"/>
        <v>0</v>
      </c>
      <c r="AG44" s="93"/>
      <c r="AH44" s="93"/>
      <c r="AI44" s="93"/>
      <c r="AJ44" s="93"/>
      <c r="AK44" s="93"/>
      <c r="AL44" s="122">
        <f t="shared" si="6"/>
        <v>0</v>
      </c>
      <c r="AM44" s="93"/>
      <c r="AN44" s="94">
        <f t="shared" si="18"/>
        <v>0</v>
      </c>
      <c r="AO44" s="95">
        <f t="shared" si="20"/>
        <v>0</v>
      </c>
      <c r="AP44" s="96"/>
      <c r="AQ44" s="97">
        <f t="shared" si="7"/>
        <v>0</v>
      </c>
      <c r="AR44" s="98">
        <f t="shared" si="30"/>
        <v>111.39</v>
      </c>
      <c r="AS44" s="98">
        <f t="shared" si="9"/>
        <v>0</v>
      </c>
      <c r="AT44" s="98">
        <f t="shared" si="10"/>
        <v>0</v>
      </c>
      <c r="AU44" s="98">
        <f t="shared" si="19"/>
        <v>0</v>
      </c>
      <c r="AV44" s="98">
        <f t="array" ref="AV44">_xlfn.IFS(U44=0,AO44,U44&lt;0,AO44/-U44,U44&gt;0,AO44/U44)</f>
        <v>0</v>
      </c>
      <c r="AW44" s="234">
        <f t="shared" si="38"/>
        <v>0</v>
      </c>
      <c r="AX44" s="234">
        <f t="shared" si="39"/>
        <v>0</v>
      </c>
      <c r="AY44" s="99"/>
      <c r="AZ44" s="94">
        <f t="shared" si="13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6"/>
        <v>0</v>
      </c>
      <c r="F45" s="93"/>
      <c r="G45" s="93"/>
      <c r="H45" s="93"/>
      <c r="I45" s="93"/>
      <c r="J45" s="93"/>
      <c r="K45" s="92">
        <v>107.88</v>
      </c>
      <c r="L45" s="92">
        <f t="shared" si="37"/>
        <v>0</v>
      </c>
      <c r="M45" s="89"/>
      <c r="N45" s="89"/>
      <c r="O45" s="89"/>
      <c r="P45" s="89"/>
      <c r="Q45" s="233">
        <f t="shared" si="14"/>
        <v>0</v>
      </c>
      <c r="R45" s="92">
        <f t="shared" si="15"/>
        <v>0</v>
      </c>
      <c r="S45" s="93"/>
      <c r="T45" s="93"/>
      <c r="U45" s="92">
        <f t="shared" si="1"/>
        <v>0</v>
      </c>
      <c r="V45" s="93"/>
      <c r="W45" s="93"/>
      <c r="X45" s="92">
        <f t="shared" si="2"/>
        <v>0</v>
      </c>
      <c r="Y45" s="93"/>
      <c r="Z45" s="93"/>
      <c r="AA45" s="92">
        <f t="shared" si="16"/>
        <v>0</v>
      </c>
      <c r="AB45" s="92">
        <f t="shared" si="17"/>
        <v>0</v>
      </c>
      <c r="AC45" s="234" t="e">
        <f t="shared" si="3"/>
        <v>#DIV/0!</v>
      </c>
      <c r="AD45" s="92">
        <f t="shared" si="4"/>
        <v>0</v>
      </c>
      <c r="AE45" s="93"/>
      <c r="AF45" s="234">
        <f t="shared" si="5"/>
        <v>0</v>
      </c>
      <c r="AG45" s="93"/>
      <c r="AH45" s="93"/>
      <c r="AI45" s="93"/>
      <c r="AJ45" s="93"/>
      <c r="AK45" s="93"/>
      <c r="AL45" s="122">
        <f t="shared" si="6"/>
        <v>0</v>
      </c>
      <c r="AM45" s="93"/>
      <c r="AN45" s="94">
        <f t="shared" si="18"/>
        <v>0</v>
      </c>
      <c r="AO45" s="95">
        <f t="shared" si="20"/>
        <v>0</v>
      </c>
      <c r="AP45" s="96"/>
      <c r="AQ45" s="97">
        <f t="shared" si="7"/>
        <v>0</v>
      </c>
      <c r="AR45" s="98">
        <f t="shared" si="30"/>
        <v>107.88</v>
      </c>
      <c r="AS45" s="98">
        <f t="shared" si="9"/>
        <v>0</v>
      </c>
      <c r="AT45" s="98">
        <f t="shared" si="10"/>
        <v>0</v>
      </c>
      <c r="AU45" s="98">
        <f t="shared" si="19"/>
        <v>0</v>
      </c>
      <c r="AV45" s="98">
        <f t="array" ref="AV45">_xlfn.IFS(U45=0,AO45,U45&lt;0,AO45/-U45,U45&gt;0,AO45/U45)</f>
        <v>0</v>
      </c>
      <c r="AW45" s="234">
        <f t="shared" si="38"/>
        <v>0</v>
      </c>
      <c r="AX45" s="234">
        <f t="shared" si="39"/>
        <v>0</v>
      </c>
      <c r="AY45" s="99"/>
      <c r="AZ45" s="94">
        <f t="shared" si="13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6"/>
        <v>0</v>
      </c>
      <c r="F46" s="93"/>
      <c r="G46" s="93"/>
      <c r="H46" s="93"/>
      <c r="I46" s="93"/>
      <c r="J46" s="93"/>
      <c r="K46" s="92">
        <v>107.88</v>
      </c>
      <c r="L46" s="92">
        <f t="shared" si="37"/>
        <v>0</v>
      </c>
      <c r="M46" s="89"/>
      <c r="N46" s="89"/>
      <c r="O46" s="89"/>
      <c r="P46" s="89"/>
      <c r="Q46" s="233">
        <f t="shared" si="14"/>
        <v>0</v>
      </c>
      <c r="R46" s="92">
        <f t="shared" si="15"/>
        <v>0</v>
      </c>
      <c r="S46" s="93"/>
      <c r="T46" s="93"/>
      <c r="U46" s="92">
        <f t="shared" si="1"/>
        <v>0</v>
      </c>
      <c r="V46" s="93"/>
      <c r="W46" s="93"/>
      <c r="X46" s="92">
        <f t="shared" si="2"/>
        <v>0</v>
      </c>
      <c r="Y46" s="93"/>
      <c r="Z46" s="93"/>
      <c r="AA46" s="92">
        <f t="shared" si="16"/>
        <v>0</v>
      </c>
      <c r="AB46" s="92">
        <f t="shared" si="17"/>
        <v>0</v>
      </c>
      <c r="AC46" s="234" t="e">
        <f t="shared" si="3"/>
        <v>#DIV/0!</v>
      </c>
      <c r="AD46" s="92">
        <f t="shared" si="4"/>
        <v>0</v>
      </c>
      <c r="AE46" s="93"/>
      <c r="AF46" s="234">
        <f t="shared" si="5"/>
        <v>0</v>
      </c>
      <c r="AG46" s="93"/>
      <c r="AH46" s="93"/>
      <c r="AI46" s="93"/>
      <c r="AJ46" s="93"/>
      <c r="AK46" s="93"/>
      <c r="AL46" s="122">
        <f t="shared" si="6"/>
        <v>0</v>
      </c>
      <c r="AM46" s="93"/>
      <c r="AN46" s="94">
        <f t="shared" si="18"/>
        <v>0</v>
      </c>
      <c r="AO46" s="95">
        <f t="shared" si="20"/>
        <v>0</v>
      </c>
      <c r="AP46" s="96"/>
      <c r="AQ46" s="97">
        <f t="shared" si="7"/>
        <v>0</v>
      </c>
      <c r="AR46" s="98">
        <f t="shared" si="30"/>
        <v>107.88</v>
      </c>
      <c r="AS46" s="98">
        <f t="shared" si="9"/>
        <v>0</v>
      </c>
      <c r="AT46" s="98">
        <f t="shared" si="10"/>
        <v>0</v>
      </c>
      <c r="AU46" s="98">
        <f t="shared" si="19"/>
        <v>0</v>
      </c>
      <c r="AV46" s="98">
        <f t="array" ref="AV46">_xlfn.IFS(U46=0,AO46,U46&lt;0,AO46/-U46,U46&gt;0,AO46/U46)</f>
        <v>0</v>
      </c>
      <c r="AW46" s="234">
        <f t="shared" si="38"/>
        <v>0</v>
      </c>
      <c r="AX46" s="234">
        <f t="shared" si="39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6"/>
        <v>0</v>
      </c>
      <c r="F47" s="93"/>
      <c r="G47" s="93"/>
      <c r="H47" s="93"/>
      <c r="I47" s="93"/>
      <c r="J47" s="93"/>
      <c r="K47" s="92">
        <v>123.09</v>
      </c>
      <c r="L47" s="92">
        <f t="shared" si="37"/>
        <v>0</v>
      </c>
      <c r="M47" s="89"/>
      <c r="N47" s="89"/>
      <c r="O47" s="89"/>
      <c r="P47" s="89"/>
      <c r="Q47" s="233">
        <f t="shared" si="14"/>
        <v>0</v>
      </c>
      <c r="R47" s="92">
        <f t="shared" si="15"/>
        <v>0</v>
      </c>
      <c r="S47" s="93"/>
      <c r="T47" s="93"/>
      <c r="U47" s="92">
        <f t="shared" si="1"/>
        <v>0</v>
      </c>
      <c r="V47" s="93"/>
      <c r="W47" s="93"/>
      <c r="X47" s="92">
        <f t="shared" si="2"/>
        <v>0</v>
      </c>
      <c r="Y47" s="93"/>
      <c r="Z47" s="93"/>
      <c r="AA47" s="92">
        <f t="shared" si="16"/>
        <v>0</v>
      </c>
      <c r="AB47" s="92">
        <f t="shared" si="17"/>
        <v>0</v>
      </c>
      <c r="AC47" s="234" t="e">
        <f t="shared" si="3"/>
        <v>#DIV/0!</v>
      </c>
      <c r="AD47" s="92">
        <f t="shared" si="4"/>
        <v>0</v>
      </c>
      <c r="AE47" s="93"/>
      <c r="AF47" s="234">
        <f t="shared" si="5"/>
        <v>0</v>
      </c>
      <c r="AG47" s="93"/>
      <c r="AH47" s="93"/>
      <c r="AI47" s="93"/>
      <c r="AJ47" s="93"/>
      <c r="AK47" s="93"/>
      <c r="AL47" s="122">
        <f t="shared" si="6"/>
        <v>0</v>
      </c>
      <c r="AM47" s="93"/>
      <c r="AN47" s="94">
        <f t="shared" si="18"/>
        <v>0</v>
      </c>
      <c r="AO47" s="95">
        <f t="shared" si="20"/>
        <v>0</v>
      </c>
      <c r="AP47" s="96"/>
      <c r="AQ47" s="97">
        <f t="shared" si="7"/>
        <v>0</v>
      </c>
      <c r="AR47" s="98">
        <f t="shared" si="30"/>
        <v>123.09</v>
      </c>
      <c r="AS47" s="98">
        <f t="shared" si="9"/>
        <v>0</v>
      </c>
      <c r="AT47" s="98">
        <f t="shared" si="10"/>
        <v>0</v>
      </c>
      <c r="AU47" s="98">
        <f t="shared" si="19"/>
        <v>0</v>
      </c>
      <c r="AV47" s="98">
        <f t="array" ref="AV47">_xlfn.IFS(U47=0,AO47,U47&lt;0,AO47/-U47,U47&gt;0,AO47/U47)</f>
        <v>0</v>
      </c>
      <c r="AW47" s="234">
        <f t="shared" si="38"/>
        <v>0</v>
      </c>
      <c r="AX47" s="234">
        <f t="shared" si="39"/>
        <v>0</v>
      </c>
      <c r="AY47" s="99"/>
      <c r="AZ47" s="94">
        <f t="shared" si="13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6"/>
        <v>0</v>
      </c>
      <c r="F48" s="93"/>
      <c r="G48" s="93"/>
      <c r="H48" s="93"/>
      <c r="I48" s="93"/>
      <c r="J48" s="93"/>
      <c r="K48" s="92">
        <v>107.88</v>
      </c>
      <c r="L48" s="92">
        <f t="shared" si="37"/>
        <v>0</v>
      </c>
      <c r="M48" s="89"/>
      <c r="N48" s="89"/>
      <c r="O48" s="89"/>
      <c r="P48" s="89"/>
      <c r="Q48" s="233">
        <f t="shared" si="14"/>
        <v>0</v>
      </c>
      <c r="R48" s="92">
        <f t="shared" si="15"/>
        <v>0</v>
      </c>
      <c r="S48" s="93"/>
      <c r="T48" s="93"/>
      <c r="U48" s="92">
        <f t="shared" si="1"/>
        <v>0</v>
      </c>
      <c r="V48" s="93"/>
      <c r="W48" s="93"/>
      <c r="X48" s="92">
        <f t="shared" si="2"/>
        <v>0</v>
      </c>
      <c r="Y48" s="93"/>
      <c r="Z48" s="93"/>
      <c r="AA48" s="92">
        <f t="shared" si="16"/>
        <v>0</v>
      </c>
      <c r="AB48" s="92">
        <f t="shared" si="17"/>
        <v>0</v>
      </c>
      <c r="AC48" s="234" t="e">
        <f t="shared" si="3"/>
        <v>#DIV/0!</v>
      </c>
      <c r="AD48" s="92">
        <f t="shared" si="4"/>
        <v>0</v>
      </c>
      <c r="AE48" s="93"/>
      <c r="AF48" s="234">
        <f t="shared" si="5"/>
        <v>0</v>
      </c>
      <c r="AG48" s="93"/>
      <c r="AH48" s="93"/>
      <c r="AI48" s="93"/>
      <c r="AJ48" s="93"/>
      <c r="AK48" s="93"/>
      <c r="AL48" s="122">
        <f t="shared" si="6"/>
        <v>0</v>
      </c>
      <c r="AM48" s="93"/>
      <c r="AN48" s="94">
        <f t="shared" si="18"/>
        <v>0</v>
      </c>
      <c r="AO48" s="95">
        <f t="shared" si="20"/>
        <v>0</v>
      </c>
      <c r="AP48" s="96"/>
      <c r="AQ48" s="97">
        <f t="shared" si="7"/>
        <v>0</v>
      </c>
      <c r="AR48" s="98">
        <f t="shared" si="30"/>
        <v>107.88</v>
      </c>
      <c r="AS48" s="98">
        <f t="shared" si="9"/>
        <v>0</v>
      </c>
      <c r="AT48" s="98">
        <f t="shared" si="10"/>
        <v>0</v>
      </c>
      <c r="AU48" s="98">
        <f t="shared" si="19"/>
        <v>0</v>
      </c>
      <c r="AV48" s="98">
        <f t="array" ref="AV48">_xlfn.IFS(U48=0,AO48,U48&lt;0,AO48/-U48,U48&gt;0,AO48/U48)</f>
        <v>0</v>
      </c>
      <c r="AW48" s="234">
        <f t="shared" si="38"/>
        <v>0</v>
      </c>
      <c r="AX48" s="234">
        <f t="shared" si="39"/>
        <v>0</v>
      </c>
      <c r="AY48" s="99"/>
      <c r="AZ48" s="94">
        <f t="shared" si="13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6"/>
        <v>0</v>
      </c>
      <c r="F49" s="93"/>
      <c r="G49" s="93"/>
      <c r="H49" s="93"/>
      <c r="I49" s="93"/>
      <c r="J49" s="93"/>
      <c r="K49" s="92">
        <v>123.09</v>
      </c>
      <c r="L49" s="92">
        <f t="shared" si="37"/>
        <v>0</v>
      </c>
      <c r="M49" s="89"/>
      <c r="N49" s="89"/>
      <c r="O49" s="89"/>
      <c r="P49" s="89"/>
      <c r="Q49" s="233">
        <f t="shared" si="14"/>
        <v>0</v>
      </c>
      <c r="R49" s="92">
        <f t="shared" si="15"/>
        <v>0</v>
      </c>
      <c r="S49" s="93"/>
      <c r="T49" s="93"/>
      <c r="U49" s="92">
        <f t="shared" si="1"/>
        <v>0</v>
      </c>
      <c r="V49" s="93"/>
      <c r="W49" s="93"/>
      <c r="X49" s="92">
        <f t="shared" si="2"/>
        <v>0</v>
      </c>
      <c r="Y49" s="93"/>
      <c r="Z49" s="93"/>
      <c r="AA49" s="92">
        <f t="shared" si="16"/>
        <v>0</v>
      </c>
      <c r="AB49" s="92">
        <f t="shared" si="17"/>
        <v>0</v>
      </c>
      <c r="AC49" s="234" t="e">
        <f t="shared" si="3"/>
        <v>#DIV/0!</v>
      </c>
      <c r="AD49" s="92">
        <f t="shared" si="4"/>
        <v>0</v>
      </c>
      <c r="AE49" s="93"/>
      <c r="AF49" s="234">
        <f t="shared" si="5"/>
        <v>0</v>
      </c>
      <c r="AG49" s="93"/>
      <c r="AH49" s="93"/>
      <c r="AI49" s="93"/>
      <c r="AJ49" s="93"/>
      <c r="AK49" s="93"/>
      <c r="AL49" s="122">
        <f t="shared" si="6"/>
        <v>0</v>
      </c>
      <c r="AM49" s="93"/>
      <c r="AN49" s="94">
        <f t="shared" si="18"/>
        <v>0</v>
      </c>
      <c r="AO49" s="95">
        <f t="shared" si="20"/>
        <v>0</v>
      </c>
      <c r="AP49" s="96"/>
      <c r="AQ49" s="97">
        <f t="shared" si="7"/>
        <v>0</v>
      </c>
      <c r="AR49" s="98">
        <f t="shared" si="30"/>
        <v>123.09</v>
      </c>
      <c r="AS49" s="98">
        <f t="shared" si="9"/>
        <v>0</v>
      </c>
      <c r="AT49" s="98">
        <f t="shared" si="10"/>
        <v>0</v>
      </c>
      <c r="AU49" s="98">
        <f t="shared" si="19"/>
        <v>0</v>
      </c>
      <c r="AV49" s="98">
        <f t="array" ref="AV49">_xlfn.IFS(U49=0,AO49,U49&lt;0,AO49/-U49,U49&gt;0,AO49/U49)</f>
        <v>0</v>
      </c>
      <c r="AW49" s="234">
        <f t="shared" si="38"/>
        <v>0</v>
      </c>
      <c r="AX49" s="234">
        <f t="shared" si="39"/>
        <v>0</v>
      </c>
      <c r="AY49" s="99"/>
      <c r="AZ49" s="94">
        <f t="shared" si="13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6"/>
        <v>0</v>
      </c>
      <c r="F50" s="93"/>
      <c r="G50" s="93"/>
      <c r="H50" s="93"/>
      <c r="I50" s="93"/>
      <c r="J50" s="93"/>
      <c r="K50" s="92">
        <v>134.79</v>
      </c>
      <c r="L50" s="92">
        <f t="shared" si="37"/>
        <v>0</v>
      </c>
      <c r="M50" s="89"/>
      <c r="N50" s="89"/>
      <c r="O50" s="89"/>
      <c r="P50" s="89"/>
      <c r="Q50" s="233">
        <f t="shared" si="14"/>
        <v>0</v>
      </c>
      <c r="R50" s="92">
        <f t="shared" si="15"/>
        <v>0</v>
      </c>
      <c r="S50" s="93"/>
      <c r="T50" s="93"/>
      <c r="U50" s="92">
        <f t="shared" si="1"/>
        <v>0</v>
      </c>
      <c r="V50" s="93"/>
      <c r="W50" s="93"/>
      <c r="X50" s="92">
        <f t="shared" si="2"/>
        <v>0</v>
      </c>
      <c r="Y50" s="93"/>
      <c r="Z50" s="93"/>
      <c r="AA50" s="92">
        <f t="shared" si="16"/>
        <v>0</v>
      </c>
      <c r="AB50" s="92">
        <f t="shared" si="17"/>
        <v>0</v>
      </c>
      <c r="AC50" s="234" t="e">
        <f t="shared" si="3"/>
        <v>#DIV/0!</v>
      </c>
      <c r="AD50" s="92">
        <f t="shared" si="4"/>
        <v>0</v>
      </c>
      <c r="AE50" s="93"/>
      <c r="AF50" s="234">
        <f t="shared" si="5"/>
        <v>0</v>
      </c>
      <c r="AG50" s="93"/>
      <c r="AH50" s="93"/>
      <c r="AI50" s="93"/>
      <c r="AJ50" s="93"/>
      <c r="AK50" s="93"/>
      <c r="AL50" s="122">
        <f t="shared" si="6"/>
        <v>0</v>
      </c>
      <c r="AM50" s="93"/>
      <c r="AN50" s="94">
        <f t="shared" si="18"/>
        <v>0</v>
      </c>
      <c r="AO50" s="95">
        <f t="shared" si="20"/>
        <v>0</v>
      </c>
      <c r="AP50" s="96"/>
      <c r="AQ50" s="97">
        <f t="shared" si="7"/>
        <v>0</v>
      </c>
      <c r="AR50" s="98">
        <f t="shared" si="30"/>
        <v>134.79</v>
      </c>
      <c r="AS50" s="98">
        <f t="shared" si="9"/>
        <v>0</v>
      </c>
      <c r="AT50" s="98">
        <f t="shared" si="10"/>
        <v>0</v>
      </c>
      <c r="AU50" s="98">
        <f t="shared" si="19"/>
        <v>0</v>
      </c>
      <c r="AV50" s="98">
        <f t="array" ref="AV50">_xlfn.IFS(U50=0,AO50,U50&lt;0,AO50/-U50,U50&gt;0,AO50/U50)</f>
        <v>0</v>
      </c>
      <c r="AW50" s="234">
        <f t="shared" si="38"/>
        <v>0</v>
      </c>
      <c r="AX50" s="234">
        <f t="shared" si="39"/>
        <v>0</v>
      </c>
      <c r="AY50" s="99"/>
      <c r="AZ50" s="94">
        <f t="shared" si="13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6"/>
        <v>0</v>
      </c>
      <c r="F51" s="93"/>
      <c r="G51" s="93"/>
      <c r="H51" s="93"/>
      <c r="I51" s="93"/>
      <c r="J51" s="93"/>
      <c r="K51" s="92">
        <v>144.15</v>
      </c>
      <c r="L51" s="92">
        <f t="shared" si="37"/>
        <v>0</v>
      </c>
      <c r="M51" s="89"/>
      <c r="N51" s="89"/>
      <c r="O51" s="89"/>
      <c r="P51" s="89"/>
      <c r="Q51" s="233">
        <f t="shared" si="14"/>
        <v>0</v>
      </c>
      <c r="R51" s="92">
        <f t="shared" si="15"/>
        <v>0</v>
      </c>
      <c r="S51" s="93"/>
      <c r="T51" s="93"/>
      <c r="U51" s="92">
        <f t="shared" si="1"/>
        <v>0</v>
      </c>
      <c r="V51" s="93"/>
      <c r="W51" s="93"/>
      <c r="X51" s="92">
        <f t="shared" si="2"/>
        <v>0</v>
      </c>
      <c r="Y51" s="93"/>
      <c r="Z51" s="93"/>
      <c r="AA51" s="92">
        <f t="shared" si="16"/>
        <v>0</v>
      </c>
      <c r="AB51" s="92">
        <f t="shared" si="17"/>
        <v>0</v>
      </c>
      <c r="AC51" s="234" t="e">
        <f t="shared" si="3"/>
        <v>#DIV/0!</v>
      </c>
      <c r="AD51" s="92">
        <f t="shared" si="4"/>
        <v>0</v>
      </c>
      <c r="AE51" s="93"/>
      <c r="AF51" s="234">
        <f t="shared" si="5"/>
        <v>0</v>
      </c>
      <c r="AG51" s="93"/>
      <c r="AH51" s="93"/>
      <c r="AI51" s="93"/>
      <c r="AJ51" s="93"/>
      <c r="AK51" s="93"/>
      <c r="AL51" s="122">
        <f t="shared" si="6"/>
        <v>0</v>
      </c>
      <c r="AM51" s="93"/>
      <c r="AN51" s="94">
        <f t="shared" si="18"/>
        <v>0</v>
      </c>
      <c r="AO51" s="95">
        <f t="shared" si="20"/>
        <v>0</v>
      </c>
      <c r="AP51" s="96"/>
      <c r="AQ51" s="97">
        <f t="shared" si="7"/>
        <v>0</v>
      </c>
      <c r="AR51" s="98">
        <f t="shared" si="30"/>
        <v>144.15</v>
      </c>
      <c r="AS51" s="98">
        <f t="shared" si="9"/>
        <v>0</v>
      </c>
      <c r="AT51" s="98">
        <f t="shared" si="10"/>
        <v>0</v>
      </c>
      <c r="AU51" s="98">
        <f t="shared" si="19"/>
        <v>0</v>
      </c>
      <c r="AV51" s="98">
        <f t="array" ref="AV51">_xlfn.IFS(U51=0,AO51,U51&lt;0,AO51/-U51,U51&gt;0,AO51/U51)</f>
        <v>0</v>
      </c>
      <c r="AW51" s="234">
        <f t="shared" si="38"/>
        <v>0</v>
      </c>
      <c r="AX51" s="234">
        <f t="shared" si="39"/>
        <v>0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6"/>
        <v>0</v>
      </c>
      <c r="F52" s="93"/>
      <c r="G52" s="93"/>
      <c r="H52" s="93"/>
      <c r="I52" s="93"/>
      <c r="J52" s="93"/>
      <c r="K52" s="92">
        <v>96.18</v>
      </c>
      <c r="L52" s="92">
        <f t="shared" si="37"/>
        <v>0</v>
      </c>
      <c r="M52" s="89"/>
      <c r="N52" s="89"/>
      <c r="O52" s="89"/>
      <c r="P52" s="89"/>
      <c r="Q52" s="233">
        <f t="shared" si="14"/>
        <v>0</v>
      </c>
      <c r="R52" s="92">
        <f t="shared" si="15"/>
        <v>0</v>
      </c>
      <c r="S52" s="93"/>
      <c r="T52" s="93"/>
      <c r="U52" s="92">
        <f t="shared" si="1"/>
        <v>0</v>
      </c>
      <c r="V52" s="93"/>
      <c r="W52" s="93"/>
      <c r="X52" s="92">
        <f t="shared" si="2"/>
        <v>0</v>
      </c>
      <c r="Y52" s="93"/>
      <c r="Z52" s="93"/>
      <c r="AA52" s="92">
        <f t="shared" si="16"/>
        <v>0</v>
      </c>
      <c r="AB52" s="92">
        <f t="shared" si="17"/>
        <v>0</v>
      </c>
      <c r="AC52" s="234" t="e">
        <f t="shared" si="3"/>
        <v>#DIV/0!</v>
      </c>
      <c r="AD52" s="92">
        <f t="shared" si="4"/>
        <v>0</v>
      </c>
      <c r="AE52" s="93"/>
      <c r="AF52" s="234">
        <f t="shared" si="5"/>
        <v>0</v>
      </c>
      <c r="AG52" s="93"/>
      <c r="AH52" s="93"/>
      <c r="AI52" s="93"/>
      <c r="AJ52" s="93"/>
      <c r="AK52" s="93"/>
      <c r="AL52" s="122">
        <f t="shared" si="6"/>
        <v>0</v>
      </c>
      <c r="AM52" s="93"/>
      <c r="AN52" s="94">
        <f t="shared" si="18"/>
        <v>0</v>
      </c>
      <c r="AO52" s="95">
        <f t="shared" si="20"/>
        <v>0</v>
      </c>
      <c r="AP52" s="96"/>
      <c r="AQ52" s="97">
        <f t="shared" si="7"/>
        <v>0</v>
      </c>
      <c r="AR52" s="98">
        <f t="shared" si="30"/>
        <v>96.18</v>
      </c>
      <c r="AS52" s="98">
        <f t="shared" si="9"/>
        <v>0</v>
      </c>
      <c r="AT52" s="98">
        <f t="shared" si="10"/>
        <v>0</v>
      </c>
      <c r="AU52" s="98">
        <f t="shared" si="19"/>
        <v>0</v>
      </c>
      <c r="AV52" s="98">
        <f t="array" ref="AV52">_xlfn.IFS(U52=0,AO52,U52&lt;0,AO52/-U52,U52&gt;0,AO52/U52)</f>
        <v>0</v>
      </c>
      <c r="AW52" s="234">
        <f t="shared" si="38"/>
        <v>0</v>
      </c>
      <c r="AX52" s="234">
        <f t="shared" si="39"/>
        <v>0</v>
      </c>
      <c r="AY52" s="99"/>
      <c r="AZ52" s="94">
        <f t="shared" si="13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6"/>
        <v>0</v>
      </c>
      <c r="F53" s="93"/>
      <c r="G53" s="93"/>
      <c r="H53" s="93"/>
      <c r="I53" s="93"/>
      <c r="J53" s="93"/>
      <c r="K53" s="92">
        <v>96.18</v>
      </c>
      <c r="L53" s="92">
        <f t="shared" si="37"/>
        <v>0</v>
      </c>
      <c r="M53" s="89"/>
      <c r="N53" s="89"/>
      <c r="O53" s="89"/>
      <c r="P53" s="89"/>
      <c r="Q53" s="233">
        <f t="shared" si="14"/>
        <v>0</v>
      </c>
      <c r="R53" s="92">
        <f t="shared" si="15"/>
        <v>0</v>
      </c>
      <c r="S53" s="93"/>
      <c r="T53" s="93"/>
      <c r="U53" s="92">
        <f t="shared" si="1"/>
        <v>0</v>
      </c>
      <c r="V53" s="93"/>
      <c r="W53" s="93"/>
      <c r="X53" s="92">
        <f t="shared" si="2"/>
        <v>0</v>
      </c>
      <c r="Y53" s="93"/>
      <c r="Z53" s="93"/>
      <c r="AA53" s="92">
        <f t="shared" si="16"/>
        <v>0</v>
      </c>
      <c r="AB53" s="92">
        <f t="shared" si="17"/>
        <v>0</v>
      </c>
      <c r="AC53" s="234" t="e">
        <f t="shared" si="3"/>
        <v>#DIV/0!</v>
      </c>
      <c r="AD53" s="92">
        <f t="shared" si="4"/>
        <v>0</v>
      </c>
      <c r="AE53" s="93"/>
      <c r="AF53" s="234">
        <f t="shared" si="5"/>
        <v>0</v>
      </c>
      <c r="AG53" s="93"/>
      <c r="AH53" s="93"/>
      <c r="AI53" s="93"/>
      <c r="AJ53" s="93"/>
      <c r="AK53" s="93"/>
      <c r="AL53" s="122">
        <f t="shared" si="6"/>
        <v>0</v>
      </c>
      <c r="AM53" s="93"/>
      <c r="AN53" s="94">
        <f t="shared" si="18"/>
        <v>0</v>
      </c>
      <c r="AO53" s="95">
        <f t="shared" si="20"/>
        <v>0</v>
      </c>
      <c r="AP53" s="96"/>
      <c r="AQ53" s="97">
        <f t="shared" si="7"/>
        <v>0</v>
      </c>
      <c r="AR53" s="98">
        <f t="shared" si="30"/>
        <v>96.18</v>
      </c>
      <c r="AS53" s="98">
        <f t="shared" si="9"/>
        <v>0</v>
      </c>
      <c r="AT53" s="98">
        <f t="shared" si="10"/>
        <v>0</v>
      </c>
      <c r="AU53" s="98">
        <f t="shared" si="19"/>
        <v>0</v>
      </c>
      <c r="AV53" s="98">
        <f t="array" ref="AV53">_xlfn.IFS(U53=0,AO53,U53&lt;0,AO53/-U53,U53&gt;0,AO53/U53)</f>
        <v>0</v>
      </c>
      <c r="AW53" s="234">
        <f t="shared" si="38"/>
        <v>0</v>
      </c>
      <c r="AX53" s="234">
        <f t="shared" si="39"/>
        <v>0</v>
      </c>
      <c r="AY53" s="99"/>
      <c r="AZ53" s="94">
        <f t="shared" si="13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40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7"/>
        <v>0</v>
      </c>
      <c r="M54" s="89"/>
      <c r="N54" s="89"/>
      <c r="O54" s="89"/>
      <c r="P54" s="89"/>
      <c r="Q54" s="233">
        <f t="shared" si="14"/>
        <v>0</v>
      </c>
      <c r="R54" s="92">
        <f t="shared" si="15"/>
        <v>0</v>
      </c>
      <c r="S54" s="93"/>
      <c r="T54" s="93"/>
      <c r="U54" s="92">
        <f t="shared" si="1"/>
        <v>0</v>
      </c>
      <c r="V54" s="93"/>
      <c r="W54" s="93"/>
      <c r="X54" s="92">
        <f t="shared" si="2"/>
        <v>0</v>
      </c>
      <c r="Y54" s="93"/>
      <c r="Z54" s="93"/>
      <c r="AA54" s="92">
        <f t="shared" si="16"/>
        <v>0</v>
      </c>
      <c r="AB54" s="92">
        <f t="shared" si="17"/>
        <v>0</v>
      </c>
      <c r="AC54" s="234" t="e">
        <f t="shared" si="3"/>
        <v>#DIV/0!</v>
      </c>
      <c r="AD54" s="92">
        <f t="shared" si="4"/>
        <v>0</v>
      </c>
      <c r="AE54" s="93"/>
      <c r="AF54" s="234">
        <f t="shared" si="5"/>
        <v>0</v>
      </c>
      <c r="AG54" s="93"/>
      <c r="AH54" s="93"/>
      <c r="AI54" s="93"/>
      <c r="AJ54" s="93"/>
      <c r="AK54" s="93"/>
      <c r="AL54" s="122">
        <f t="shared" si="6"/>
        <v>0</v>
      </c>
      <c r="AM54" s="93"/>
      <c r="AN54" s="94">
        <f t="shared" si="18"/>
        <v>0</v>
      </c>
      <c r="AO54" s="95">
        <f t="shared" si="20"/>
        <v>0</v>
      </c>
      <c r="AP54" s="96"/>
      <c r="AQ54" s="97">
        <f t="shared" si="7"/>
        <v>0</v>
      </c>
      <c r="AR54" s="98">
        <f t="shared" si="30"/>
        <v>123.09</v>
      </c>
      <c r="AS54" s="98">
        <f t="shared" si="9"/>
        <v>0</v>
      </c>
      <c r="AT54" s="98">
        <f t="shared" si="10"/>
        <v>0</v>
      </c>
      <c r="AU54" s="98">
        <f t="shared" si="19"/>
        <v>0</v>
      </c>
      <c r="AV54" s="98">
        <f t="array" ref="AV54">_xlfn.IFS(U54=0,AO54,U54&lt;0,AO54/-U54,U54&gt;0,AO54/U54)</f>
        <v>0</v>
      </c>
      <c r="AW54" s="234">
        <f t="shared" si="38"/>
        <v>0</v>
      </c>
      <c r="AX54" s="234">
        <f t="shared" si="39"/>
        <v>0</v>
      </c>
      <c r="AY54" s="99"/>
      <c r="AZ54" s="94">
        <f t="shared" si="13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0"/>
        <v>0</v>
      </c>
      <c r="F55" s="93"/>
      <c r="G55" s="93"/>
      <c r="H55" s="93"/>
      <c r="I55" s="93"/>
      <c r="J55" s="93"/>
      <c r="K55" s="93">
        <v>158.19</v>
      </c>
      <c r="L55" s="92">
        <f t="shared" si="37"/>
        <v>0</v>
      </c>
      <c r="M55" s="89"/>
      <c r="N55" s="89"/>
      <c r="O55" s="89"/>
      <c r="P55" s="89"/>
      <c r="Q55" s="233">
        <f t="shared" si="14"/>
        <v>0</v>
      </c>
      <c r="R55" s="92">
        <f t="shared" si="15"/>
        <v>0</v>
      </c>
      <c r="S55" s="93"/>
      <c r="T55" s="93"/>
      <c r="U55" s="92">
        <f t="shared" si="1"/>
        <v>0</v>
      </c>
      <c r="V55" s="93"/>
      <c r="W55" s="93"/>
      <c r="X55" s="92">
        <f t="shared" si="2"/>
        <v>0</v>
      </c>
      <c r="Y55" s="93"/>
      <c r="Z55" s="93"/>
      <c r="AA55" s="92">
        <f t="shared" si="16"/>
        <v>0</v>
      </c>
      <c r="AB55" s="92">
        <f t="shared" si="17"/>
        <v>0</v>
      </c>
      <c r="AC55" s="234" t="e">
        <f t="shared" si="3"/>
        <v>#DIV/0!</v>
      </c>
      <c r="AD55" s="92">
        <f t="shared" si="4"/>
        <v>0</v>
      </c>
      <c r="AE55" s="93"/>
      <c r="AF55" s="234">
        <f t="shared" si="5"/>
        <v>0</v>
      </c>
      <c r="AG55" s="93"/>
      <c r="AH55" s="93"/>
      <c r="AI55" s="93"/>
      <c r="AJ55" s="93"/>
      <c r="AK55" s="93"/>
      <c r="AL55" s="122">
        <f t="shared" si="6"/>
        <v>0</v>
      </c>
      <c r="AM55" s="93"/>
      <c r="AN55" s="94">
        <f t="shared" si="18"/>
        <v>0</v>
      </c>
      <c r="AO55" s="95">
        <f t="shared" si="20"/>
        <v>0</v>
      </c>
      <c r="AP55" s="96"/>
      <c r="AQ55" s="97">
        <f t="shared" si="7"/>
        <v>0</v>
      </c>
      <c r="AR55" s="98">
        <f t="shared" si="30"/>
        <v>158.19</v>
      </c>
      <c r="AS55" s="98">
        <f t="shared" si="9"/>
        <v>0</v>
      </c>
      <c r="AT55" s="98">
        <f t="shared" si="10"/>
        <v>0</v>
      </c>
      <c r="AU55" s="98">
        <f t="shared" si="19"/>
        <v>0</v>
      </c>
      <c r="AV55" s="98">
        <f t="array" ref="AV55">_xlfn.IFS(U55=0,AO55,U55&lt;0,AO55/-U55,U55&gt;0,AO55/U55)</f>
        <v>0</v>
      </c>
      <c r="AW55" s="234">
        <f t="shared" si="38"/>
        <v>0</v>
      </c>
      <c r="AX55" s="234">
        <f t="shared" si="39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0"/>
        <v>0</v>
      </c>
      <c r="F56" s="93"/>
      <c r="G56" s="93"/>
      <c r="H56" s="93"/>
      <c r="I56" s="93"/>
      <c r="J56" s="93"/>
      <c r="K56" s="93">
        <v>152.34</v>
      </c>
      <c r="L56" s="92">
        <f t="shared" si="37"/>
        <v>0</v>
      </c>
      <c r="M56" s="89"/>
      <c r="N56" s="89"/>
      <c r="O56" s="89"/>
      <c r="P56" s="89"/>
      <c r="Q56" s="233">
        <f t="shared" si="14"/>
        <v>0</v>
      </c>
      <c r="R56" s="92">
        <f t="shared" si="15"/>
        <v>0</v>
      </c>
      <c r="S56" s="93"/>
      <c r="T56" s="93"/>
      <c r="U56" s="92">
        <f t="shared" si="1"/>
        <v>0</v>
      </c>
      <c r="V56" s="93"/>
      <c r="W56" s="93"/>
      <c r="X56" s="92">
        <f t="shared" si="2"/>
        <v>0</v>
      </c>
      <c r="Y56" s="93"/>
      <c r="Z56" s="93"/>
      <c r="AA56" s="92">
        <f t="shared" si="16"/>
        <v>0</v>
      </c>
      <c r="AB56" s="92">
        <f t="shared" si="17"/>
        <v>0</v>
      </c>
      <c r="AC56" s="234" t="e">
        <f t="shared" si="3"/>
        <v>#DIV/0!</v>
      </c>
      <c r="AD56" s="92">
        <f t="shared" si="4"/>
        <v>0</v>
      </c>
      <c r="AE56" s="93"/>
      <c r="AF56" s="234">
        <f t="shared" si="5"/>
        <v>0</v>
      </c>
      <c r="AG56" s="93"/>
      <c r="AH56" s="93"/>
      <c r="AI56" s="93"/>
      <c r="AJ56" s="93"/>
      <c r="AK56" s="93"/>
      <c r="AL56" s="122">
        <f t="shared" si="6"/>
        <v>0</v>
      </c>
      <c r="AM56" s="93"/>
      <c r="AN56" s="94">
        <f t="shared" si="18"/>
        <v>0</v>
      </c>
      <c r="AO56" s="95">
        <f t="shared" si="20"/>
        <v>0</v>
      </c>
      <c r="AP56" s="96"/>
      <c r="AQ56" s="97">
        <f t="shared" si="7"/>
        <v>0</v>
      </c>
      <c r="AR56" s="98">
        <f t="shared" si="30"/>
        <v>152.34</v>
      </c>
      <c r="AS56" s="98">
        <f t="shared" si="9"/>
        <v>0</v>
      </c>
      <c r="AT56" s="98">
        <f t="shared" si="10"/>
        <v>0</v>
      </c>
      <c r="AU56" s="98">
        <f t="shared" si="19"/>
        <v>0</v>
      </c>
      <c r="AV56" s="98">
        <f t="array" ref="AV56">_xlfn.IFS(U56=0,AO56,U56&lt;0,AO56/-U56,U56&gt;0,AO56/U56)</f>
        <v>0</v>
      </c>
      <c r="AW56" s="234">
        <f t="shared" si="38"/>
        <v>0</v>
      </c>
      <c r="AX56" s="234">
        <f t="shared" si="39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0"/>
        <v>0</v>
      </c>
      <c r="F57" s="93"/>
      <c r="G57" s="93"/>
      <c r="H57" s="93"/>
      <c r="I57" s="93"/>
      <c r="J57" s="93"/>
      <c r="K57" s="93">
        <v>93.84</v>
      </c>
      <c r="L57" s="92">
        <f t="shared" si="37"/>
        <v>0</v>
      </c>
      <c r="M57" s="89"/>
      <c r="N57" s="89"/>
      <c r="O57" s="89"/>
      <c r="P57" s="89"/>
      <c r="Q57" s="233">
        <f t="shared" si="14"/>
        <v>0</v>
      </c>
      <c r="R57" s="92">
        <f t="shared" si="15"/>
        <v>0</v>
      </c>
      <c r="S57" s="93"/>
      <c r="T57" s="93"/>
      <c r="U57" s="92">
        <f t="shared" si="1"/>
        <v>0</v>
      </c>
      <c r="V57" s="93"/>
      <c r="W57" s="93"/>
      <c r="X57" s="92">
        <f t="shared" si="2"/>
        <v>0</v>
      </c>
      <c r="Y57" s="93"/>
      <c r="Z57" s="93"/>
      <c r="AA57" s="92">
        <f t="shared" si="16"/>
        <v>0</v>
      </c>
      <c r="AB57" s="92">
        <f t="shared" si="17"/>
        <v>0</v>
      </c>
      <c r="AC57" s="234" t="e">
        <f t="shared" si="3"/>
        <v>#DIV/0!</v>
      </c>
      <c r="AD57" s="92">
        <f t="shared" si="4"/>
        <v>0</v>
      </c>
      <c r="AE57" s="93"/>
      <c r="AF57" s="234">
        <f t="shared" si="5"/>
        <v>0</v>
      </c>
      <c r="AG57" s="93"/>
      <c r="AH57" s="93"/>
      <c r="AI57" s="93"/>
      <c r="AJ57" s="93"/>
      <c r="AK57" s="93"/>
      <c r="AL57" s="122">
        <f t="shared" si="6"/>
        <v>0</v>
      </c>
      <c r="AM57" s="93"/>
      <c r="AN57" s="94">
        <f t="shared" si="18"/>
        <v>0</v>
      </c>
      <c r="AO57" s="95">
        <f t="shared" si="20"/>
        <v>0</v>
      </c>
      <c r="AP57" s="96"/>
      <c r="AQ57" s="97">
        <f t="shared" si="7"/>
        <v>0</v>
      </c>
      <c r="AR57" s="98">
        <f t="shared" si="30"/>
        <v>93.84</v>
      </c>
      <c r="AS57" s="98">
        <f t="shared" si="9"/>
        <v>0</v>
      </c>
      <c r="AT57" s="98">
        <f t="shared" si="10"/>
        <v>0</v>
      </c>
      <c r="AU57" s="98">
        <f t="shared" si="19"/>
        <v>0</v>
      </c>
      <c r="AV57" s="98">
        <f t="array" ref="AV57">_xlfn.IFS(U57=0,AO57,U57&lt;0,AO57/-U57,U57&gt;0,AO57/U57)</f>
        <v>0</v>
      </c>
      <c r="AW57" s="234">
        <f t="shared" si="38"/>
        <v>0</v>
      </c>
      <c r="AX57" s="234">
        <f t="shared" si="39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0"/>
        <v>0</v>
      </c>
      <c r="F58" s="93"/>
      <c r="G58" s="93"/>
      <c r="H58" s="93"/>
      <c r="I58" s="93"/>
      <c r="J58" s="93"/>
      <c r="K58" s="93">
        <v>169.89</v>
      </c>
      <c r="L58" s="92">
        <f t="shared" si="37"/>
        <v>0</v>
      </c>
      <c r="M58" s="89"/>
      <c r="N58" s="89"/>
      <c r="O58" s="89"/>
      <c r="P58" s="89"/>
      <c r="Q58" s="233">
        <f t="shared" si="14"/>
        <v>0</v>
      </c>
      <c r="R58" s="92">
        <f t="shared" si="15"/>
        <v>0</v>
      </c>
      <c r="S58" s="93"/>
      <c r="T58" s="93"/>
      <c r="U58" s="92">
        <f t="shared" si="1"/>
        <v>0</v>
      </c>
      <c r="V58" s="93"/>
      <c r="W58" s="93"/>
      <c r="X58" s="92">
        <f t="shared" si="2"/>
        <v>0</v>
      </c>
      <c r="Y58" s="93"/>
      <c r="Z58" s="93"/>
      <c r="AA58" s="92">
        <f t="shared" si="16"/>
        <v>0</v>
      </c>
      <c r="AB58" s="92">
        <f t="shared" si="17"/>
        <v>0</v>
      </c>
      <c r="AC58" s="234" t="e">
        <f t="shared" si="3"/>
        <v>#DIV/0!</v>
      </c>
      <c r="AD58" s="92">
        <f t="shared" si="4"/>
        <v>0</v>
      </c>
      <c r="AE58" s="93"/>
      <c r="AF58" s="234">
        <f t="shared" si="5"/>
        <v>0</v>
      </c>
      <c r="AG58" s="93"/>
      <c r="AH58" s="93"/>
      <c r="AI58" s="93"/>
      <c r="AJ58" s="93"/>
      <c r="AK58" s="93"/>
      <c r="AL58" s="122">
        <f t="shared" si="6"/>
        <v>0</v>
      </c>
      <c r="AM58" s="93"/>
      <c r="AN58" s="94">
        <f t="shared" si="18"/>
        <v>0</v>
      </c>
      <c r="AO58" s="95">
        <f t="shared" si="20"/>
        <v>0</v>
      </c>
      <c r="AP58" s="96"/>
      <c r="AQ58" s="97">
        <f t="shared" si="7"/>
        <v>0</v>
      </c>
      <c r="AR58" s="98">
        <f t="shared" si="30"/>
        <v>169.89</v>
      </c>
      <c r="AS58" s="98">
        <f t="shared" si="9"/>
        <v>0</v>
      </c>
      <c r="AT58" s="98">
        <f t="shared" si="10"/>
        <v>0</v>
      </c>
      <c r="AU58" s="98">
        <f t="shared" si="19"/>
        <v>0</v>
      </c>
      <c r="AV58" s="98">
        <f t="array" ref="AV58">_xlfn.IFS(U58=0,AO58,U58&lt;0,AO58/-U58,U58&gt;0,AO58/U58)</f>
        <v>0</v>
      </c>
      <c r="AW58" s="234">
        <f t="shared" si="38"/>
        <v>0</v>
      </c>
      <c r="AX58" s="234">
        <f t="shared" si="39"/>
        <v>0</v>
      </c>
      <c r="AY58" s="99"/>
      <c r="AZ58" s="94">
        <f t="shared" si="13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0"/>
        <v>0</v>
      </c>
      <c r="F59" s="93"/>
      <c r="G59" s="93"/>
      <c r="H59" s="93"/>
      <c r="I59" s="93"/>
      <c r="J59" s="93"/>
      <c r="K59" s="93">
        <v>158.19</v>
      </c>
      <c r="L59" s="92">
        <f t="shared" si="37"/>
        <v>0</v>
      </c>
      <c r="M59" s="89"/>
      <c r="N59" s="89"/>
      <c r="O59" s="89"/>
      <c r="P59" s="89"/>
      <c r="Q59" s="233">
        <f t="shared" si="14"/>
        <v>0</v>
      </c>
      <c r="R59" s="92">
        <f t="shared" si="15"/>
        <v>0</v>
      </c>
      <c r="S59" s="93"/>
      <c r="T59" s="93"/>
      <c r="U59" s="92">
        <f t="shared" si="1"/>
        <v>0</v>
      </c>
      <c r="V59" s="93"/>
      <c r="W59" s="93"/>
      <c r="X59" s="92">
        <f t="shared" si="2"/>
        <v>0</v>
      </c>
      <c r="Y59" s="93"/>
      <c r="Z59" s="93"/>
      <c r="AA59" s="92">
        <f t="shared" si="16"/>
        <v>0</v>
      </c>
      <c r="AB59" s="92">
        <f t="shared" si="17"/>
        <v>0</v>
      </c>
      <c r="AC59" s="234" t="e">
        <f t="shared" si="3"/>
        <v>#DIV/0!</v>
      </c>
      <c r="AD59" s="92">
        <f t="shared" si="4"/>
        <v>0</v>
      </c>
      <c r="AE59" s="93"/>
      <c r="AF59" s="234">
        <f t="shared" si="5"/>
        <v>0</v>
      </c>
      <c r="AG59" s="93"/>
      <c r="AH59" s="93"/>
      <c r="AI59" s="93"/>
      <c r="AJ59" s="93"/>
      <c r="AK59" s="93"/>
      <c r="AL59" s="122">
        <f t="shared" si="6"/>
        <v>0</v>
      </c>
      <c r="AM59" s="93"/>
      <c r="AN59" s="94">
        <f t="shared" si="18"/>
        <v>0</v>
      </c>
      <c r="AO59" s="95">
        <f t="shared" si="20"/>
        <v>0</v>
      </c>
      <c r="AP59" s="96"/>
      <c r="AQ59" s="97">
        <f t="shared" si="7"/>
        <v>0</v>
      </c>
      <c r="AR59" s="98">
        <f t="shared" si="30"/>
        <v>158.19</v>
      </c>
      <c r="AS59" s="98">
        <f t="shared" si="9"/>
        <v>0</v>
      </c>
      <c r="AT59" s="98">
        <f t="shared" si="10"/>
        <v>0</v>
      </c>
      <c r="AU59" s="98">
        <f t="shared" si="19"/>
        <v>0</v>
      </c>
      <c r="AV59" s="98">
        <f t="array" ref="AV59">_xlfn.IFS(U59=0,AO59,U59&lt;0,AO59/-U59,U59&gt;0,AO59/U59)</f>
        <v>0</v>
      </c>
      <c r="AW59" s="234">
        <f t="shared" si="38"/>
        <v>0</v>
      </c>
      <c r="AX59" s="234">
        <f t="shared" si="39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0"/>
        <v>0</v>
      </c>
      <c r="F60" s="93"/>
      <c r="G60" s="93"/>
      <c r="H60" s="93"/>
      <c r="I60" s="93"/>
      <c r="J60" s="93"/>
      <c r="K60" s="93">
        <v>158.19</v>
      </c>
      <c r="L60" s="92">
        <f t="shared" si="37"/>
        <v>0</v>
      </c>
      <c r="M60" s="89"/>
      <c r="N60" s="89"/>
      <c r="O60" s="89"/>
      <c r="P60" s="89"/>
      <c r="Q60" s="233">
        <f t="shared" si="14"/>
        <v>0</v>
      </c>
      <c r="R60" s="92">
        <f t="shared" si="15"/>
        <v>0</v>
      </c>
      <c r="S60" s="93"/>
      <c r="T60" s="93"/>
      <c r="U60" s="92">
        <f t="shared" si="1"/>
        <v>0</v>
      </c>
      <c r="V60" s="93"/>
      <c r="W60" s="93"/>
      <c r="X60" s="92">
        <f t="shared" si="2"/>
        <v>0</v>
      </c>
      <c r="Y60" s="93"/>
      <c r="Z60" s="93"/>
      <c r="AA60" s="92">
        <f t="shared" si="16"/>
        <v>0</v>
      </c>
      <c r="AB60" s="92">
        <f t="shared" si="17"/>
        <v>0</v>
      </c>
      <c r="AC60" s="234" t="e">
        <f t="shared" si="3"/>
        <v>#DIV/0!</v>
      </c>
      <c r="AD60" s="92">
        <f t="shared" si="4"/>
        <v>0</v>
      </c>
      <c r="AE60" s="93"/>
      <c r="AF60" s="234">
        <f t="shared" si="5"/>
        <v>0</v>
      </c>
      <c r="AG60" s="93"/>
      <c r="AH60" s="93"/>
      <c r="AI60" s="93"/>
      <c r="AJ60" s="93"/>
      <c r="AK60" s="93"/>
      <c r="AL60" s="122">
        <f t="shared" si="6"/>
        <v>0</v>
      </c>
      <c r="AM60" s="93"/>
      <c r="AN60" s="94">
        <f t="shared" si="18"/>
        <v>0</v>
      </c>
      <c r="AO60" s="95">
        <f t="shared" si="20"/>
        <v>0</v>
      </c>
      <c r="AP60" s="96"/>
      <c r="AQ60" s="97">
        <f t="shared" si="7"/>
        <v>0</v>
      </c>
      <c r="AR60" s="98">
        <f t="shared" si="30"/>
        <v>158.19</v>
      </c>
      <c r="AS60" s="98">
        <f t="shared" si="9"/>
        <v>0</v>
      </c>
      <c r="AT60" s="98">
        <f t="shared" si="10"/>
        <v>0</v>
      </c>
      <c r="AU60" s="98">
        <f t="shared" si="19"/>
        <v>0</v>
      </c>
      <c r="AV60" s="98">
        <f t="array" ref="AV60">_xlfn.IFS(U60=0,AO60,U60&lt;0,AO60/-U60,U60&gt;0,AO60/U60)</f>
        <v>0</v>
      </c>
      <c r="AW60" s="234">
        <f t="shared" si="38"/>
        <v>0</v>
      </c>
      <c r="AX60" s="234">
        <f t="shared" si="39"/>
        <v>0</v>
      </c>
      <c r="AY60" s="99"/>
      <c r="AZ60" s="94">
        <f t="shared" si="13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0"/>
        <v>0</v>
      </c>
      <c r="F61" s="93"/>
      <c r="G61" s="93"/>
      <c r="H61" s="93"/>
      <c r="I61" s="93"/>
      <c r="J61" s="93"/>
      <c r="K61" s="93">
        <v>128.94</v>
      </c>
      <c r="L61" s="92">
        <f t="shared" si="37"/>
        <v>0</v>
      </c>
      <c r="M61" s="89"/>
      <c r="N61" s="89"/>
      <c r="O61" s="89"/>
      <c r="P61" s="89"/>
      <c r="Q61" s="233">
        <f t="shared" si="14"/>
        <v>0</v>
      </c>
      <c r="R61" s="92">
        <f t="shared" si="15"/>
        <v>0</v>
      </c>
      <c r="S61" s="93"/>
      <c r="T61" s="93"/>
      <c r="U61" s="92">
        <f t="shared" si="1"/>
        <v>0</v>
      </c>
      <c r="V61" s="93"/>
      <c r="W61" s="93"/>
      <c r="X61" s="92">
        <f t="shared" si="2"/>
        <v>0</v>
      </c>
      <c r="Y61" s="93"/>
      <c r="Z61" s="93"/>
      <c r="AA61" s="92">
        <f t="shared" si="16"/>
        <v>0</v>
      </c>
      <c r="AB61" s="92">
        <f t="shared" si="17"/>
        <v>0</v>
      </c>
      <c r="AC61" s="234" t="e">
        <f t="shared" si="3"/>
        <v>#DIV/0!</v>
      </c>
      <c r="AD61" s="92">
        <f t="shared" si="4"/>
        <v>0</v>
      </c>
      <c r="AE61" s="93"/>
      <c r="AF61" s="234">
        <f t="shared" si="5"/>
        <v>0</v>
      </c>
      <c r="AG61" s="93"/>
      <c r="AH61" s="93"/>
      <c r="AI61" s="93"/>
      <c r="AJ61" s="93"/>
      <c r="AK61" s="93"/>
      <c r="AL61" s="122">
        <f t="shared" si="6"/>
        <v>0</v>
      </c>
      <c r="AM61" s="93"/>
      <c r="AN61" s="94">
        <f t="shared" si="18"/>
        <v>0</v>
      </c>
      <c r="AO61" s="95">
        <f t="shared" si="20"/>
        <v>0</v>
      </c>
      <c r="AP61" s="96"/>
      <c r="AQ61" s="97">
        <f t="shared" si="7"/>
        <v>0</v>
      </c>
      <c r="AR61" s="98">
        <f t="shared" si="30"/>
        <v>128.94</v>
      </c>
      <c r="AS61" s="98">
        <f t="shared" si="9"/>
        <v>0</v>
      </c>
      <c r="AT61" s="98">
        <f t="shared" si="10"/>
        <v>0</v>
      </c>
      <c r="AU61" s="98">
        <f t="shared" si="19"/>
        <v>0</v>
      </c>
      <c r="AV61" s="98">
        <f t="array" ref="AV61">_xlfn.IFS(U61=0,AO61,U61&lt;0,AO61/-U61,U61&gt;0,AO61/U61)</f>
        <v>0</v>
      </c>
      <c r="AW61" s="234">
        <f t="shared" si="38"/>
        <v>0</v>
      </c>
      <c r="AX61" s="234">
        <f t="shared" si="39"/>
        <v>0</v>
      </c>
      <c r="AY61" s="99"/>
      <c r="AZ61" s="94">
        <f t="shared" si="13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0"/>
        <v>0</v>
      </c>
      <c r="F62" s="93"/>
      <c r="G62" s="93"/>
      <c r="H62" s="93"/>
      <c r="I62" s="93"/>
      <c r="J62" s="93"/>
      <c r="K62" s="93">
        <v>175.74</v>
      </c>
      <c r="L62" s="92">
        <f t="shared" si="37"/>
        <v>0</v>
      </c>
      <c r="M62" s="89"/>
      <c r="N62" s="89"/>
      <c r="O62" s="89"/>
      <c r="P62" s="89"/>
      <c r="Q62" s="233">
        <f t="shared" si="14"/>
        <v>0</v>
      </c>
      <c r="R62" s="92">
        <f t="shared" si="15"/>
        <v>0</v>
      </c>
      <c r="S62" s="93"/>
      <c r="T62" s="93"/>
      <c r="U62" s="92">
        <f t="shared" si="1"/>
        <v>0</v>
      </c>
      <c r="V62" s="93"/>
      <c r="W62" s="93"/>
      <c r="X62" s="92">
        <f t="shared" si="2"/>
        <v>0</v>
      </c>
      <c r="Y62" s="93"/>
      <c r="Z62" s="93"/>
      <c r="AA62" s="92">
        <f t="shared" si="16"/>
        <v>0</v>
      </c>
      <c r="AB62" s="92">
        <f t="shared" si="17"/>
        <v>0</v>
      </c>
      <c r="AC62" s="234" t="e">
        <f t="shared" si="3"/>
        <v>#DIV/0!</v>
      </c>
      <c r="AD62" s="92">
        <f t="shared" si="4"/>
        <v>0</v>
      </c>
      <c r="AE62" s="93"/>
      <c r="AF62" s="234">
        <f t="shared" si="5"/>
        <v>0</v>
      </c>
      <c r="AG62" s="93"/>
      <c r="AH62" s="93"/>
      <c r="AI62" s="93"/>
      <c r="AJ62" s="93"/>
      <c r="AK62" s="93"/>
      <c r="AL62" s="122">
        <f t="shared" si="6"/>
        <v>0</v>
      </c>
      <c r="AM62" s="93"/>
      <c r="AN62" s="94">
        <f t="shared" si="18"/>
        <v>0</v>
      </c>
      <c r="AO62" s="95">
        <f t="shared" si="20"/>
        <v>0</v>
      </c>
      <c r="AP62" s="96"/>
      <c r="AQ62" s="97">
        <f t="shared" si="7"/>
        <v>0</v>
      </c>
      <c r="AR62" s="98">
        <f t="shared" si="30"/>
        <v>175.74</v>
      </c>
      <c r="AS62" s="98">
        <f t="shared" si="9"/>
        <v>0</v>
      </c>
      <c r="AT62" s="98">
        <f t="shared" si="10"/>
        <v>0</v>
      </c>
      <c r="AU62" s="98">
        <f t="shared" si="19"/>
        <v>0</v>
      </c>
      <c r="AV62" s="98">
        <f t="array" ref="AV62">_xlfn.IFS(U62=0,AO62,U62&lt;0,AO62/-U62,U62&gt;0,AO62/U62)</f>
        <v>0</v>
      </c>
      <c r="AW62" s="234">
        <f t="shared" si="38"/>
        <v>0</v>
      </c>
      <c r="AX62" s="234">
        <f t="shared" si="39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0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7"/>
        <v>0</v>
      </c>
      <c r="M63" s="89"/>
      <c r="N63" s="89"/>
      <c r="O63" s="89"/>
      <c r="P63" s="89"/>
      <c r="Q63" s="233">
        <f t="shared" si="14"/>
        <v>0</v>
      </c>
      <c r="R63" s="92">
        <f t="shared" si="15"/>
        <v>0</v>
      </c>
      <c r="S63" s="93"/>
      <c r="T63" s="93"/>
      <c r="U63" s="92">
        <f t="shared" si="1"/>
        <v>0</v>
      </c>
      <c r="V63" s="93"/>
      <c r="W63" s="93"/>
      <c r="X63" s="92">
        <f t="shared" si="2"/>
        <v>0</v>
      </c>
      <c r="Y63" s="93"/>
      <c r="Z63" s="93"/>
      <c r="AA63" s="92">
        <f t="shared" si="16"/>
        <v>0</v>
      </c>
      <c r="AB63" s="92">
        <f t="shared" si="17"/>
        <v>0</v>
      </c>
      <c r="AC63" s="234" t="e">
        <f t="shared" si="3"/>
        <v>#DIV/0!</v>
      </c>
      <c r="AD63" s="92">
        <f t="shared" si="4"/>
        <v>0</v>
      </c>
      <c r="AE63" s="93"/>
      <c r="AF63" s="234">
        <f t="shared" si="5"/>
        <v>0</v>
      </c>
      <c r="AG63" s="93"/>
      <c r="AH63" s="93"/>
      <c r="AI63" s="93"/>
      <c r="AJ63" s="93"/>
      <c r="AK63" s="93"/>
      <c r="AL63" s="122">
        <f t="shared" si="6"/>
        <v>0</v>
      </c>
      <c r="AM63" s="93"/>
      <c r="AN63" s="94">
        <f t="shared" si="18"/>
        <v>0</v>
      </c>
      <c r="AO63" s="95">
        <f t="shared" si="20"/>
        <v>0</v>
      </c>
      <c r="AP63" s="96"/>
      <c r="AQ63" s="97">
        <f t="shared" si="7"/>
        <v>0</v>
      </c>
      <c r="AR63" s="98">
        <f t="shared" si="30"/>
        <v>140.63999999999999</v>
      </c>
      <c r="AS63" s="98">
        <f t="shared" si="9"/>
        <v>0</v>
      </c>
      <c r="AT63" s="98">
        <f t="shared" si="10"/>
        <v>0</v>
      </c>
      <c r="AU63" s="98">
        <f t="shared" si="19"/>
        <v>0</v>
      </c>
      <c r="AV63" s="98">
        <f t="array" ref="AV63">_xlfn.IFS(U63=0,AO63,U63&lt;0,AO63/-U63,U63&gt;0,AO63/U63)</f>
        <v>0</v>
      </c>
      <c r="AW63" s="234">
        <f t="shared" si="38"/>
        <v>0</v>
      </c>
      <c r="AX63" s="234">
        <f t="shared" si="39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0"/>
        <v>0</v>
      </c>
      <c r="F64" s="93"/>
      <c r="G64" s="93"/>
      <c r="H64" s="93"/>
      <c r="I64" s="93"/>
      <c r="J64" s="93"/>
      <c r="K64" s="93">
        <v>99.69</v>
      </c>
      <c r="L64" s="92">
        <f t="shared" si="37"/>
        <v>0</v>
      </c>
      <c r="M64" s="89"/>
      <c r="N64" s="89"/>
      <c r="O64" s="89"/>
      <c r="P64" s="89"/>
      <c r="Q64" s="233">
        <f t="shared" si="14"/>
        <v>0</v>
      </c>
      <c r="R64" s="92">
        <f t="shared" si="15"/>
        <v>0</v>
      </c>
      <c r="S64" s="93"/>
      <c r="T64" s="93"/>
      <c r="U64" s="92">
        <f t="shared" si="1"/>
        <v>0</v>
      </c>
      <c r="V64" s="93"/>
      <c r="W64" s="93"/>
      <c r="X64" s="92">
        <f t="shared" si="2"/>
        <v>0</v>
      </c>
      <c r="Y64" s="93"/>
      <c r="Z64" s="93"/>
      <c r="AA64" s="92">
        <f t="shared" si="16"/>
        <v>0</v>
      </c>
      <c r="AB64" s="92">
        <f t="shared" si="17"/>
        <v>0</v>
      </c>
      <c r="AC64" s="234" t="e">
        <f t="shared" si="3"/>
        <v>#DIV/0!</v>
      </c>
      <c r="AD64" s="92">
        <f t="shared" si="4"/>
        <v>0</v>
      </c>
      <c r="AE64" s="93"/>
      <c r="AF64" s="234">
        <f t="shared" si="5"/>
        <v>0</v>
      </c>
      <c r="AG64" s="93"/>
      <c r="AH64" s="93"/>
      <c r="AI64" s="93"/>
      <c r="AJ64" s="93"/>
      <c r="AK64" s="93"/>
      <c r="AL64" s="122">
        <f t="shared" si="6"/>
        <v>0</v>
      </c>
      <c r="AM64" s="93"/>
      <c r="AN64" s="94">
        <f t="shared" si="18"/>
        <v>0</v>
      </c>
      <c r="AO64" s="95">
        <f t="shared" si="20"/>
        <v>0</v>
      </c>
      <c r="AP64" s="96"/>
      <c r="AQ64" s="97">
        <f t="shared" si="7"/>
        <v>0</v>
      </c>
      <c r="AR64" s="98">
        <f t="shared" si="30"/>
        <v>99.69</v>
      </c>
      <c r="AS64" s="98">
        <f t="shared" si="9"/>
        <v>0</v>
      </c>
      <c r="AT64" s="98">
        <f t="shared" si="10"/>
        <v>0</v>
      </c>
      <c r="AU64" s="98">
        <f t="shared" si="19"/>
        <v>0</v>
      </c>
      <c r="AV64" s="98">
        <f t="array" ref="AV64">_xlfn.IFS(U64=0,AO64,U64&lt;0,AO64/-U64,U64&gt;0,AO64/U64)</f>
        <v>0</v>
      </c>
      <c r="AW64" s="234">
        <f t="shared" si="38"/>
        <v>0</v>
      </c>
      <c r="AX64" s="234">
        <f t="shared" si="39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0"/>
        <v>0</v>
      </c>
      <c r="F65" s="93"/>
      <c r="G65" s="93"/>
      <c r="H65" s="93"/>
      <c r="I65" s="93"/>
      <c r="J65" s="93"/>
      <c r="K65" s="93">
        <v>99.69</v>
      </c>
      <c r="L65" s="92">
        <f t="shared" si="37"/>
        <v>0</v>
      </c>
      <c r="M65" s="89"/>
      <c r="N65" s="89"/>
      <c r="O65" s="89"/>
      <c r="P65" s="89"/>
      <c r="Q65" s="233">
        <f t="shared" si="14"/>
        <v>0</v>
      </c>
      <c r="R65" s="92">
        <f t="shared" si="15"/>
        <v>0</v>
      </c>
      <c r="S65" s="93"/>
      <c r="T65" s="93"/>
      <c r="U65" s="92">
        <f t="shared" si="1"/>
        <v>0</v>
      </c>
      <c r="V65" s="93"/>
      <c r="W65" s="93"/>
      <c r="X65" s="92">
        <f t="shared" si="2"/>
        <v>0</v>
      </c>
      <c r="Y65" s="93"/>
      <c r="Z65" s="93"/>
      <c r="AA65" s="92">
        <f t="shared" si="16"/>
        <v>0</v>
      </c>
      <c r="AB65" s="92">
        <f t="shared" si="17"/>
        <v>0</v>
      </c>
      <c r="AC65" s="234" t="e">
        <f t="shared" si="3"/>
        <v>#DIV/0!</v>
      </c>
      <c r="AD65" s="92">
        <f t="shared" si="4"/>
        <v>0</v>
      </c>
      <c r="AE65" s="93"/>
      <c r="AF65" s="234">
        <f t="shared" si="5"/>
        <v>0</v>
      </c>
      <c r="AG65" s="93"/>
      <c r="AH65" s="93"/>
      <c r="AI65" s="93"/>
      <c r="AJ65" s="93"/>
      <c r="AK65" s="93"/>
      <c r="AL65" s="122">
        <f t="shared" si="6"/>
        <v>0</v>
      </c>
      <c r="AM65" s="93"/>
      <c r="AN65" s="94">
        <f t="shared" si="18"/>
        <v>0</v>
      </c>
      <c r="AO65" s="95">
        <f t="shared" si="20"/>
        <v>0</v>
      </c>
      <c r="AP65" s="96"/>
      <c r="AQ65" s="97">
        <f t="shared" si="7"/>
        <v>0</v>
      </c>
      <c r="AR65" s="98">
        <f t="shared" si="30"/>
        <v>99.69</v>
      </c>
      <c r="AS65" s="98">
        <f t="shared" si="9"/>
        <v>0</v>
      </c>
      <c r="AT65" s="98">
        <f t="shared" si="10"/>
        <v>0</v>
      </c>
      <c r="AU65" s="98">
        <f t="shared" si="19"/>
        <v>0</v>
      </c>
      <c r="AV65" s="98">
        <f t="array" ref="AV65">_xlfn.IFS(U65=0,AO65,U65&lt;0,AO65/-U65,U65&gt;0,AO65/U65)</f>
        <v>0</v>
      </c>
      <c r="AW65" s="234">
        <f t="shared" si="38"/>
        <v>0</v>
      </c>
      <c r="AX65" s="234">
        <f t="shared" si="39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0"/>
        <v>0</v>
      </c>
      <c r="F66" s="93"/>
      <c r="G66" s="93"/>
      <c r="H66" s="93"/>
      <c r="I66" s="93"/>
      <c r="J66" s="93"/>
      <c r="K66" s="93">
        <v>97.35</v>
      </c>
      <c r="L66" s="92">
        <f t="shared" si="37"/>
        <v>0</v>
      </c>
      <c r="M66" s="89"/>
      <c r="N66" s="89"/>
      <c r="O66" s="89"/>
      <c r="P66" s="89"/>
      <c r="Q66" s="233">
        <f t="shared" si="14"/>
        <v>0</v>
      </c>
      <c r="R66" s="92">
        <f t="shared" si="15"/>
        <v>0</v>
      </c>
      <c r="S66" s="93"/>
      <c r="T66" s="93"/>
      <c r="U66" s="92">
        <f t="shared" si="1"/>
        <v>0</v>
      </c>
      <c r="V66" s="93"/>
      <c r="W66" s="93"/>
      <c r="X66" s="92">
        <f t="shared" si="2"/>
        <v>0</v>
      </c>
      <c r="Y66" s="93"/>
      <c r="Z66" s="93"/>
      <c r="AA66" s="92">
        <f t="shared" si="16"/>
        <v>0</v>
      </c>
      <c r="AB66" s="92">
        <f t="shared" si="17"/>
        <v>0</v>
      </c>
      <c r="AC66" s="234" t="e">
        <f t="shared" si="3"/>
        <v>#DIV/0!</v>
      </c>
      <c r="AD66" s="92">
        <f t="shared" si="4"/>
        <v>0</v>
      </c>
      <c r="AE66" s="93"/>
      <c r="AF66" s="234">
        <f t="shared" si="5"/>
        <v>0</v>
      </c>
      <c r="AG66" s="93"/>
      <c r="AH66" s="93"/>
      <c r="AI66" s="93"/>
      <c r="AJ66" s="93"/>
      <c r="AK66" s="93"/>
      <c r="AL66" s="122">
        <f t="shared" si="6"/>
        <v>0</v>
      </c>
      <c r="AM66" s="93"/>
      <c r="AN66" s="94">
        <f t="shared" si="18"/>
        <v>0</v>
      </c>
      <c r="AO66" s="95">
        <f t="shared" si="20"/>
        <v>0</v>
      </c>
      <c r="AP66" s="96"/>
      <c r="AQ66" s="97">
        <f t="shared" si="7"/>
        <v>0</v>
      </c>
      <c r="AR66" s="98">
        <f t="shared" si="30"/>
        <v>97.35</v>
      </c>
      <c r="AS66" s="98">
        <f t="shared" si="9"/>
        <v>0</v>
      </c>
      <c r="AT66" s="98">
        <f t="shared" si="10"/>
        <v>0</v>
      </c>
      <c r="AU66" s="98">
        <f t="shared" si="19"/>
        <v>0</v>
      </c>
      <c r="AV66" s="98">
        <f t="array" ref="AV66">_xlfn.IFS(U66=0,AO66,U66&lt;0,AO66/-U66,U66&gt;0,AO66/U66)</f>
        <v>0</v>
      </c>
      <c r="AW66" s="234">
        <f t="shared" si="38"/>
        <v>0</v>
      </c>
      <c r="AX66" s="234">
        <f t="shared" si="39"/>
        <v>0</v>
      </c>
      <c r="AY66" s="99"/>
      <c r="AZ66" s="94">
        <f t="shared" si="13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0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7"/>
        <v>0</v>
      </c>
      <c r="M67" s="89"/>
      <c r="N67" s="89"/>
      <c r="O67" s="89"/>
      <c r="P67" s="89"/>
      <c r="Q67" s="233">
        <f t="shared" si="14"/>
        <v>0</v>
      </c>
      <c r="R67" s="92">
        <f t="shared" si="15"/>
        <v>0</v>
      </c>
      <c r="S67" s="93"/>
      <c r="T67" s="93"/>
      <c r="U67" s="92">
        <f t="shared" ref="U67:U104" si="41">S67+T67</f>
        <v>0</v>
      </c>
      <c r="V67" s="93"/>
      <c r="W67" s="93"/>
      <c r="X67" s="92">
        <f t="shared" ref="X67:X104" si="42">V67+W67</f>
        <v>0</v>
      </c>
      <c r="Y67" s="93"/>
      <c r="Z67" s="93"/>
      <c r="AA67" s="92">
        <f t="shared" si="16"/>
        <v>0</v>
      </c>
      <c r="AB67" s="92">
        <f t="shared" si="17"/>
        <v>0</v>
      </c>
      <c r="AC67" s="234" t="e">
        <f t="shared" ref="AC67:AC104" si="43">AA67/$AA$127</f>
        <v>#DIV/0!</v>
      </c>
      <c r="AD67" s="92">
        <f t="shared" ref="AD67:AD104" si="44">U67*K67</f>
        <v>0</v>
      </c>
      <c r="AE67" s="93"/>
      <c r="AF67" s="234">
        <f t="shared" ref="AF67:AF104" si="45">IF(AA67=0,0,AE67/AA67)</f>
        <v>0</v>
      </c>
      <c r="AG67" s="93"/>
      <c r="AH67" s="93"/>
      <c r="AI67" s="93"/>
      <c r="AJ67" s="93"/>
      <c r="AK67" s="93"/>
      <c r="AL67" s="122">
        <f t="shared" ref="AL67:AL104" si="46">IFERROR($AL$127*H67/$H$127,0)</f>
        <v>0</v>
      </c>
      <c r="AM67" s="93"/>
      <c r="AN67" s="94">
        <f t="shared" si="18"/>
        <v>0</v>
      </c>
      <c r="AO67" s="95">
        <f t="shared" si="20"/>
        <v>0</v>
      </c>
      <c r="AP67" s="96"/>
      <c r="AQ67" s="97">
        <f t="shared" si="7"/>
        <v>0</v>
      </c>
      <c r="AR67" s="98">
        <f t="shared" si="30"/>
        <v>161.69999999999999</v>
      </c>
      <c r="AS67" s="98">
        <f t="shared" si="9"/>
        <v>0</v>
      </c>
      <c r="AT67" s="98">
        <f t="shared" si="10"/>
        <v>0</v>
      </c>
      <c r="AU67" s="98">
        <f t="shared" si="19"/>
        <v>0</v>
      </c>
      <c r="AV67" s="98">
        <f t="array" ref="AV67">_xlfn.IFS(U67=0,AO67,U67&lt;0,AO67/-U67,U67&gt;0,AO67/U67)</f>
        <v>0</v>
      </c>
      <c r="AW67" s="234">
        <f t="shared" si="38"/>
        <v>0</v>
      </c>
      <c r="AX67" s="234">
        <f t="shared" si="39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0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7"/>
        <v>0</v>
      </c>
      <c r="M68" s="89"/>
      <c r="N68" s="89"/>
      <c r="O68" s="89"/>
      <c r="P68" s="89"/>
      <c r="Q68" s="233">
        <f t="shared" ref="Q68:Q104" si="47">N68/7</f>
        <v>0</v>
      </c>
      <c r="R68" s="92">
        <f t="shared" ref="R68:R104" si="48">U68/7</f>
        <v>0</v>
      </c>
      <c r="S68" s="93"/>
      <c r="T68" s="93"/>
      <c r="U68" s="92">
        <f t="shared" si="41"/>
        <v>0</v>
      </c>
      <c r="V68" s="93"/>
      <c r="W68" s="93"/>
      <c r="X68" s="92">
        <f t="shared" si="42"/>
        <v>0</v>
      </c>
      <c r="Y68" s="93"/>
      <c r="Z68" s="93"/>
      <c r="AA68" s="92">
        <f t="shared" ref="AA68:AA104" si="49">Y68+Z68</f>
        <v>0</v>
      </c>
      <c r="AB68" s="92">
        <f t="shared" ref="AB68:AB104" si="50">N68*O68*P68/100</f>
        <v>0</v>
      </c>
      <c r="AC68" s="234" t="e">
        <f t="shared" si="43"/>
        <v>#DIV/0!</v>
      </c>
      <c r="AD68" s="92">
        <f t="shared" si="44"/>
        <v>0</v>
      </c>
      <c r="AE68" s="93"/>
      <c r="AF68" s="234">
        <f t="shared" si="45"/>
        <v>0</v>
      </c>
      <c r="AG68" s="93"/>
      <c r="AH68" s="93"/>
      <c r="AI68" s="93"/>
      <c r="AJ68" s="93"/>
      <c r="AK68" s="93"/>
      <c r="AL68" s="122">
        <f t="shared" si="46"/>
        <v>0</v>
      </c>
      <c r="AM68" s="93"/>
      <c r="AN68" s="94">
        <f t="shared" ref="AN68:AN104" si="51">X68*5.71%</f>
        <v>0</v>
      </c>
      <c r="AO68" s="95">
        <f t="shared" si="20"/>
        <v>0</v>
      </c>
      <c r="AP68" s="96"/>
      <c r="AQ68" s="97">
        <f t="shared" si="7"/>
        <v>0</v>
      </c>
      <c r="AR68" s="98">
        <f t="shared" si="30"/>
        <v>161.69999999999999</v>
      </c>
      <c r="AS68" s="98">
        <f t="shared" si="9"/>
        <v>0</v>
      </c>
      <c r="AT68" s="98">
        <f t="shared" si="10"/>
        <v>0</v>
      </c>
      <c r="AU68" s="98">
        <f t="shared" si="19"/>
        <v>0</v>
      </c>
      <c r="AV68" s="98">
        <f t="array" ref="AV68">_xlfn.IFS(U68=0,AO68,U68&lt;0,AO68/-U68,U68&gt;0,AO68/U68)</f>
        <v>0</v>
      </c>
      <c r="AW68" s="234">
        <f t="shared" si="38"/>
        <v>0</v>
      </c>
      <c r="AX68" s="234">
        <f t="shared" si="39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0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7"/>
        <v>0</v>
      </c>
      <c r="M69" s="89"/>
      <c r="N69" s="89"/>
      <c r="O69" s="89"/>
      <c r="P69" s="89"/>
      <c r="Q69" s="233">
        <f t="shared" si="47"/>
        <v>0</v>
      </c>
      <c r="R69" s="92">
        <f t="shared" si="48"/>
        <v>0</v>
      </c>
      <c r="S69" s="93"/>
      <c r="T69" s="93"/>
      <c r="U69" s="92">
        <f t="shared" si="41"/>
        <v>0</v>
      </c>
      <c r="V69" s="93"/>
      <c r="W69" s="93"/>
      <c r="X69" s="92">
        <f t="shared" si="42"/>
        <v>0</v>
      </c>
      <c r="Y69" s="93"/>
      <c r="Z69" s="93"/>
      <c r="AA69" s="92">
        <f t="shared" si="49"/>
        <v>0</v>
      </c>
      <c r="AB69" s="92">
        <f t="shared" si="50"/>
        <v>0</v>
      </c>
      <c r="AC69" s="234" t="e">
        <f t="shared" si="43"/>
        <v>#DIV/0!</v>
      </c>
      <c r="AD69" s="92">
        <f t="shared" si="44"/>
        <v>0</v>
      </c>
      <c r="AE69" s="93"/>
      <c r="AF69" s="234">
        <f t="shared" si="45"/>
        <v>0</v>
      </c>
      <c r="AG69" s="93"/>
      <c r="AH69" s="93"/>
      <c r="AI69" s="93"/>
      <c r="AJ69" s="93"/>
      <c r="AK69" s="93"/>
      <c r="AL69" s="122">
        <f t="shared" si="46"/>
        <v>0</v>
      </c>
      <c r="AM69" s="93"/>
      <c r="AN69" s="94">
        <f t="shared" si="51"/>
        <v>0</v>
      </c>
      <c r="AO69" s="95">
        <f t="shared" ref="AO69:AO104" si="52">AA69-AD69-AE69-AG69-AH69-AI69-AK69-AL69-AN69-AM69</f>
        <v>0</v>
      </c>
      <c r="AP69" s="96"/>
      <c r="AQ69" s="97">
        <f t="shared" si="7"/>
        <v>0</v>
      </c>
      <c r="AR69" s="98">
        <f t="shared" si="30"/>
        <v>140.63999999999999</v>
      </c>
      <c r="AS69" s="98">
        <f t="shared" si="9"/>
        <v>0</v>
      </c>
      <c r="AT69" s="98">
        <f t="shared" si="10"/>
        <v>0</v>
      </c>
      <c r="AU69" s="98">
        <f t="shared" si="19"/>
        <v>0</v>
      </c>
      <c r="AV69" s="98">
        <f t="array" ref="AV69">_xlfn.IFS(U69=0,AO69,U69&lt;0,AO69/-U69,U69&gt;0,AO69/U69)</f>
        <v>0</v>
      </c>
      <c r="AW69" s="234">
        <f t="shared" si="38"/>
        <v>0</v>
      </c>
      <c r="AX69" s="234">
        <f t="shared" si="39"/>
        <v>0</v>
      </c>
      <c r="AY69" s="99"/>
      <c r="AZ69" s="94">
        <f t="shared" si="13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0"/>
        <v>0</v>
      </c>
      <c r="F70" s="93"/>
      <c r="G70" s="93"/>
      <c r="H70" s="93"/>
      <c r="I70" s="93"/>
      <c r="J70" s="93"/>
      <c r="K70" s="93">
        <v>117.24</v>
      </c>
      <c r="L70" s="92">
        <f t="shared" si="37"/>
        <v>0</v>
      </c>
      <c r="M70" s="89"/>
      <c r="N70" s="89"/>
      <c r="O70" s="89"/>
      <c r="P70" s="89"/>
      <c r="Q70" s="233">
        <f t="shared" si="47"/>
        <v>0</v>
      </c>
      <c r="R70" s="92">
        <f t="shared" si="48"/>
        <v>0</v>
      </c>
      <c r="S70" s="93"/>
      <c r="T70" s="93"/>
      <c r="U70" s="92">
        <f t="shared" si="41"/>
        <v>0</v>
      </c>
      <c r="V70" s="93"/>
      <c r="W70" s="93"/>
      <c r="X70" s="92">
        <f t="shared" si="42"/>
        <v>0</v>
      </c>
      <c r="Y70" s="93"/>
      <c r="Z70" s="93"/>
      <c r="AA70" s="92">
        <f t="shared" si="49"/>
        <v>0</v>
      </c>
      <c r="AB70" s="92">
        <f t="shared" si="50"/>
        <v>0</v>
      </c>
      <c r="AC70" s="234" t="e">
        <f t="shared" si="43"/>
        <v>#DIV/0!</v>
      </c>
      <c r="AD70" s="92">
        <f t="shared" si="44"/>
        <v>0</v>
      </c>
      <c r="AE70" s="93"/>
      <c r="AF70" s="234">
        <f t="shared" si="45"/>
        <v>0</v>
      </c>
      <c r="AG70" s="93"/>
      <c r="AH70" s="93"/>
      <c r="AI70" s="93"/>
      <c r="AJ70" s="93"/>
      <c r="AK70" s="93"/>
      <c r="AL70" s="122">
        <f t="shared" si="46"/>
        <v>0</v>
      </c>
      <c r="AM70" s="93"/>
      <c r="AN70" s="94">
        <f t="shared" si="51"/>
        <v>0</v>
      </c>
      <c r="AO70" s="95">
        <f t="shared" si="52"/>
        <v>0</v>
      </c>
      <c r="AP70" s="96"/>
      <c r="AQ70" s="97">
        <f t="shared" si="7"/>
        <v>0</v>
      </c>
      <c r="AR70" s="98">
        <f t="shared" si="30"/>
        <v>117.24</v>
      </c>
      <c r="AS70" s="98">
        <f t="shared" si="9"/>
        <v>0</v>
      </c>
      <c r="AT70" s="98">
        <f t="shared" si="10"/>
        <v>0</v>
      </c>
      <c r="AU70" s="98">
        <f t="shared" si="19"/>
        <v>0</v>
      </c>
      <c r="AV70" s="98">
        <f t="array" ref="AV70">_xlfn.IFS(U70=0,AO70,U70&lt;0,AO70/-U70,U70&gt;0,AO70/U70)</f>
        <v>0</v>
      </c>
      <c r="AW70" s="234">
        <f t="shared" si="38"/>
        <v>0</v>
      </c>
      <c r="AX70" s="234">
        <f t="shared" si="39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0"/>
        <v>0</v>
      </c>
      <c r="F71" s="93"/>
      <c r="G71" s="93"/>
      <c r="H71" s="93"/>
      <c r="I71" s="93"/>
      <c r="J71" s="93"/>
      <c r="K71" s="93">
        <v>123.09</v>
      </c>
      <c r="L71" s="92">
        <f t="shared" si="37"/>
        <v>0</v>
      </c>
      <c r="M71" s="89"/>
      <c r="N71" s="89"/>
      <c r="O71" s="89"/>
      <c r="P71" s="89"/>
      <c r="Q71" s="233">
        <f t="shared" si="47"/>
        <v>0</v>
      </c>
      <c r="R71" s="92">
        <f t="shared" si="48"/>
        <v>0</v>
      </c>
      <c r="S71" s="93"/>
      <c r="T71" s="93"/>
      <c r="U71" s="92">
        <f t="shared" si="41"/>
        <v>0</v>
      </c>
      <c r="V71" s="93"/>
      <c r="W71" s="93"/>
      <c r="X71" s="92">
        <f t="shared" si="42"/>
        <v>0</v>
      </c>
      <c r="Y71" s="93"/>
      <c r="Z71" s="93"/>
      <c r="AA71" s="92">
        <f t="shared" si="49"/>
        <v>0</v>
      </c>
      <c r="AB71" s="92">
        <f t="shared" si="50"/>
        <v>0</v>
      </c>
      <c r="AC71" s="234" t="e">
        <f t="shared" si="43"/>
        <v>#DIV/0!</v>
      </c>
      <c r="AD71" s="92">
        <f t="shared" si="44"/>
        <v>0</v>
      </c>
      <c r="AE71" s="93"/>
      <c r="AF71" s="234">
        <f t="shared" si="45"/>
        <v>0</v>
      </c>
      <c r="AG71" s="93"/>
      <c r="AH71" s="93"/>
      <c r="AI71" s="93"/>
      <c r="AJ71" s="93"/>
      <c r="AK71" s="93"/>
      <c r="AL71" s="122">
        <f t="shared" si="46"/>
        <v>0</v>
      </c>
      <c r="AM71" s="93"/>
      <c r="AN71" s="94">
        <f t="shared" si="51"/>
        <v>0</v>
      </c>
      <c r="AO71" s="95">
        <f t="shared" si="52"/>
        <v>0</v>
      </c>
      <c r="AP71" s="96"/>
      <c r="AQ71" s="97">
        <f t="shared" si="7"/>
        <v>0</v>
      </c>
      <c r="AR71" s="98">
        <f t="shared" si="30"/>
        <v>123.09</v>
      </c>
      <c r="AS71" s="98">
        <f t="shared" si="9"/>
        <v>0</v>
      </c>
      <c r="AT71" s="98">
        <f t="shared" si="10"/>
        <v>0</v>
      </c>
      <c r="AU71" s="98">
        <f t="shared" ref="AU71:AU104" si="53">IF(S71=0,0,(AH71+AI71+AJ71)/S71)</f>
        <v>0</v>
      </c>
      <c r="AV71" s="98">
        <f t="array" ref="AV71">_xlfn.IFS(U71=0,AO71,U71&lt;0,AO71/-U71,U71&gt;0,AO71/U71)</f>
        <v>0</v>
      </c>
      <c r="AW71" s="234">
        <f t="shared" si="38"/>
        <v>0</v>
      </c>
      <c r="AX71" s="234">
        <f t="shared" si="39"/>
        <v>0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0"/>
        <v>0</v>
      </c>
      <c r="F72" s="93"/>
      <c r="G72" s="93"/>
      <c r="H72" s="93"/>
      <c r="I72" s="93"/>
      <c r="J72" s="93"/>
      <c r="K72" s="93">
        <v>123.09</v>
      </c>
      <c r="L72" s="92">
        <f t="shared" si="37"/>
        <v>0</v>
      </c>
      <c r="M72" s="89"/>
      <c r="N72" s="89"/>
      <c r="O72" s="89"/>
      <c r="P72" s="89"/>
      <c r="Q72" s="233">
        <f t="shared" si="47"/>
        <v>0</v>
      </c>
      <c r="R72" s="92">
        <f t="shared" si="48"/>
        <v>0</v>
      </c>
      <c r="S72" s="93"/>
      <c r="T72" s="93"/>
      <c r="U72" s="92">
        <f t="shared" si="41"/>
        <v>0</v>
      </c>
      <c r="V72" s="93"/>
      <c r="W72" s="93"/>
      <c r="X72" s="92">
        <f t="shared" si="42"/>
        <v>0</v>
      </c>
      <c r="Y72" s="93"/>
      <c r="Z72" s="93"/>
      <c r="AA72" s="92">
        <f t="shared" si="49"/>
        <v>0</v>
      </c>
      <c r="AB72" s="92">
        <f t="shared" si="50"/>
        <v>0</v>
      </c>
      <c r="AC72" s="234" t="e">
        <f t="shared" si="43"/>
        <v>#DIV/0!</v>
      </c>
      <c r="AD72" s="92">
        <f t="shared" si="44"/>
        <v>0</v>
      </c>
      <c r="AE72" s="93"/>
      <c r="AF72" s="234">
        <f t="shared" si="45"/>
        <v>0</v>
      </c>
      <c r="AG72" s="93"/>
      <c r="AH72" s="93"/>
      <c r="AI72" s="93"/>
      <c r="AJ72" s="93"/>
      <c r="AK72" s="93"/>
      <c r="AL72" s="122">
        <f t="shared" si="46"/>
        <v>0</v>
      </c>
      <c r="AM72" s="93"/>
      <c r="AN72" s="94">
        <f t="shared" si="51"/>
        <v>0</v>
      </c>
      <c r="AO72" s="95">
        <f t="shared" si="52"/>
        <v>0</v>
      </c>
      <c r="AP72" s="96"/>
      <c r="AQ72" s="97">
        <f t="shared" si="7"/>
        <v>0</v>
      </c>
      <c r="AR72" s="98">
        <f t="shared" si="30"/>
        <v>123.09</v>
      </c>
      <c r="AS72" s="98">
        <f t="shared" si="9"/>
        <v>0</v>
      </c>
      <c r="AT72" s="98">
        <f t="shared" si="10"/>
        <v>0</v>
      </c>
      <c r="AU72" s="98">
        <f t="shared" si="53"/>
        <v>0</v>
      </c>
      <c r="AV72" s="98">
        <f t="array" ref="AV72">_xlfn.IFS(U72=0,AO72,U72&lt;0,AO72/-U72,U72&gt;0,AO72/U72)</f>
        <v>0</v>
      </c>
      <c r="AW72" s="234">
        <f t="shared" si="38"/>
        <v>0</v>
      </c>
      <c r="AX72" s="234">
        <f t="shared" si="39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0"/>
        <v>0</v>
      </c>
      <c r="F73" s="93"/>
      <c r="G73" s="93"/>
      <c r="H73" s="93"/>
      <c r="I73" s="93"/>
      <c r="J73" s="93"/>
      <c r="K73" s="93">
        <v>123.09</v>
      </c>
      <c r="L73" s="92">
        <f t="shared" si="37"/>
        <v>0</v>
      </c>
      <c r="M73" s="89"/>
      <c r="N73" s="89"/>
      <c r="O73" s="89"/>
      <c r="P73" s="89"/>
      <c r="Q73" s="233">
        <f t="shared" si="47"/>
        <v>0</v>
      </c>
      <c r="R73" s="92">
        <f t="shared" si="48"/>
        <v>0</v>
      </c>
      <c r="S73" s="93"/>
      <c r="T73" s="93"/>
      <c r="U73" s="92">
        <f t="shared" si="41"/>
        <v>0</v>
      </c>
      <c r="V73" s="93"/>
      <c r="W73" s="93"/>
      <c r="X73" s="92">
        <f t="shared" si="42"/>
        <v>0</v>
      </c>
      <c r="Y73" s="93"/>
      <c r="Z73" s="93"/>
      <c r="AA73" s="92">
        <f t="shared" si="49"/>
        <v>0</v>
      </c>
      <c r="AB73" s="92">
        <f t="shared" si="50"/>
        <v>0</v>
      </c>
      <c r="AC73" s="234" t="e">
        <f t="shared" si="43"/>
        <v>#DIV/0!</v>
      </c>
      <c r="AD73" s="92">
        <f t="shared" si="44"/>
        <v>0</v>
      </c>
      <c r="AE73" s="93"/>
      <c r="AF73" s="234">
        <f t="shared" si="45"/>
        <v>0</v>
      </c>
      <c r="AG73" s="93"/>
      <c r="AH73" s="93"/>
      <c r="AI73" s="93"/>
      <c r="AJ73" s="93"/>
      <c r="AK73" s="93"/>
      <c r="AL73" s="122">
        <f t="shared" si="46"/>
        <v>0</v>
      </c>
      <c r="AM73" s="93"/>
      <c r="AN73" s="94">
        <f t="shared" si="51"/>
        <v>0</v>
      </c>
      <c r="AO73" s="95">
        <f t="shared" si="52"/>
        <v>0</v>
      </c>
      <c r="AP73" s="96"/>
      <c r="AQ73" s="97">
        <f t="shared" si="7"/>
        <v>0</v>
      </c>
      <c r="AR73" s="98">
        <f t="shared" si="30"/>
        <v>123.09</v>
      </c>
      <c r="AS73" s="98">
        <f t="shared" si="9"/>
        <v>0</v>
      </c>
      <c r="AT73" s="98">
        <f t="shared" si="10"/>
        <v>0</v>
      </c>
      <c r="AU73" s="98">
        <f t="shared" si="53"/>
        <v>0</v>
      </c>
      <c r="AV73" s="98">
        <f t="array" ref="AV73">_xlfn.IFS(U73=0,AO73,U73&lt;0,AO73/-U73,U73&gt;0,AO73/U73)</f>
        <v>0</v>
      </c>
      <c r="AW73" s="234">
        <f t="shared" si="38"/>
        <v>0</v>
      </c>
      <c r="AX73" s="234">
        <f t="shared" si="39"/>
        <v>0</v>
      </c>
      <c r="AY73" s="99"/>
      <c r="AZ73" s="94">
        <f t="shared" si="13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0"/>
        <v>0</v>
      </c>
      <c r="F74" s="93"/>
      <c r="G74" s="93"/>
      <c r="H74" s="93"/>
      <c r="I74" s="93"/>
      <c r="J74" s="93"/>
      <c r="K74" s="93">
        <v>134.79</v>
      </c>
      <c r="L74" s="92">
        <f t="shared" si="37"/>
        <v>0</v>
      </c>
      <c r="M74" s="89"/>
      <c r="N74" s="89"/>
      <c r="O74" s="89"/>
      <c r="P74" s="89"/>
      <c r="Q74" s="233">
        <f t="shared" si="47"/>
        <v>0</v>
      </c>
      <c r="R74" s="92">
        <f t="shared" si="48"/>
        <v>0</v>
      </c>
      <c r="S74" s="93"/>
      <c r="T74" s="93"/>
      <c r="U74" s="92">
        <f t="shared" si="41"/>
        <v>0</v>
      </c>
      <c r="V74" s="93"/>
      <c r="W74" s="93"/>
      <c r="X74" s="92">
        <f t="shared" si="42"/>
        <v>0</v>
      </c>
      <c r="Y74" s="93"/>
      <c r="Z74" s="93"/>
      <c r="AA74" s="92">
        <f t="shared" si="49"/>
        <v>0</v>
      </c>
      <c r="AB74" s="92">
        <f t="shared" si="50"/>
        <v>0</v>
      </c>
      <c r="AC74" s="234" t="e">
        <f t="shared" si="43"/>
        <v>#DIV/0!</v>
      </c>
      <c r="AD74" s="92">
        <f t="shared" si="44"/>
        <v>0</v>
      </c>
      <c r="AE74" s="93"/>
      <c r="AF74" s="234">
        <f t="shared" si="45"/>
        <v>0</v>
      </c>
      <c r="AG74" s="93"/>
      <c r="AH74" s="93"/>
      <c r="AI74" s="93"/>
      <c r="AJ74" s="93"/>
      <c r="AK74" s="93"/>
      <c r="AL74" s="122">
        <f t="shared" si="46"/>
        <v>0</v>
      </c>
      <c r="AM74" s="93"/>
      <c r="AN74" s="94">
        <f t="shared" si="51"/>
        <v>0</v>
      </c>
      <c r="AO74" s="95">
        <f t="shared" si="52"/>
        <v>0</v>
      </c>
      <c r="AP74" s="96"/>
      <c r="AQ74" s="97">
        <f t="shared" si="7"/>
        <v>0</v>
      </c>
      <c r="AR74" s="98">
        <f t="shared" si="30"/>
        <v>134.79</v>
      </c>
      <c r="AS74" s="98">
        <f t="shared" si="9"/>
        <v>0</v>
      </c>
      <c r="AT74" s="98">
        <f t="shared" si="10"/>
        <v>0</v>
      </c>
      <c r="AU74" s="98">
        <f t="shared" si="53"/>
        <v>0</v>
      </c>
      <c r="AV74" s="98">
        <f t="array" ref="AV74">_xlfn.IFS(U74=0,AO74,U74&lt;0,AO74/-U74,U74&gt;0,AO74/U74)</f>
        <v>0</v>
      </c>
      <c r="AW74" s="234">
        <f t="shared" si="38"/>
        <v>0</v>
      </c>
      <c r="AX74" s="234">
        <f t="shared" si="39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0"/>
        <v>0</v>
      </c>
      <c r="F75" s="93"/>
      <c r="G75" s="93"/>
      <c r="H75" s="93"/>
      <c r="I75" s="93"/>
      <c r="J75" s="93"/>
      <c r="K75" s="93">
        <v>134.79</v>
      </c>
      <c r="L75" s="92">
        <f t="shared" si="37"/>
        <v>0</v>
      </c>
      <c r="M75" s="89"/>
      <c r="N75" s="89"/>
      <c r="O75" s="89"/>
      <c r="P75" s="89"/>
      <c r="Q75" s="233">
        <f t="shared" si="47"/>
        <v>0</v>
      </c>
      <c r="R75" s="92">
        <f t="shared" si="48"/>
        <v>0</v>
      </c>
      <c r="S75" s="93"/>
      <c r="T75" s="93"/>
      <c r="U75" s="92">
        <f t="shared" si="41"/>
        <v>0</v>
      </c>
      <c r="V75" s="93"/>
      <c r="W75" s="93"/>
      <c r="X75" s="92">
        <f t="shared" si="42"/>
        <v>0</v>
      </c>
      <c r="Y75" s="93"/>
      <c r="Z75" s="93"/>
      <c r="AA75" s="92">
        <f t="shared" si="49"/>
        <v>0</v>
      </c>
      <c r="AB75" s="92">
        <f t="shared" si="50"/>
        <v>0</v>
      </c>
      <c r="AC75" s="234" t="e">
        <f t="shared" si="43"/>
        <v>#DIV/0!</v>
      </c>
      <c r="AD75" s="92">
        <f t="shared" si="44"/>
        <v>0</v>
      </c>
      <c r="AE75" s="93"/>
      <c r="AF75" s="234">
        <f t="shared" si="45"/>
        <v>0</v>
      </c>
      <c r="AG75" s="93"/>
      <c r="AH75" s="93"/>
      <c r="AI75" s="93"/>
      <c r="AJ75" s="93"/>
      <c r="AK75" s="93"/>
      <c r="AL75" s="122">
        <f t="shared" si="46"/>
        <v>0</v>
      </c>
      <c r="AM75" s="93"/>
      <c r="AN75" s="94">
        <f t="shared" si="51"/>
        <v>0</v>
      </c>
      <c r="AO75" s="95">
        <f t="shared" si="52"/>
        <v>0</v>
      </c>
      <c r="AP75" s="96"/>
      <c r="AQ75" s="97">
        <f t="shared" si="7"/>
        <v>0</v>
      </c>
      <c r="AR75" s="98">
        <f t="shared" si="30"/>
        <v>134.79</v>
      </c>
      <c r="AS75" s="98">
        <f t="shared" si="9"/>
        <v>0</v>
      </c>
      <c r="AT75" s="98">
        <f t="shared" si="10"/>
        <v>0</v>
      </c>
      <c r="AU75" s="98">
        <f t="shared" si="53"/>
        <v>0</v>
      </c>
      <c r="AV75" s="98">
        <f t="array" ref="AV75">_xlfn.IFS(U75=0,AO75,U75&lt;0,AO75/-U75,U75&gt;0,AO75/U75)</f>
        <v>0</v>
      </c>
      <c r="AW75" s="234">
        <f t="shared" si="38"/>
        <v>0</v>
      </c>
      <c r="AX75" s="234">
        <f t="shared" si="39"/>
        <v>0</v>
      </c>
      <c r="AY75" s="99"/>
      <c r="AZ75" s="94">
        <f t="shared" si="13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0"/>
        <v>0</v>
      </c>
      <c r="F76" s="93"/>
      <c r="G76" s="93"/>
      <c r="H76" s="93"/>
      <c r="I76" s="93"/>
      <c r="J76" s="93"/>
      <c r="K76" s="93">
        <v>123.09</v>
      </c>
      <c r="L76" s="92">
        <f t="shared" si="37"/>
        <v>0</v>
      </c>
      <c r="M76" s="89"/>
      <c r="N76" s="89"/>
      <c r="O76" s="89"/>
      <c r="P76" s="89"/>
      <c r="Q76" s="233">
        <f t="shared" si="47"/>
        <v>0</v>
      </c>
      <c r="R76" s="92">
        <f t="shared" si="48"/>
        <v>0</v>
      </c>
      <c r="S76" s="93"/>
      <c r="T76" s="93"/>
      <c r="U76" s="92">
        <f t="shared" si="41"/>
        <v>0</v>
      </c>
      <c r="V76" s="93"/>
      <c r="W76" s="93"/>
      <c r="X76" s="92">
        <f t="shared" si="42"/>
        <v>0</v>
      </c>
      <c r="Y76" s="93"/>
      <c r="Z76" s="93"/>
      <c r="AA76" s="92">
        <f t="shared" si="49"/>
        <v>0</v>
      </c>
      <c r="AB76" s="92">
        <f t="shared" si="50"/>
        <v>0</v>
      </c>
      <c r="AC76" s="234" t="e">
        <f t="shared" si="43"/>
        <v>#DIV/0!</v>
      </c>
      <c r="AD76" s="92">
        <f t="shared" si="44"/>
        <v>0</v>
      </c>
      <c r="AE76" s="93"/>
      <c r="AF76" s="234">
        <f t="shared" si="45"/>
        <v>0</v>
      </c>
      <c r="AG76" s="93"/>
      <c r="AH76" s="93"/>
      <c r="AI76" s="93"/>
      <c r="AJ76" s="93"/>
      <c r="AK76" s="93"/>
      <c r="AL76" s="122">
        <f t="shared" si="46"/>
        <v>0</v>
      </c>
      <c r="AM76" s="93"/>
      <c r="AN76" s="94">
        <f t="shared" si="51"/>
        <v>0</v>
      </c>
      <c r="AO76" s="95">
        <f t="shared" si="52"/>
        <v>0</v>
      </c>
      <c r="AP76" s="96"/>
      <c r="AQ76" s="97">
        <f t="shared" si="7"/>
        <v>0</v>
      </c>
      <c r="AR76" s="98">
        <f t="shared" si="30"/>
        <v>123.09</v>
      </c>
      <c r="AS76" s="98">
        <f t="shared" si="9"/>
        <v>0</v>
      </c>
      <c r="AT76" s="98">
        <f t="shared" si="10"/>
        <v>0</v>
      </c>
      <c r="AU76" s="98">
        <f t="shared" si="53"/>
        <v>0</v>
      </c>
      <c r="AV76" s="98">
        <f t="array" ref="AV76">_xlfn.IFS(U76=0,AO76,U76&lt;0,AO76/-U76,U76&gt;0,AO76/U76)</f>
        <v>0</v>
      </c>
      <c r="AW76" s="234">
        <f t="shared" si="38"/>
        <v>0</v>
      </c>
      <c r="AX76" s="234">
        <f t="shared" si="39"/>
        <v>0</v>
      </c>
      <c r="AY76" s="99"/>
      <c r="AZ76" s="94">
        <f t="shared" si="13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0"/>
        <v>0</v>
      </c>
      <c r="F77" s="93"/>
      <c r="G77" s="93"/>
      <c r="H77" s="93"/>
      <c r="I77" s="93"/>
      <c r="J77" s="93"/>
      <c r="K77" s="93">
        <v>123.09</v>
      </c>
      <c r="L77" s="92">
        <f t="shared" si="37"/>
        <v>0</v>
      </c>
      <c r="M77" s="89"/>
      <c r="N77" s="89"/>
      <c r="O77" s="89"/>
      <c r="P77" s="89"/>
      <c r="Q77" s="233">
        <f t="shared" si="47"/>
        <v>0</v>
      </c>
      <c r="R77" s="92">
        <f t="shared" si="48"/>
        <v>0</v>
      </c>
      <c r="S77" s="93"/>
      <c r="T77" s="93"/>
      <c r="U77" s="92">
        <f t="shared" si="41"/>
        <v>0</v>
      </c>
      <c r="V77" s="93"/>
      <c r="W77" s="93"/>
      <c r="X77" s="92">
        <f t="shared" si="42"/>
        <v>0</v>
      </c>
      <c r="Y77" s="93"/>
      <c r="Z77" s="93"/>
      <c r="AA77" s="92">
        <f t="shared" si="49"/>
        <v>0</v>
      </c>
      <c r="AB77" s="92">
        <f t="shared" si="50"/>
        <v>0</v>
      </c>
      <c r="AC77" s="234" t="e">
        <f t="shared" si="43"/>
        <v>#DIV/0!</v>
      </c>
      <c r="AD77" s="92">
        <f t="shared" si="44"/>
        <v>0</v>
      </c>
      <c r="AE77" s="93"/>
      <c r="AF77" s="234">
        <f t="shared" si="45"/>
        <v>0</v>
      </c>
      <c r="AG77" s="93"/>
      <c r="AH77" s="93"/>
      <c r="AI77" s="93"/>
      <c r="AJ77" s="93"/>
      <c r="AK77" s="93"/>
      <c r="AL77" s="122">
        <f t="shared" si="46"/>
        <v>0</v>
      </c>
      <c r="AM77" s="93"/>
      <c r="AN77" s="94">
        <f t="shared" si="51"/>
        <v>0</v>
      </c>
      <c r="AO77" s="95">
        <f t="shared" si="52"/>
        <v>0</v>
      </c>
      <c r="AP77" s="96"/>
      <c r="AQ77" s="97">
        <f t="shared" si="7"/>
        <v>0</v>
      </c>
      <c r="AR77" s="98">
        <f t="shared" si="30"/>
        <v>123.09</v>
      </c>
      <c r="AS77" s="98">
        <f t="shared" si="9"/>
        <v>0</v>
      </c>
      <c r="AT77" s="98">
        <f t="shared" si="10"/>
        <v>0</v>
      </c>
      <c r="AU77" s="98">
        <f t="shared" si="53"/>
        <v>0</v>
      </c>
      <c r="AV77" s="98">
        <f t="array" ref="AV77">_xlfn.IFS(U77=0,AO77,U77&lt;0,AO77/-U77,U77&gt;0,AO77/U77)</f>
        <v>0</v>
      </c>
      <c r="AW77" s="234">
        <f t="shared" si="38"/>
        <v>0</v>
      </c>
      <c r="AX77" s="234">
        <f t="shared" si="39"/>
        <v>0</v>
      </c>
      <c r="AY77" s="99"/>
      <c r="AZ77" s="94">
        <f t="shared" si="13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0"/>
        <v>0</v>
      </c>
      <c r="F78" s="93"/>
      <c r="G78" s="93"/>
      <c r="H78" s="93"/>
      <c r="I78" s="93"/>
      <c r="J78" s="93"/>
      <c r="K78" s="93">
        <v>123.09</v>
      </c>
      <c r="L78" s="92">
        <f t="shared" si="37"/>
        <v>0</v>
      </c>
      <c r="M78" s="89"/>
      <c r="N78" s="89"/>
      <c r="O78" s="89"/>
      <c r="P78" s="89"/>
      <c r="Q78" s="233">
        <f t="shared" si="47"/>
        <v>0</v>
      </c>
      <c r="R78" s="92">
        <f t="shared" si="48"/>
        <v>0</v>
      </c>
      <c r="S78" s="93"/>
      <c r="T78" s="93"/>
      <c r="U78" s="92">
        <f t="shared" si="41"/>
        <v>0</v>
      </c>
      <c r="V78" s="93"/>
      <c r="W78" s="93"/>
      <c r="X78" s="92">
        <f t="shared" si="42"/>
        <v>0</v>
      </c>
      <c r="Y78" s="93"/>
      <c r="Z78" s="93"/>
      <c r="AA78" s="92">
        <f t="shared" si="49"/>
        <v>0</v>
      </c>
      <c r="AB78" s="92">
        <f t="shared" si="50"/>
        <v>0</v>
      </c>
      <c r="AC78" s="234" t="e">
        <f t="shared" si="43"/>
        <v>#DIV/0!</v>
      </c>
      <c r="AD78" s="92">
        <f t="shared" si="44"/>
        <v>0</v>
      </c>
      <c r="AE78" s="93"/>
      <c r="AF78" s="234">
        <f t="shared" si="45"/>
        <v>0</v>
      </c>
      <c r="AG78" s="93"/>
      <c r="AH78" s="93"/>
      <c r="AI78" s="93"/>
      <c r="AJ78" s="93"/>
      <c r="AK78" s="93"/>
      <c r="AL78" s="122">
        <f t="shared" si="46"/>
        <v>0</v>
      </c>
      <c r="AM78" s="93"/>
      <c r="AN78" s="94">
        <f t="shared" si="51"/>
        <v>0</v>
      </c>
      <c r="AO78" s="95">
        <f t="shared" si="52"/>
        <v>0</v>
      </c>
      <c r="AP78" s="96"/>
      <c r="AQ78" s="97">
        <f t="shared" si="7"/>
        <v>0</v>
      </c>
      <c r="AR78" s="98">
        <f t="shared" si="30"/>
        <v>123.09</v>
      </c>
      <c r="AS78" s="98">
        <f t="shared" si="9"/>
        <v>0</v>
      </c>
      <c r="AT78" s="98">
        <f t="shared" si="10"/>
        <v>0</v>
      </c>
      <c r="AU78" s="98">
        <f t="shared" si="53"/>
        <v>0</v>
      </c>
      <c r="AV78" s="98">
        <f t="array" ref="AV78">_xlfn.IFS(U78=0,AO78,U78&lt;0,AO78/-U78,U78&gt;0,AO78/U78)</f>
        <v>0</v>
      </c>
      <c r="AW78" s="234">
        <f t="shared" si="38"/>
        <v>0</v>
      </c>
      <c r="AX78" s="234">
        <f t="shared" si="39"/>
        <v>0</v>
      </c>
      <c r="AY78" s="99"/>
      <c r="AZ78" s="94">
        <f t="shared" si="13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0"/>
        <v>0</v>
      </c>
      <c r="F79" s="93"/>
      <c r="G79" s="93"/>
      <c r="H79" s="93"/>
      <c r="I79" s="93"/>
      <c r="J79" s="93"/>
      <c r="K79" s="93">
        <v>164.04</v>
      </c>
      <c r="L79" s="92">
        <f t="shared" si="37"/>
        <v>0</v>
      </c>
      <c r="M79" s="89"/>
      <c r="N79" s="89"/>
      <c r="O79" s="89"/>
      <c r="P79" s="89"/>
      <c r="Q79" s="233">
        <f t="shared" si="47"/>
        <v>0</v>
      </c>
      <c r="R79" s="92">
        <f t="shared" si="48"/>
        <v>0</v>
      </c>
      <c r="S79" s="93"/>
      <c r="T79" s="93"/>
      <c r="U79" s="92">
        <f t="shared" si="41"/>
        <v>0</v>
      </c>
      <c r="V79" s="93"/>
      <c r="W79" s="93"/>
      <c r="X79" s="92">
        <f t="shared" si="42"/>
        <v>0</v>
      </c>
      <c r="Y79" s="93"/>
      <c r="Z79" s="93"/>
      <c r="AA79" s="92">
        <f t="shared" si="49"/>
        <v>0</v>
      </c>
      <c r="AB79" s="92">
        <f t="shared" si="50"/>
        <v>0</v>
      </c>
      <c r="AC79" s="234" t="e">
        <f t="shared" si="43"/>
        <v>#DIV/0!</v>
      </c>
      <c r="AD79" s="92">
        <f t="shared" si="44"/>
        <v>0</v>
      </c>
      <c r="AE79" s="93"/>
      <c r="AF79" s="234">
        <f t="shared" si="45"/>
        <v>0</v>
      </c>
      <c r="AG79" s="93"/>
      <c r="AH79" s="93"/>
      <c r="AI79" s="93"/>
      <c r="AJ79" s="93"/>
      <c r="AK79" s="93"/>
      <c r="AL79" s="122">
        <f t="shared" si="46"/>
        <v>0</v>
      </c>
      <c r="AM79" s="93"/>
      <c r="AN79" s="94">
        <f t="shared" si="51"/>
        <v>0</v>
      </c>
      <c r="AO79" s="95">
        <f t="shared" si="52"/>
        <v>0</v>
      </c>
      <c r="AP79" s="96"/>
      <c r="AQ79" s="97">
        <f t="shared" si="7"/>
        <v>0</v>
      </c>
      <c r="AR79" s="98">
        <f t="shared" si="30"/>
        <v>164.04</v>
      </c>
      <c r="AS79" s="98">
        <f t="shared" si="9"/>
        <v>0</v>
      </c>
      <c r="AT79" s="98">
        <f t="shared" si="10"/>
        <v>0</v>
      </c>
      <c r="AU79" s="98">
        <f t="shared" si="53"/>
        <v>0</v>
      </c>
      <c r="AV79" s="98">
        <f t="array" ref="AV79">_xlfn.IFS(U79=0,AO79,U79&lt;0,AO79/-U79,U79&gt;0,AO79/U79)</f>
        <v>0</v>
      </c>
      <c r="AW79" s="234">
        <f t="shared" si="38"/>
        <v>0</v>
      </c>
      <c r="AX79" s="234">
        <f t="shared" si="39"/>
        <v>0</v>
      </c>
      <c r="AY79" s="99"/>
      <c r="AZ79" s="94">
        <f t="shared" si="13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0"/>
        <v>0</v>
      </c>
      <c r="F80" s="93"/>
      <c r="G80" s="93"/>
      <c r="H80" s="93"/>
      <c r="I80" s="93"/>
      <c r="J80" s="93"/>
      <c r="K80" s="93">
        <v>164.04</v>
      </c>
      <c r="L80" s="92">
        <f t="shared" si="37"/>
        <v>0</v>
      </c>
      <c r="M80" s="89"/>
      <c r="N80" s="89"/>
      <c r="O80" s="89"/>
      <c r="P80" s="89"/>
      <c r="Q80" s="233">
        <f t="shared" si="47"/>
        <v>0</v>
      </c>
      <c r="R80" s="92">
        <f t="shared" si="48"/>
        <v>0</v>
      </c>
      <c r="S80" s="93"/>
      <c r="T80" s="93"/>
      <c r="U80" s="92">
        <f t="shared" si="41"/>
        <v>0</v>
      </c>
      <c r="V80" s="93"/>
      <c r="W80" s="93"/>
      <c r="X80" s="92">
        <f t="shared" si="42"/>
        <v>0</v>
      </c>
      <c r="Y80" s="93"/>
      <c r="Z80" s="93"/>
      <c r="AA80" s="92">
        <f t="shared" si="49"/>
        <v>0</v>
      </c>
      <c r="AB80" s="92">
        <f t="shared" si="50"/>
        <v>0</v>
      </c>
      <c r="AC80" s="234" t="e">
        <f t="shared" si="43"/>
        <v>#DIV/0!</v>
      </c>
      <c r="AD80" s="92">
        <f t="shared" si="44"/>
        <v>0</v>
      </c>
      <c r="AE80" s="93"/>
      <c r="AF80" s="234">
        <f t="shared" si="45"/>
        <v>0</v>
      </c>
      <c r="AG80" s="93"/>
      <c r="AH80" s="93"/>
      <c r="AI80" s="93"/>
      <c r="AJ80" s="93"/>
      <c r="AK80" s="93"/>
      <c r="AL80" s="122">
        <f t="shared" si="46"/>
        <v>0</v>
      </c>
      <c r="AM80" s="93"/>
      <c r="AN80" s="94">
        <f t="shared" si="51"/>
        <v>0</v>
      </c>
      <c r="AO80" s="95">
        <f t="shared" si="52"/>
        <v>0</v>
      </c>
      <c r="AP80" s="96"/>
      <c r="AQ80" s="97">
        <f t="shared" si="7"/>
        <v>0</v>
      </c>
      <c r="AR80" s="98">
        <f t="shared" si="30"/>
        <v>164.04</v>
      </c>
      <c r="AS80" s="98">
        <f t="shared" si="9"/>
        <v>0</v>
      </c>
      <c r="AT80" s="98">
        <f t="shared" si="10"/>
        <v>0</v>
      </c>
      <c r="AU80" s="98">
        <f t="shared" si="53"/>
        <v>0</v>
      </c>
      <c r="AV80" s="98">
        <f t="array" ref="AV80">_xlfn.IFS(U80=0,AO80,U80&lt;0,AO80/-U80,U80&gt;0,AO80/U80)</f>
        <v>0</v>
      </c>
      <c r="AW80" s="234">
        <f t="shared" si="38"/>
        <v>0</v>
      </c>
      <c r="AX80" s="234">
        <f t="shared" si="39"/>
        <v>0</v>
      </c>
      <c r="AY80" s="99"/>
      <c r="AZ80" s="94">
        <f t="shared" si="13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0"/>
        <v>0</v>
      </c>
      <c r="F81" s="93"/>
      <c r="G81" s="93"/>
      <c r="H81" s="93"/>
      <c r="I81" s="93"/>
      <c r="J81" s="93"/>
      <c r="K81" s="93">
        <v>128.94</v>
      </c>
      <c r="L81" s="92">
        <f t="shared" si="37"/>
        <v>0</v>
      </c>
      <c r="M81" s="89"/>
      <c r="N81" s="89"/>
      <c r="O81" s="89"/>
      <c r="P81" s="89"/>
      <c r="Q81" s="233">
        <f t="shared" si="47"/>
        <v>0</v>
      </c>
      <c r="R81" s="92">
        <f t="shared" si="48"/>
        <v>0</v>
      </c>
      <c r="S81" s="93"/>
      <c r="T81" s="93"/>
      <c r="U81" s="92">
        <f t="shared" si="41"/>
        <v>0</v>
      </c>
      <c r="V81" s="93"/>
      <c r="W81" s="93"/>
      <c r="X81" s="92">
        <f t="shared" si="42"/>
        <v>0</v>
      </c>
      <c r="Y81" s="93"/>
      <c r="Z81" s="93"/>
      <c r="AA81" s="92">
        <f t="shared" si="49"/>
        <v>0</v>
      </c>
      <c r="AB81" s="92">
        <f t="shared" si="50"/>
        <v>0</v>
      </c>
      <c r="AC81" s="234" t="e">
        <f t="shared" si="43"/>
        <v>#DIV/0!</v>
      </c>
      <c r="AD81" s="92">
        <f t="shared" si="44"/>
        <v>0</v>
      </c>
      <c r="AE81" s="93"/>
      <c r="AF81" s="234">
        <f t="shared" si="45"/>
        <v>0</v>
      </c>
      <c r="AG81" s="93"/>
      <c r="AH81" s="93"/>
      <c r="AI81" s="93"/>
      <c r="AJ81" s="93"/>
      <c r="AK81" s="93"/>
      <c r="AL81" s="122">
        <f t="shared" si="46"/>
        <v>0</v>
      </c>
      <c r="AM81" s="93"/>
      <c r="AN81" s="94">
        <f t="shared" si="51"/>
        <v>0</v>
      </c>
      <c r="AO81" s="95">
        <f t="shared" si="52"/>
        <v>0</v>
      </c>
      <c r="AP81" s="96"/>
      <c r="AQ81" s="97">
        <f t="shared" si="7"/>
        <v>0</v>
      </c>
      <c r="AR81" s="98">
        <f t="shared" si="30"/>
        <v>128.94</v>
      </c>
      <c r="AS81" s="98">
        <f t="shared" si="9"/>
        <v>0</v>
      </c>
      <c r="AT81" s="98">
        <f t="shared" si="10"/>
        <v>0</v>
      </c>
      <c r="AU81" s="98">
        <f t="shared" si="53"/>
        <v>0</v>
      </c>
      <c r="AV81" s="98">
        <f t="array" ref="AV81">_xlfn.IFS(U81=0,AO81,U81&lt;0,AO81/-U81,U81&gt;0,AO81/U81)</f>
        <v>0</v>
      </c>
      <c r="AW81" s="234">
        <f t="shared" si="38"/>
        <v>0</v>
      </c>
      <c r="AX81" s="234">
        <f t="shared" si="39"/>
        <v>0</v>
      </c>
      <c r="AY81" s="99"/>
      <c r="AZ81" s="94">
        <f t="shared" si="13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0"/>
        <v>0</v>
      </c>
      <c r="F82" s="93"/>
      <c r="G82" s="93"/>
      <c r="H82" s="93"/>
      <c r="I82" s="93"/>
      <c r="J82" s="93"/>
      <c r="K82" s="93">
        <v>128.94</v>
      </c>
      <c r="L82" s="92">
        <f t="shared" si="37"/>
        <v>0</v>
      </c>
      <c r="M82" s="89"/>
      <c r="N82" s="89"/>
      <c r="O82" s="89"/>
      <c r="P82" s="89"/>
      <c r="Q82" s="233">
        <f t="shared" si="47"/>
        <v>0</v>
      </c>
      <c r="R82" s="92">
        <f t="shared" si="48"/>
        <v>0</v>
      </c>
      <c r="S82" s="93"/>
      <c r="T82" s="93"/>
      <c r="U82" s="92">
        <f t="shared" si="41"/>
        <v>0</v>
      </c>
      <c r="V82" s="93"/>
      <c r="W82" s="93"/>
      <c r="X82" s="92">
        <f t="shared" si="42"/>
        <v>0</v>
      </c>
      <c r="Y82" s="93"/>
      <c r="Z82" s="93"/>
      <c r="AA82" s="92">
        <f t="shared" si="49"/>
        <v>0</v>
      </c>
      <c r="AB82" s="92">
        <f t="shared" si="50"/>
        <v>0</v>
      </c>
      <c r="AC82" s="234" t="e">
        <f t="shared" si="43"/>
        <v>#DIV/0!</v>
      </c>
      <c r="AD82" s="92">
        <f t="shared" si="44"/>
        <v>0</v>
      </c>
      <c r="AE82" s="93"/>
      <c r="AF82" s="234">
        <f t="shared" si="45"/>
        <v>0</v>
      </c>
      <c r="AG82" s="93"/>
      <c r="AH82" s="93"/>
      <c r="AI82" s="93"/>
      <c r="AJ82" s="93"/>
      <c r="AK82" s="93"/>
      <c r="AL82" s="122">
        <f t="shared" si="46"/>
        <v>0</v>
      </c>
      <c r="AM82" s="93"/>
      <c r="AN82" s="94">
        <f t="shared" si="51"/>
        <v>0</v>
      </c>
      <c r="AO82" s="95">
        <f t="shared" si="52"/>
        <v>0</v>
      </c>
      <c r="AP82" s="96"/>
      <c r="AQ82" s="97">
        <f t="shared" si="7"/>
        <v>0</v>
      </c>
      <c r="AR82" s="98">
        <f t="shared" si="30"/>
        <v>128.94</v>
      </c>
      <c r="AS82" s="98">
        <f t="shared" si="9"/>
        <v>0</v>
      </c>
      <c r="AT82" s="98">
        <f t="shared" si="10"/>
        <v>0</v>
      </c>
      <c r="AU82" s="98">
        <f t="shared" si="53"/>
        <v>0</v>
      </c>
      <c r="AV82" s="98">
        <f t="array" ref="AV82">_xlfn.IFS(U82=0,AO82,U82&lt;0,AO82/-U82,U82&gt;0,AO82/U82)</f>
        <v>0</v>
      </c>
      <c r="AW82" s="234">
        <f t="shared" si="38"/>
        <v>0</v>
      </c>
      <c r="AX82" s="234">
        <f t="shared" si="39"/>
        <v>0</v>
      </c>
      <c r="AY82" s="99"/>
      <c r="AZ82" s="94">
        <f t="shared" si="13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0"/>
        <v>0</v>
      </c>
      <c r="F83" s="93"/>
      <c r="G83" s="93"/>
      <c r="H83" s="93"/>
      <c r="I83" s="93"/>
      <c r="J83" s="93"/>
      <c r="K83" s="93">
        <v>123.09</v>
      </c>
      <c r="L83" s="92">
        <f t="shared" si="37"/>
        <v>0</v>
      </c>
      <c r="M83" s="89"/>
      <c r="N83" s="89"/>
      <c r="O83" s="89"/>
      <c r="P83" s="89"/>
      <c r="Q83" s="233">
        <f t="shared" si="47"/>
        <v>0</v>
      </c>
      <c r="R83" s="92">
        <f t="shared" si="48"/>
        <v>0</v>
      </c>
      <c r="S83" s="93"/>
      <c r="T83" s="93"/>
      <c r="U83" s="92">
        <f t="shared" si="41"/>
        <v>0</v>
      </c>
      <c r="V83" s="93"/>
      <c r="W83" s="93"/>
      <c r="X83" s="92">
        <f t="shared" si="42"/>
        <v>0</v>
      </c>
      <c r="Y83" s="93"/>
      <c r="Z83" s="93"/>
      <c r="AA83" s="92">
        <f t="shared" si="49"/>
        <v>0</v>
      </c>
      <c r="AB83" s="92">
        <f t="shared" si="50"/>
        <v>0</v>
      </c>
      <c r="AC83" s="234" t="e">
        <f t="shared" si="43"/>
        <v>#DIV/0!</v>
      </c>
      <c r="AD83" s="92">
        <f t="shared" si="44"/>
        <v>0</v>
      </c>
      <c r="AE83" s="93"/>
      <c r="AF83" s="234">
        <f t="shared" si="45"/>
        <v>0</v>
      </c>
      <c r="AG83" s="93"/>
      <c r="AH83" s="93"/>
      <c r="AI83" s="93"/>
      <c r="AJ83" s="93"/>
      <c r="AK83" s="93"/>
      <c r="AL83" s="122">
        <f t="shared" si="46"/>
        <v>0</v>
      </c>
      <c r="AM83" s="93"/>
      <c r="AN83" s="94">
        <f t="shared" si="51"/>
        <v>0</v>
      </c>
      <c r="AO83" s="95">
        <f t="shared" si="52"/>
        <v>0</v>
      </c>
      <c r="AP83" s="96"/>
      <c r="AQ83" s="97">
        <f t="shared" si="7"/>
        <v>0</v>
      </c>
      <c r="AR83" s="98">
        <f t="shared" si="30"/>
        <v>123.09</v>
      </c>
      <c r="AS83" s="98">
        <f t="shared" si="9"/>
        <v>0</v>
      </c>
      <c r="AT83" s="98">
        <f t="shared" si="10"/>
        <v>0</v>
      </c>
      <c r="AU83" s="98">
        <f t="shared" si="53"/>
        <v>0</v>
      </c>
      <c r="AV83" s="98">
        <f t="array" ref="AV83">_xlfn.IFS(U83=0,AO83,U83&lt;0,AO83/-U83,U83&gt;0,AO83/U83)</f>
        <v>0</v>
      </c>
      <c r="AW83" s="234">
        <f t="shared" si="38"/>
        <v>0</v>
      </c>
      <c r="AX83" s="234">
        <f t="shared" si="39"/>
        <v>0</v>
      </c>
      <c r="AY83" s="99"/>
      <c r="AZ83" s="94">
        <f t="shared" si="13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0"/>
        <v>0</v>
      </c>
      <c r="F84" s="93"/>
      <c r="G84" s="93"/>
      <c r="H84" s="93"/>
      <c r="I84" s="93"/>
      <c r="J84" s="93"/>
      <c r="K84" s="93">
        <v>146.49</v>
      </c>
      <c r="L84" s="92">
        <f t="shared" si="37"/>
        <v>0</v>
      </c>
      <c r="M84" s="89"/>
      <c r="N84" s="89"/>
      <c r="O84" s="89"/>
      <c r="P84" s="89"/>
      <c r="Q84" s="233">
        <f t="shared" si="47"/>
        <v>0</v>
      </c>
      <c r="R84" s="92">
        <f t="shared" si="48"/>
        <v>0</v>
      </c>
      <c r="S84" s="93"/>
      <c r="T84" s="93"/>
      <c r="U84" s="92">
        <f t="shared" si="41"/>
        <v>0</v>
      </c>
      <c r="V84" s="93"/>
      <c r="W84" s="93"/>
      <c r="X84" s="92">
        <f t="shared" si="42"/>
        <v>0</v>
      </c>
      <c r="Y84" s="93"/>
      <c r="Z84" s="93"/>
      <c r="AA84" s="92">
        <f t="shared" si="49"/>
        <v>0</v>
      </c>
      <c r="AB84" s="92">
        <f t="shared" si="50"/>
        <v>0</v>
      </c>
      <c r="AC84" s="234" t="e">
        <f t="shared" si="43"/>
        <v>#DIV/0!</v>
      </c>
      <c r="AD84" s="92">
        <f t="shared" si="44"/>
        <v>0</v>
      </c>
      <c r="AE84" s="93"/>
      <c r="AF84" s="234">
        <f t="shared" si="45"/>
        <v>0</v>
      </c>
      <c r="AG84" s="93"/>
      <c r="AH84" s="93"/>
      <c r="AI84" s="93"/>
      <c r="AJ84" s="93"/>
      <c r="AK84" s="93"/>
      <c r="AL84" s="122">
        <f t="shared" si="46"/>
        <v>0</v>
      </c>
      <c r="AM84" s="93"/>
      <c r="AN84" s="94">
        <f t="shared" si="51"/>
        <v>0</v>
      </c>
      <c r="AO84" s="95">
        <f t="shared" si="52"/>
        <v>0</v>
      </c>
      <c r="AP84" s="96"/>
      <c r="AQ84" s="97">
        <f t="shared" si="7"/>
        <v>0</v>
      </c>
      <c r="AR84" s="98">
        <f t="shared" si="30"/>
        <v>146.49</v>
      </c>
      <c r="AS84" s="98">
        <f t="shared" si="9"/>
        <v>0</v>
      </c>
      <c r="AT84" s="98">
        <f t="shared" si="10"/>
        <v>0</v>
      </c>
      <c r="AU84" s="98">
        <f t="shared" si="53"/>
        <v>0</v>
      </c>
      <c r="AV84" s="98">
        <f t="array" ref="AV84">_xlfn.IFS(U84=0,AO84,U84&lt;0,AO84/-U84,U84&gt;0,AO84/U84)</f>
        <v>0</v>
      </c>
      <c r="AW84" s="234">
        <f t="shared" si="38"/>
        <v>0</v>
      </c>
      <c r="AX84" s="234">
        <f t="shared" si="39"/>
        <v>0</v>
      </c>
      <c r="AY84" s="99"/>
      <c r="AZ84" s="94">
        <f t="shared" si="13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0"/>
        <v>0</v>
      </c>
      <c r="F85" s="93"/>
      <c r="G85" s="93"/>
      <c r="H85" s="93"/>
      <c r="I85" s="93"/>
      <c r="J85" s="93"/>
      <c r="K85" s="93">
        <v>103.2</v>
      </c>
      <c r="L85" s="92">
        <f t="shared" si="37"/>
        <v>0</v>
      </c>
      <c r="M85" s="89"/>
      <c r="N85" s="89"/>
      <c r="O85" s="89"/>
      <c r="P85" s="89"/>
      <c r="Q85" s="233">
        <f t="shared" si="47"/>
        <v>0</v>
      </c>
      <c r="R85" s="92">
        <f t="shared" si="48"/>
        <v>0</v>
      </c>
      <c r="S85" s="93"/>
      <c r="T85" s="93"/>
      <c r="U85" s="92">
        <f t="shared" si="41"/>
        <v>0</v>
      </c>
      <c r="V85" s="93"/>
      <c r="W85" s="93"/>
      <c r="X85" s="92">
        <f t="shared" si="42"/>
        <v>0</v>
      </c>
      <c r="Y85" s="93"/>
      <c r="Z85" s="93"/>
      <c r="AA85" s="92">
        <f t="shared" si="49"/>
        <v>0</v>
      </c>
      <c r="AB85" s="92">
        <f t="shared" si="50"/>
        <v>0</v>
      </c>
      <c r="AC85" s="234" t="e">
        <f t="shared" si="43"/>
        <v>#DIV/0!</v>
      </c>
      <c r="AD85" s="92">
        <f t="shared" si="44"/>
        <v>0</v>
      </c>
      <c r="AE85" s="93"/>
      <c r="AF85" s="234">
        <f t="shared" si="45"/>
        <v>0</v>
      </c>
      <c r="AG85" s="93"/>
      <c r="AH85" s="93"/>
      <c r="AI85" s="93"/>
      <c r="AJ85" s="93"/>
      <c r="AK85" s="93"/>
      <c r="AL85" s="122">
        <f t="shared" si="46"/>
        <v>0</v>
      </c>
      <c r="AM85" s="93"/>
      <c r="AN85" s="94">
        <f t="shared" si="51"/>
        <v>0</v>
      </c>
      <c r="AO85" s="95">
        <f t="shared" si="52"/>
        <v>0</v>
      </c>
      <c r="AP85" s="96"/>
      <c r="AQ85" s="97">
        <f t="shared" si="7"/>
        <v>0</v>
      </c>
      <c r="AR85" s="98">
        <f t="shared" si="30"/>
        <v>103.2</v>
      </c>
      <c r="AS85" s="98">
        <f t="shared" si="9"/>
        <v>0</v>
      </c>
      <c r="AT85" s="98">
        <f t="shared" si="10"/>
        <v>0</v>
      </c>
      <c r="AU85" s="98">
        <f t="shared" si="53"/>
        <v>0</v>
      </c>
      <c r="AV85" s="98">
        <f t="array" ref="AV85">_xlfn.IFS(U85=0,AO85,U85&lt;0,AO85/-U85,U85&gt;0,AO85/U85)</f>
        <v>0</v>
      </c>
      <c r="AW85" s="234">
        <f t="shared" si="38"/>
        <v>0</v>
      </c>
      <c r="AX85" s="234">
        <f t="shared" si="39"/>
        <v>0</v>
      </c>
      <c r="AY85" s="99"/>
      <c r="AZ85" s="94">
        <f t="shared" si="13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0"/>
        <v>0</v>
      </c>
      <c r="F86" s="93"/>
      <c r="G86" s="93"/>
      <c r="H86" s="93"/>
      <c r="I86" s="93"/>
      <c r="J86" s="93"/>
      <c r="K86" s="93">
        <v>150</v>
      </c>
      <c r="L86" s="92">
        <f t="shared" si="37"/>
        <v>0</v>
      </c>
      <c r="M86" s="89"/>
      <c r="N86" s="89"/>
      <c r="O86" s="89"/>
      <c r="P86" s="89"/>
      <c r="Q86" s="233">
        <f t="shared" si="47"/>
        <v>0</v>
      </c>
      <c r="R86" s="92">
        <f t="shared" si="48"/>
        <v>0</v>
      </c>
      <c r="S86" s="93"/>
      <c r="T86" s="93"/>
      <c r="U86" s="92">
        <f t="shared" si="41"/>
        <v>0</v>
      </c>
      <c r="V86" s="93"/>
      <c r="W86" s="93"/>
      <c r="X86" s="92">
        <f t="shared" si="42"/>
        <v>0</v>
      </c>
      <c r="Y86" s="93"/>
      <c r="Z86" s="93"/>
      <c r="AA86" s="92">
        <f t="shared" si="49"/>
        <v>0</v>
      </c>
      <c r="AB86" s="92">
        <f t="shared" si="50"/>
        <v>0</v>
      </c>
      <c r="AC86" s="234" t="e">
        <f t="shared" si="43"/>
        <v>#DIV/0!</v>
      </c>
      <c r="AD86" s="92">
        <f t="shared" si="44"/>
        <v>0</v>
      </c>
      <c r="AE86" s="93"/>
      <c r="AF86" s="234">
        <f t="shared" si="45"/>
        <v>0</v>
      </c>
      <c r="AG86" s="93"/>
      <c r="AH86" s="93"/>
      <c r="AI86" s="93"/>
      <c r="AJ86" s="93"/>
      <c r="AK86" s="93"/>
      <c r="AL86" s="122">
        <f t="shared" si="46"/>
        <v>0</v>
      </c>
      <c r="AM86" s="93"/>
      <c r="AN86" s="94">
        <f t="shared" si="51"/>
        <v>0</v>
      </c>
      <c r="AO86" s="95">
        <f t="shared" si="52"/>
        <v>0</v>
      </c>
      <c r="AP86" s="96"/>
      <c r="AQ86" s="97">
        <f t="shared" si="7"/>
        <v>0</v>
      </c>
      <c r="AR86" s="98">
        <f t="shared" si="30"/>
        <v>150</v>
      </c>
      <c r="AS86" s="98">
        <f t="shared" si="9"/>
        <v>0</v>
      </c>
      <c r="AT86" s="98">
        <f t="shared" si="10"/>
        <v>0</v>
      </c>
      <c r="AU86" s="98">
        <f t="shared" si="53"/>
        <v>0</v>
      </c>
      <c r="AV86" s="98">
        <f t="array" ref="AV86">_xlfn.IFS(U86=0,AO86,U86&lt;0,AO86/-U86,U86&gt;0,AO86/U86)</f>
        <v>0</v>
      </c>
      <c r="AW86" s="234">
        <f t="shared" si="38"/>
        <v>0</v>
      </c>
      <c r="AX86" s="234">
        <f t="shared" si="39"/>
        <v>0</v>
      </c>
      <c r="AY86" s="99"/>
      <c r="AZ86" s="94">
        <f t="shared" si="13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0"/>
        <v>0</v>
      </c>
      <c r="F87" s="93"/>
      <c r="G87" s="93"/>
      <c r="H87" s="93"/>
      <c r="I87" s="93"/>
      <c r="J87" s="93"/>
      <c r="K87" s="93">
        <v>150</v>
      </c>
      <c r="L87" s="92">
        <f t="shared" si="37"/>
        <v>0</v>
      </c>
      <c r="M87" s="89"/>
      <c r="N87" s="89"/>
      <c r="O87" s="89"/>
      <c r="P87" s="89"/>
      <c r="Q87" s="233">
        <f t="shared" si="47"/>
        <v>0</v>
      </c>
      <c r="R87" s="92">
        <f t="shared" si="48"/>
        <v>0</v>
      </c>
      <c r="S87" s="93"/>
      <c r="T87" s="93"/>
      <c r="U87" s="92">
        <f t="shared" si="41"/>
        <v>0</v>
      </c>
      <c r="V87" s="93"/>
      <c r="W87" s="93"/>
      <c r="X87" s="92">
        <f t="shared" si="42"/>
        <v>0</v>
      </c>
      <c r="Y87" s="93"/>
      <c r="Z87" s="93"/>
      <c r="AA87" s="92">
        <f t="shared" si="49"/>
        <v>0</v>
      </c>
      <c r="AB87" s="92">
        <f t="shared" si="50"/>
        <v>0</v>
      </c>
      <c r="AC87" s="234" t="e">
        <f t="shared" si="43"/>
        <v>#DIV/0!</v>
      </c>
      <c r="AD87" s="92">
        <f t="shared" si="44"/>
        <v>0</v>
      </c>
      <c r="AE87" s="93"/>
      <c r="AF87" s="234">
        <f t="shared" si="45"/>
        <v>0</v>
      </c>
      <c r="AG87" s="93"/>
      <c r="AH87" s="93"/>
      <c r="AI87" s="93"/>
      <c r="AJ87" s="93"/>
      <c r="AK87" s="93"/>
      <c r="AL87" s="122">
        <f t="shared" si="46"/>
        <v>0</v>
      </c>
      <c r="AM87" s="93"/>
      <c r="AN87" s="94">
        <f t="shared" si="51"/>
        <v>0</v>
      </c>
      <c r="AO87" s="95">
        <f t="shared" si="52"/>
        <v>0</v>
      </c>
      <c r="AP87" s="96"/>
      <c r="AQ87" s="97">
        <f t="shared" si="7"/>
        <v>0</v>
      </c>
      <c r="AR87" s="98">
        <f t="shared" si="30"/>
        <v>150</v>
      </c>
      <c r="AS87" s="98">
        <f t="shared" si="9"/>
        <v>0</v>
      </c>
      <c r="AT87" s="98">
        <f t="shared" si="10"/>
        <v>0</v>
      </c>
      <c r="AU87" s="98">
        <f t="shared" si="53"/>
        <v>0</v>
      </c>
      <c r="AV87" s="98">
        <f t="array" ref="AV87">_xlfn.IFS(U87=0,AO87,U87&lt;0,AO87/-U87,U87&gt;0,AO87/U87)</f>
        <v>0</v>
      </c>
      <c r="AW87" s="234">
        <f t="shared" si="38"/>
        <v>0</v>
      </c>
      <c r="AX87" s="234">
        <f t="shared" si="39"/>
        <v>0</v>
      </c>
      <c r="AY87" s="99"/>
      <c r="AZ87" s="94">
        <f t="shared" si="13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0"/>
        <v>0</v>
      </c>
      <c r="F88" s="93"/>
      <c r="G88" s="93"/>
      <c r="H88" s="93"/>
      <c r="I88" s="93"/>
      <c r="J88" s="93"/>
      <c r="K88" s="93">
        <v>150</v>
      </c>
      <c r="L88" s="92">
        <f t="shared" si="37"/>
        <v>0</v>
      </c>
      <c r="M88" s="89"/>
      <c r="N88" s="89"/>
      <c r="O88" s="89"/>
      <c r="P88" s="89"/>
      <c r="Q88" s="233">
        <f t="shared" si="47"/>
        <v>0</v>
      </c>
      <c r="R88" s="92">
        <f t="shared" si="48"/>
        <v>0</v>
      </c>
      <c r="S88" s="93"/>
      <c r="T88" s="93"/>
      <c r="U88" s="92">
        <f t="shared" si="41"/>
        <v>0</v>
      </c>
      <c r="V88" s="93"/>
      <c r="W88" s="93"/>
      <c r="X88" s="92">
        <f t="shared" si="42"/>
        <v>0</v>
      </c>
      <c r="Y88" s="93"/>
      <c r="Z88" s="93"/>
      <c r="AA88" s="92">
        <f t="shared" si="49"/>
        <v>0</v>
      </c>
      <c r="AB88" s="92">
        <f t="shared" si="50"/>
        <v>0</v>
      </c>
      <c r="AC88" s="234" t="e">
        <f t="shared" si="43"/>
        <v>#DIV/0!</v>
      </c>
      <c r="AD88" s="92">
        <f t="shared" si="44"/>
        <v>0</v>
      </c>
      <c r="AE88" s="93"/>
      <c r="AF88" s="234">
        <f t="shared" si="45"/>
        <v>0</v>
      </c>
      <c r="AG88" s="93"/>
      <c r="AH88" s="93"/>
      <c r="AI88" s="93"/>
      <c r="AJ88" s="93"/>
      <c r="AK88" s="93"/>
      <c r="AL88" s="122">
        <f t="shared" si="46"/>
        <v>0</v>
      </c>
      <c r="AM88" s="93"/>
      <c r="AN88" s="94">
        <f t="shared" si="51"/>
        <v>0</v>
      </c>
      <c r="AO88" s="95">
        <f t="shared" si="52"/>
        <v>0</v>
      </c>
      <c r="AP88" s="96"/>
      <c r="AQ88" s="97">
        <f t="shared" si="7"/>
        <v>0</v>
      </c>
      <c r="AR88" s="98">
        <f t="shared" si="30"/>
        <v>150</v>
      </c>
      <c r="AS88" s="98">
        <f t="shared" si="9"/>
        <v>0</v>
      </c>
      <c r="AT88" s="98">
        <f t="shared" si="10"/>
        <v>0</v>
      </c>
      <c r="AU88" s="98">
        <f t="shared" si="53"/>
        <v>0</v>
      </c>
      <c r="AV88" s="98">
        <f t="array" ref="AV88">_xlfn.IFS(U88=0,AO88,U88&lt;0,AO88/-U88,U88&gt;0,AO88/U88)</f>
        <v>0</v>
      </c>
      <c r="AW88" s="234">
        <f t="shared" si="38"/>
        <v>0</v>
      </c>
      <c r="AX88" s="234">
        <f t="shared" si="39"/>
        <v>0</v>
      </c>
      <c r="AY88" s="99"/>
      <c r="AZ88" s="94">
        <f t="shared" si="13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0"/>
        <v>0</v>
      </c>
      <c r="F89" s="93"/>
      <c r="G89" s="93"/>
      <c r="H89" s="93"/>
      <c r="I89" s="93"/>
      <c r="J89" s="93"/>
      <c r="K89" s="93">
        <v>169.89</v>
      </c>
      <c r="L89" s="92">
        <f t="shared" si="37"/>
        <v>0</v>
      </c>
      <c r="M89" s="89"/>
      <c r="N89" s="89"/>
      <c r="O89" s="89"/>
      <c r="P89" s="89"/>
      <c r="Q89" s="233">
        <f t="shared" si="47"/>
        <v>0</v>
      </c>
      <c r="R89" s="92">
        <f t="shared" si="48"/>
        <v>0</v>
      </c>
      <c r="S89" s="93"/>
      <c r="T89" s="93"/>
      <c r="U89" s="92">
        <f t="shared" si="41"/>
        <v>0</v>
      </c>
      <c r="V89" s="93"/>
      <c r="W89" s="93"/>
      <c r="X89" s="92">
        <f t="shared" si="42"/>
        <v>0</v>
      </c>
      <c r="Y89" s="93"/>
      <c r="Z89" s="93"/>
      <c r="AA89" s="92">
        <f t="shared" si="49"/>
        <v>0</v>
      </c>
      <c r="AB89" s="92">
        <f t="shared" si="50"/>
        <v>0</v>
      </c>
      <c r="AC89" s="234" t="e">
        <f t="shared" si="43"/>
        <v>#DIV/0!</v>
      </c>
      <c r="AD89" s="92">
        <f t="shared" si="44"/>
        <v>0</v>
      </c>
      <c r="AE89" s="93"/>
      <c r="AF89" s="234">
        <f t="shared" si="45"/>
        <v>0</v>
      </c>
      <c r="AG89" s="93"/>
      <c r="AH89" s="93"/>
      <c r="AI89" s="93"/>
      <c r="AJ89" s="93"/>
      <c r="AK89" s="93"/>
      <c r="AL89" s="122">
        <f t="shared" si="46"/>
        <v>0</v>
      </c>
      <c r="AM89" s="93"/>
      <c r="AN89" s="94">
        <f t="shared" si="51"/>
        <v>0</v>
      </c>
      <c r="AO89" s="95">
        <f t="shared" si="52"/>
        <v>0</v>
      </c>
      <c r="AP89" s="96"/>
      <c r="AQ89" s="97">
        <f t="shared" si="7"/>
        <v>0</v>
      </c>
      <c r="AR89" s="98">
        <f t="shared" si="30"/>
        <v>169.89</v>
      </c>
      <c r="AS89" s="98">
        <f t="shared" si="9"/>
        <v>0</v>
      </c>
      <c r="AT89" s="98">
        <f t="shared" si="10"/>
        <v>0</v>
      </c>
      <c r="AU89" s="98">
        <f t="shared" si="53"/>
        <v>0</v>
      </c>
      <c r="AV89" s="98">
        <f t="array" ref="AV89">_xlfn.IFS(U89=0,AO89,U89&lt;0,AO89/-U89,U89&gt;0,AO89/U89)</f>
        <v>0</v>
      </c>
      <c r="AW89" s="234">
        <f t="shared" si="38"/>
        <v>0</v>
      </c>
      <c r="AX89" s="234">
        <f t="shared" si="39"/>
        <v>0</v>
      </c>
      <c r="AY89" s="99"/>
      <c r="AZ89" s="94">
        <f t="shared" si="13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0"/>
        <v>0</v>
      </c>
      <c r="F90" s="93"/>
      <c r="G90" s="93"/>
      <c r="H90" s="93"/>
      <c r="I90" s="93"/>
      <c r="J90" s="93"/>
      <c r="K90" s="93">
        <v>107.88</v>
      </c>
      <c r="L90" s="92">
        <f t="shared" si="37"/>
        <v>0</v>
      </c>
      <c r="M90" s="89"/>
      <c r="N90" s="89"/>
      <c r="O90" s="89"/>
      <c r="P90" s="89"/>
      <c r="Q90" s="233">
        <f t="shared" si="47"/>
        <v>0</v>
      </c>
      <c r="R90" s="92">
        <f t="shared" si="48"/>
        <v>0</v>
      </c>
      <c r="S90" s="93"/>
      <c r="T90" s="93"/>
      <c r="U90" s="92">
        <f t="shared" si="41"/>
        <v>0</v>
      </c>
      <c r="V90" s="93"/>
      <c r="W90" s="93"/>
      <c r="X90" s="92">
        <f t="shared" si="42"/>
        <v>0</v>
      </c>
      <c r="Y90" s="93"/>
      <c r="Z90" s="93"/>
      <c r="AA90" s="92">
        <f t="shared" si="49"/>
        <v>0</v>
      </c>
      <c r="AB90" s="92">
        <f t="shared" si="50"/>
        <v>0</v>
      </c>
      <c r="AC90" s="234" t="e">
        <f t="shared" si="43"/>
        <v>#DIV/0!</v>
      </c>
      <c r="AD90" s="92">
        <f t="shared" si="44"/>
        <v>0</v>
      </c>
      <c r="AE90" s="93"/>
      <c r="AF90" s="234">
        <f t="shared" si="45"/>
        <v>0</v>
      </c>
      <c r="AG90" s="93"/>
      <c r="AH90" s="93"/>
      <c r="AI90" s="93"/>
      <c r="AJ90" s="93"/>
      <c r="AK90" s="93"/>
      <c r="AL90" s="122">
        <f t="shared" si="46"/>
        <v>0</v>
      </c>
      <c r="AM90" s="93"/>
      <c r="AN90" s="94">
        <f t="shared" si="51"/>
        <v>0</v>
      </c>
      <c r="AO90" s="95">
        <f t="shared" si="52"/>
        <v>0</v>
      </c>
      <c r="AP90" s="96"/>
      <c r="AQ90" s="97">
        <f t="shared" si="7"/>
        <v>0</v>
      </c>
      <c r="AR90" s="98">
        <f t="shared" si="30"/>
        <v>107.88</v>
      </c>
      <c r="AS90" s="98">
        <f t="shared" si="9"/>
        <v>0</v>
      </c>
      <c r="AT90" s="98">
        <f t="shared" si="10"/>
        <v>0</v>
      </c>
      <c r="AU90" s="98">
        <f t="shared" si="53"/>
        <v>0</v>
      </c>
      <c r="AV90" s="98">
        <f t="array" ref="AV90">_xlfn.IFS(U90=0,AO90,U90&lt;0,AO90/-U90,U90&gt;0,AO90/U90)</f>
        <v>0</v>
      </c>
      <c r="AW90" s="234">
        <f t="shared" si="38"/>
        <v>0</v>
      </c>
      <c r="AX90" s="234">
        <f t="shared" si="39"/>
        <v>0</v>
      </c>
      <c r="AY90" s="99"/>
      <c r="AZ90" s="94">
        <f t="shared" si="13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0"/>
        <v>0</v>
      </c>
      <c r="F91" s="93"/>
      <c r="G91" s="93"/>
      <c r="H91" s="93"/>
      <c r="I91" s="93"/>
      <c r="J91" s="93"/>
      <c r="K91" s="93">
        <v>93.84</v>
      </c>
      <c r="L91" s="92">
        <f t="shared" si="37"/>
        <v>0</v>
      </c>
      <c r="M91" s="89"/>
      <c r="N91" s="89"/>
      <c r="O91" s="89"/>
      <c r="P91" s="89"/>
      <c r="Q91" s="233">
        <f t="shared" si="47"/>
        <v>0</v>
      </c>
      <c r="R91" s="92">
        <f t="shared" si="48"/>
        <v>0</v>
      </c>
      <c r="S91" s="93"/>
      <c r="T91" s="93"/>
      <c r="U91" s="92">
        <f t="shared" si="41"/>
        <v>0</v>
      </c>
      <c r="V91" s="93"/>
      <c r="W91" s="93"/>
      <c r="X91" s="92">
        <f t="shared" si="42"/>
        <v>0</v>
      </c>
      <c r="Y91" s="93"/>
      <c r="Z91" s="93"/>
      <c r="AA91" s="92">
        <f t="shared" si="49"/>
        <v>0</v>
      </c>
      <c r="AB91" s="92">
        <f t="shared" si="50"/>
        <v>0</v>
      </c>
      <c r="AC91" s="234" t="e">
        <f t="shared" si="43"/>
        <v>#DIV/0!</v>
      </c>
      <c r="AD91" s="92">
        <f t="shared" si="44"/>
        <v>0</v>
      </c>
      <c r="AE91" s="93"/>
      <c r="AF91" s="234">
        <f t="shared" si="45"/>
        <v>0</v>
      </c>
      <c r="AG91" s="93"/>
      <c r="AH91" s="93"/>
      <c r="AI91" s="93"/>
      <c r="AJ91" s="93"/>
      <c r="AK91" s="93"/>
      <c r="AL91" s="122">
        <f t="shared" si="46"/>
        <v>0</v>
      </c>
      <c r="AM91" s="93"/>
      <c r="AN91" s="94">
        <f t="shared" si="51"/>
        <v>0</v>
      </c>
      <c r="AO91" s="95">
        <f t="shared" si="52"/>
        <v>0</v>
      </c>
      <c r="AP91" s="96"/>
      <c r="AQ91" s="97">
        <f t="shared" si="7"/>
        <v>0</v>
      </c>
      <c r="AR91" s="98">
        <f t="shared" si="30"/>
        <v>93.84</v>
      </c>
      <c r="AS91" s="98">
        <f t="shared" si="9"/>
        <v>0</v>
      </c>
      <c r="AT91" s="98">
        <f t="shared" si="10"/>
        <v>0</v>
      </c>
      <c r="AU91" s="98">
        <f t="shared" si="53"/>
        <v>0</v>
      </c>
      <c r="AV91" s="98">
        <f t="array" ref="AV91">_xlfn.IFS(U91=0,AO91,U91&lt;0,AO91/-U91,U91&gt;0,AO91/U91)</f>
        <v>0</v>
      </c>
      <c r="AW91" s="234">
        <f t="shared" si="38"/>
        <v>0</v>
      </c>
      <c r="AX91" s="234">
        <f t="shared" si="39"/>
        <v>0</v>
      </c>
      <c r="AY91" s="99"/>
      <c r="AZ91" s="94">
        <f t="shared" si="13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0"/>
        <v>0</v>
      </c>
      <c r="F92" s="93"/>
      <c r="G92" s="93"/>
      <c r="H92" s="93"/>
      <c r="I92" s="93"/>
      <c r="J92" s="93"/>
      <c r="K92" s="93">
        <v>139.47</v>
      </c>
      <c r="L92" s="92">
        <f t="shared" si="37"/>
        <v>0</v>
      </c>
      <c r="M92" s="89"/>
      <c r="N92" s="89"/>
      <c r="O92" s="89"/>
      <c r="P92" s="89"/>
      <c r="Q92" s="233">
        <f t="shared" si="47"/>
        <v>0</v>
      </c>
      <c r="R92" s="92">
        <f t="shared" si="48"/>
        <v>0</v>
      </c>
      <c r="S92" s="93"/>
      <c r="T92" s="93"/>
      <c r="U92" s="92">
        <f t="shared" si="41"/>
        <v>0</v>
      </c>
      <c r="V92" s="93"/>
      <c r="W92" s="93"/>
      <c r="X92" s="92">
        <f t="shared" si="42"/>
        <v>0</v>
      </c>
      <c r="Y92" s="93"/>
      <c r="Z92" s="93"/>
      <c r="AA92" s="92">
        <f t="shared" si="49"/>
        <v>0</v>
      </c>
      <c r="AB92" s="92">
        <f t="shared" si="50"/>
        <v>0</v>
      </c>
      <c r="AC92" s="234" t="e">
        <f t="shared" si="43"/>
        <v>#DIV/0!</v>
      </c>
      <c r="AD92" s="92">
        <f t="shared" si="44"/>
        <v>0</v>
      </c>
      <c r="AE92" s="93"/>
      <c r="AF92" s="234">
        <f t="shared" si="45"/>
        <v>0</v>
      </c>
      <c r="AG92" s="93"/>
      <c r="AH92" s="93"/>
      <c r="AI92" s="93"/>
      <c r="AJ92" s="93"/>
      <c r="AK92" s="93"/>
      <c r="AL92" s="122">
        <f t="shared" si="46"/>
        <v>0</v>
      </c>
      <c r="AM92" s="93"/>
      <c r="AN92" s="94">
        <f t="shared" si="51"/>
        <v>0</v>
      </c>
      <c r="AO92" s="95">
        <f t="shared" si="52"/>
        <v>0</v>
      </c>
      <c r="AP92" s="96"/>
      <c r="AQ92" s="97">
        <f t="shared" si="7"/>
        <v>0</v>
      </c>
      <c r="AR92" s="98">
        <f t="shared" si="30"/>
        <v>139.47</v>
      </c>
      <c r="AS92" s="98">
        <f t="shared" si="9"/>
        <v>0</v>
      </c>
      <c r="AT92" s="98">
        <f t="shared" si="10"/>
        <v>0</v>
      </c>
      <c r="AU92" s="98">
        <f t="shared" si="53"/>
        <v>0</v>
      </c>
      <c r="AV92" s="98">
        <f t="array" ref="AV92">_xlfn.IFS(U92=0,AO92,U92&lt;0,AO92/-U92,U92&gt;0,AO92/U92)</f>
        <v>0</v>
      </c>
      <c r="AW92" s="234">
        <f t="shared" si="38"/>
        <v>0</v>
      </c>
      <c r="AX92" s="234">
        <f t="shared" si="39"/>
        <v>0</v>
      </c>
      <c r="AY92" s="99"/>
      <c r="AZ92" s="94">
        <f t="shared" si="13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0"/>
        <v>0</v>
      </c>
      <c r="F93" s="93"/>
      <c r="G93" s="93"/>
      <c r="H93" s="93"/>
      <c r="I93" s="93"/>
      <c r="J93" s="93"/>
      <c r="K93" s="93">
        <v>139.47</v>
      </c>
      <c r="L93" s="92">
        <f t="shared" si="37"/>
        <v>0</v>
      </c>
      <c r="M93" s="89"/>
      <c r="N93" s="89"/>
      <c r="O93" s="89"/>
      <c r="P93" s="89"/>
      <c r="Q93" s="233">
        <f t="shared" si="47"/>
        <v>0</v>
      </c>
      <c r="R93" s="92">
        <f t="shared" si="48"/>
        <v>0</v>
      </c>
      <c r="S93" s="93"/>
      <c r="T93" s="93"/>
      <c r="U93" s="92">
        <f t="shared" si="41"/>
        <v>0</v>
      </c>
      <c r="V93" s="93"/>
      <c r="W93" s="93"/>
      <c r="X93" s="92">
        <f t="shared" si="42"/>
        <v>0</v>
      </c>
      <c r="Y93" s="93"/>
      <c r="Z93" s="93"/>
      <c r="AA93" s="92">
        <f t="shared" si="49"/>
        <v>0</v>
      </c>
      <c r="AB93" s="92">
        <f t="shared" si="50"/>
        <v>0</v>
      </c>
      <c r="AC93" s="234" t="e">
        <f t="shared" si="43"/>
        <v>#DIV/0!</v>
      </c>
      <c r="AD93" s="92">
        <f t="shared" si="44"/>
        <v>0</v>
      </c>
      <c r="AE93" s="93"/>
      <c r="AF93" s="234">
        <f t="shared" si="45"/>
        <v>0</v>
      </c>
      <c r="AG93" s="93"/>
      <c r="AH93" s="93"/>
      <c r="AI93" s="93"/>
      <c r="AJ93" s="93"/>
      <c r="AK93" s="93"/>
      <c r="AL93" s="122">
        <f t="shared" si="46"/>
        <v>0</v>
      </c>
      <c r="AM93" s="93"/>
      <c r="AN93" s="94">
        <f t="shared" si="51"/>
        <v>0</v>
      </c>
      <c r="AO93" s="95">
        <f t="shared" si="52"/>
        <v>0</v>
      </c>
      <c r="AP93" s="96"/>
      <c r="AQ93" s="97">
        <f t="shared" si="7"/>
        <v>0</v>
      </c>
      <c r="AR93" s="98">
        <f t="shared" si="30"/>
        <v>139.47</v>
      </c>
      <c r="AS93" s="98">
        <f t="shared" si="9"/>
        <v>0</v>
      </c>
      <c r="AT93" s="98">
        <f t="shared" si="10"/>
        <v>0</v>
      </c>
      <c r="AU93" s="98">
        <f t="shared" si="53"/>
        <v>0</v>
      </c>
      <c r="AV93" s="98">
        <f t="array" ref="AV93">_xlfn.IFS(U93=0,AO93,U93&lt;0,AO93/-U93,U93&gt;0,AO93/U93)</f>
        <v>0</v>
      </c>
      <c r="AW93" s="234">
        <f t="shared" si="38"/>
        <v>0</v>
      </c>
      <c r="AX93" s="234">
        <f t="shared" si="39"/>
        <v>0</v>
      </c>
      <c r="AY93" s="99"/>
      <c r="AZ93" s="94">
        <f t="shared" si="13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0"/>
        <v>0</v>
      </c>
      <c r="F94" s="93"/>
      <c r="G94" s="93"/>
      <c r="H94" s="93"/>
      <c r="I94" s="93"/>
      <c r="J94" s="93"/>
      <c r="K94" s="93">
        <v>400.08</v>
      </c>
      <c r="L94" s="92">
        <f t="shared" si="37"/>
        <v>0</v>
      </c>
      <c r="M94" s="89"/>
      <c r="N94" s="89"/>
      <c r="O94" s="89"/>
      <c r="P94" s="89"/>
      <c r="Q94" s="233">
        <f t="shared" si="47"/>
        <v>0</v>
      </c>
      <c r="R94" s="92">
        <f t="shared" si="48"/>
        <v>0</v>
      </c>
      <c r="S94" s="93"/>
      <c r="T94" s="93"/>
      <c r="U94" s="92">
        <f t="shared" si="41"/>
        <v>0</v>
      </c>
      <c r="V94" s="93"/>
      <c r="W94" s="93"/>
      <c r="X94" s="92">
        <f t="shared" si="42"/>
        <v>0</v>
      </c>
      <c r="Y94" s="93"/>
      <c r="Z94" s="93"/>
      <c r="AA94" s="92">
        <f t="shared" si="49"/>
        <v>0</v>
      </c>
      <c r="AB94" s="92">
        <f t="shared" si="50"/>
        <v>0</v>
      </c>
      <c r="AC94" s="234" t="e">
        <f t="shared" si="43"/>
        <v>#DIV/0!</v>
      </c>
      <c r="AD94" s="92">
        <f t="shared" si="44"/>
        <v>0</v>
      </c>
      <c r="AE94" s="93"/>
      <c r="AF94" s="234">
        <f t="shared" si="45"/>
        <v>0</v>
      </c>
      <c r="AG94" s="93"/>
      <c r="AH94" s="93"/>
      <c r="AI94" s="93"/>
      <c r="AJ94" s="93"/>
      <c r="AK94" s="93"/>
      <c r="AL94" s="122">
        <f t="shared" si="46"/>
        <v>0</v>
      </c>
      <c r="AM94" s="93"/>
      <c r="AN94" s="94">
        <f t="shared" si="51"/>
        <v>0</v>
      </c>
      <c r="AO94" s="95">
        <f t="shared" si="52"/>
        <v>0</v>
      </c>
      <c r="AP94" s="96"/>
      <c r="AQ94" s="97">
        <f t="shared" si="7"/>
        <v>0</v>
      </c>
      <c r="AR94" s="98">
        <f t="shared" si="30"/>
        <v>400.08</v>
      </c>
      <c r="AS94" s="98">
        <f t="shared" si="9"/>
        <v>0</v>
      </c>
      <c r="AT94" s="98">
        <f t="shared" si="10"/>
        <v>0</v>
      </c>
      <c r="AU94" s="98">
        <f t="shared" si="53"/>
        <v>0</v>
      </c>
      <c r="AV94" s="98">
        <f t="array" ref="AV94">_xlfn.IFS(U94=0,AO94,U94&lt;0,AO94/-U94,U94&gt;0,AO94/U94)</f>
        <v>0</v>
      </c>
      <c r="AW94" s="234">
        <f t="shared" si="38"/>
        <v>0</v>
      </c>
      <c r="AX94" s="234">
        <f t="shared" si="39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0"/>
        <v>0</v>
      </c>
      <c r="F95" s="93"/>
      <c r="G95" s="93"/>
      <c r="H95" s="93"/>
      <c r="I95" s="93"/>
      <c r="J95" s="93"/>
      <c r="K95" s="93">
        <v>400.08</v>
      </c>
      <c r="L95" s="92">
        <f t="shared" si="37"/>
        <v>0</v>
      </c>
      <c r="M95" s="89"/>
      <c r="N95" s="89"/>
      <c r="O95" s="89"/>
      <c r="P95" s="89"/>
      <c r="Q95" s="233">
        <f t="shared" si="47"/>
        <v>0</v>
      </c>
      <c r="R95" s="92">
        <f t="shared" si="48"/>
        <v>0</v>
      </c>
      <c r="S95" s="93"/>
      <c r="T95" s="93"/>
      <c r="U95" s="92">
        <f t="shared" si="41"/>
        <v>0</v>
      </c>
      <c r="V95" s="93"/>
      <c r="W95" s="93"/>
      <c r="X95" s="92">
        <f t="shared" si="42"/>
        <v>0</v>
      </c>
      <c r="Y95" s="93"/>
      <c r="Z95" s="93"/>
      <c r="AA95" s="92">
        <f t="shared" si="49"/>
        <v>0</v>
      </c>
      <c r="AB95" s="92">
        <f t="shared" si="50"/>
        <v>0</v>
      </c>
      <c r="AC95" s="234" t="e">
        <f t="shared" si="43"/>
        <v>#DIV/0!</v>
      </c>
      <c r="AD95" s="92">
        <f t="shared" si="44"/>
        <v>0</v>
      </c>
      <c r="AE95" s="93"/>
      <c r="AF95" s="234">
        <f t="shared" si="45"/>
        <v>0</v>
      </c>
      <c r="AG95" s="93"/>
      <c r="AH95" s="93"/>
      <c r="AI95" s="93"/>
      <c r="AJ95" s="93"/>
      <c r="AK95" s="93"/>
      <c r="AL95" s="122">
        <f t="shared" si="46"/>
        <v>0</v>
      </c>
      <c r="AM95" s="93"/>
      <c r="AN95" s="94">
        <f t="shared" si="51"/>
        <v>0</v>
      </c>
      <c r="AO95" s="95">
        <f t="shared" si="52"/>
        <v>0</v>
      </c>
      <c r="AP95" s="96"/>
      <c r="AQ95" s="97">
        <f t="shared" si="7"/>
        <v>0</v>
      </c>
      <c r="AR95" s="98">
        <f t="shared" si="30"/>
        <v>400.08</v>
      </c>
      <c r="AS95" s="98">
        <f t="shared" si="9"/>
        <v>0</v>
      </c>
      <c r="AT95" s="98">
        <f t="shared" si="10"/>
        <v>0</v>
      </c>
      <c r="AU95" s="98">
        <f t="shared" si="53"/>
        <v>0</v>
      </c>
      <c r="AV95" s="98">
        <f t="array" ref="AV95">_xlfn.IFS(U95=0,AO95,U95&lt;0,AO95/-U95,U95&gt;0,AO95/U95)</f>
        <v>0</v>
      </c>
      <c r="AW95" s="234">
        <f t="shared" si="38"/>
        <v>0</v>
      </c>
      <c r="AX95" s="234">
        <f t="shared" si="39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0"/>
        <v>0</v>
      </c>
      <c r="F96" s="93"/>
      <c r="G96" s="93"/>
      <c r="H96" s="93"/>
      <c r="I96" s="93"/>
      <c r="J96" s="93"/>
      <c r="K96" s="93">
        <v>300.08</v>
      </c>
      <c r="L96" s="92">
        <f t="shared" si="37"/>
        <v>0</v>
      </c>
      <c r="M96" s="89"/>
      <c r="N96" s="89"/>
      <c r="O96" s="89"/>
      <c r="P96" s="89"/>
      <c r="Q96" s="233">
        <f t="shared" si="47"/>
        <v>0</v>
      </c>
      <c r="R96" s="92">
        <f t="shared" si="48"/>
        <v>0</v>
      </c>
      <c r="S96" s="93"/>
      <c r="T96" s="93"/>
      <c r="U96" s="92">
        <f t="shared" si="41"/>
        <v>0</v>
      </c>
      <c r="V96" s="93"/>
      <c r="W96" s="93"/>
      <c r="X96" s="92">
        <f t="shared" si="42"/>
        <v>0</v>
      </c>
      <c r="Y96" s="93"/>
      <c r="Z96" s="93"/>
      <c r="AA96" s="92">
        <f t="shared" si="49"/>
        <v>0</v>
      </c>
      <c r="AB96" s="92">
        <f t="shared" si="50"/>
        <v>0</v>
      </c>
      <c r="AC96" s="234" t="e">
        <f t="shared" si="43"/>
        <v>#DIV/0!</v>
      </c>
      <c r="AD96" s="92">
        <f t="shared" si="44"/>
        <v>0</v>
      </c>
      <c r="AE96" s="93"/>
      <c r="AF96" s="234">
        <f t="shared" si="45"/>
        <v>0</v>
      </c>
      <c r="AG96" s="93"/>
      <c r="AH96" s="93"/>
      <c r="AI96" s="93"/>
      <c r="AJ96" s="93"/>
      <c r="AK96" s="93"/>
      <c r="AL96" s="122">
        <f t="shared" si="46"/>
        <v>0</v>
      </c>
      <c r="AM96" s="93"/>
      <c r="AN96" s="94">
        <f t="shared" si="51"/>
        <v>0</v>
      </c>
      <c r="AO96" s="95">
        <f t="shared" si="52"/>
        <v>0</v>
      </c>
      <c r="AP96" s="96"/>
      <c r="AQ96" s="97">
        <f t="shared" si="7"/>
        <v>0</v>
      </c>
      <c r="AR96" s="98">
        <f t="shared" si="30"/>
        <v>300.08</v>
      </c>
      <c r="AS96" s="98">
        <f t="shared" si="9"/>
        <v>0</v>
      </c>
      <c r="AT96" s="98">
        <f t="shared" si="10"/>
        <v>0</v>
      </c>
      <c r="AU96" s="98">
        <f t="shared" si="53"/>
        <v>0</v>
      </c>
      <c r="AV96" s="98">
        <f t="array" ref="AV96">_xlfn.IFS(U96=0,AO96,U96&lt;0,AO96/-U96,U96&gt;0,AO96/U96)</f>
        <v>0</v>
      </c>
      <c r="AW96" s="234">
        <f t="shared" si="38"/>
        <v>0</v>
      </c>
      <c r="AX96" s="234">
        <f t="shared" si="39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0"/>
        <v>0</v>
      </c>
      <c r="F97" s="93"/>
      <c r="G97" s="93"/>
      <c r="H97" s="93"/>
      <c r="I97" s="93"/>
      <c r="J97" s="93"/>
      <c r="K97" s="93">
        <v>400.08</v>
      </c>
      <c r="L97" s="92">
        <f t="shared" si="37"/>
        <v>0</v>
      </c>
      <c r="M97" s="89"/>
      <c r="N97" s="89"/>
      <c r="O97" s="89"/>
      <c r="P97" s="89"/>
      <c r="Q97" s="233">
        <f t="shared" si="47"/>
        <v>0</v>
      </c>
      <c r="R97" s="92">
        <f t="shared" si="48"/>
        <v>0</v>
      </c>
      <c r="S97" s="93"/>
      <c r="T97" s="93"/>
      <c r="U97" s="92">
        <f t="shared" si="41"/>
        <v>0</v>
      </c>
      <c r="V97" s="93"/>
      <c r="W97" s="93"/>
      <c r="X97" s="92">
        <f t="shared" si="42"/>
        <v>0</v>
      </c>
      <c r="Y97" s="93"/>
      <c r="Z97" s="93"/>
      <c r="AA97" s="92">
        <f t="shared" si="49"/>
        <v>0</v>
      </c>
      <c r="AB97" s="92">
        <f t="shared" si="50"/>
        <v>0</v>
      </c>
      <c r="AC97" s="234" t="e">
        <f t="shared" si="43"/>
        <v>#DIV/0!</v>
      </c>
      <c r="AD97" s="92">
        <f t="shared" si="44"/>
        <v>0</v>
      </c>
      <c r="AE97" s="93"/>
      <c r="AF97" s="234">
        <f t="shared" si="45"/>
        <v>0</v>
      </c>
      <c r="AG97" s="93"/>
      <c r="AH97" s="93"/>
      <c r="AI97" s="93"/>
      <c r="AJ97" s="93"/>
      <c r="AK97" s="93"/>
      <c r="AL97" s="122">
        <f t="shared" si="46"/>
        <v>0</v>
      </c>
      <c r="AM97" s="93"/>
      <c r="AN97" s="94">
        <f t="shared" si="51"/>
        <v>0</v>
      </c>
      <c r="AO97" s="95">
        <f t="shared" si="52"/>
        <v>0</v>
      </c>
      <c r="AP97" s="96"/>
      <c r="AQ97" s="97">
        <f t="shared" si="7"/>
        <v>0</v>
      </c>
      <c r="AR97" s="98">
        <f t="shared" si="30"/>
        <v>400.08</v>
      </c>
      <c r="AS97" s="98">
        <f t="shared" si="9"/>
        <v>0</v>
      </c>
      <c r="AT97" s="98">
        <f t="shared" si="10"/>
        <v>0</v>
      </c>
      <c r="AU97" s="98">
        <f t="shared" si="53"/>
        <v>0</v>
      </c>
      <c r="AV97" s="98">
        <f t="array" ref="AV97">_xlfn.IFS(U97=0,AO97,U97&lt;0,AO97/-U97,U97&gt;0,AO97/U97)</f>
        <v>0</v>
      </c>
      <c r="AW97" s="234">
        <f t="shared" si="38"/>
        <v>0</v>
      </c>
      <c r="AX97" s="234">
        <f t="shared" si="39"/>
        <v>0</v>
      </c>
      <c r="AY97" s="99"/>
      <c r="AZ97" s="94">
        <f t="shared" si="13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0"/>
        <v>0</v>
      </c>
      <c r="F98" s="93"/>
      <c r="G98" s="93"/>
      <c r="H98" s="93"/>
      <c r="I98" s="93"/>
      <c r="J98" s="93"/>
      <c r="K98" s="93">
        <v>300.08</v>
      </c>
      <c r="L98" s="92">
        <f t="shared" si="37"/>
        <v>0</v>
      </c>
      <c r="M98" s="89"/>
      <c r="N98" s="89"/>
      <c r="O98" s="89"/>
      <c r="P98" s="89"/>
      <c r="Q98" s="233">
        <f t="shared" si="47"/>
        <v>0</v>
      </c>
      <c r="R98" s="92">
        <f t="shared" si="48"/>
        <v>0</v>
      </c>
      <c r="S98" s="93"/>
      <c r="T98" s="93"/>
      <c r="U98" s="92">
        <f t="shared" si="41"/>
        <v>0</v>
      </c>
      <c r="V98" s="93"/>
      <c r="W98" s="93"/>
      <c r="X98" s="92">
        <f t="shared" si="42"/>
        <v>0</v>
      </c>
      <c r="Y98" s="93"/>
      <c r="Z98" s="93"/>
      <c r="AA98" s="92">
        <f t="shared" si="49"/>
        <v>0</v>
      </c>
      <c r="AB98" s="92">
        <f t="shared" si="50"/>
        <v>0</v>
      </c>
      <c r="AC98" s="234" t="e">
        <f t="shared" si="43"/>
        <v>#DIV/0!</v>
      </c>
      <c r="AD98" s="92">
        <f t="shared" si="44"/>
        <v>0</v>
      </c>
      <c r="AE98" s="93"/>
      <c r="AF98" s="234">
        <f t="shared" si="45"/>
        <v>0</v>
      </c>
      <c r="AG98" s="93"/>
      <c r="AH98" s="93"/>
      <c r="AI98" s="93"/>
      <c r="AJ98" s="93"/>
      <c r="AK98" s="93"/>
      <c r="AL98" s="122">
        <f t="shared" si="46"/>
        <v>0</v>
      </c>
      <c r="AM98" s="93"/>
      <c r="AN98" s="94">
        <f t="shared" si="51"/>
        <v>0</v>
      </c>
      <c r="AO98" s="95">
        <f t="shared" si="52"/>
        <v>0</v>
      </c>
      <c r="AP98" s="96"/>
      <c r="AQ98" s="97">
        <f t="shared" ref="AQ98:AQ104" si="54">IF(U98=0,0,AA98/U98)</f>
        <v>0</v>
      </c>
      <c r="AR98" s="98">
        <f t="shared" si="30"/>
        <v>300.08</v>
      </c>
      <c r="AS98" s="98">
        <f t="shared" ref="AS98:AS104" si="55">IF(U98=0,0,AE98/U98)</f>
        <v>0</v>
      </c>
      <c r="AT98" s="98">
        <f t="shared" ref="AT98:AT104" si="56">IF(S98=0,AG98/1,AG98/S98)</f>
        <v>0</v>
      </c>
      <c r="AU98" s="98">
        <f t="shared" si="53"/>
        <v>0</v>
      </c>
      <c r="AV98" s="98">
        <f t="array" ref="AV98">_xlfn.IFS(U98=0,AO98,U98&lt;0,AO98/-U98,U98&gt;0,AO98/U98)</f>
        <v>0</v>
      </c>
      <c r="AW98" s="234">
        <f t="shared" si="38"/>
        <v>0</v>
      </c>
      <c r="AX98" s="234">
        <f t="shared" si="39"/>
        <v>0</v>
      </c>
      <c r="AY98" s="99"/>
      <c r="AZ98" s="94">
        <f t="shared" ref="AZ98:AZ104" si="57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0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4" si="58">E99*K99</f>
        <v>0</v>
      </c>
      <c r="M99" s="89"/>
      <c r="N99" s="89"/>
      <c r="O99" s="89"/>
      <c r="P99" s="89"/>
      <c r="Q99" s="233">
        <f t="shared" si="47"/>
        <v>0</v>
      </c>
      <c r="R99" s="92">
        <f t="shared" si="48"/>
        <v>0</v>
      </c>
      <c r="S99" s="93"/>
      <c r="T99" s="93"/>
      <c r="U99" s="92">
        <f t="shared" si="41"/>
        <v>0</v>
      </c>
      <c r="V99" s="93"/>
      <c r="W99" s="93"/>
      <c r="X99" s="92">
        <f t="shared" si="42"/>
        <v>0</v>
      </c>
      <c r="Y99" s="93"/>
      <c r="Z99" s="93"/>
      <c r="AA99" s="92">
        <f t="shared" si="49"/>
        <v>0</v>
      </c>
      <c r="AB99" s="92">
        <f t="shared" si="50"/>
        <v>0</v>
      </c>
      <c r="AC99" s="234" t="e">
        <f t="shared" si="43"/>
        <v>#DIV/0!</v>
      </c>
      <c r="AD99" s="92">
        <f t="shared" si="44"/>
        <v>0</v>
      </c>
      <c r="AE99" s="93"/>
      <c r="AF99" s="234">
        <f t="shared" si="45"/>
        <v>0</v>
      </c>
      <c r="AG99" s="93"/>
      <c r="AH99" s="93"/>
      <c r="AI99" s="93"/>
      <c r="AJ99" s="93"/>
      <c r="AK99" s="93"/>
      <c r="AL99" s="122">
        <f t="shared" si="46"/>
        <v>0</v>
      </c>
      <c r="AM99" s="93"/>
      <c r="AN99" s="94">
        <f t="shared" si="51"/>
        <v>0</v>
      </c>
      <c r="AO99" s="95">
        <f t="shared" si="52"/>
        <v>0</v>
      </c>
      <c r="AP99" s="96"/>
      <c r="AQ99" s="97">
        <f t="shared" si="54"/>
        <v>0</v>
      </c>
      <c r="AR99" s="98">
        <f t="shared" ref="AR99:AR104" si="59">K99</f>
        <v>142.97999999999999</v>
      </c>
      <c r="AS99" s="98">
        <f t="shared" si="55"/>
        <v>0</v>
      </c>
      <c r="AT99" s="98">
        <f t="shared" si="56"/>
        <v>0</v>
      </c>
      <c r="AU99" s="98">
        <f t="shared" si="53"/>
        <v>0</v>
      </c>
      <c r="AV99" s="98">
        <f t="array" ref="AV99">_xlfn.IFS(U99=0,AO99,U99&lt;0,AO99/-U99,U99&gt;0,AO99/U99)</f>
        <v>0</v>
      </c>
      <c r="AW99" s="234">
        <f t="shared" ref="AW99:AW104" si="60">IF(AQ99=0,0,AV99/AQ99)</f>
        <v>0</v>
      </c>
      <c r="AX99" s="234">
        <f t="shared" ref="AX99:AX104" si="61">IF(AR99=0,0,AV99/AR99)</f>
        <v>0</v>
      </c>
      <c r="AY99" s="99"/>
      <c r="AZ99" s="94">
        <f t="shared" si="57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0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58"/>
        <v>0</v>
      </c>
      <c r="M100" s="89"/>
      <c r="N100" s="89"/>
      <c r="O100" s="89"/>
      <c r="P100" s="89"/>
      <c r="Q100" s="233">
        <f t="shared" si="47"/>
        <v>0</v>
      </c>
      <c r="R100" s="92">
        <f t="shared" si="48"/>
        <v>0</v>
      </c>
      <c r="S100" s="93"/>
      <c r="T100" s="93"/>
      <c r="U100" s="92">
        <f t="shared" si="41"/>
        <v>0</v>
      </c>
      <c r="V100" s="93"/>
      <c r="W100" s="93"/>
      <c r="X100" s="92">
        <f t="shared" si="42"/>
        <v>0</v>
      </c>
      <c r="Y100" s="93"/>
      <c r="Z100" s="93"/>
      <c r="AA100" s="92">
        <f t="shared" si="49"/>
        <v>0</v>
      </c>
      <c r="AB100" s="92">
        <f t="shared" si="50"/>
        <v>0</v>
      </c>
      <c r="AC100" s="234" t="e">
        <f t="shared" si="43"/>
        <v>#DIV/0!</v>
      </c>
      <c r="AD100" s="92">
        <f t="shared" si="44"/>
        <v>0</v>
      </c>
      <c r="AE100" s="93"/>
      <c r="AF100" s="234">
        <f t="shared" si="45"/>
        <v>0</v>
      </c>
      <c r="AG100" s="93"/>
      <c r="AH100" s="93"/>
      <c r="AI100" s="93"/>
      <c r="AJ100" s="93"/>
      <c r="AK100" s="93"/>
      <c r="AL100" s="122">
        <f t="shared" si="46"/>
        <v>0</v>
      </c>
      <c r="AM100" s="93"/>
      <c r="AN100" s="94">
        <f t="shared" si="51"/>
        <v>0</v>
      </c>
      <c r="AO100" s="95">
        <f t="shared" si="52"/>
        <v>0</v>
      </c>
      <c r="AP100" s="96"/>
      <c r="AQ100" s="97">
        <f t="shared" si="54"/>
        <v>0</v>
      </c>
      <c r="AR100" s="98">
        <f t="shared" si="59"/>
        <v>142.97999999999999</v>
      </c>
      <c r="AS100" s="98">
        <f t="shared" si="55"/>
        <v>0</v>
      </c>
      <c r="AT100" s="98">
        <f t="shared" si="56"/>
        <v>0</v>
      </c>
      <c r="AU100" s="98">
        <f t="shared" si="53"/>
        <v>0</v>
      </c>
      <c r="AV100" s="98">
        <f t="array" ref="AV100">_xlfn.IFS(U100=0,AO100,U100&lt;0,AO100/-U100,U100&gt;0,AO100/U100)</f>
        <v>0</v>
      </c>
      <c r="AW100" s="234">
        <f t="shared" si="60"/>
        <v>0</v>
      </c>
      <c r="AX100" s="234">
        <f t="shared" si="61"/>
        <v>0</v>
      </c>
      <c r="AY100" s="99"/>
      <c r="AZ100" s="94">
        <f t="shared" si="57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0"/>
        <v>0</v>
      </c>
      <c r="F101" s="93"/>
      <c r="G101" s="93"/>
      <c r="H101" s="93"/>
      <c r="I101" s="93"/>
      <c r="J101" s="93"/>
      <c r="K101" s="92">
        <v>123.09</v>
      </c>
      <c r="L101" s="92">
        <f t="shared" si="58"/>
        <v>0</v>
      </c>
      <c r="M101" s="89"/>
      <c r="N101" s="89"/>
      <c r="O101" s="89"/>
      <c r="P101" s="89"/>
      <c r="Q101" s="233">
        <f t="shared" si="47"/>
        <v>0</v>
      </c>
      <c r="R101" s="92">
        <f t="shared" si="48"/>
        <v>0</v>
      </c>
      <c r="S101" s="93"/>
      <c r="T101" s="93"/>
      <c r="U101" s="92">
        <f t="shared" si="41"/>
        <v>0</v>
      </c>
      <c r="V101" s="93"/>
      <c r="W101" s="93"/>
      <c r="X101" s="92">
        <f t="shared" si="42"/>
        <v>0</v>
      </c>
      <c r="Y101" s="93"/>
      <c r="Z101" s="93"/>
      <c r="AA101" s="92">
        <f t="shared" si="49"/>
        <v>0</v>
      </c>
      <c r="AB101" s="92">
        <f t="shared" si="50"/>
        <v>0</v>
      </c>
      <c r="AC101" s="234" t="e">
        <f t="shared" si="43"/>
        <v>#DIV/0!</v>
      </c>
      <c r="AD101" s="92">
        <f t="shared" si="44"/>
        <v>0</v>
      </c>
      <c r="AE101" s="93"/>
      <c r="AF101" s="234">
        <f t="shared" si="45"/>
        <v>0</v>
      </c>
      <c r="AG101" s="93"/>
      <c r="AH101" s="93"/>
      <c r="AI101" s="93"/>
      <c r="AJ101" s="93"/>
      <c r="AK101" s="93"/>
      <c r="AL101" s="122">
        <f t="shared" si="46"/>
        <v>0</v>
      </c>
      <c r="AM101" s="93"/>
      <c r="AN101" s="94">
        <f t="shared" si="51"/>
        <v>0</v>
      </c>
      <c r="AO101" s="95">
        <f t="shared" si="52"/>
        <v>0</v>
      </c>
      <c r="AP101" s="96"/>
      <c r="AQ101" s="97">
        <f t="shared" si="54"/>
        <v>0</v>
      </c>
      <c r="AR101" s="98">
        <f t="shared" si="59"/>
        <v>123.09</v>
      </c>
      <c r="AS101" s="98">
        <f t="shared" si="55"/>
        <v>0</v>
      </c>
      <c r="AT101" s="98">
        <f t="shared" si="56"/>
        <v>0</v>
      </c>
      <c r="AU101" s="98">
        <f t="shared" si="53"/>
        <v>0</v>
      </c>
      <c r="AV101" s="98">
        <f t="array" ref="AV101">_xlfn.IFS(U101=0,AO101,U101&lt;0,AO101/-U101,U101&gt;0,AO101/U101)</f>
        <v>0</v>
      </c>
      <c r="AW101" s="234">
        <f t="shared" si="60"/>
        <v>0</v>
      </c>
      <c r="AX101" s="234">
        <f t="shared" si="61"/>
        <v>0</v>
      </c>
      <c r="AY101" s="99"/>
      <c r="AZ101" s="94">
        <f t="shared" si="57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0"/>
        <v>0</v>
      </c>
      <c r="F102" s="93"/>
      <c r="G102" s="93"/>
      <c r="H102" s="93"/>
      <c r="I102" s="93"/>
      <c r="J102" s="93"/>
      <c r="K102" s="92">
        <v>123.09</v>
      </c>
      <c r="L102" s="92">
        <f t="shared" si="58"/>
        <v>0</v>
      </c>
      <c r="M102" s="89"/>
      <c r="N102" s="89"/>
      <c r="O102" s="89"/>
      <c r="P102" s="89"/>
      <c r="Q102" s="233">
        <f t="shared" si="47"/>
        <v>0</v>
      </c>
      <c r="R102" s="92">
        <f t="shared" si="48"/>
        <v>0</v>
      </c>
      <c r="S102" s="93"/>
      <c r="T102" s="93"/>
      <c r="U102" s="92">
        <f t="shared" si="41"/>
        <v>0</v>
      </c>
      <c r="V102" s="93"/>
      <c r="W102" s="93"/>
      <c r="X102" s="92">
        <f t="shared" si="42"/>
        <v>0</v>
      </c>
      <c r="Y102" s="93"/>
      <c r="Z102" s="93"/>
      <c r="AA102" s="92">
        <f t="shared" si="49"/>
        <v>0</v>
      </c>
      <c r="AB102" s="92">
        <f t="shared" si="50"/>
        <v>0</v>
      </c>
      <c r="AC102" s="234" t="e">
        <f t="shared" si="43"/>
        <v>#DIV/0!</v>
      </c>
      <c r="AD102" s="92">
        <f t="shared" si="44"/>
        <v>0</v>
      </c>
      <c r="AE102" s="93"/>
      <c r="AF102" s="234">
        <f t="shared" si="45"/>
        <v>0</v>
      </c>
      <c r="AG102" s="93"/>
      <c r="AH102" s="93"/>
      <c r="AI102" s="93"/>
      <c r="AJ102" s="93"/>
      <c r="AK102" s="93"/>
      <c r="AL102" s="122">
        <f t="shared" si="46"/>
        <v>0</v>
      </c>
      <c r="AM102" s="93"/>
      <c r="AN102" s="94">
        <f t="shared" si="51"/>
        <v>0</v>
      </c>
      <c r="AO102" s="95">
        <f t="shared" si="52"/>
        <v>0</v>
      </c>
      <c r="AP102" s="96"/>
      <c r="AQ102" s="97">
        <f t="shared" si="54"/>
        <v>0</v>
      </c>
      <c r="AR102" s="98">
        <f t="shared" si="59"/>
        <v>123.09</v>
      </c>
      <c r="AS102" s="98">
        <f t="shared" si="55"/>
        <v>0</v>
      </c>
      <c r="AT102" s="98">
        <f t="shared" si="56"/>
        <v>0</v>
      </c>
      <c r="AU102" s="98">
        <f t="shared" si="53"/>
        <v>0</v>
      </c>
      <c r="AV102" s="98">
        <f t="array" ref="AV102">_xlfn.IFS(U102=0,AO102,U102&lt;0,AO102/-U102,U102&gt;0,AO102/U102)</f>
        <v>0</v>
      </c>
      <c r="AW102" s="234">
        <f t="shared" si="60"/>
        <v>0</v>
      </c>
      <c r="AX102" s="234">
        <f t="shared" si="61"/>
        <v>0</v>
      </c>
      <c r="AY102" s="99"/>
      <c r="AZ102" s="94">
        <f t="shared" si="57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0"/>
        <v>0</v>
      </c>
      <c r="F103" s="93"/>
      <c r="G103" s="93"/>
      <c r="H103" s="93"/>
      <c r="I103" s="93"/>
      <c r="J103" s="93"/>
      <c r="K103" s="93">
        <v>107.88</v>
      </c>
      <c r="L103" s="92">
        <f t="shared" si="58"/>
        <v>0</v>
      </c>
      <c r="M103" s="89"/>
      <c r="N103" s="89"/>
      <c r="O103" s="89"/>
      <c r="P103" s="89"/>
      <c r="Q103" s="233">
        <f t="shared" si="47"/>
        <v>0</v>
      </c>
      <c r="R103" s="92">
        <f t="shared" si="48"/>
        <v>0</v>
      </c>
      <c r="S103" s="93"/>
      <c r="T103" s="93"/>
      <c r="U103" s="92">
        <f t="shared" si="41"/>
        <v>0</v>
      </c>
      <c r="V103" s="93"/>
      <c r="W103" s="93"/>
      <c r="X103" s="92">
        <f t="shared" si="42"/>
        <v>0</v>
      </c>
      <c r="Y103" s="93"/>
      <c r="Z103" s="93"/>
      <c r="AA103" s="92">
        <f t="shared" si="49"/>
        <v>0</v>
      </c>
      <c r="AB103" s="92">
        <f t="shared" si="50"/>
        <v>0</v>
      </c>
      <c r="AC103" s="234" t="e">
        <f t="shared" si="43"/>
        <v>#DIV/0!</v>
      </c>
      <c r="AD103" s="92">
        <f t="shared" si="44"/>
        <v>0</v>
      </c>
      <c r="AE103" s="93"/>
      <c r="AF103" s="234">
        <f t="shared" si="45"/>
        <v>0</v>
      </c>
      <c r="AG103" s="93"/>
      <c r="AH103" s="93"/>
      <c r="AI103" s="93"/>
      <c r="AJ103" s="93"/>
      <c r="AK103" s="93"/>
      <c r="AL103" s="122">
        <f t="shared" si="46"/>
        <v>0</v>
      </c>
      <c r="AM103" s="93"/>
      <c r="AN103" s="94">
        <f t="shared" si="51"/>
        <v>0</v>
      </c>
      <c r="AO103" s="95">
        <f t="shared" si="52"/>
        <v>0</v>
      </c>
      <c r="AP103" s="96"/>
      <c r="AQ103" s="97">
        <f t="shared" si="54"/>
        <v>0</v>
      </c>
      <c r="AR103" s="98">
        <f t="shared" si="59"/>
        <v>107.88</v>
      </c>
      <c r="AS103" s="98">
        <f t="shared" si="55"/>
        <v>0</v>
      </c>
      <c r="AT103" s="98">
        <f t="shared" si="56"/>
        <v>0</v>
      </c>
      <c r="AU103" s="98">
        <f t="shared" si="53"/>
        <v>0</v>
      </c>
      <c r="AV103" s="98">
        <f t="array" ref="AV103">_xlfn.IFS(U103=0,AO103,U103&lt;0,AO103/-U103,U103&gt;0,AO103/U103)</f>
        <v>0</v>
      </c>
      <c r="AW103" s="234">
        <f t="shared" si="60"/>
        <v>0</v>
      </c>
      <c r="AX103" s="234">
        <f t="shared" si="61"/>
        <v>0</v>
      </c>
      <c r="AY103" s="99"/>
      <c r="AZ103" s="94">
        <f t="shared" si="57"/>
        <v>0</v>
      </c>
    </row>
    <row r="104" spans="1:52" s="464" customFormat="1" outlineLevel="1">
      <c r="A104" s="451" t="s">
        <v>121</v>
      </c>
      <c r="B104" s="452">
        <v>926559395</v>
      </c>
      <c r="C104" s="452" t="s">
        <v>338</v>
      </c>
      <c r="D104" s="453" t="s">
        <v>84</v>
      </c>
      <c r="E104" s="454">
        <f t="shared" si="40"/>
        <v>0</v>
      </c>
      <c r="F104" s="455"/>
      <c r="G104" s="455"/>
      <c r="H104" s="455"/>
      <c r="I104" s="455"/>
      <c r="J104" s="455"/>
      <c r="K104" s="455">
        <v>142.97999999999999</v>
      </c>
      <c r="L104" s="455">
        <f t="shared" si="58"/>
        <v>0</v>
      </c>
      <c r="M104" s="451"/>
      <c r="N104" s="451"/>
      <c r="O104" s="451"/>
      <c r="P104" s="451"/>
      <c r="Q104" s="456">
        <f t="shared" si="47"/>
        <v>0</v>
      </c>
      <c r="R104" s="455">
        <f t="shared" si="48"/>
        <v>0</v>
      </c>
      <c r="S104" s="455"/>
      <c r="T104" s="455"/>
      <c r="U104" s="455">
        <f t="shared" si="41"/>
        <v>0</v>
      </c>
      <c r="V104" s="455"/>
      <c r="W104" s="455"/>
      <c r="X104" s="455">
        <f t="shared" si="42"/>
        <v>0</v>
      </c>
      <c r="Y104" s="455"/>
      <c r="Z104" s="455"/>
      <c r="AA104" s="455">
        <f t="shared" si="49"/>
        <v>0</v>
      </c>
      <c r="AB104" s="455">
        <f t="shared" si="50"/>
        <v>0</v>
      </c>
      <c r="AC104" s="457" t="e">
        <f t="shared" si="43"/>
        <v>#DIV/0!</v>
      </c>
      <c r="AD104" s="455">
        <f t="shared" si="44"/>
        <v>0</v>
      </c>
      <c r="AE104" s="455"/>
      <c r="AF104" s="457">
        <f t="shared" si="45"/>
        <v>0</v>
      </c>
      <c r="AG104" s="455"/>
      <c r="AH104" s="455"/>
      <c r="AI104" s="455"/>
      <c r="AJ104" s="455"/>
      <c r="AK104" s="455"/>
      <c r="AL104" s="458">
        <f t="shared" si="46"/>
        <v>0</v>
      </c>
      <c r="AM104" s="455"/>
      <c r="AN104" s="459">
        <f t="shared" si="51"/>
        <v>0</v>
      </c>
      <c r="AO104" s="460">
        <f t="shared" si="52"/>
        <v>0</v>
      </c>
      <c r="AP104" s="459"/>
      <c r="AQ104" s="461">
        <f t="shared" si="54"/>
        <v>0</v>
      </c>
      <c r="AR104" s="462">
        <f t="shared" si="59"/>
        <v>142.97999999999999</v>
      </c>
      <c r="AS104" s="462">
        <f t="shared" si="55"/>
        <v>0</v>
      </c>
      <c r="AT104" s="462">
        <f t="shared" si="56"/>
        <v>0</v>
      </c>
      <c r="AU104" s="462">
        <f t="shared" si="53"/>
        <v>0</v>
      </c>
      <c r="AV104" s="462">
        <f t="array" ref="AV104">_xlfn.IFS(U104=0,AO104,U104&lt;0,AO104/-U104,U104&gt;0,AO104/U104)</f>
        <v>0</v>
      </c>
      <c r="AW104" s="457">
        <f t="shared" si="60"/>
        <v>0</v>
      </c>
      <c r="AX104" s="457">
        <f t="shared" si="61"/>
        <v>0</v>
      </c>
      <c r="AY104" s="463"/>
      <c r="AZ104" s="459">
        <f t="shared" si="57"/>
        <v>0</v>
      </c>
    </row>
    <row r="105" spans="1:52" s="113" customFormat="1" outlineLevel="1">
      <c r="A105" s="101"/>
      <c r="B105" s="102"/>
      <c r="C105" s="103" t="s">
        <v>218</v>
      </c>
      <c r="D105" s="104"/>
      <c r="E105" s="235"/>
      <c r="F105" s="105"/>
      <c r="G105" s="105"/>
      <c r="H105" s="106"/>
      <c r="I105" s="106"/>
      <c r="J105" s="106"/>
      <c r="K105" s="105"/>
      <c r="L105" s="105"/>
      <c r="M105" s="103"/>
      <c r="N105" s="103"/>
      <c r="O105" s="103"/>
      <c r="P105" s="103"/>
      <c r="Q105" s="236"/>
      <c r="R105" s="105"/>
      <c r="S105" s="106"/>
      <c r="T105" s="106"/>
      <c r="U105" s="105"/>
      <c r="V105" s="106"/>
      <c r="W105" s="106"/>
      <c r="X105" s="105"/>
      <c r="Y105" s="106"/>
      <c r="Z105" s="106"/>
      <c r="AA105" s="105"/>
      <c r="AB105" s="105"/>
      <c r="AC105" s="237"/>
      <c r="AD105" s="105"/>
      <c r="AE105" s="106"/>
      <c r="AF105" s="237"/>
      <c r="AG105" s="106"/>
      <c r="AH105" s="106"/>
      <c r="AI105" s="106"/>
      <c r="AJ105" s="106"/>
      <c r="AK105" s="106"/>
      <c r="AL105" s="107"/>
      <c r="AM105" s="106"/>
      <c r="AN105" s="108"/>
      <c r="AO105" s="109"/>
      <c r="AP105" s="110"/>
      <c r="AQ105" s="111">
        <f t="shared" ref="AQ105:AX105" si="62">AVERAGE(AQ7:AQ98)</f>
        <v>0</v>
      </c>
      <c r="AR105" s="111">
        <f t="shared" si="62"/>
        <v>141.22217391304349</v>
      </c>
      <c r="AS105" s="111">
        <f t="shared" si="62"/>
        <v>0</v>
      </c>
      <c r="AT105" s="111">
        <f t="shared" si="62"/>
        <v>0</v>
      </c>
      <c r="AU105" s="111">
        <f t="shared" si="62"/>
        <v>0</v>
      </c>
      <c r="AV105" s="111">
        <f t="shared" si="62"/>
        <v>0</v>
      </c>
      <c r="AW105" s="112">
        <f t="shared" si="62"/>
        <v>0</v>
      </c>
      <c r="AX105" s="112">
        <f t="shared" si="62"/>
        <v>0</v>
      </c>
      <c r="AY105" s="99"/>
      <c r="AZ105" s="108"/>
    </row>
    <row r="106" spans="1:52" s="120" customFormat="1">
      <c r="A106" s="114" t="s">
        <v>85</v>
      </c>
      <c r="B106" s="115"/>
      <c r="C106" s="116"/>
      <c r="D106" s="116"/>
      <c r="E106" s="238">
        <f t="shared" ref="E106:J106" si="63">SUM(E3:E104)</f>
        <v>0</v>
      </c>
      <c r="F106" s="116">
        <f t="shared" si="63"/>
        <v>0</v>
      </c>
      <c r="G106" s="116">
        <f t="shared" si="63"/>
        <v>0</v>
      </c>
      <c r="H106" s="116">
        <f t="shared" si="63"/>
        <v>0</v>
      </c>
      <c r="I106" s="116">
        <f t="shared" si="63"/>
        <v>0</v>
      </c>
      <c r="J106" s="116">
        <f t="shared" si="63"/>
        <v>0</v>
      </c>
      <c r="K106" s="116"/>
      <c r="L106" s="116">
        <f>SUM(L3:L104)</f>
        <v>0</v>
      </c>
      <c r="M106" s="116"/>
      <c r="N106" s="116">
        <f>SUM(N3:N104)</f>
        <v>0</v>
      </c>
      <c r="O106" s="116"/>
      <c r="P106" s="116"/>
      <c r="Q106" s="212"/>
      <c r="R106" s="116"/>
      <c r="S106" s="116">
        <f t="shared" ref="S106:AE106" si="64">SUM(S3:S104)</f>
        <v>0</v>
      </c>
      <c r="T106" s="116">
        <f t="shared" si="64"/>
        <v>0</v>
      </c>
      <c r="U106" s="116">
        <f t="shared" si="64"/>
        <v>0</v>
      </c>
      <c r="V106" s="116">
        <f t="shared" si="64"/>
        <v>0</v>
      </c>
      <c r="W106" s="116">
        <f t="shared" si="64"/>
        <v>0</v>
      </c>
      <c r="X106" s="116">
        <f t="shared" si="64"/>
        <v>0</v>
      </c>
      <c r="Y106" s="116">
        <f t="shared" si="64"/>
        <v>0</v>
      </c>
      <c r="Z106" s="116">
        <f t="shared" si="64"/>
        <v>0</v>
      </c>
      <c r="AA106" s="116">
        <f t="shared" si="64"/>
        <v>0</v>
      </c>
      <c r="AB106" s="116">
        <f t="shared" si="64"/>
        <v>0</v>
      </c>
      <c r="AC106" s="239" t="e">
        <f t="shared" si="64"/>
        <v>#DIV/0!</v>
      </c>
      <c r="AD106" s="117">
        <f t="shared" si="64"/>
        <v>0</v>
      </c>
      <c r="AE106" s="116">
        <f t="shared" si="64"/>
        <v>0</v>
      </c>
      <c r="AF106" s="239" t="e">
        <f>AE106/AA106</f>
        <v>#DIV/0!</v>
      </c>
      <c r="AG106" s="116">
        <f t="shared" ref="AG106:AO106" si="65">SUM(AG3:AG104)</f>
        <v>0</v>
      </c>
      <c r="AH106" s="117">
        <f t="shared" si="65"/>
        <v>0</v>
      </c>
      <c r="AI106" s="117">
        <f t="shared" si="65"/>
        <v>0</v>
      </c>
      <c r="AJ106" s="117">
        <f t="shared" si="65"/>
        <v>0</v>
      </c>
      <c r="AK106" s="117">
        <f t="shared" si="65"/>
        <v>0</v>
      </c>
      <c r="AL106" s="117">
        <f t="shared" si="65"/>
        <v>0</v>
      </c>
      <c r="AM106" s="116">
        <f t="shared" si="65"/>
        <v>0</v>
      </c>
      <c r="AN106" s="117">
        <f t="shared" si="65"/>
        <v>0</v>
      </c>
      <c r="AO106" s="117">
        <f t="shared" si="65"/>
        <v>0</v>
      </c>
      <c r="AP106" s="118"/>
      <c r="AQ106" s="116"/>
      <c r="AR106" s="116"/>
      <c r="AS106" s="116"/>
      <c r="AT106" s="116"/>
      <c r="AU106" s="240" t="e">
        <f>(AH106+AI106+AJ106)/S106</f>
        <v>#DIV/0!</v>
      </c>
      <c r="AV106" s="116"/>
      <c r="AW106" s="116"/>
      <c r="AX106" s="116"/>
      <c r="AY106" s="119"/>
      <c r="AZ106" s="116">
        <f>SUM(AZ3:AZ104)</f>
        <v>0</v>
      </c>
    </row>
    <row r="107" spans="1:52" hidden="1" outlineLevel="1">
      <c r="A107" s="89"/>
      <c r="B107" s="90"/>
      <c r="C107" s="90"/>
      <c r="D107" s="121"/>
      <c r="E107" s="241"/>
      <c r="F107" s="93"/>
      <c r="G107" s="93"/>
      <c r="H107" s="93"/>
      <c r="I107" s="93"/>
      <c r="J107" s="93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545"/>
      <c r="AI107" s="545"/>
      <c r="AJ107" s="490"/>
      <c r="AK107" s="490"/>
      <c r="AL107" s="122"/>
      <c r="AM107" s="93"/>
      <c r="AN107" s="123"/>
      <c r="AO107" s="124"/>
      <c r="AP107" s="96"/>
      <c r="AQ107" s="125"/>
      <c r="AR107" s="126"/>
      <c r="AS107" s="126"/>
      <c r="AT107" s="126"/>
      <c r="AU107" s="126"/>
      <c r="AV107" s="126"/>
      <c r="AW107" s="244"/>
      <c r="AX107" s="244"/>
      <c r="AY107" s="99"/>
      <c r="AZ107" s="123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92"/>
      <c r="AB112" s="92"/>
      <c r="AC112" s="234"/>
      <c r="AD112" s="92"/>
      <c r="AE112" s="93"/>
      <c r="AF112" s="234"/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100"/>
      <c r="C113" s="100"/>
      <c r="D113" s="100"/>
      <c r="E113" s="100"/>
      <c r="H113" s="270"/>
      <c r="K113" s="93"/>
      <c r="L113" s="93"/>
      <c r="M113" s="89"/>
      <c r="N113" s="89"/>
      <c r="O113" s="89"/>
      <c r="P113" s="89"/>
      <c r="Q113" s="242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243"/>
      <c r="AD113" s="93"/>
      <c r="AE113" s="93"/>
      <c r="AF113" s="243"/>
      <c r="AG113" s="93"/>
      <c r="AH113" s="490"/>
      <c r="AI113" s="490"/>
      <c r="AJ113" s="490"/>
      <c r="AK113" s="490"/>
      <c r="AL113" s="122"/>
      <c r="AM113" s="93"/>
      <c r="AN113" s="123"/>
      <c r="AO113" s="124"/>
      <c r="AP113" s="96"/>
      <c r="AQ113" s="245" t="e">
        <f>AVERAGE(AQ108:AQ112)</f>
        <v>#DIV/0!</v>
      </c>
      <c r="AR113" s="245" t="e">
        <f>AVERAGE(AR108:AR112)</f>
        <v>#DIV/0!</v>
      </c>
      <c r="AS113" s="245" t="e">
        <f t="shared" ref="AS113:AX113" si="66">AVERAGE(AS108:AS112)</f>
        <v>#DIV/0!</v>
      </c>
      <c r="AT113" s="245" t="e">
        <f t="shared" si="66"/>
        <v>#DIV/0!</v>
      </c>
      <c r="AU113" s="245" t="e">
        <f t="shared" si="66"/>
        <v>#DIV/0!</v>
      </c>
      <c r="AV113" s="245" t="e">
        <f t="shared" si="66"/>
        <v>#DIV/0!</v>
      </c>
      <c r="AW113" s="246" t="e">
        <f t="shared" si="66"/>
        <v>#DIV/0!</v>
      </c>
      <c r="AX113" s="246" t="e">
        <f t="shared" si="66"/>
        <v>#DIV/0!</v>
      </c>
      <c r="AY113" s="99"/>
      <c r="AZ113" s="123"/>
    </row>
    <row r="114" spans="1:52" s="120" customFormat="1" hidden="1" outlineLevel="1">
      <c r="A114" s="247" t="s">
        <v>226</v>
      </c>
      <c r="B114" s="248"/>
      <c r="C114" s="249"/>
      <c r="D114" s="249"/>
      <c r="E114" s="250">
        <f t="shared" ref="E114:J114" si="67">SUM(E108:E112)</f>
        <v>0</v>
      </c>
      <c r="F114" s="249">
        <f t="shared" si="67"/>
        <v>0</v>
      </c>
      <c r="G114" s="249">
        <f t="shared" si="67"/>
        <v>0</v>
      </c>
      <c r="H114" s="249">
        <f t="shared" si="67"/>
        <v>0</v>
      </c>
      <c r="I114" s="249">
        <f t="shared" si="67"/>
        <v>0</v>
      </c>
      <c r="J114" s="249">
        <f t="shared" si="67"/>
        <v>0</v>
      </c>
      <c r="K114" s="249"/>
      <c r="L114" s="249">
        <f>SUM(L108:L112)</f>
        <v>0</v>
      </c>
      <c r="M114" s="249"/>
      <c r="N114" s="249">
        <f>SUM(N108:N112)</f>
        <v>0</v>
      </c>
      <c r="O114" s="249"/>
      <c r="P114" s="249"/>
      <c r="Q114" s="251"/>
      <c r="R114" s="249"/>
      <c r="S114" s="249">
        <f t="shared" ref="S114:AE114" si="68">SUM(S108:S112)</f>
        <v>0</v>
      </c>
      <c r="T114" s="249">
        <f t="shared" si="68"/>
        <v>0</v>
      </c>
      <c r="U114" s="249">
        <f t="shared" si="68"/>
        <v>0</v>
      </c>
      <c r="V114" s="249">
        <f t="shared" si="68"/>
        <v>0</v>
      </c>
      <c r="W114" s="249">
        <f t="shared" si="68"/>
        <v>0</v>
      </c>
      <c r="X114" s="249">
        <f t="shared" si="68"/>
        <v>0</v>
      </c>
      <c r="Y114" s="249">
        <f t="shared" si="68"/>
        <v>0</v>
      </c>
      <c r="Z114" s="249">
        <f t="shared" si="68"/>
        <v>0</v>
      </c>
      <c r="AA114" s="249">
        <f t="shared" si="68"/>
        <v>0</v>
      </c>
      <c r="AB114" s="249">
        <f t="shared" si="68"/>
        <v>0</v>
      </c>
      <c r="AC114" s="252">
        <f t="shared" si="68"/>
        <v>0</v>
      </c>
      <c r="AD114" s="253">
        <f t="shared" si="68"/>
        <v>0</v>
      </c>
      <c r="AE114" s="249">
        <f t="shared" si="68"/>
        <v>0</v>
      </c>
      <c r="AF114" s="252" t="e">
        <f>AE114/AA114</f>
        <v>#DIV/0!</v>
      </c>
      <c r="AG114" s="249">
        <f t="shared" ref="AG114:AO114" si="69">SUM(AG108:AG112)</f>
        <v>0</v>
      </c>
      <c r="AH114" s="253">
        <f t="shared" si="69"/>
        <v>0</v>
      </c>
      <c r="AI114" s="253">
        <f t="shared" si="69"/>
        <v>0</v>
      </c>
      <c r="AJ114" s="253">
        <f t="shared" si="69"/>
        <v>0</v>
      </c>
      <c r="AK114" s="253">
        <f t="shared" si="69"/>
        <v>0</v>
      </c>
      <c r="AL114" s="253">
        <f t="shared" si="69"/>
        <v>0</v>
      </c>
      <c r="AM114" s="249">
        <f t="shared" si="69"/>
        <v>0</v>
      </c>
      <c r="AN114" s="253">
        <f t="shared" si="69"/>
        <v>0</v>
      </c>
      <c r="AO114" s="253">
        <f t="shared" si="69"/>
        <v>0</v>
      </c>
      <c r="AP114" s="254"/>
      <c r="AQ114" s="249"/>
      <c r="AR114" s="249"/>
      <c r="AS114" s="249"/>
      <c r="AT114" s="249"/>
      <c r="AU114" s="255" t="e">
        <f>(AH114+AI114+AJ114)/S114</f>
        <v>#DIV/0!</v>
      </c>
      <c r="AV114" s="249"/>
      <c r="AW114" s="249"/>
      <c r="AX114" s="249"/>
      <c r="AY114" s="256"/>
      <c r="AZ114" s="249">
        <f>SUM(AZ108:AZ112)</f>
        <v>0</v>
      </c>
    </row>
    <row r="115" spans="1:52" s="120" customFormat="1" hidden="1" outlineLevel="1">
      <c r="A115" s="257"/>
      <c r="B115" s="258"/>
      <c r="C115" s="139"/>
      <c r="D115" s="139"/>
      <c r="E115" s="25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260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261"/>
      <c r="AD115" s="262"/>
      <c r="AE115" s="139"/>
      <c r="AF115" s="261"/>
      <c r="AG115" s="139"/>
      <c r="AH115" s="546"/>
      <c r="AI115" s="547"/>
      <c r="AJ115" s="491"/>
      <c r="AK115" s="262"/>
      <c r="AL115" s="262"/>
      <c r="AM115" s="139"/>
      <c r="AN115" s="262"/>
      <c r="AO115" s="262"/>
      <c r="AP115" s="96"/>
      <c r="AQ115" s="139"/>
      <c r="AR115" s="139"/>
      <c r="AS115" s="139"/>
      <c r="AT115" s="139"/>
      <c r="AU115" s="139"/>
      <c r="AV115" s="139"/>
      <c r="AW115" s="139"/>
      <c r="AX115" s="139"/>
      <c r="AY115" s="96"/>
      <c r="AZ115" s="139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121"/>
      <c r="E123" s="241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92"/>
      <c r="AB123" s="92"/>
      <c r="AC123" s="234"/>
      <c r="AD123" s="92"/>
      <c r="AE123" s="93"/>
      <c r="AF123" s="234"/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127"/>
      <c r="B124" s="100"/>
      <c r="C124" s="89"/>
      <c r="D124" s="127"/>
      <c r="E124" s="232"/>
      <c r="F124" s="92"/>
      <c r="G124" s="92"/>
      <c r="H124" s="93"/>
      <c r="I124" s="92"/>
      <c r="J124" s="93"/>
      <c r="K124" s="92"/>
      <c r="L124" s="92"/>
      <c r="M124" s="89"/>
      <c r="N124" s="129"/>
      <c r="O124" s="129"/>
      <c r="P124" s="129"/>
      <c r="Q124" s="233"/>
      <c r="R124" s="128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234"/>
      <c r="AD124" s="92"/>
      <c r="AE124" s="92"/>
      <c r="AF124" s="234"/>
      <c r="AG124" s="92"/>
      <c r="AH124" s="93"/>
      <c r="AI124" s="93"/>
      <c r="AJ124" s="93"/>
      <c r="AK124" s="93"/>
      <c r="AL124" s="122"/>
      <c r="AN124" s="94"/>
      <c r="AO124" s="95"/>
      <c r="AP124" s="96"/>
      <c r="AQ124" s="130" t="e">
        <f t="shared" ref="AQ124:AX124" si="70">AVERAGE(AQ116:AQ123)</f>
        <v>#DIV/0!</v>
      </c>
      <c r="AR124" s="130" t="e">
        <f t="shared" si="70"/>
        <v>#DIV/0!</v>
      </c>
      <c r="AS124" s="130" t="e">
        <f t="shared" si="70"/>
        <v>#DIV/0!</v>
      </c>
      <c r="AT124" s="130" t="e">
        <f t="shared" si="70"/>
        <v>#DIV/0!</v>
      </c>
      <c r="AU124" s="130" t="e">
        <f t="shared" si="70"/>
        <v>#DIV/0!</v>
      </c>
      <c r="AV124" s="130" t="e">
        <f t="shared" si="70"/>
        <v>#DIV/0!</v>
      </c>
      <c r="AW124" s="131" t="e">
        <f t="shared" si="70"/>
        <v>#DIV/0!</v>
      </c>
      <c r="AX124" s="131" t="e">
        <f t="shared" si="70"/>
        <v>#DIV/0!</v>
      </c>
      <c r="AY124" s="99"/>
      <c r="AZ124" s="94"/>
    </row>
    <row r="125" spans="1:52" s="139" customFormat="1" ht="15" hidden="1" customHeight="1" outlineLevel="1">
      <c r="A125" s="132" t="s">
        <v>235</v>
      </c>
      <c r="B125" s="133"/>
      <c r="C125" s="134"/>
      <c r="D125" s="134"/>
      <c r="E125" s="264">
        <f t="shared" ref="E125:J125" si="71">SUM(E116:E123)</f>
        <v>0</v>
      </c>
      <c r="F125" s="134">
        <f t="shared" si="71"/>
        <v>0</v>
      </c>
      <c r="G125" s="134">
        <f t="shared" si="71"/>
        <v>0</v>
      </c>
      <c r="H125" s="134">
        <f t="shared" si="71"/>
        <v>0</v>
      </c>
      <c r="I125" s="134">
        <f t="shared" si="71"/>
        <v>0</v>
      </c>
      <c r="J125" s="134">
        <f t="shared" si="71"/>
        <v>0</v>
      </c>
      <c r="K125" s="134"/>
      <c r="L125" s="134">
        <f>SUM(L116:L123)</f>
        <v>0</v>
      </c>
      <c r="M125" s="134"/>
      <c r="N125" s="134">
        <f>SUM(N116:N123)</f>
        <v>0</v>
      </c>
      <c r="O125" s="134"/>
      <c r="P125" s="134"/>
      <c r="Q125" s="213"/>
      <c r="R125" s="134"/>
      <c r="S125" s="134">
        <f t="shared" ref="S125:AE125" si="72">SUM(S116:S123)</f>
        <v>0</v>
      </c>
      <c r="T125" s="134">
        <f t="shared" si="72"/>
        <v>0</v>
      </c>
      <c r="U125" s="134">
        <f t="shared" si="72"/>
        <v>0</v>
      </c>
      <c r="V125" s="134">
        <f t="shared" si="72"/>
        <v>0</v>
      </c>
      <c r="W125" s="134">
        <f t="shared" si="72"/>
        <v>0</v>
      </c>
      <c r="X125" s="134">
        <f t="shared" si="72"/>
        <v>0</v>
      </c>
      <c r="Y125" s="134">
        <f t="shared" si="72"/>
        <v>0</v>
      </c>
      <c r="Z125" s="134">
        <f t="shared" si="72"/>
        <v>0</v>
      </c>
      <c r="AA125" s="134">
        <f t="shared" si="72"/>
        <v>0</v>
      </c>
      <c r="AB125" s="134">
        <f t="shared" si="72"/>
        <v>0</v>
      </c>
      <c r="AC125" s="265">
        <f t="shared" si="72"/>
        <v>0</v>
      </c>
      <c r="AD125" s="135">
        <f t="shared" si="72"/>
        <v>0</v>
      </c>
      <c r="AE125" s="134">
        <f t="shared" si="72"/>
        <v>0</v>
      </c>
      <c r="AF125" s="265" t="e">
        <f>AE125/AA125</f>
        <v>#DIV/0!</v>
      </c>
      <c r="AG125" s="134">
        <f t="shared" ref="AG125:AO125" si="73">SUM(AG116:AG123)</f>
        <v>0</v>
      </c>
      <c r="AH125" s="134">
        <f t="shared" si="73"/>
        <v>0</v>
      </c>
      <c r="AI125" s="134">
        <f t="shared" si="73"/>
        <v>0</v>
      </c>
      <c r="AJ125" s="134">
        <f t="shared" si="73"/>
        <v>0</v>
      </c>
      <c r="AK125" s="134">
        <f t="shared" si="73"/>
        <v>0</v>
      </c>
      <c r="AL125" s="136">
        <f t="shared" si="73"/>
        <v>0</v>
      </c>
      <c r="AM125" s="134">
        <f t="shared" si="73"/>
        <v>0</v>
      </c>
      <c r="AN125" s="134">
        <f t="shared" si="73"/>
        <v>0</v>
      </c>
      <c r="AO125" s="134">
        <f t="shared" si="73"/>
        <v>0</v>
      </c>
      <c r="AP125" s="137"/>
      <c r="AQ125" s="134"/>
      <c r="AR125" s="134"/>
      <c r="AS125" s="134"/>
      <c r="AT125" s="134"/>
      <c r="AU125" s="134" t="e">
        <f>(AH125+AI125+AJ125)/S125</f>
        <v>#DIV/0!</v>
      </c>
      <c r="AV125" s="134"/>
      <c r="AW125" s="134"/>
      <c r="AX125" s="134"/>
      <c r="AY125" s="138"/>
      <c r="AZ125" s="134">
        <f>SUM(AZ116:AZ123)</f>
        <v>0</v>
      </c>
    </row>
    <row r="126" spans="1:52" s="120" customFormat="1" collapsed="1">
      <c r="A126" s="429" t="s">
        <v>333</v>
      </c>
      <c r="B126" s="430"/>
      <c r="C126" s="431"/>
      <c r="D126" s="431"/>
      <c r="E126" s="432">
        <f>SUM(E3:E18)+E28+E45+E47+E48+E49+E50</f>
        <v>0</v>
      </c>
      <c r="F126" s="431">
        <f>SUM(F3:F18)+F28+F45+F47+F48+F49+F50</f>
        <v>0</v>
      </c>
      <c r="G126" s="431">
        <f t="shared" ref="G126:AO126" si="74">SUM(G3:G18)+G28+G45+G47+G48+G49+G50</f>
        <v>0</v>
      </c>
      <c r="H126" s="431">
        <f t="shared" si="74"/>
        <v>0</v>
      </c>
      <c r="I126" s="431">
        <f t="shared" si="74"/>
        <v>0</v>
      </c>
      <c r="J126" s="431">
        <f t="shared" si="74"/>
        <v>0</v>
      </c>
      <c r="K126" s="431"/>
      <c r="L126" s="431">
        <f t="shared" si="74"/>
        <v>0</v>
      </c>
      <c r="M126" s="431">
        <f t="shared" si="74"/>
        <v>0</v>
      </c>
      <c r="N126" s="431">
        <f t="shared" si="74"/>
        <v>0</v>
      </c>
      <c r="O126" s="431"/>
      <c r="P126" s="431"/>
      <c r="Q126" s="486">
        <f t="shared" si="74"/>
        <v>0</v>
      </c>
      <c r="R126" s="486">
        <f t="shared" si="74"/>
        <v>0</v>
      </c>
      <c r="S126" s="431">
        <f t="shared" si="74"/>
        <v>0</v>
      </c>
      <c r="T126" s="431">
        <f>SUM(T3:T18)+T28+T45+T47+T48+T49+T50</f>
        <v>0</v>
      </c>
      <c r="U126" s="431">
        <f t="shared" si="74"/>
        <v>0</v>
      </c>
      <c r="V126" s="431">
        <f t="shared" si="74"/>
        <v>0</v>
      </c>
      <c r="W126" s="431">
        <f t="shared" si="74"/>
        <v>0</v>
      </c>
      <c r="X126" s="431">
        <f t="shared" si="74"/>
        <v>0</v>
      </c>
      <c r="Y126" s="431">
        <f t="shared" si="74"/>
        <v>0</v>
      </c>
      <c r="Z126" s="431">
        <f t="shared" si="74"/>
        <v>0</v>
      </c>
      <c r="AA126" s="431">
        <f t="shared" si="74"/>
        <v>0</v>
      </c>
      <c r="AB126" s="431">
        <f t="shared" si="74"/>
        <v>0</v>
      </c>
      <c r="AC126" s="434" t="e">
        <f t="shared" si="74"/>
        <v>#DIV/0!</v>
      </c>
      <c r="AD126" s="435">
        <f t="shared" si="74"/>
        <v>0</v>
      </c>
      <c r="AE126" s="431">
        <f t="shared" si="74"/>
        <v>0</v>
      </c>
      <c r="AF126" s="434" t="e">
        <f t="shared" ref="AF126" si="75">AE126/AA126</f>
        <v>#DIV/0!</v>
      </c>
      <c r="AG126" s="431">
        <f t="shared" si="74"/>
        <v>0</v>
      </c>
      <c r="AH126" s="435">
        <f t="shared" si="74"/>
        <v>0</v>
      </c>
      <c r="AI126" s="435">
        <f t="shared" si="74"/>
        <v>0</v>
      </c>
      <c r="AJ126" s="435">
        <f t="shared" si="74"/>
        <v>0</v>
      </c>
      <c r="AK126" s="435">
        <f t="shared" si="74"/>
        <v>0</v>
      </c>
      <c r="AL126" s="435">
        <f t="shared" si="74"/>
        <v>0</v>
      </c>
      <c r="AM126" s="431">
        <f t="shared" si="74"/>
        <v>0</v>
      </c>
      <c r="AN126" s="435">
        <f t="shared" si="74"/>
        <v>0</v>
      </c>
      <c r="AO126" s="435">
        <f t="shared" si="74"/>
        <v>0</v>
      </c>
      <c r="AP126" s="436"/>
      <c r="AQ126" s="431"/>
      <c r="AR126" s="431"/>
      <c r="AS126" s="431"/>
      <c r="AT126" s="431"/>
      <c r="AU126" s="437"/>
      <c r="AV126" s="431"/>
      <c r="AW126" s="431"/>
      <c r="AX126" s="431"/>
      <c r="AY126" s="438"/>
      <c r="AZ126" s="431"/>
    </row>
    <row r="127" spans="1:52" s="158" customFormat="1">
      <c r="A127" s="153" t="s">
        <v>6</v>
      </c>
      <c r="B127" s="154"/>
      <c r="C127" s="155"/>
      <c r="D127" s="155"/>
      <c r="E127" s="267">
        <f t="shared" ref="E127:AE127" si="76">E106+E114+E125</f>
        <v>0</v>
      </c>
      <c r="F127" s="267">
        <f>F106+F114+F125</f>
        <v>0</v>
      </c>
      <c r="G127" s="267">
        <f t="shared" si="76"/>
        <v>0</v>
      </c>
      <c r="H127" s="267">
        <f t="shared" si="76"/>
        <v>0</v>
      </c>
      <c r="I127" s="267">
        <f t="shared" si="76"/>
        <v>0</v>
      </c>
      <c r="J127" s="267">
        <f t="shared" si="76"/>
        <v>0</v>
      </c>
      <c r="K127" s="267">
        <f t="shared" si="76"/>
        <v>0</v>
      </c>
      <c r="L127" s="267">
        <f t="shared" si="76"/>
        <v>0</v>
      </c>
      <c r="M127" s="267">
        <f t="shared" si="76"/>
        <v>0</v>
      </c>
      <c r="N127" s="267">
        <f t="shared" si="76"/>
        <v>0</v>
      </c>
      <c r="O127" s="267">
        <f t="shared" si="76"/>
        <v>0</v>
      </c>
      <c r="P127" s="267">
        <f t="shared" si="76"/>
        <v>0</v>
      </c>
      <c r="Q127" s="215">
        <f t="shared" si="76"/>
        <v>0</v>
      </c>
      <c r="R127" s="267">
        <f t="shared" si="76"/>
        <v>0</v>
      </c>
      <c r="S127" s="267">
        <f t="shared" si="76"/>
        <v>0</v>
      </c>
      <c r="T127" s="267">
        <f t="shared" si="76"/>
        <v>0</v>
      </c>
      <c r="U127" s="267">
        <f t="shared" si="76"/>
        <v>0</v>
      </c>
      <c r="V127" s="267">
        <f t="shared" si="76"/>
        <v>0</v>
      </c>
      <c r="W127" s="267">
        <f t="shared" si="76"/>
        <v>0</v>
      </c>
      <c r="X127" s="267">
        <f t="shared" si="76"/>
        <v>0</v>
      </c>
      <c r="Y127" s="267">
        <f t="shared" si="76"/>
        <v>0</v>
      </c>
      <c r="Z127" s="267">
        <f t="shared" si="76"/>
        <v>0</v>
      </c>
      <c r="AA127" s="267">
        <f t="shared" si="76"/>
        <v>0</v>
      </c>
      <c r="AB127" s="267">
        <f t="shared" si="76"/>
        <v>0</v>
      </c>
      <c r="AC127" s="267" t="e">
        <f t="shared" si="76"/>
        <v>#DIV/0!</v>
      </c>
      <c r="AD127" s="267">
        <f t="shared" si="76"/>
        <v>0</v>
      </c>
      <c r="AE127" s="267">
        <f t="shared" si="76"/>
        <v>0</v>
      </c>
      <c r="AF127" s="268" t="e">
        <f>AE127/AA127</f>
        <v>#DIV/0!</v>
      </c>
      <c r="AG127" s="267">
        <f>AG106+AG114+AG125+AG126</f>
        <v>0</v>
      </c>
      <c r="AH127" s="267">
        <f>AH106+AH114+AH125</f>
        <v>0</v>
      </c>
      <c r="AI127" s="267">
        <f>AI106+AI114+AI125</f>
        <v>0</v>
      </c>
      <c r="AJ127" s="267">
        <f>AJ106+AJ114+AJ125</f>
        <v>0</v>
      </c>
      <c r="AK127" s="267">
        <f>AK106+AK114+AK125</f>
        <v>0</v>
      </c>
      <c r="AL127" s="156">
        <v>11044.13</v>
      </c>
      <c r="AM127" s="267">
        <f>AM106+AM114+AM125</f>
        <v>0</v>
      </c>
      <c r="AN127" s="267">
        <f>AN106+AN114+AN125</f>
        <v>0</v>
      </c>
      <c r="AO127" s="267">
        <f>AO106+AO114+AO125</f>
        <v>0</v>
      </c>
      <c r="AP127" s="155"/>
      <c r="AQ127" s="155"/>
      <c r="AR127" s="155"/>
      <c r="AS127" s="155"/>
      <c r="AT127" s="155"/>
      <c r="AU127" s="155" t="e">
        <f>(AH127+AI127)/S127</f>
        <v>#DIV/0!</v>
      </c>
      <c r="AV127" s="155"/>
      <c r="AW127" s="155"/>
      <c r="AX127" s="155"/>
      <c r="AY127" s="157"/>
      <c r="AZ127" s="155">
        <f>AZ106+AZ125</f>
        <v>0</v>
      </c>
    </row>
    <row r="128" spans="1:52" s="143" customFormat="1">
      <c r="A128" s="142"/>
      <c r="B128" s="141"/>
      <c r="C128" s="159"/>
      <c r="D128" s="142"/>
      <c r="E128" s="266"/>
      <c r="N128" s="144"/>
      <c r="O128" s="144"/>
      <c r="P128" s="144"/>
      <c r="R128" s="145"/>
      <c r="S128" s="146"/>
      <c r="T128" s="146"/>
      <c r="U128" s="147"/>
      <c r="V128" s="147"/>
      <c r="W128" s="147"/>
      <c r="X128" s="147"/>
      <c r="Y128" s="146"/>
      <c r="Z128" s="147"/>
      <c r="AA128" s="147"/>
      <c r="AB128" s="147"/>
      <c r="AE128" s="148"/>
      <c r="AG128" s="160"/>
      <c r="AH128" s="338"/>
      <c r="AI128" s="338"/>
      <c r="AJ128" s="492"/>
      <c r="AK128" s="492"/>
      <c r="AL128" s="149"/>
      <c r="AM128" s="150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2"/>
    </row>
    <row r="129" spans="3:4">
      <c r="C129" s="162"/>
      <c r="D129" s="162"/>
    </row>
    <row r="130" spans="3:4">
      <c r="C130" s="162"/>
      <c r="D130" s="162"/>
    </row>
  </sheetData>
  <mergeCells count="10">
    <mergeCell ref="AH1:AI1"/>
    <mergeCell ref="AQ1:AX1"/>
    <mergeCell ref="AH107:AI107"/>
    <mergeCell ref="AH115:AI115"/>
    <mergeCell ref="F1:H1"/>
    <mergeCell ref="I1:J1"/>
    <mergeCell ref="N1:P1"/>
    <mergeCell ref="S1:T1"/>
    <mergeCell ref="V1:W1"/>
    <mergeCell ref="Y1:Z1"/>
  </mergeCells>
  <conditionalFormatting sqref="AC129:AC1048576">
    <cfRule type="cellIs" dxfId="112" priority="15" operator="greaterThan">
      <formula>0.23</formula>
    </cfRule>
  </conditionalFormatting>
  <conditionalFormatting sqref="M124:O124 M107:M113 M3:M105">
    <cfRule type="cellIs" dxfId="111" priority="26" operator="greaterThan">
      <formula>120</formula>
    </cfRule>
  </conditionalFormatting>
  <conditionalFormatting sqref="AC128">
    <cfRule type="cellIs" dxfId="110" priority="27" operator="greaterThan">
      <formula>0.23</formula>
    </cfRule>
  </conditionalFormatting>
  <conditionalFormatting sqref="AA124:AC124 AA107:AC107 AA113:AC113 AA105:AC105 AB3:AC10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{9D38E47F-5313-48C3-870B-E3EF1B4BC876}</x14:id>
        </ext>
      </extLst>
    </cfRule>
  </conditionalFormatting>
  <conditionalFormatting sqref="AC113 AC107 AC3:AC10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{869A4B96-4888-45EC-9A2F-A8BDD23EA88E}</x14:id>
        </ext>
      </extLst>
    </cfRule>
  </conditionalFormatting>
  <conditionalFormatting sqref="AC1">
    <cfRule type="cellIs" dxfId="109" priority="25" operator="greaterThan">
      <formula>0.23</formula>
    </cfRule>
  </conditionalFormatting>
  <conditionalFormatting sqref="AV108:AV11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{29D5E3A0-EDAD-47E3-9C19-F6089773D179}</x14:id>
        </ext>
      </extLst>
    </cfRule>
  </conditionalFormatting>
  <conditionalFormatting sqref="AW108:AX1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{25CD75E0-C964-4489-8486-3CD1795B30B8}</x14:id>
        </ext>
      </extLst>
    </cfRule>
  </conditionalFormatting>
  <conditionalFormatting sqref="AZ108:AZ11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{E74D0402-1C9E-4336-8552-31B70CA7EDF3}</x14:id>
        </ext>
      </extLst>
    </cfRule>
  </conditionalFormatting>
  <conditionalFormatting sqref="AZ108:AZ11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{8E62EE56-B812-458E-828D-DF9AACF033B4}</x14:id>
        </ext>
      </extLst>
    </cfRule>
  </conditionalFormatting>
  <conditionalFormatting sqref="Q124">
    <cfRule type="cellIs" dxfId="108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{DC5DDD58-061E-4AD8-B22B-93148008CCA8}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{9B7799C5-8776-4EE6-825E-48F408B099CF}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{F378CDAD-8B90-452B-832C-F5BEA292D944}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{F9915668-C7D4-4B86-92F3-3C93FF73FF94}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{6EE4B18E-4822-46EC-83F8-63077D7BD638}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{835ACDBF-8DD8-4ED4-8D27-5FA5F4418AED}</x14:id>
        </ext>
      </extLst>
    </cfRule>
  </conditionalFormatting>
  <conditionalFormatting sqref="AZ3:AZ16 AZ107 AZ124 AZ113 AZ26:AZ43 AZ94:AZ10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{865E9493-563B-4310-97B3-55F954E8C395}</x14:id>
        </ext>
      </extLst>
    </cfRule>
  </conditionalFormatting>
  <conditionalFormatting sqref="AZ116:AZ1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{B9413339-ADFB-4F72-A0F5-7F6F11D74CD4}</x14:id>
        </ext>
      </extLst>
    </cfRule>
  </conditionalFormatting>
  <conditionalFormatting sqref="AV3:AV16 AV107 AV26:AV43 AV94:AV10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{A75ADDDF-27B2-4698-BDB3-1953A5B32861}</x14:id>
        </ext>
      </extLst>
    </cfRule>
  </conditionalFormatting>
  <conditionalFormatting sqref="AW107:AX107 AW3:AX16 AW26:AX43 AW94:AX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{4EF3A6AE-E3F9-4D29-88DE-116C07FAC9E2}</x14:id>
        </ext>
      </extLst>
    </cfRule>
  </conditionalFormatting>
  <conditionalFormatting sqref="AZ3:AZ16 AZ107 AZ113 AZ26:AZ43 AZ94:AZ10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{A51E4847-3B66-4C02-83DC-F4EE34366781}</x14:id>
        </ext>
      </extLst>
    </cfRule>
  </conditionalFormatting>
  <conditionalFormatting sqref="AZ116:AZ1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{8E2E410E-96DF-4413-BE30-223283B43C7C}</x14:id>
        </ext>
      </extLst>
    </cfRule>
  </conditionalFormatting>
  <conditionalFormatting sqref="AV116:AV1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{AD6E5C5B-3D0F-4A54-ACAF-2B5CE07889AD}</x14:id>
        </ext>
      </extLst>
    </cfRule>
  </conditionalFormatting>
  <conditionalFormatting sqref="AW116:AX12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{5AD7C39D-DB42-427B-AA07-462B89D12E25}</x14:id>
        </ext>
      </extLst>
    </cfRule>
  </conditionalFormatting>
  <conditionalFormatting sqref="AO107 AO124 AO113 AO3:AO10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{6034DDBF-7703-4EB3-B096-5306AD0A04B6}</x14:id>
        </ext>
      </extLst>
    </cfRule>
  </conditionalFormatting>
  <conditionalFormatting sqref="AO107 AO113 AO3:AO10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{823F828E-FDA7-41CB-86D3-B41C5081A450}</x14:id>
        </ext>
      </extLst>
    </cfRule>
  </conditionalFormatting>
  <conditionalFormatting sqref="AO108:AO11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{8F74E171-0EC3-4F1E-9FD0-7D0F45A287B8}</x14:id>
        </ext>
      </extLst>
    </cfRule>
  </conditionalFormatting>
  <conditionalFormatting sqref="AO108:AO11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{A78A011D-8EAC-44F9-ABD9-B278DB0356AE}</x14:id>
        </ext>
      </extLst>
    </cfRule>
  </conditionalFormatting>
  <conditionalFormatting sqref="AO116:AO12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{F0D70B22-2172-42B9-9BA2-AF1E5664E2EF}</x14:id>
        </ext>
      </extLst>
    </cfRule>
  </conditionalFormatting>
  <conditionalFormatting sqref="AO116:AO1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{7B6CF4DD-43F1-4381-B62C-59E6BFEF23B0}</x14:id>
        </ext>
      </extLst>
    </cfRule>
  </conditionalFormatting>
  <conditionalFormatting sqref="AA3:AA10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{008A023F-ABEF-44BE-A8EC-312404858E61}</x14:id>
        </ext>
      </extLst>
    </cfRule>
  </conditionalFormatting>
  <conditionalFormatting sqref="M116:M123">
    <cfRule type="cellIs" dxfId="107" priority="7" operator="greaterThan">
      <formula>120</formula>
    </cfRule>
  </conditionalFormatting>
  <conditionalFormatting sqref="AB108:AC11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{BC808660-DD91-4C57-9B9E-F60B32143F79}</x14:id>
        </ext>
      </extLst>
    </cfRule>
  </conditionalFormatting>
  <conditionalFormatting sqref="AC108:AC11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{549D7F86-7FD6-4B44-AF41-2740852DFFF1}</x14:id>
        </ext>
      </extLst>
    </cfRule>
  </conditionalFormatting>
  <conditionalFormatting sqref="AA108:AA11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{2BAD5E85-DEAF-4968-BC96-8D4EAAA1E334}</x14:id>
        </ext>
      </extLst>
    </cfRule>
  </conditionalFormatting>
  <conditionalFormatting sqref="AB116:AC12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{8956CE7E-E24A-4726-B2DC-358410B5A90C}</x14:id>
        </ext>
      </extLst>
    </cfRule>
  </conditionalFormatting>
  <conditionalFormatting sqref="AC116:AC1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{789508D6-8CB8-482F-9364-C25841C6BDFF}</x14:id>
        </ext>
      </extLst>
    </cfRule>
  </conditionalFormatting>
  <conditionalFormatting sqref="AA116:AA1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{2F3C470E-36BC-4C1E-AA50-B4892C123083}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38E47F-5313-48C3-870B-E3EF1B4BC8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AA124:AC124 AA107:AC107 AA113:AC113 AA105:AC105 AB3:AC104</xm:sqref>
        </x14:conditionalFormatting>
        <x14:conditionalFormatting xmlns:xm="http://schemas.microsoft.com/office/excel/2006/main">
          <x14:cfRule type="dataBar" id="{869A4B96-4888-45EC-9A2F-A8BDD23EA8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AC113 AC107 AC3:AC105</xm:sqref>
        </x14:conditionalFormatting>
        <x14:conditionalFormatting xmlns:xm="http://schemas.microsoft.com/office/excel/2006/main">
          <x14:cfRule type="dataBar" id="{29D5E3A0-EDAD-47E3-9C19-F6089773D1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AV108:AV112</xm:sqref>
        </x14:conditionalFormatting>
        <x14:conditionalFormatting xmlns:xm="http://schemas.microsoft.com/office/excel/2006/main">
          <x14:cfRule type="dataBar" id="{25CD75E0-C964-4489-8486-3CD1795B3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AW108:AX112</xm:sqref>
        </x14:conditionalFormatting>
        <x14:conditionalFormatting xmlns:xm="http://schemas.microsoft.com/office/excel/2006/main">
          <x14:cfRule type="dataBar" id="{E74D0402-1C9E-4336-8552-31B70CA7ED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8E62EE56-B812-458E-828D-DF9AACF03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DC5DDD58-061E-4AD8-B22B-93148008CC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9B7799C5-8776-4EE6-825E-48F408B099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F378CDAD-8B90-452B-832C-F5BEA292D9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9915668-C7D4-4B86-92F3-3C93FF73FF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6EE4B18E-4822-46EC-83F8-63077D7BD6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35ACDBF-8DD8-4ED4-8D27-5FA5F4418A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865E9493-563B-4310-97B3-55F954E8C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AZ124 AZ113 AZ26:AZ43 AZ94:AZ105</xm:sqref>
        </x14:conditionalFormatting>
        <x14:conditionalFormatting xmlns:xm="http://schemas.microsoft.com/office/excel/2006/main">
          <x14:cfRule type="dataBar" id="{B9413339-ADFB-4F72-A0F5-7F6F11D74C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A75ADDDF-27B2-4698-BDB3-1953A5B32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AV107 AV26:AV43 AV94:AV104</xm:sqref>
        </x14:conditionalFormatting>
        <x14:conditionalFormatting xmlns:xm="http://schemas.microsoft.com/office/excel/2006/main">
          <x14:cfRule type="dataBar" id="{4EF3A6AE-E3F9-4D29-88DE-116C07FAC9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AW107:AX107 AW3:AX16 AW26:AX43 AW94:AX104</xm:sqref>
        </x14:conditionalFormatting>
        <x14:conditionalFormatting xmlns:xm="http://schemas.microsoft.com/office/excel/2006/main">
          <x14:cfRule type="dataBar" id="{A51E4847-3B66-4C02-83DC-F4EE34366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AZ113 AZ26:AZ43 AZ94:AZ105</xm:sqref>
        </x14:conditionalFormatting>
        <x14:conditionalFormatting xmlns:xm="http://schemas.microsoft.com/office/excel/2006/main">
          <x14:cfRule type="dataBar" id="{8E2E410E-96DF-4413-BE30-223283B43C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AD6E5C5B-3D0F-4A54-ACAF-2B5CE07889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AV116:AV123</xm:sqref>
        </x14:conditionalFormatting>
        <x14:conditionalFormatting xmlns:xm="http://schemas.microsoft.com/office/excel/2006/main">
          <x14:cfRule type="dataBar" id="{5AD7C39D-DB42-427B-AA07-462B89D12E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AW116:AX123</xm:sqref>
        </x14:conditionalFormatting>
        <x14:conditionalFormatting xmlns:xm="http://schemas.microsoft.com/office/excel/2006/main">
          <x14:cfRule type="dataBar" id="{6034DDBF-7703-4EB3-B096-5306AD0A04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AO124 AO113 AO3:AO105</xm:sqref>
        </x14:conditionalFormatting>
        <x14:conditionalFormatting xmlns:xm="http://schemas.microsoft.com/office/excel/2006/main">
          <x14:cfRule type="dataBar" id="{823F828E-FDA7-41CB-86D3-B41C5081A4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AO113 AO3:AO105</xm:sqref>
        </x14:conditionalFormatting>
        <x14:conditionalFormatting xmlns:xm="http://schemas.microsoft.com/office/excel/2006/main">
          <x14:cfRule type="dataBar" id="{8F74E171-0EC3-4F1E-9FD0-7D0F45A287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A78A011D-8EAC-44F9-ABD9-B278DB0356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F0D70B22-2172-42B9-9BA2-AF1E5664E2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7B6CF4DD-43F1-4381-B62C-59E6BFEF23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008A023F-ABEF-44BE-A8EC-312404858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AA3:AA104</xm:sqref>
        </x14:conditionalFormatting>
        <x14:conditionalFormatting xmlns:xm="http://schemas.microsoft.com/office/excel/2006/main">
          <x14:cfRule type="dataBar" id="{BC808660-DD91-4C57-9B9E-F60B32143F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AB108:AC112</xm:sqref>
        </x14:conditionalFormatting>
        <x14:conditionalFormatting xmlns:xm="http://schemas.microsoft.com/office/excel/2006/main">
          <x14:cfRule type="dataBar" id="{549D7F86-7FD6-4B44-AF41-2740852DF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AC108:AC112</xm:sqref>
        </x14:conditionalFormatting>
        <x14:conditionalFormatting xmlns:xm="http://schemas.microsoft.com/office/excel/2006/main">
          <x14:cfRule type="dataBar" id="{2BAD5E85-DEAF-4968-BC96-8D4EAAA1E3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AA108:AA112</xm:sqref>
        </x14:conditionalFormatting>
        <x14:conditionalFormatting xmlns:xm="http://schemas.microsoft.com/office/excel/2006/main">
          <x14:cfRule type="dataBar" id="{8956CE7E-E24A-4726-B2DC-358410B5A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AB116:AC123</xm:sqref>
        </x14:conditionalFormatting>
        <x14:conditionalFormatting xmlns:xm="http://schemas.microsoft.com/office/excel/2006/main">
          <x14:cfRule type="dataBar" id="{789508D6-8CB8-482F-9364-C25841C6BD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AC116:AC123</xm:sqref>
        </x14:conditionalFormatting>
        <x14:conditionalFormatting xmlns:xm="http://schemas.microsoft.com/office/excel/2006/main">
          <x14:cfRule type="dataBar" id="{2F3C470E-36BC-4C1E-AA50-B4892C1230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AA116:AA123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E703-357A-4D18-83C2-0353DADC71D4}">
  <dimension ref="A1:AZ130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U129" sqref="U129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336</v>
      </c>
      <c r="B1" s="73"/>
      <c r="C1" s="72"/>
      <c r="D1" s="72"/>
      <c r="E1" s="222"/>
      <c r="F1" s="539" t="s">
        <v>42</v>
      </c>
      <c r="G1" s="539"/>
      <c r="H1" s="539"/>
      <c r="I1" s="540" t="s">
        <v>115</v>
      </c>
      <c r="J1" s="541"/>
      <c r="M1" s="446" t="s">
        <v>43</v>
      </c>
      <c r="N1" s="539" t="s">
        <v>351</v>
      </c>
      <c r="O1" s="539"/>
      <c r="P1" s="539"/>
      <c r="R1" s="224"/>
      <c r="S1" s="542"/>
      <c r="T1" s="542"/>
      <c r="U1" s="224"/>
      <c r="V1" s="543"/>
      <c r="W1" s="544"/>
      <c r="X1" s="224"/>
      <c r="Y1" s="542"/>
      <c r="Z1" s="542"/>
      <c r="AA1" s="224"/>
      <c r="AB1" s="224"/>
      <c r="AC1" s="224"/>
      <c r="AD1" s="224"/>
      <c r="AE1" s="225"/>
      <c r="AF1" s="224"/>
      <c r="AG1" s="225"/>
      <c r="AH1" s="535"/>
      <c r="AI1" s="535"/>
      <c r="AJ1" s="283"/>
      <c r="AK1" s="445"/>
      <c r="AL1" s="447" t="s">
        <v>44</v>
      </c>
      <c r="AM1" s="225"/>
      <c r="AQ1" s="536" t="s">
        <v>45</v>
      </c>
      <c r="AR1" s="537"/>
      <c r="AS1" s="537"/>
      <c r="AT1" s="537"/>
      <c r="AU1" s="537"/>
      <c r="AV1" s="537"/>
      <c r="AW1" s="537"/>
      <c r="AX1" s="538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337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79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2612</v>
      </c>
      <c r="F3" s="93">
        <v>113</v>
      </c>
      <c r="G3" s="93">
        <v>30</v>
      </c>
      <c r="H3" s="93">
        <v>779</v>
      </c>
      <c r="I3" s="93">
        <v>1</v>
      </c>
      <c r="J3" s="93">
        <v>1689</v>
      </c>
      <c r="K3" s="92">
        <v>142.97999999999999</v>
      </c>
      <c r="L3" s="92">
        <f t="shared" ref="L3" si="0">E3*K3</f>
        <v>373463.75999999995</v>
      </c>
      <c r="M3" s="89">
        <v>47</v>
      </c>
      <c r="N3" s="89">
        <v>151</v>
      </c>
      <c r="O3" s="89">
        <v>1363</v>
      </c>
      <c r="P3" s="89">
        <v>74</v>
      </c>
      <c r="Q3" s="233">
        <f>N3/7</f>
        <v>21.571428571428573</v>
      </c>
      <c r="R3" s="92">
        <f>U3/7</f>
        <v>14.428571428571429</v>
      </c>
      <c r="S3" s="93">
        <v>101</v>
      </c>
      <c r="T3" s="93">
        <v>0</v>
      </c>
      <c r="U3" s="92">
        <f t="shared" ref="U3:U66" si="1">S3+T3</f>
        <v>101</v>
      </c>
      <c r="V3" s="93">
        <v>99529.590000000011</v>
      </c>
      <c r="W3" s="93">
        <v>0</v>
      </c>
      <c r="X3" s="92">
        <f t="shared" ref="X3:X66" si="2">V3+W3</f>
        <v>99529.590000000011</v>
      </c>
      <c r="Y3" s="93">
        <v>145752.84</v>
      </c>
      <c r="Z3" s="93">
        <v>0</v>
      </c>
      <c r="AA3" s="92">
        <f>Y3+Z3</f>
        <v>145752.84</v>
      </c>
      <c r="AB3" s="92">
        <f>N3*O3*P3/100</f>
        <v>152301.62</v>
      </c>
      <c r="AC3" s="234">
        <f t="shared" ref="AC3:AC34" si="3">AA3/$AA$127</f>
        <v>6.0419766971116541E-2</v>
      </c>
      <c r="AD3" s="92">
        <f t="shared" ref="AD3:AD66" si="4">U3*K3</f>
        <v>14440.98</v>
      </c>
      <c r="AE3" s="93">
        <v>55182.880000000048</v>
      </c>
      <c r="AF3" s="234">
        <f t="shared" ref="AF3:AF66" si="5">IF(AA3=0,0,AE3/AA3)</f>
        <v>0.37860586455811118</v>
      </c>
      <c r="AG3" s="93">
        <v>10905.970000000005</v>
      </c>
      <c r="AH3" s="93"/>
      <c r="AI3" s="93">
        <f>9252+2484</f>
        <v>11736</v>
      </c>
      <c r="AJ3" s="93">
        <v>20401</v>
      </c>
      <c r="AK3" s="93"/>
      <c r="AL3" s="122">
        <f t="shared" ref="AL3:AL34" si="6">IFERROR($AL$127*H3/$H$127,0)</f>
        <v>808.5349536858356</v>
      </c>
      <c r="AM3" s="93">
        <v>20</v>
      </c>
      <c r="AN3" s="94">
        <f>X3*5.71%</f>
        <v>5683.1395890000003</v>
      </c>
      <c r="AO3" s="95">
        <f>AA3-AD3-AE3-AG3-AH3-AI3-AJ3-AK3-AL3-AN3-AM3</f>
        <v>26574.335457314104</v>
      </c>
      <c r="AP3" s="96"/>
      <c r="AQ3" s="97">
        <f t="shared" ref="AQ3:AQ97" si="7">IF(U3=0,0,AA3/U3)</f>
        <v>1443.0974257425742</v>
      </c>
      <c r="AR3" s="98">
        <f t="shared" ref="AR3:AR19" si="8">K3</f>
        <v>142.97999999999999</v>
      </c>
      <c r="AS3" s="98">
        <f t="shared" ref="AS3:AS97" si="9">IF(U3=0,0,AE3/U3)</f>
        <v>546.36514851485197</v>
      </c>
      <c r="AT3" s="98">
        <f t="shared" ref="AT3:AT97" si="10">IF(S3=0,AG3/1,AG3/S3)</f>
        <v>107.97990099009905</v>
      </c>
      <c r="AU3" s="98">
        <f>IF(S3=0,0,(AH3+AI3+AJ3)/S3)</f>
        <v>318.18811881188117</v>
      </c>
      <c r="AV3" s="98">
        <f>_xlfn.IFS(U3=0,AO3,U3&lt;0,AO3/-U3,U3&gt;0,AO3/U3)</f>
        <v>263.11223225063469</v>
      </c>
      <c r="AW3" s="234">
        <f t="shared" ref="AW3" si="11">IF(AQ3=0,0,AV3/AQ3)</f>
        <v>0.18232464943608717</v>
      </c>
      <c r="AX3" s="234">
        <f t="shared" ref="AX3" si="12">IF(AR3=0,0,AV3/AR3)</f>
        <v>1.8402030511304708</v>
      </c>
      <c r="AY3" s="99"/>
      <c r="AZ3" s="94">
        <f t="shared" ref="AZ3:AZ97" si="13">AV3*E3</f>
        <v>687249.15063865785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916</v>
      </c>
      <c r="F4" s="93">
        <v>385</v>
      </c>
      <c r="G4" s="93">
        <v>102</v>
      </c>
      <c r="H4" s="93">
        <v>363</v>
      </c>
      <c r="I4" s="93">
        <v>0</v>
      </c>
      <c r="J4" s="93">
        <v>66</v>
      </c>
      <c r="K4" s="92">
        <v>123.09</v>
      </c>
      <c r="L4" s="92">
        <f>E4*K4</f>
        <v>112750.44</v>
      </c>
      <c r="M4" s="89">
        <v>18</v>
      </c>
      <c r="N4" s="89">
        <v>596</v>
      </c>
      <c r="O4" s="89">
        <v>1327</v>
      </c>
      <c r="P4" s="89">
        <v>64</v>
      </c>
      <c r="Q4" s="233">
        <f t="shared" ref="Q4:Q67" si="14">N4/7</f>
        <v>85.142857142857139</v>
      </c>
      <c r="R4" s="92">
        <f t="shared" ref="R4:R67" si="15">U4/7</f>
        <v>46.714285714285715</v>
      </c>
      <c r="S4" s="93">
        <v>331</v>
      </c>
      <c r="T4" s="93">
        <v>-4</v>
      </c>
      <c r="U4" s="92">
        <f t="shared" ref="U4:U67" si="16">S4+T4</f>
        <v>327</v>
      </c>
      <c r="V4" s="93">
        <v>323351.06000000017</v>
      </c>
      <c r="W4" s="93">
        <v>-4023</v>
      </c>
      <c r="X4" s="92">
        <f t="shared" ref="X4:X67" si="17">V4+W4</f>
        <v>319328.06000000017</v>
      </c>
      <c r="Y4" s="93">
        <v>468819.74999999994</v>
      </c>
      <c r="Z4" s="93">
        <v>-6088</v>
      </c>
      <c r="AA4" s="92">
        <f t="shared" ref="AA4:AA67" si="18">Y4+Z4</f>
        <v>462731.74999999994</v>
      </c>
      <c r="AB4" s="92">
        <f t="shared" ref="AB4:AB67" si="19">N4*O4*P4/100</f>
        <v>506170.88</v>
      </c>
      <c r="AC4" s="234">
        <f t="shared" ref="AC4:AC67" si="20">AA4/$AA$127</f>
        <v>0.1918188661376132</v>
      </c>
      <c r="AD4" s="92">
        <f t="shared" ref="AD4:AD67" si="21">U4*K4</f>
        <v>40250.43</v>
      </c>
      <c r="AE4" s="93">
        <v>175247.85000000024</v>
      </c>
      <c r="AF4" s="234">
        <f t="shared" ref="AF4:AF67" si="22">IF(AA4=0,0,AE4/AA4)</f>
        <v>0.37872449858908591</v>
      </c>
      <c r="AG4" s="93">
        <v>38512.439999999769</v>
      </c>
      <c r="AH4" s="93">
        <v>1853</v>
      </c>
      <c r="AI4" s="93">
        <f>18503+3222</f>
        <v>21725</v>
      </c>
      <c r="AJ4" s="93">
        <v>42674</v>
      </c>
      <c r="AK4" s="93"/>
      <c r="AL4" s="122">
        <f t="shared" si="6"/>
        <v>376.7627576225396</v>
      </c>
      <c r="AM4" s="93">
        <v>20</v>
      </c>
      <c r="AN4" s="94">
        <f t="shared" ref="AN4:AN67" si="23">X4*5.71%</f>
        <v>18233.632226000009</v>
      </c>
      <c r="AO4" s="95">
        <f t="shared" ref="AO4:AO67" si="24">AA4-AD4-AE4-AG4-AH4-AI4-AJ4-AK4-AL4-AN4-AM4</f>
        <v>123838.63501637737</v>
      </c>
      <c r="AP4" s="96"/>
      <c r="AQ4" s="97">
        <f t="shared" si="7"/>
        <v>1415.0818042813453</v>
      </c>
      <c r="AR4" s="98">
        <f t="shared" si="8"/>
        <v>123.09</v>
      </c>
      <c r="AS4" s="98">
        <f t="shared" si="9"/>
        <v>535.92614678899156</v>
      </c>
      <c r="AT4" s="98">
        <f t="shared" si="10"/>
        <v>116.35178247734069</v>
      </c>
      <c r="AU4" s="98">
        <f t="shared" ref="AU4:AU70" si="25">IF(S4=0,0,(AH4+AI4+AJ4)/S4)</f>
        <v>200.1570996978852</v>
      </c>
      <c r="AV4" s="98">
        <f t="array" ref="AV4">_xlfn.IFS(U4=0,AO4,U4&lt;0,AO4/-U4,U4&gt;0,AO4/U4)</f>
        <v>378.71142206843234</v>
      </c>
      <c r="AW4" s="234">
        <f>IF(AQ4=0,0,AV4/AQ4)</f>
        <v>0.26762510896729563</v>
      </c>
      <c r="AX4" s="234">
        <f>IF(AR4=0,0,AV4/AR4)</f>
        <v>3.0767034045692774</v>
      </c>
      <c r="AY4" s="99"/>
      <c r="AZ4" s="94">
        <f t="shared" si="13"/>
        <v>346899.66261468403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3423</v>
      </c>
      <c r="F5" s="93">
        <v>108</v>
      </c>
      <c r="G5" s="93">
        <v>33</v>
      </c>
      <c r="H5" s="93">
        <v>524</v>
      </c>
      <c r="I5" s="93">
        <v>0</v>
      </c>
      <c r="J5" s="93">
        <v>2758</v>
      </c>
      <c r="K5" s="92">
        <v>123.09</v>
      </c>
      <c r="L5" s="92">
        <f>E5*K5</f>
        <v>421337.07</v>
      </c>
      <c r="M5" s="89">
        <v>37</v>
      </c>
      <c r="N5" s="89">
        <v>147</v>
      </c>
      <c r="O5" s="89">
        <v>1327</v>
      </c>
      <c r="P5" s="89">
        <v>67</v>
      </c>
      <c r="Q5" s="233">
        <f t="shared" si="14"/>
        <v>21</v>
      </c>
      <c r="R5" s="92">
        <f t="shared" si="15"/>
        <v>12.714285714285714</v>
      </c>
      <c r="S5" s="93">
        <v>92</v>
      </c>
      <c r="T5" s="93">
        <v>-3</v>
      </c>
      <c r="U5" s="92">
        <f t="shared" si="16"/>
        <v>89</v>
      </c>
      <c r="V5" s="93">
        <v>89035.08</v>
      </c>
      <c r="W5" s="93">
        <v>-2970</v>
      </c>
      <c r="X5" s="92">
        <f t="shared" si="17"/>
        <v>86065.08</v>
      </c>
      <c r="Y5" s="93">
        <v>131541.49000000002</v>
      </c>
      <c r="Z5" s="93">
        <v>-4500</v>
      </c>
      <c r="AA5" s="92">
        <f t="shared" si="18"/>
        <v>127041.49000000002</v>
      </c>
      <c r="AB5" s="92">
        <f t="shared" si="19"/>
        <v>130696.23</v>
      </c>
      <c r="AC5" s="234">
        <f t="shared" si="20"/>
        <v>5.266324293553E-2</v>
      </c>
      <c r="AD5" s="92">
        <f t="shared" si="21"/>
        <v>10955.01</v>
      </c>
      <c r="AE5" s="93">
        <v>48110.98000000001</v>
      </c>
      <c r="AF5" s="234">
        <f t="shared" si="22"/>
        <v>0.37870289462127688</v>
      </c>
      <c r="AG5" s="93">
        <v>9888.98</v>
      </c>
      <c r="AH5" s="93"/>
      <c r="AI5" s="93">
        <f>5984+2203</f>
        <v>8187</v>
      </c>
      <c r="AJ5" s="93">
        <v>11180</v>
      </c>
      <c r="AK5" s="93"/>
      <c r="AL5" s="122">
        <f t="shared" si="6"/>
        <v>543.8669008104979</v>
      </c>
      <c r="AM5" s="93">
        <v>20</v>
      </c>
      <c r="AN5" s="94">
        <f t="shared" si="23"/>
        <v>4914.3160680000001</v>
      </c>
      <c r="AO5" s="95">
        <f t="shared" si="24"/>
        <v>33241.33703118952</v>
      </c>
      <c r="AP5" s="96"/>
      <c r="AQ5" s="97">
        <f t="shared" si="7"/>
        <v>1427.4324719101126</v>
      </c>
      <c r="AR5" s="98">
        <f t="shared" si="8"/>
        <v>123.09</v>
      </c>
      <c r="AS5" s="98">
        <f t="shared" si="9"/>
        <v>540.57280898876411</v>
      </c>
      <c r="AT5" s="98">
        <f t="shared" si="10"/>
        <v>107.48891304347826</v>
      </c>
      <c r="AU5" s="98">
        <f t="shared" si="25"/>
        <v>210.5108695652174</v>
      </c>
      <c r="AV5" s="98">
        <f t="array" ref="AV5">_xlfn.IFS(U5=0,AO5,U5&lt;0,AO5/-U5,U5&gt;0,AO5/U5)</f>
        <v>373.49816888976989</v>
      </c>
      <c r="AW5" s="234">
        <f>IF(AQ5=0,0,AV5/AQ5)</f>
        <v>0.26165732967386884</v>
      </c>
      <c r="AX5" s="234">
        <f>IF(AR5=0,0,AV5/AR5)</f>
        <v>3.0343502225182375</v>
      </c>
      <c r="AY5" s="99"/>
      <c r="AZ5" s="94">
        <f t="shared" si="13"/>
        <v>1278484.2321096824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8734</v>
      </c>
      <c r="F6" s="93">
        <v>52</v>
      </c>
      <c r="G6" s="93">
        <v>7</v>
      </c>
      <c r="H6" s="93">
        <v>476</v>
      </c>
      <c r="I6" s="93">
        <v>0</v>
      </c>
      <c r="J6" s="93">
        <v>8199</v>
      </c>
      <c r="K6" s="92">
        <v>123.09</v>
      </c>
      <c r="L6" s="92">
        <f t="shared" ref="L6" si="27">E6*K6</f>
        <v>1075068.06</v>
      </c>
      <c r="M6" s="89">
        <v>74</v>
      </c>
      <c r="N6" s="89">
        <v>78</v>
      </c>
      <c r="O6" s="89">
        <v>1317</v>
      </c>
      <c r="P6" s="89">
        <v>75</v>
      </c>
      <c r="Q6" s="233">
        <f t="shared" si="14"/>
        <v>11.142857142857142</v>
      </c>
      <c r="R6" s="92">
        <f t="shared" si="15"/>
        <v>7.1428571428571432</v>
      </c>
      <c r="S6" s="93">
        <v>51</v>
      </c>
      <c r="T6" s="93">
        <v>-1</v>
      </c>
      <c r="U6" s="92">
        <f t="shared" si="16"/>
        <v>50</v>
      </c>
      <c r="V6" s="93">
        <v>46934.96</v>
      </c>
      <c r="W6" s="93">
        <v>-985</v>
      </c>
      <c r="X6" s="92">
        <f t="shared" si="17"/>
        <v>45949.96</v>
      </c>
      <c r="Y6" s="93">
        <v>68049.91</v>
      </c>
      <c r="Z6" s="93">
        <v>-1434</v>
      </c>
      <c r="AA6" s="92">
        <f t="shared" si="18"/>
        <v>66615.91</v>
      </c>
      <c r="AB6" s="92">
        <f t="shared" si="19"/>
        <v>77044.5</v>
      </c>
      <c r="AC6" s="234">
        <f t="shared" si="20"/>
        <v>2.7614678100055357E-2</v>
      </c>
      <c r="AD6" s="92">
        <f t="shared" si="21"/>
        <v>6154.5</v>
      </c>
      <c r="AE6" s="93">
        <v>25242.19000000001</v>
      </c>
      <c r="AF6" s="234">
        <f t="shared" si="22"/>
        <v>0.3789213417635518</v>
      </c>
      <c r="AG6" s="93">
        <v>5401.5000000000009</v>
      </c>
      <c r="AH6" s="93">
        <f>335+140</f>
        <v>475</v>
      </c>
      <c r="AI6" s="93">
        <f>2422+391</f>
        <v>2813</v>
      </c>
      <c r="AJ6" s="93">
        <v>817</v>
      </c>
      <c r="AK6" s="93"/>
      <c r="AL6" s="122">
        <f t="shared" si="6"/>
        <v>494.04703203396377</v>
      </c>
      <c r="AM6" s="93">
        <v>20</v>
      </c>
      <c r="AN6" s="94">
        <f t="shared" si="23"/>
        <v>2623.7427159999997</v>
      </c>
      <c r="AO6" s="95">
        <f t="shared" si="24"/>
        <v>22574.93025196603</v>
      </c>
      <c r="AP6" s="96"/>
      <c r="AQ6" s="97">
        <f t="shared" si="7"/>
        <v>1332.3182000000002</v>
      </c>
      <c r="AR6" s="98">
        <f t="shared" si="8"/>
        <v>123.09</v>
      </c>
      <c r="AS6" s="98">
        <f t="shared" si="9"/>
        <v>504.84380000000021</v>
      </c>
      <c r="AT6" s="98">
        <f t="shared" si="10"/>
        <v>105.91176470588238</v>
      </c>
      <c r="AU6" s="98">
        <f t="shared" si="25"/>
        <v>80.490196078431367</v>
      </c>
      <c r="AV6" s="98">
        <f t="array" ref="AV6">_xlfn.IFS(U6=0,AO6,U6&lt;0,AO6/-U6,U6&gt;0,AO6/U6)</f>
        <v>451.49860503932064</v>
      </c>
      <c r="AW6" s="234">
        <f t="shared" ref="AW6" si="28">IF(AQ6=0,0,AV6/AQ6)</f>
        <v>0.33888196156092487</v>
      </c>
      <c r="AX6" s="234">
        <f t="shared" ref="AX6" si="29">IF(AR6=0,0,AV6/AR6)</f>
        <v>3.6680364370730412</v>
      </c>
      <c r="AY6" s="99"/>
      <c r="AZ6" s="94">
        <f t="shared" si="13"/>
        <v>3943388.8164134263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646</v>
      </c>
      <c r="F7" s="93">
        <v>80</v>
      </c>
      <c r="G7" s="93">
        <v>33</v>
      </c>
      <c r="H7" s="93">
        <v>450</v>
      </c>
      <c r="I7" s="93">
        <v>3</v>
      </c>
      <c r="J7" s="93">
        <v>80</v>
      </c>
      <c r="K7" s="92">
        <v>117.24</v>
      </c>
      <c r="L7" s="92">
        <f>E7*K7</f>
        <v>75737.039999999994</v>
      </c>
      <c r="M7" s="89">
        <v>40</v>
      </c>
      <c r="N7" s="89">
        <v>117</v>
      </c>
      <c r="O7" s="89">
        <v>1473</v>
      </c>
      <c r="P7" s="89">
        <v>56</v>
      </c>
      <c r="Q7" s="233">
        <f t="shared" si="14"/>
        <v>16.714285714285715</v>
      </c>
      <c r="R7" s="92">
        <f t="shared" si="15"/>
        <v>10.571428571428571</v>
      </c>
      <c r="S7" s="93">
        <v>78</v>
      </c>
      <c r="T7" s="93">
        <v>-4</v>
      </c>
      <c r="U7" s="92">
        <f t="shared" si="16"/>
        <v>74</v>
      </c>
      <c r="V7" s="93">
        <v>78171.750000000015</v>
      </c>
      <c r="W7" s="93">
        <v>-3902</v>
      </c>
      <c r="X7" s="92">
        <f t="shared" si="17"/>
        <v>74269.750000000015</v>
      </c>
      <c r="Y7" s="93">
        <v>114436.97</v>
      </c>
      <c r="Z7" s="93">
        <v>-5847.8099999999995</v>
      </c>
      <c r="AA7" s="92">
        <f t="shared" si="18"/>
        <v>108589.16</v>
      </c>
      <c r="AB7" s="92">
        <f t="shared" si="19"/>
        <v>96510.96</v>
      </c>
      <c r="AC7" s="234">
        <f t="shared" si="20"/>
        <v>4.5014091957242756E-2</v>
      </c>
      <c r="AD7" s="92">
        <f t="shared" si="21"/>
        <v>8675.76</v>
      </c>
      <c r="AE7" s="93">
        <v>41088.520000000019</v>
      </c>
      <c r="AF7" s="234">
        <f t="shared" si="22"/>
        <v>0.37838509847575963</v>
      </c>
      <c r="AG7" s="93">
        <v>11150.229999999996</v>
      </c>
      <c r="AH7" s="93"/>
      <c r="AI7" s="93">
        <f>3634+2041</f>
        <v>5675</v>
      </c>
      <c r="AJ7" s="93">
        <v>5209</v>
      </c>
      <c r="AK7" s="93"/>
      <c r="AL7" s="122">
        <f t="shared" si="6"/>
        <v>467.06126978000771</v>
      </c>
      <c r="AM7" s="93">
        <v>0</v>
      </c>
      <c r="AN7" s="94">
        <f t="shared" si="23"/>
        <v>4240.8027250000005</v>
      </c>
      <c r="AO7" s="95">
        <f t="shared" si="24"/>
        <v>32082.786005219983</v>
      </c>
      <c r="AP7" s="96"/>
      <c r="AQ7" s="97">
        <f t="shared" si="7"/>
        <v>1467.4210810810812</v>
      </c>
      <c r="AR7" s="98">
        <f t="shared" si="8"/>
        <v>117.24</v>
      </c>
      <c r="AS7" s="98">
        <f t="shared" si="9"/>
        <v>555.25027027027056</v>
      </c>
      <c r="AT7" s="98">
        <f t="shared" si="10"/>
        <v>142.95166666666663</v>
      </c>
      <c r="AU7" s="98">
        <f t="shared" si="25"/>
        <v>139.53846153846155</v>
      </c>
      <c r="AV7" s="98">
        <f t="array" ref="AV7">_xlfn.IFS(U7=0,AO7,U7&lt;0,AO7/-U7,U7&gt;0,AO7/U7)</f>
        <v>433.5511622327025</v>
      </c>
      <c r="AW7" s="234">
        <f>IF(AQ7=0,0,AV7/AQ7)</f>
        <v>0.29545109295642386</v>
      </c>
      <c r="AX7" s="234">
        <f>IF(AR7=0,0,AV7/AR7)</f>
        <v>3.6979798893952789</v>
      </c>
      <c r="AY7" s="99"/>
      <c r="AZ7" s="94">
        <f t="shared" si="13"/>
        <v>280074.05080232583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119</v>
      </c>
      <c r="F8" s="93">
        <v>28</v>
      </c>
      <c r="G8" s="93">
        <v>9</v>
      </c>
      <c r="H8" s="93">
        <v>82</v>
      </c>
      <c r="I8" s="93">
        <v>0</v>
      </c>
      <c r="J8" s="93">
        <v>0</v>
      </c>
      <c r="K8" s="92">
        <v>169.89</v>
      </c>
      <c r="L8" s="92">
        <f>E8*K8</f>
        <v>20216.91</v>
      </c>
      <c r="M8" s="89">
        <v>37</v>
      </c>
      <c r="N8" s="89">
        <v>34</v>
      </c>
      <c r="O8" s="89">
        <v>1464</v>
      </c>
      <c r="P8" s="89">
        <v>53</v>
      </c>
      <c r="Q8" s="233">
        <f t="shared" si="14"/>
        <v>4.8571428571428568</v>
      </c>
      <c r="R8" s="92">
        <f t="shared" si="15"/>
        <v>3.1428571428571428</v>
      </c>
      <c r="S8" s="93">
        <v>22</v>
      </c>
      <c r="T8" s="93">
        <v>0</v>
      </c>
      <c r="U8" s="92">
        <f t="shared" si="16"/>
        <v>22</v>
      </c>
      <c r="V8" s="93">
        <v>21917</v>
      </c>
      <c r="W8" s="93">
        <v>0</v>
      </c>
      <c r="X8" s="92">
        <f t="shared" si="17"/>
        <v>21917</v>
      </c>
      <c r="Y8" s="93">
        <v>32208</v>
      </c>
      <c r="Z8" s="93">
        <v>0</v>
      </c>
      <c r="AA8" s="92">
        <f t="shared" si="18"/>
        <v>32208</v>
      </c>
      <c r="AB8" s="92">
        <f t="shared" si="19"/>
        <v>26381.279999999999</v>
      </c>
      <c r="AC8" s="234">
        <f t="shared" si="20"/>
        <v>1.3351368347990486E-2</v>
      </c>
      <c r="AD8" s="92">
        <f t="shared" si="21"/>
        <v>3737.58</v>
      </c>
      <c r="AE8" s="93">
        <v>12272.009999999998</v>
      </c>
      <c r="AF8" s="234">
        <f t="shared" si="22"/>
        <v>0.38102365871833083</v>
      </c>
      <c r="AG8" s="93">
        <v>3114.7699999999995</v>
      </c>
      <c r="AH8" s="93"/>
      <c r="AI8" s="93">
        <f>1694+235</f>
        <v>1929</v>
      </c>
      <c r="AJ8" s="93">
        <v>418</v>
      </c>
      <c r="AK8" s="93"/>
      <c r="AL8" s="122">
        <f t="shared" si="6"/>
        <v>85.108942493245863</v>
      </c>
      <c r="AM8" s="93">
        <v>50</v>
      </c>
      <c r="AN8" s="94">
        <f t="shared" si="23"/>
        <v>1251.4606999999999</v>
      </c>
      <c r="AO8" s="95">
        <f t="shared" si="24"/>
        <v>9350.0703575067546</v>
      </c>
      <c r="AP8" s="96"/>
      <c r="AQ8" s="97">
        <f t="shared" si="7"/>
        <v>1464</v>
      </c>
      <c r="AR8" s="98">
        <f t="shared" si="8"/>
        <v>169.89</v>
      </c>
      <c r="AS8" s="98">
        <f t="shared" si="9"/>
        <v>557.8186363636363</v>
      </c>
      <c r="AT8" s="98">
        <f t="shared" si="10"/>
        <v>141.58045454545453</v>
      </c>
      <c r="AU8" s="98">
        <f t="shared" si="25"/>
        <v>106.68181818181819</v>
      </c>
      <c r="AV8" s="98">
        <f t="array" ref="AV8">_xlfn.IFS(U8=0,AO8,U8&lt;0,AO8/-U8,U8&gt;0,AO8/U8)</f>
        <v>425.00319806848887</v>
      </c>
      <c r="AW8" s="234">
        <f>IF(AQ8=0,0,AV8/AQ8)</f>
        <v>0.29030273092109893</v>
      </c>
      <c r="AX8" s="234">
        <f>IF(AR8=0,0,AV8/AR8)</f>
        <v>2.5016375187973918</v>
      </c>
      <c r="AY8" s="99"/>
      <c r="AZ8" s="94">
        <f t="shared" si="13"/>
        <v>50575.380570150177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9252</v>
      </c>
      <c r="F9" s="93">
        <v>234</v>
      </c>
      <c r="G9" s="93">
        <v>88</v>
      </c>
      <c r="H9" s="93">
        <v>548</v>
      </c>
      <c r="I9" s="93">
        <v>0</v>
      </c>
      <c r="J9" s="93">
        <v>8382</v>
      </c>
      <c r="K9" s="92">
        <v>123.09</v>
      </c>
      <c r="L9" s="92">
        <f>E9*K9</f>
        <v>1138828.68</v>
      </c>
      <c r="M9" s="89">
        <v>23</v>
      </c>
      <c r="N9" s="89">
        <v>357</v>
      </c>
      <c r="O9" s="89">
        <v>1341</v>
      </c>
      <c r="P9" s="89">
        <v>51</v>
      </c>
      <c r="Q9" s="233">
        <f t="shared" si="14"/>
        <v>51</v>
      </c>
      <c r="R9" s="92">
        <f t="shared" si="15"/>
        <v>22.285714285714285</v>
      </c>
      <c r="S9" s="93">
        <v>161</v>
      </c>
      <c r="T9" s="93">
        <v>-5</v>
      </c>
      <c r="U9" s="92">
        <f t="shared" si="16"/>
        <v>156</v>
      </c>
      <c r="V9" s="93">
        <v>163492.53000000003</v>
      </c>
      <c r="W9" s="93">
        <v>-5371</v>
      </c>
      <c r="X9" s="92">
        <f t="shared" si="17"/>
        <v>158121.53000000003</v>
      </c>
      <c r="Y9" s="93">
        <v>238950.40000000002</v>
      </c>
      <c r="Z9" s="93">
        <v>-7750.32</v>
      </c>
      <c r="AA9" s="92">
        <f t="shared" si="18"/>
        <v>231200.08000000002</v>
      </c>
      <c r="AB9" s="92">
        <f t="shared" si="19"/>
        <v>244155.87</v>
      </c>
      <c r="AC9" s="234">
        <f t="shared" si="20"/>
        <v>9.5840705109440774E-2</v>
      </c>
      <c r="AD9" s="92">
        <f t="shared" si="21"/>
        <v>19202.04</v>
      </c>
      <c r="AE9" s="93">
        <v>87312.410000000149</v>
      </c>
      <c r="AF9" s="234">
        <f t="shared" si="22"/>
        <v>0.37764870150564023</v>
      </c>
      <c r="AG9" s="93">
        <v>24573.149999999976</v>
      </c>
      <c r="AH9" s="93"/>
      <c r="AI9" s="93">
        <f>16594+2696</f>
        <v>19290</v>
      </c>
      <c r="AJ9" s="93">
        <v>31214</v>
      </c>
      <c r="AK9" s="93"/>
      <c r="AL9" s="122">
        <f t="shared" si="6"/>
        <v>568.77683519876496</v>
      </c>
      <c r="AM9" s="93">
        <v>140</v>
      </c>
      <c r="AN9" s="94">
        <f t="shared" si="23"/>
        <v>9028.7393630000006</v>
      </c>
      <c r="AO9" s="95">
        <f t="shared" si="24"/>
        <v>39870.963801801117</v>
      </c>
      <c r="AP9" s="96"/>
      <c r="AQ9" s="97">
        <f t="shared" si="7"/>
        <v>1482.051794871795</v>
      </c>
      <c r="AR9" s="98">
        <f t="shared" si="8"/>
        <v>123.09</v>
      </c>
      <c r="AS9" s="98">
        <f t="shared" si="9"/>
        <v>559.69493589743684</v>
      </c>
      <c r="AT9" s="98">
        <f t="shared" si="10"/>
        <v>152.62826086956508</v>
      </c>
      <c r="AU9" s="98">
        <f t="shared" si="25"/>
        <v>313.68944099378882</v>
      </c>
      <c r="AV9" s="98">
        <f t="array" ref="AV9">_xlfn.IFS(U9=0,AO9,U9&lt;0,AO9/-U9,U9&gt;0,AO9/U9)</f>
        <v>255.58310129359691</v>
      </c>
      <c r="AW9" s="234">
        <f>IF(AQ9=0,0,AV9/AQ9)</f>
        <v>0.17245220590668098</v>
      </c>
      <c r="AX9" s="234">
        <f>IF(AR9=0,0,AV9/AR9)</f>
        <v>2.0763920813518313</v>
      </c>
      <c r="AY9" s="99"/>
      <c r="AZ9" s="94">
        <f t="shared" si="13"/>
        <v>2364654.8531683586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7632</v>
      </c>
      <c r="F10" s="93">
        <v>105</v>
      </c>
      <c r="G10" s="93">
        <v>41</v>
      </c>
      <c r="H10" s="93">
        <v>538</v>
      </c>
      <c r="I10" s="93">
        <v>0</v>
      </c>
      <c r="J10" s="93">
        <v>6948</v>
      </c>
      <c r="K10" s="92">
        <v>123.09</v>
      </c>
      <c r="L10" s="92">
        <f>E10*K10</f>
        <v>939422.88</v>
      </c>
      <c r="M10" s="89">
        <v>35</v>
      </c>
      <c r="N10" s="89">
        <v>161</v>
      </c>
      <c r="O10" s="89">
        <v>1310</v>
      </c>
      <c r="P10" s="89">
        <v>67</v>
      </c>
      <c r="Q10" s="233">
        <f t="shared" si="14"/>
        <v>23</v>
      </c>
      <c r="R10" s="92">
        <f t="shared" si="15"/>
        <v>15.714285714285714</v>
      </c>
      <c r="S10" s="93">
        <v>111</v>
      </c>
      <c r="T10" s="93">
        <v>-1</v>
      </c>
      <c r="U10" s="92">
        <f t="shared" si="16"/>
        <v>110</v>
      </c>
      <c r="V10" s="93">
        <v>100290.49</v>
      </c>
      <c r="W10" s="93">
        <v>-909</v>
      </c>
      <c r="X10" s="92">
        <f t="shared" si="17"/>
        <v>99381.49</v>
      </c>
      <c r="Y10" s="93">
        <v>147143.94000000003</v>
      </c>
      <c r="Z10" s="93">
        <v>-1300</v>
      </c>
      <c r="AA10" s="92">
        <f t="shared" si="18"/>
        <v>145843.94000000003</v>
      </c>
      <c r="AB10" s="92">
        <f t="shared" si="19"/>
        <v>141309.70000000001</v>
      </c>
      <c r="AC10" s="234">
        <f t="shared" si="20"/>
        <v>6.0457531180521114E-2</v>
      </c>
      <c r="AD10" s="92">
        <f t="shared" si="21"/>
        <v>13539.9</v>
      </c>
      <c r="AE10" s="93">
        <v>55281.410000000047</v>
      </c>
      <c r="AF10" s="234">
        <f t="shared" si="22"/>
        <v>0.37904495723305359</v>
      </c>
      <c r="AG10" s="93">
        <v>14441.429999999978</v>
      </c>
      <c r="AH10" s="93"/>
      <c r="AI10" s="93">
        <v>16160</v>
      </c>
      <c r="AJ10" s="93">
        <f>13339+3027</f>
        <v>16366</v>
      </c>
      <c r="AK10" s="93"/>
      <c r="AL10" s="122">
        <f t="shared" si="6"/>
        <v>558.39769587032038</v>
      </c>
      <c r="AM10" s="93">
        <v>40</v>
      </c>
      <c r="AN10" s="94">
        <f t="shared" si="23"/>
        <v>5674.6830790000004</v>
      </c>
      <c r="AO10" s="95">
        <f t="shared" si="24"/>
        <v>23782.119225129689</v>
      </c>
      <c r="AP10" s="96"/>
      <c r="AQ10" s="97">
        <f t="shared" si="7"/>
        <v>1325.8540000000003</v>
      </c>
      <c r="AR10" s="98">
        <f t="shared" si="8"/>
        <v>123.09</v>
      </c>
      <c r="AS10" s="98">
        <f t="shared" si="9"/>
        <v>502.55827272727316</v>
      </c>
      <c r="AT10" s="98">
        <f t="shared" si="10"/>
        <v>130.10297297297276</v>
      </c>
      <c r="AU10" s="98">
        <f t="shared" si="25"/>
        <v>293.02702702702703</v>
      </c>
      <c r="AV10" s="98">
        <f t="array" ref="AV10">_xlfn.IFS(U10=0,AO10,U10&lt;0,AO10/-U10,U10&gt;0,AO10/U10)</f>
        <v>216.20108386481536</v>
      </c>
      <c r="AW10" s="234">
        <f>IF(AQ10=0,0,AV10/AQ10)</f>
        <v>0.16306552898344412</v>
      </c>
      <c r="AX10" s="234">
        <f>IF(AR10=0,0,AV10/AR10)</f>
        <v>1.7564471838883366</v>
      </c>
      <c r="AY10" s="99"/>
      <c r="AZ10" s="94">
        <f t="shared" si="13"/>
        <v>1650046.6720562708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634</v>
      </c>
      <c r="F11" s="93">
        <v>57</v>
      </c>
      <c r="G11" s="93">
        <v>17</v>
      </c>
      <c r="H11" s="93">
        <v>253</v>
      </c>
      <c r="I11" s="93">
        <v>0</v>
      </c>
      <c r="J11" s="93">
        <v>307</v>
      </c>
      <c r="K11" s="92">
        <v>123.09</v>
      </c>
      <c r="L11" s="92">
        <f t="shared" ref="L11" si="31">E11*K11</f>
        <v>78039.06</v>
      </c>
      <c r="M11" s="89">
        <v>26</v>
      </c>
      <c r="N11" s="89">
        <v>83</v>
      </c>
      <c r="O11" s="89">
        <v>1301</v>
      </c>
      <c r="P11" s="89">
        <v>63</v>
      </c>
      <c r="Q11" s="233">
        <f t="shared" si="14"/>
        <v>11.857142857142858</v>
      </c>
      <c r="R11" s="92">
        <f t="shared" si="15"/>
        <v>8.5714285714285712</v>
      </c>
      <c r="S11" s="93">
        <v>60</v>
      </c>
      <c r="T11" s="93">
        <v>0</v>
      </c>
      <c r="U11" s="92">
        <f t="shared" si="16"/>
        <v>60</v>
      </c>
      <c r="V11" s="93">
        <v>53444.639999999999</v>
      </c>
      <c r="W11" s="93">
        <v>0</v>
      </c>
      <c r="X11" s="92">
        <f t="shared" si="17"/>
        <v>53444.639999999999</v>
      </c>
      <c r="Y11" s="93">
        <v>78355.48</v>
      </c>
      <c r="Z11" s="93">
        <v>0</v>
      </c>
      <c r="AA11" s="92">
        <f t="shared" si="18"/>
        <v>78355.48</v>
      </c>
      <c r="AB11" s="92">
        <f t="shared" si="19"/>
        <v>68029.289999999994</v>
      </c>
      <c r="AC11" s="234">
        <f t="shared" si="20"/>
        <v>3.2481149887096418E-2</v>
      </c>
      <c r="AD11" s="92">
        <f t="shared" si="21"/>
        <v>7385.4000000000005</v>
      </c>
      <c r="AE11" s="93">
        <v>29779.820000000007</v>
      </c>
      <c r="AF11" s="234">
        <f t="shared" si="22"/>
        <v>0.3800604629057216</v>
      </c>
      <c r="AG11" s="93">
        <v>6097.5000000000082</v>
      </c>
      <c r="AH11" s="93">
        <v>244</v>
      </c>
      <c r="AI11" s="93">
        <f>3591+1652</f>
        <v>5243</v>
      </c>
      <c r="AJ11" s="93">
        <v>5616</v>
      </c>
      <c r="AK11" s="93"/>
      <c r="AL11" s="122">
        <f t="shared" si="6"/>
        <v>262.59222500964881</v>
      </c>
      <c r="AM11" s="93">
        <v>50</v>
      </c>
      <c r="AN11" s="94">
        <f t="shared" si="23"/>
        <v>3051.688944</v>
      </c>
      <c r="AO11" s="95">
        <f t="shared" si="24"/>
        <v>20625.478830990338</v>
      </c>
      <c r="AP11" s="96"/>
      <c r="AQ11" s="97">
        <f t="shared" si="7"/>
        <v>1305.9246666666666</v>
      </c>
      <c r="AR11" s="98">
        <f t="shared" si="8"/>
        <v>123.09</v>
      </c>
      <c r="AS11" s="98">
        <f t="shared" si="9"/>
        <v>496.33033333333344</v>
      </c>
      <c r="AT11" s="98">
        <f t="shared" si="10"/>
        <v>101.62500000000014</v>
      </c>
      <c r="AU11" s="98">
        <f t="shared" si="25"/>
        <v>185.05</v>
      </c>
      <c r="AV11" s="98">
        <f t="array" ref="AV11">_xlfn.IFS(U11=0,AO11,U11&lt;0,AO11/-U11,U11&gt;0,AO11/U11)</f>
        <v>343.75798051650565</v>
      </c>
      <c r="AW11" s="234">
        <f t="shared" ref="AW11:AW28" si="32">IF(AQ11=0,0,AV11/AQ11)</f>
        <v>0.2632295639180609</v>
      </c>
      <c r="AX11" s="234">
        <f t="shared" ref="AX11:AX28" si="33">IF(AR11=0,0,AV11/AR11)</f>
        <v>2.7927368634048717</v>
      </c>
      <c r="AY11" s="99"/>
      <c r="AZ11" s="94">
        <f t="shared" si="13"/>
        <v>217942.55964746457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5906</v>
      </c>
      <c r="F12" s="93">
        <v>82</v>
      </c>
      <c r="G12" s="93">
        <v>31</v>
      </c>
      <c r="H12" s="93">
        <v>604</v>
      </c>
      <c r="I12" s="93">
        <v>1</v>
      </c>
      <c r="J12" s="93">
        <v>5188</v>
      </c>
      <c r="K12" s="92">
        <v>117.24</v>
      </c>
      <c r="L12" s="92">
        <f>E12*K12</f>
        <v>692419.44</v>
      </c>
      <c r="M12" s="89">
        <v>39</v>
      </c>
      <c r="N12" s="89">
        <v>116</v>
      </c>
      <c r="O12" s="89">
        <v>1312</v>
      </c>
      <c r="P12" s="89">
        <v>57</v>
      </c>
      <c r="Q12" s="233">
        <f t="shared" si="14"/>
        <v>16.571428571428573</v>
      </c>
      <c r="R12" s="92">
        <f t="shared" si="15"/>
        <v>11</v>
      </c>
      <c r="S12" s="93">
        <v>77</v>
      </c>
      <c r="T12" s="93">
        <v>0</v>
      </c>
      <c r="U12" s="92">
        <f t="shared" si="16"/>
        <v>77</v>
      </c>
      <c r="V12" s="93">
        <v>69577.319999999992</v>
      </c>
      <c r="W12" s="93">
        <v>0</v>
      </c>
      <c r="X12" s="92">
        <f t="shared" si="17"/>
        <v>69577.319999999992</v>
      </c>
      <c r="Y12" s="93">
        <v>102749.82</v>
      </c>
      <c r="Z12" s="93">
        <v>0</v>
      </c>
      <c r="AA12" s="92">
        <f t="shared" si="18"/>
        <v>102749.82</v>
      </c>
      <c r="AB12" s="92">
        <f t="shared" si="19"/>
        <v>86749.440000000002</v>
      </c>
      <c r="AC12" s="234">
        <f t="shared" si="20"/>
        <v>4.2593476605493043E-2</v>
      </c>
      <c r="AD12" s="92">
        <f t="shared" si="21"/>
        <v>9027.48</v>
      </c>
      <c r="AE12" s="93">
        <v>38974.500000000015</v>
      </c>
      <c r="AF12" s="234">
        <f t="shared" si="22"/>
        <v>0.37931453310575153</v>
      </c>
      <c r="AG12" s="93">
        <v>9902.9700000000048</v>
      </c>
      <c r="AH12" s="93">
        <f>5+516</f>
        <v>521</v>
      </c>
      <c r="AI12" s="93">
        <f>3866+1792</f>
        <v>5658</v>
      </c>
      <c r="AJ12" s="93">
        <v>2824</v>
      </c>
      <c r="AK12" s="93"/>
      <c r="AL12" s="122">
        <f t="shared" si="6"/>
        <v>626.90001543805488</v>
      </c>
      <c r="AM12" s="93">
        <v>0</v>
      </c>
      <c r="AN12" s="94">
        <f t="shared" si="23"/>
        <v>3972.8649719999994</v>
      </c>
      <c r="AO12" s="95">
        <f t="shared" si="24"/>
        <v>31242.10501256194</v>
      </c>
      <c r="AP12" s="96"/>
      <c r="AQ12" s="97">
        <f t="shared" si="7"/>
        <v>1334.4132467532468</v>
      </c>
      <c r="AR12" s="98">
        <f t="shared" si="8"/>
        <v>117.24</v>
      </c>
      <c r="AS12" s="98">
        <f t="shared" si="9"/>
        <v>506.16233766233785</v>
      </c>
      <c r="AT12" s="98">
        <f t="shared" si="10"/>
        <v>128.61000000000007</v>
      </c>
      <c r="AU12" s="98">
        <f t="shared" si="25"/>
        <v>116.92207792207792</v>
      </c>
      <c r="AV12" s="98">
        <f t="array" ref="AV12">_xlfn.IFS(U12=0,AO12,U12&lt;0,AO12/-U12,U12&gt;0,AO12/U12)</f>
        <v>405.74162353976544</v>
      </c>
      <c r="AW12" s="234">
        <f t="shared" si="32"/>
        <v>0.30405994884041587</v>
      </c>
      <c r="AX12" s="234">
        <f t="shared" si="33"/>
        <v>3.4607780922873204</v>
      </c>
      <c r="AY12" s="99"/>
      <c r="AZ12" s="94">
        <f t="shared" si="13"/>
        <v>2396310.0286258548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2139</v>
      </c>
      <c r="F13" s="93">
        <v>212</v>
      </c>
      <c r="G13" s="93">
        <v>66</v>
      </c>
      <c r="H13" s="93">
        <v>697</v>
      </c>
      <c r="I13" s="93">
        <v>1</v>
      </c>
      <c r="J13" s="93">
        <v>1163</v>
      </c>
      <c r="K13" s="92">
        <v>123.09</v>
      </c>
      <c r="L13" s="92">
        <f t="shared" ref="L13:L28" si="34">E13*K13</f>
        <v>263289.51</v>
      </c>
      <c r="M13" s="89">
        <v>30</v>
      </c>
      <c r="N13" s="89">
        <v>333</v>
      </c>
      <c r="O13" s="89">
        <v>1329</v>
      </c>
      <c r="P13" s="89">
        <v>65</v>
      </c>
      <c r="Q13" s="233">
        <f t="shared" si="14"/>
        <v>47.571428571428569</v>
      </c>
      <c r="R13" s="92">
        <f t="shared" si="15"/>
        <v>26.285714285714285</v>
      </c>
      <c r="S13" s="93">
        <v>191</v>
      </c>
      <c r="T13" s="93">
        <v>-7</v>
      </c>
      <c r="U13" s="92">
        <f t="shared" si="16"/>
        <v>184</v>
      </c>
      <c r="V13" s="93">
        <v>193984.86</v>
      </c>
      <c r="W13" s="93">
        <v>-7534</v>
      </c>
      <c r="X13" s="92">
        <f t="shared" si="17"/>
        <v>186450.86</v>
      </c>
      <c r="Y13" s="93">
        <v>282777.88999999996</v>
      </c>
      <c r="Z13" s="93">
        <v>-11526</v>
      </c>
      <c r="AA13" s="92">
        <f t="shared" si="18"/>
        <v>271251.88999999996</v>
      </c>
      <c r="AB13" s="92">
        <f t="shared" si="19"/>
        <v>287662.05</v>
      </c>
      <c r="AC13" s="234">
        <f t="shared" si="20"/>
        <v>0.11244361334074132</v>
      </c>
      <c r="AD13" s="92">
        <f t="shared" si="21"/>
        <v>22648.560000000001</v>
      </c>
      <c r="AE13" s="93">
        <v>102701.54000000011</v>
      </c>
      <c r="AF13" s="234">
        <f t="shared" si="22"/>
        <v>0.37862055080980311</v>
      </c>
      <c r="AG13" s="93">
        <v>22802.429999999997</v>
      </c>
      <c r="AH13" s="93"/>
      <c r="AI13" s="93">
        <f>17495+4585</f>
        <v>22080</v>
      </c>
      <c r="AJ13" s="93">
        <v>45935</v>
      </c>
      <c r="AK13" s="93"/>
      <c r="AL13" s="122">
        <f t="shared" si="6"/>
        <v>723.42601119258984</v>
      </c>
      <c r="AM13" s="93">
        <v>220</v>
      </c>
      <c r="AN13" s="94">
        <f t="shared" si="23"/>
        <v>10646.344105999999</v>
      </c>
      <c r="AO13" s="95">
        <f t="shared" si="24"/>
        <v>43494.589882807282</v>
      </c>
      <c r="AP13" s="96"/>
      <c r="AQ13" s="97">
        <f t="shared" si="7"/>
        <v>1474.1950543478258</v>
      </c>
      <c r="AR13" s="98">
        <f t="shared" si="8"/>
        <v>123.09</v>
      </c>
      <c r="AS13" s="98">
        <f t="shared" si="9"/>
        <v>558.1605434782615</v>
      </c>
      <c r="AT13" s="98">
        <f t="shared" si="10"/>
        <v>119.38445026178009</v>
      </c>
      <c r="AU13" s="98">
        <f t="shared" si="25"/>
        <v>356.09947643979058</v>
      </c>
      <c r="AV13" s="98">
        <f t="array" ref="AV13">_xlfn.IFS(U13=0,AO13,U13&lt;0,AO13/-U13,U13&gt;0,AO13/U13)</f>
        <v>236.38364066743088</v>
      </c>
      <c r="AW13" s="234">
        <f t="shared" si="32"/>
        <v>0.16034760120125721</v>
      </c>
      <c r="AX13" s="234">
        <f t="shared" si="33"/>
        <v>1.9204130365377436</v>
      </c>
      <c r="AY13" s="99"/>
      <c r="AZ13" s="94">
        <f t="shared" si="13"/>
        <v>505624.60738763463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2045</v>
      </c>
      <c r="F14" s="93">
        <v>22</v>
      </c>
      <c r="G14" s="93">
        <v>14</v>
      </c>
      <c r="H14" s="93">
        <v>443</v>
      </c>
      <c r="I14" s="93">
        <v>2</v>
      </c>
      <c r="J14" s="93">
        <v>1564</v>
      </c>
      <c r="K14" s="92">
        <v>123.09</v>
      </c>
      <c r="L14" s="92">
        <f t="shared" si="34"/>
        <v>251719.05000000002</v>
      </c>
      <c r="M14" s="89">
        <v>87</v>
      </c>
      <c r="N14" s="89">
        <v>37</v>
      </c>
      <c r="O14" s="89">
        <v>1301</v>
      </c>
      <c r="P14" s="89">
        <v>65</v>
      </c>
      <c r="Q14" s="233">
        <f t="shared" si="14"/>
        <v>5.2857142857142856</v>
      </c>
      <c r="R14" s="92">
        <f t="shared" si="15"/>
        <v>3.1428571428571428</v>
      </c>
      <c r="S14" s="93">
        <v>22</v>
      </c>
      <c r="T14" s="93">
        <v>0</v>
      </c>
      <c r="U14" s="92">
        <f t="shared" si="16"/>
        <v>22</v>
      </c>
      <c r="V14" s="93">
        <v>19800.22</v>
      </c>
      <c r="W14" s="93">
        <v>0</v>
      </c>
      <c r="X14" s="92">
        <f t="shared" si="17"/>
        <v>19800.22</v>
      </c>
      <c r="Y14" s="93">
        <v>28639.64</v>
      </c>
      <c r="Z14" s="93">
        <v>0</v>
      </c>
      <c r="AA14" s="92">
        <f t="shared" si="18"/>
        <v>28639.64</v>
      </c>
      <c r="AB14" s="92">
        <f t="shared" si="19"/>
        <v>31289.05</v>
      </c>
      <c r="AC14" s="234">
        <f t="shared" si="20"/>
        <v>1.187215545808005E-2</v>
      </c>
      <c r="AD14" s="92">
        <f t="shared" si="21"/>
        <v>2707.98</v>
      </c>
      <c r="AE14" s="93">
        <v>10840.8</v>
      </c>
      <c r="AF14" s="234">
        <f t="shared" si="22"/>
        <v>0.37852431105977585</v>
      </c>
      <c r="AG14" s="93">
        <v>3318.74</v>
      </c>
      <c r="AH14" s="93">
        <f>358+339</f>
        <v>697</v>
      </c>
      <c r="AI14" s="93">
        <f>1190+138</f>
        <v>1328</v>
      </c>
      <c r="AJ14" s="93">
        <v>295</v>
      </c>
      <c r="AK14" s="93"/>
      <c r="AL14" s="122">
        <f t="shared" si="6"/>
        <v>459.79587225009647</v>
      </c>
      <c r="AM14" s="93">
        <v>140</v>
      </c>
      <c r="AN14" s="94">
        <f t="shared" si="23"/>
        <v>1130.592562</v>
      </c>
      <c r="AO14" s="95">
        <f t="shared" si="24"/>
        <v>7721.7315657499039</v>
      </c>
      <c r="AP14" s="96"/>
      <c r="AQ14" s="97">
        <f t="shared" si="7"/>
        <v>1301.8018181818181</v>
      </c>
      <c r="AR14" s="98">
        <f t="shared" si="8"/>
        <v>123.09</v>
      </c>
      <c r="AS14" s="98">
        <f t="shared" si="9"/>
        <v>492.76363636363635</v>
      </c>
      <c r="AT14" s="98">
        <f t="shared" si="10"/>
        <v>150.85181818181817</v>
      </c>
      <c r="AU14" s="98">
        <f t="shared" si="25"/>
        <v>105.45454545454545</v>
      </c>
      <c r="AV14" s="98">
        <f t="array" ref="AV14">_xlfn.IFS(U14=0,AO14,U14&lt;0,AO14/-U14,U14&gt;0,AO14/U14)</f>
        <v>350.98779844317744</v>
      </c>
      <c r="AW14" s="234">
        <f t="shared" si="32"/>
        <v>0.26961692136318416</v>
      </c>
      <c r="AX14" s="234">
        <f t="shared" si="33"/>
        <v>2.8514728933558975</v>
      </c>
      <c r="AY14" s="99"/>
      <c r="AZ14" s="94">
        <f t="shared" si="13"/>
        <v>717770.04781629785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4094</v>
      </c>
      <c r="F15" s="93">
        <v>40</v>
      </c>
      <c r="G15" s="93">
        <v>7</v>
      </c>
      <c r="H15" s="93">
        <v>313</v>
      </c>
      <c r="I15" s="93">
        <v>0</v>
      </c>
      <c r="J15" s="93">
        <v>3734</v>
      </c>
      <c r="K15" s="92">
        <v>123.09</v>
      </c>
      <c r="L15" s="92">
        <f t="shared" si="34"/>
        <v>503930.46</v>
      </c>
      <c r="M15" s="89">
        <v>55</v>
      </c>
      <c r="N15" s="89">
        <v>59</v>
      </c>
      <c r="O15" s="89">
        <v>1301</v>
      </c>
      <c r="P15" s="89">
        <v>63</v>
      </c>
      <c r="Q15" s="233">
        <f t="shared" si="14"/>
        <v>8.4285714285714288</v>
      </c>
      <c r="R15" s="92">
        <f t="shared" si="15"/>
        <v>6.1428571428571432</v>
      </c>
      <c r="S15" s="93">
        <v>43</v>
      </c>
      <c r="T15" s="93">
        <v>0</v>
      </c>
      <c r="U15" s="92">
        <f t="shared" si="16"/>
        <v>43</v>
      </c>
      <c r="V15" s="93">
        <v>38229.649999999994</v>
      </c>
      <c r="W15" s="93">
        <v>0</v>
      </c>
      <c r="X15" s="92">
        <f t="shared" si="17"/>
        <v>38229.649999999994</v>
      </c>
      <c r="Y15" s="93">
        <v>55894.590000000004</v>
      </c>
      <c r="Z15" s="93">
        <v>0</v>
      </c>
      <c r="AA15" s="92">
        <f t="shared" si="18"/>
        <v>55894.590000000004</v>
      </c>
      <c r="AB15" s="92">
        <f t="shared" si="19"/>
        <v>48358.17</v>
      </c>
      <c r="AC15" s="234">
        <f t="shared" si="20"/>
        <v>2.3170307369284202E-2</v>
      </c>
      <c r="AD15" s="92">
        <f t="shared" si="21"/>
        <v>5292.87</v>
      </c>
      <c r="AE15" s="93">
        <v>21221.659999999996</v>
      </c>
      <c r="AF15" s="234">
        <f t="shared" si="22"/>
        <v>0.37967288068487476</v>
      </c>
      <c r="AG15" s="93">
        <v>4213.630000000001</v>
      </c>
      <c r="AH15" s="93">
        <v>464</v>
      </c>
      <c r="AI15" s="93">
        <f>1204+526</f>
        <v>1730</v>
      </c>
      <c r="AJ15" s="93">
        <v>346</v>
      </c>
      <c r="AK15" s="93"/>
      <c r="AL15" s="122">
        <f t="shared" si="6"/>
        <v>324.86706098031652</v>
      </c>
      <c r="AM15" s="93">
        <v>0</v>
      </c>
      <c r="AN15" s="94">
        <f t="shared" si="23"/>
        <v>2182.9130149999996</v>
      </c>
      <c r="AO15" s="95">
        <f t="shared" si="24"/>
        <v>20118.64992401969</v>
      </c>
      <c r="AP15" s="96"/>
      <c r="AQ15" s="97">
        <f t="shared" si="7"/>
        <v>1299.8741860465118</v>
      </c>
      <c r="AR15" s="98">
        <f t="shared" si="8"/>
        <v>123.09</v>
      </c>
      <c r="AS15" s="98">
        <f t="shared" si="9"/>
        <v>493.52697674418596</v>
      </c>
      <c r="AT15" s="98">
        <f t="shared" si="10"/>
        <v>97.99139534883723</v>
      </c>
      <c r="AU15" s="98">
        <f t="shared" si="25"/>
        <v>59.069767441860463</v>
      </c>
      <c r="AV15" s="98">
        <f t="array" ref="AV15">_xlfn.IFS(U15=0,AO15,U15&lt;0,AO15/-U15,U15&gt;0,AO15/U15)</f>
        <v>467.8755796283649</v>
      </c>
      <c r="AW15" s="234">
        <f t="shared" si="32"/>
        <v>0.35993912691764424</v>
      </c>
      <c r="AX15" s="234">
        <f t="shared" si="33"/>
        <v>3.8010852191759272</v>
      </c>
      <c r="AY15" s="99"/>
      <c r="AZ15" s="94">
        <f t="shared" si="13"/>
        <v>1915482.6229985259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2260</v>
      </c>
      <c r="F16" s="93">
        <v>120</v>
      </c>
      <c r="G16" s="93">
        <v>31</v>
      </c>
      <c r="H16" s="93">
        <v>553</v>
      </c>
      <c r="I16" s="93">
        <v>2</v>
      </c>
      <c r="J16" s="93">
        <v>1554</v>
      </c>
      <c r="K16" s="92">
        <v>117.24</v>
      </c>
      <c r="L16" s="92">
        <f t="shared" si="34"/>
        <v>264962.39999999997</v>
      </c>
      <c r="M16" s="89">
        <v>30</v>
      </c>
      <c r="N16" s="89">
        <v>198</v>
      </c>
      <c r="O16" s="89">
        <v>1336</v>
      </c>
      <c r="P16" s="89">
        <v>72</v>
      </c>
      <c r="Q16" s="233">
        <f t="shared" si="14"/>
        <v>28.285714285714285</v>
      </c>
      <c r="R16" s="92">
        <f t="shared" si="15"/>
        <v>19.285714285714285</v>
      </c>
      <c r="S16" s="93">
        <v>135</v>
      </c>
      <c r="T16" s="93">
        <v>0</v>
      </c>
      <c r="U16" s="92">
        <f t="shared" si="16"/>
        <v>135</v>
      </c>
      <c r="V16" s="93">
        <v>132857.87999999998</v>
      </c>
      <c r="W16" s="93">
        <v>0</v>
      </c>
      <c r="X16" s="92">
        <f t="shared" si="17"/>
        <v>132857.87999999998</v>
      </c>
      <c r="Y16" s="93">
        <v>193608.72000000003</v>
      </c>
      <c r="Z16" s="93">
        <v>0</v>
      </c>
      <c r="AA16" s="92">
        <f t="shared" si="18"/>
        <v>193608.72000000003</v>
      </c>
      <c r="AB16" s="92">
        <f t="shared" si="19"/>
        <v>190460.16</v>
      </c>
      <c r="AC16" s="234">
        <f t="shared" si="20"/>
        <v>8.0257741433896954E-2</v>
      </c>
      <c r="AD16" s="92">
        <f t="shared" si="21"/>
        <v>15827.4</v>
      </c>
      <c r="AE16" s="93">
        <v>73265.160000000105</v>
      </c>
      <c r="AF16" s="234">
        <f t="shared" si="22"/>
        <v>0.3784186993230475</v>
      </c>
      <c r="AG16" s="93">
        <v>12754.04000000001</v>
      </c>
      <c r="AH16" s="93">
        <v>292</v>
      </c>
      <c r="AI16" s="93">
        <f>9635+438</f>
        <v>10073</v>
      </c>
      <c r="AJ16" s="93">
        <v>11866</v>
      </c>
      <c r="AK16" s="93"/>
      <c r="AL16" s="122">
        <f t="shared" si="6"/>
        <v>573.96640486298725</v>
      </c>
      <c r="AM16" s="93">
        <v>10</v>
      </c>
      <c r="AN16" s="94">
        <f t="shared" si="23"/>
        <v>7586.1849479999983</v>
      </c>
      <c r="AO16" s="95">
        <f t="shared" si="24"/>
        <v>61360.968647136935</v>
      </c>
      <c r="AP16" s="96"/>
      <c r="AQ16" s="97">
        <f t="shared" si="7"/>
        <v>1434.1386666666669</v>
      </c>
      <c r="AR16" s="98">
        <f t="shared" si="8"/>
        <v>117.24</v>
      </c>
      <c r="AS16" s="98">
        <f t="shared" si="9"/>
        <v>542.70488888888963</v>
      </c>
      <c r="AT16" s="98">
        <f t="shared" si="10"/>
        <v>94.474370370370451</v>
      </c>
      <c r="AU16" s="98">
        <f t="shared" si="25"/>
        <v>164.67407407407407</v>
      </c>
      <c r="AV16" s="98">
        <f t="array" ref="AV16">_xlfn.IFS(U16=0,AO16,U16&lt;0,AO16/-U16,U16&gt;0,AO16/U16)</f>
        <v>454.52569368249584</v>
      </c>
      <c r="AW16" s="234">
        <f t="shared" si="32"/>
        <v>0.31693287702711387</v>
      </c>
      <c r="AX16" s="234">
        <f t="shared" si="33"/>
        <v>3.87688240943787</v>
      </c>
      <c r="AY16" s="99"/>
      <c r="AZ16" s="94">
        <f t="shared" si="13"/>
        <v>1027228.0677224406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1480</v>
      </c>
      <c r="F17" s="93">
        <v>26</v>
      </c>
      <c r="G17" s="93">
        <v>10</v>
      </c>
      <c r="H17" s="93">
        <v>90</v>
      </c>
      <c r="I17" s="93">
        <v>1</v>
      </c>
      <c r="J17" s="93">
        <v>1353</v>
      </c>
      <c r="K17" s="93">
        <v>123.09</v>
      </c>
      <c r="L17" s="92">
        <f t="shared" si="34"/>
        <v>182173.2</v>
      </c>
      <c r="M17" s="89">
        <v>29</v>
      </c>
      <c r="N17" s="89">
        <v>47</v>
      </c>
      <c r="O17" s="89">
        <v>1480</v>
      </c>
      <c r="P17" s="89">
        <v>46</v>
      </c>
      <c r="Q17" s="233">
        <f t="shared" si="14"/>
        <v>6.7142857142857144</v>
      </c>
      <c r="R17" s="92">
        <f t="shared" si="15"/>
        <v>3.8571428571428572</v>
      </c>
      <c r="S17" s="93">
        <v>27</v>
      </c>
      <c r="T17" s="93">
        <v>0</v>
      </c>
      <c r="U17" s="92">
        <f t="shared" si="16"/>
        <v>27</v>
      </c>
      <c r="V17" s="93">
        <v>27171.48</v>
      </c>
      <c r="W17" s="93">
        <v>0</v>
      </c>
      <c r="X17" s="92">
        <f t="shared" si="17"/>
        <v>27171.48</v>
      </c>
      <c r="Y17" s="93">
        <v>39802.909999999996</v>
      </c>
      <c r="Z17" s="93">
        <v>0</v>
      </c>
      <c r="AA17" s="92">
        <f t="shared" si="18"/>
        <v>39802.909999999996</v>
      </c>
      <c r="AB17" s="92">
        <f t="shared" si="19"/>
        <v>31997.599999999999</v>
      </c>
      <c r="AC17" s="234">
        <f t="shared" si="20"/>
        <v>1.6499730276077807E-2</v>
      </c>
      <c r="AD17" s="92">
        <f t="shared" si="21"/>
        <v>3323.4300000000003</v>
      </c>
      <c r="AE17" s="93">
        <v>14954.989999999994</v>
      </c>
      <c r="AF17" s="234">
        <f t="shared" si="22"/>
        <v>0.3757260461609464</v>
      </c>
      <c r="AG17" s="93">
        <v>3384.9799999999991</v>
      </c>
      <c r="AH17" s="93"/>
      <c r="AI17" s="93">
        <f>1216+494</f>
        <v>1710</v>
      </c>
      <c r="AJ17" s="93">
        <v>1272</v>
      </c>
      <c r="AK17" s="93"/>
      <c r="AL17" s="122">
        <f t="shared" si="6"/>
        <v>93.41225395600155</v>
      </c>
      <c r="AM17" s="93">
        <v>0</v>
      </c>
      <c r="AN17" s="94">
        <f t="shared" si="23"/>
        <v>1551.4915079999998</v>
      </c>
      <c r="AO17" s="95">
        <f t="shared" si="24"/>
        <v>13512.606238044002</v>
      </c>
      <c r="AP17" s="96"/>
      <c r="AQ17" s="97">
        <f t="shared" si="7"/>
        <v>1474.1818518518517</v>
      </c>
      <c r="AR17" s="98">
        <f t="shared" si="8"/>
        <v>123.09</v>
      </c>
      <c r="AS17" s="98">
        <f t="shared" si="9"/>
        <v>553.88851851851825</v>
      </c>
      <c r="AT17" s="98">
        <f t="shared" si="10"/>
        <v>125.3696296296296</v>
      </c>
      <c r="AU17" s="98">
        <f t="shared" si="25"/>
        <v>110.44444444444444</v>
      </c>
      <c r="AV17" s="98">
        <f t="array" ref="AV17">_xlfn.IFS(U17=0,AO17,U17&lt;0,AO17/-U17,U17&gt;0,AO17/U17)</f>
        <v>500.46689770533339</v>
      </c>
      <c r="AW17" s="234">
        <f t="shared" si="32"/>
        <v>0.33948789769501786</v>
      </c>
      <c r="AX17" s="234">
        <f t="shared" si="33"/>
        <v>4.0658615460665644</v>
      </c>
      <c r="AY17" s="99"/>
      <c r="AZ17" s="94">
        <f t="shared" si="13"/>
        <v>740691.00860389345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1402</v>
      </c>
      <c r="F18" s="93">
        <v>25</v>
      </c>
      <c r="G18" s="93">
        <v>16</v>
      </c>
      <c r="H18" s="93">
        <v>400</v>
      </c>
      <c r="I18" s="93">
        <v>2</v>
      </c>
      <c r="J18" s="93">
        <v>959</v>
      </c>
      <c r="K18" s="93">
        <v>123.09</v>
      </c>
      <c r="L18" s="92">
        <f t="shared" si="34"/>
        <v>172572.18</v>
      </c>
      <c r="M18" s="89">
        <v>240</v>
      </c>
      <c r="N18" s="89">
        <v>36</v>
      </c>
      <c r="O18" s="89">
        <v>1456</v>
      </c>
      <c r="P18" s="89">
        <v>38</v>
      </c>
      <c r="Q18" s="233">
        <f t="shared" si="14"/>
        <v>5.1428571428571432</v>
      </c>
      <c r="R18" s="92">
        <f t="shared" si="15"/>
        <v>2.5714285714285716</v>
      </c>
      <c r="S18" s="93">
        <v>20</v>
      </c>
      <c r="T18" s="93">
        <v>-2</v>
      </c>
      <c r="U18" s="92">
        <f t="shared" si="16"/>
        <v>18</v>
      </c>
      <c r="V18" s="93">
        <v>23389.899999999998</v>
      </c>
      <c r="W18" s="93">
        <v>-2218</v>
      </c>
      <c r="X18" s="92">
        <f t="shared" si="17"/>
        <v>21171.899999999998</v>
      </c>
      <c r="Y18" s="93">
        <v>34098.61</v>
      </c>
      <c r="Z18" s="93">
        <v>-3604</v>
      </c>
      <c r="AA18" s="92">
        <f t="shared" si="18"/>
        <v>30494.61</v>
      </c>
      <c r="AB18" s="92">
        <f t="shared" si="19"/>
        <v>19918.080000000002</v>
      </c>
      <c r="AC18" s="234">
        <f t="shared" si="20"/>
        <v>1.2641106890782234E-2</v>
      </c>
      <c r="AD18" s="92">
        <f t="shared" si="21"/>
        <v>2215.62</v>
      </c>
      <c r="AE18" s="93">
        <v>11504.019999999999</v>
      </c>
      <c r="AF18" s="234">
        <f t="shared" si="22"/>
        <v>0.37724765130624716</v>
      </c>
      <c r="AG18" s="93">
        <v>4225.8699999999963</v>
      </c>
      <c r="AH18" s="93"/>
      <c r="AI18" s="93">
        <f>7188+381</f>
        <v>7569</v>
      </c>
      <c r="AJ18" s="93">
        <v>2406</v>
      </c>
      <c r="AK18" s="93"/>
      <c r="AL18" s="122">
        <f t="shared" si="6"/>
        <v>415.16557313778463</v>
      </c>
      <c r="AM18" s="93">
        <v>0</v>
      </c>
      <c r="AN18" s="94">
        <f t="shared" si="23"/>
        <v>1208.9154899999999</v>
      </c>
      <c r="AO18" s="95">
        <f t="shared" si="24"/>
        <v>950.01893686222138</v>
      </c>
      <c r="AP18" s="96"/>
      <c r="AQ18" s="97">
        <f t="shared" si="7"/>
        <v>1694.145</v>
      </c>
      <c r="AR18" s="98">
        <f t="shared" si="8"/>
        <v>123.09</v>
      </c>
      <c r="AS18" s="98">
        <f t="shared" si="9"/>
        <v>639.11222222222216</v>
      </c>
      <c r="AT18" s="98">
        <f t="shared" si="10"/>
        <v>211.29349999999982</v>
      </c>
      <c r="AU18" s="98">
        <f t="shared" si="25"/>
        <v>498.75</v>
      </c>
      <c r="AV18" s="98">
        <f t="array" ref="AV18">_xlfn.IFS(U18=0,AO18,U18&lt;0,AO18/-U18,U18&gt;0,AO18/U18)</f>
        <v>52.778829825678969</v>
      </c>
      <c r="AW18" s="234">
        <f t="shared" si="32"/>
        <v>3.1153667381292022E-2</v>
      </c>
      <c r="AX18" s="234">
        <f t="shared" si="33"/>
        <v>0.42878243420000783</v>
      </c>
      <c r="AY18" s="99"/>
      <c r="AZ18" s="94">
        <f t="shared" si="13"/>
        <v>73995.919415601908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4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298</v>
      </c>
      <c r="F20" s="93">
        <v>3</v>
      </c>
      <c r="G20" s="93">
        <v>1</v>
      </c>
      <c r="H20" s="93">
        <v>152</v>
      </c>
      <c r="I20" s="93">
        <v>1</v>
      </c>
      <c r="J20" s="93">
        <v>141</v>
      </c>
      <c r="K20" s="93">
        <v>117.24</v>
      </c>
      <c r="L20" s="92">
        <f t="shared" si="34"/>
        <v>34937.519999999997</v>
      </c>
      <c r="M20" s="89">
        <v>130</v>
      </c>
      <c r="N20" s="89">
        <v>5</v>
      </c>
      <c r="O20" s="89">
        <v>1201</v>
      </c>
      <c r="P20" s="89">
        <v>100</v>
      </c>
      <c r="Q20" s="233">
        <f t="shared" si="14"/>
        <v>0.7142857142857143</v>
      </c>
      <c r="R20" s="92">
        <f t="shared" si="15"/>
        <v>0.2857142857142857</v>
      </c>
      <c r="S20" s="93">
        <v>2</v>
      </c>
      <c r="T20" s="93">
        <v>0</v>
      </c>
      <c r="U20" s="92">
        <f t="shared" si="16"/>
        <v>2</v>
      </c>
      <c r="V20" s="93">
        <v>1617</v>
      </c>
      <c r="W20" s="93">
        <v>0</v>
      </c>
      <c r="X20" s="92">
        <f t="shared" si="17"/>
        <v>1617</v>
      </c>
      <c r="Y20" s="93">
        <v>2365.9700000000003</v>
      </c>
      <c r="Z20" s="93">
        <v>0</v>
      </c>
      <c r="AA20" s="92">
        <f t="shared" si="18"/>
        <v>2365.9700000000003</v>
      </c>
      <c r="AB20" s="92">
        <f t="shared" si="19"/>
        <v>6005</v>
      </c>
      <c r="AC20" s="234">
        <f t="shared" si="20"/>
        <v>9.8077921542148077E-4</v>
      </c>
      <c r="AD20" s="92">
        <f t="shared" si="21"/>
        <v>234.48</v>
      </c>
      <c r="AE20" s="93">
        <v>898.68000000000029</v>
      </c>
      <c r="AF20" s="234">
        <f t="shared" si="22"/>
        <v>0.37983575446856899</v>
      </c>
      <c r="AG20" s="93">
        <v>114.11</v>
      </c>
      <c r="AH20" s="93"/>
      <c r="AI20" s="93"/>
      <c r="AJ20" s="93"/>
      <c r="AK20" s="93"/>
      <c r="AL20" s="122">
        <f t="shared" si="6"/>
        <v>157.76291779235817</v>
      </c>
      <c r="AM20" s="93">
        <v>0</v>
      </c>
      <c r="AN20" s="94">
        <f t="shared" si="23"/>
        <v>92.330699999999993</v>
      </c>
      <c r="AO20" s="95">
        <f t="shared" si="24"/>
        <v>868.6063822076419</v>
      </c>
      <c r="AP20" s="96"/>
      <c r="AQ20" s="97">
        <f t="shared" si="7"/>
        <v>1182.9850000000001</v>
      </c>
      <c r="AR20" s="98">
        <f>K20</f>
        <v>117.24</v>
      </c>
      <c r="AS20" s="98">
        <f t="shared" si="9"/>
        <v>449.34000000000015</v>
      </c>
      <c r="AT20" s="98">
        <f t="shared" si="10"/>
        <v>57.055</v>
      </c>
      <c r="AU20" s="98">
        <f t="shared" si="25"/>
        <v>0</v>
      </c>
      <c r="AV20" s="98">
        <f t="array" ref="AV20">_xlfn.IFS(U20=0,AO20,U20&lt;0,AO20/-U20,U20&gt;0,AO20/U20)</f>
        <v>434.30319110382095</v>
      </c>
      <c r="AW20" s="234">
        <f t="shared" si="32"/>
        <v>0.36712485036058862</v>
      </c>
      <c r="AX20" s="234">
        <f t="shared" si="33"/>
        <v>3.7043943287599879</v>
      </c>
      <c r="AY20" s="99"/>
      <c r="AZ20" s="94">
        <f t="shared" si="13"/>
        <v>129422.35094893865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302</v>
      </c>
      <c r="F21" s="93">
        <v>6</v>
      </c>
      <c r="G21" s="93" t="s">
        <v>100</v>
      </c>
      <c r="H21" s="93">
        <v>148</v>
      </c>
      <c r="I21" s="93">
        <v>1</v>
      </c>
      <c r="J21" s="93">
        <v>147</v>
      </c>
      <c r="K21" s="93">
        <v>117.24</v>
      </c>
      <c r="L21" s="92">
        <f t="shared" si="34"/>
        <v>35406.479999999996</v>
      </c>
      <c r="M21" s="89">
        <v>149</v>
      </c>
      <c r="N21" s="89">
        <v>8</v>
      </c>
      <c r="O21" s="89">
        <v>1201</v>
      </c>
      <c r="P21" s="89">
        <v>100</v>
      </c>
      <c r="Q21" s="233">
        <f t="shared" si="14"/>
        <v>1.1428571428571428</v>
      </c>
      <c r="R21" s="92">
        <f t="shared" si="15"/>
        <v>0.7142857142857143</v>
      </c>
      <c r="S21" s="93">
        <v>5</v>
      </c>
      <c r="T21" s="93">
        <v>0</v>
      </c>
      <c r="U21" s="92">
        <f t="shared" si="16"/>
        <v>5</v>
      </c>
      <c r="V21" s="93">
        <v>4253</v>
      </c>
      <c r="W21" s="93">
        <v>0</v>
      </c>
      <c r="X21" s="92">
        <f t="shared" si="17"/>
        <v>4253</v>
      </c>
      <c r="Y21" s="93">
        <v>6005</v>
      </c>
      <c r="Z21" s="93">
        <v>0</v>
      </c>
      <c r="AA21" s="92">
        <f t="shared" si="18"/>
        <v>6005</v>
      </c>
      <c r="AB21" s="92">
        <f t="shared" si="19"/>
        <v>9608</v>
      </c>
      <c r="AC21" s="234">
        <f t="shared" si="20"/>
        <v>2.4892873487854842E-3</v>
      </c>
      <c r="AD21" s="92">
        <f t="shared" si="21"/>
        <v>586.19999999999993</v>
      </c>
      <c r="AE21" s="93">
        <v>2293.9899999999998</v>
      </c>
      <c r="AF21" s="234">
        <f t="shared" si="22"/>
        <v>0.38201332223147372</v>
      </c>
      <c r="AG21" s="93">
        <v>348.78</v>
      </c>
      <c r="AH21" s="93"/>
      <c r="AI21" s="93"/>
      <c r="AJ21" s="93"/>
      <c r="AK21" s="93"/>
      <c r="AL21" s="122">
        <f t="shared" si="6"/>
        <v>153.61126206098032</v>
      </c>
      <c r="AM21" s="93">
        <v>0</v>
      </c>
      <c r="AN21" s="94">
        <f t="shared" si="23"/>
        <v>242.84629999999999</v>
      </c>
      <c r="AO21" s="95">
        <f t="shared" si="24"/>
        <v>2379.5724379390203</v>
      </c>
      <c r="AP21" s="96"/>
      <c r="AQ21" s="97">
        <f t="shared" si="7"/>
        <v>1201</v>
      </c>
      <c r="AR21" s="98">
        <f t="shared" ref="AR21:AR98" si="35">K21</f>
        <v>117.24</v>
      </c>
      <c r="AS21" s="98">
        <f t="shared" si="9"/>
        <v>458.79799999999994</v>
      </c>
      <c r="AT21" s="98">
        <f t="shared" si="10"/>
        <v>69.756</v>
      </c>
      <c r="AU21" s="98">
        <f t="shared" si="25"/>
        <v>0</v>
      </c>
      <c r="AV21" s="98">
        <f t="array" ref="AV21">_xlfn.IFS(U21=0,AO21,U21&lt;0,AO21/-U21,U21&gt;0,AO21/U21)</f>
        <v>475.91448758780405</v>
      </c>
      <c r="AW21" s="234">
        <f t="shared" si="32"/>
        <v>0.39626518533539057</v>
      </c>
      <c r="AX21" s="234">
        <f t="shared" si="33"/>
        <v>4.0593183861122828</v>
      </c>
      <c r="AY21" s="99"/>
      <c r="AZ21" s="94">
        <f t="shared" si="13"/>
        <v>143726.17525151683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293</v>
      </c>
      <c r="F22" s="93">
        <v>5</v>
      </c>
      <c r="G22" s="93">
        <v>1</v>
      </c>
      <c r="H22" s="93">
        <v>139</v>
      </c>
      <c r="I22" s="93">
        <v>1</v>
      </c>
      <c r="J22" s="93">
        <v>147</v>
      </c>
      <c r="K22" s="93">
        <v>117.24</v>
      </c>
      <c r="L22" s="92">
        <f t="shared" si="34"/>
        <v>34351.32</v>
      </c>
      <c r="M22" s="89">
        <v>95</v>
      </c>
      <c r="N22" s="89">
        <v>5</v>
      </c>
      <c r="O22" s="89">
        <v>1201</v>
      </c>
      <c r="P22" s="89">
        <v>100</v>
      </c>
      <c r="Q22" s="233">
        <f t="shared" si="14"/>
        <v>0.7142857142857143</v>
      </c>
      <c r="R22" s="92">
        <f t="shared" si="15"/>
        <v>0.5714285714285714</v>
      </c>
      <c r="S22" s="93">
        <v>4</v>
      </c>
      <c r="T22" s="93">
        <v>0</v>
      </c>
      <c r="U22" s="92">
        <f t="shared" si="16"/>
        <v>4</v>
      </c>
      <c r="V22" s="93">
        <v>3355.5</v>
      </c>
      <c r="W22" s="93">
        <v>0</v>
      </c>
      <c r="X22" s="92">
        <f t="shared" si="17"/>
        <v>3355.5</v>
      </c>
      <c r="Y22" s="93">
        <v>4778.57</v>
      </c>
      <c r="Z22" s="93">
        <v>0</v>
      </c>
      <c r="AA22" s="92">
        <f t="shared" si="18"/>
        <v>4778.57</v>
      </c>
      <c r="AB22" s="92">
        <f t="shared" si="19"/>
        <v>6005</v>
      </c>
      <c r="AC22" s="234">
        <f t="shared" si="20"/>
        <v>1.9808882341858201E-3</v>
      </c>
      <c r="AD22" s="92">
        <f t="shared" si="21"/>
        <v>468.96</v>
      </c>
      <c r="AE22" s="93">
        <v>1811.6199999999994</v>
      </c>
      <c r="AF22" s="234">
        <f t="shared" si="22"/>
        <v>0.37911341677531135</v>
      </c>
      <c r="AG22" s="93">
        <v>290.87</v>
      </c>
      <c r="AH22" s="93"/>
      <c r="AI22" s="93"/>
      <c r="AJ22" s="93"/>
      <c r="AK22" s="93"/>
      <c r="AL22" s="122">
        <f t="shared" si="6"/>
        <v>144.27003666538019</v>
      </c>
      <c r="AM22" s="93">
        <v>0</v>
      </c>
      <c r="AN22" s="94">
        <f t="shared" si="23"/>
        <v>191.59905000000001</v>
      </c>
      <c r="AO22" s="95">
        <f t="shared" si="24"/>
        <v>1871.25091333462</v>
      </c>
      <c r="AP22" s="96"/>
      <c r="AQ22" s="97">
        <f t="shared" si="7"/>
        <v>1194.6424999999999</v>
      </c>
      <c r="AR22" s="98">
        <f t="shared" si="35"/>
        <v>117.24</v>
      </c>
      <c r="AS22" s="98">
        <f t="shared" si="9"/>
        <v>452.90499999999986</v>
      </c>
      <c r="AT22" s="98">
        <f t="shared" si="10"/>
        <v>72.717500000000001</v>
      </c>
      <c r="AU22" s="98">
        <f t="shared" si="25"/>
        <v>0</v>
      </c>
      <c r="AV22" s="98">
        <f t="array" ref="AV22">_xlfn.IFS(U22=0,AO22,U22&lt;0,AO22/-U22,U22&gt;0,AO22/U22)</f>
        <v>467.812728333655</v>
      </c>
      <c r="AW22" s="234">
        <f t="shared" si="32"/>
        <v>0.39159223645036489</v>
      </c>
      <c r="AX22" s="234">
        <f t="shared" si="33"/>
        <v>3.9902143324262624</v>
      </c>
      <c r="AY22" s="99"/>
      <c r="AZ22" s="94">
        <f t="shared" si="13"/>
        <v>137069.1294017609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4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26</v>
      </c>
      <c r="F24" s="93" t="s">
        <v>100</v>
      </c>
      <c r="G24" s="93"/>
      <c r="H24" s="93">
        <v>25</v>
      </c>
      <c r="I24" s="93">
        <v>1</v>
      </c>
      <c r="J24" s="93">
        <v>0</v>
      </c>
      <c r="K24" s="93">
        <v>117.24</v>
      </c>
      <c r="L24" s="92">
        <f t="shared" si="34"/>
        <v>3048.24</v>
      </c>
      <c r="M24" s="89">
        <v>204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0.14285714285714285</v>
      </c>
      <c r="S24" s="93">
        <v>1</v>
      </c>
      <c r="T24" s="93">
        <v>0</v>
      </c>
      <c r="U24" s="92">
        <f t="shared" si="16"/>
        <v>1</v>
      </c>
      <c r="V24" s="93">
        <v>756.21</v>
      </c>
      <c r="W24" s="93">
        <v>0</v>
      </c>
      <c r="X24" s="92">
        <f t="shared" si="17"/>
        <v>756.21</v>
      </c>
      <c r="Y24" s="93">
        <v>917.76</v>
      </c>
      <c r="Z24" s="93">
        <v>0</v>
      </c>
      <c r="AA24" s="92">
        <f t="shared" si="18"/>
        <v>917.76</v>
      </c>
      <c r="AB24" s="92">
        <f t="shared" si="19"/>
        <v>0</v>
      </c>
      <c r="AC24" s="234">
        <f t="shared" si="20"/>
        <v>3.8044435590697183E-4</v>
      </c>
      <c r="AD24" s="92">
        <f t="shared" si="21"/>
        <v>117.24</v>
      </c>
      <c r="AE24" s="93">
        <v>342.46000000000004</v>
      </c>
      <c r="AF24" s="234">
        <f t="shared" si="22"/>
        <v>0.37314766387726644</v>
      </c>
      <c r="AG24" s="93">
        <v>47.68</v>
      </c>
      <c r="AH24" s="93"/>
      <c r="AI24" s="93"/>
      <c r="AJ24" s="93"/>
      <c r="AK24" s="93"/>
      <c r="AL24" s="122">
        <f t="shared" si="6"/>
        <v>25.94784832111154</v>
      </c>
      <c r="AM24" s="93">
        <v>0</v>
      </c>
      <c r="AN24" s="94">
        <f t="shared" si="23"/>
        <v>43.179591000000002</v>
      </c>
      <c r="AO24" s="95">
        <f t="shared" si="24"/>
        <v>341.25256067888836</v>
      </c>
      <c r="AP24" s="96"/>
      <c r="AQ24" s="97">
        <f t="shared" si="7"/>
        <v>917.76</v>
      </c>
      <c r="AR24" s="98">
        <f t="shared" si="35"/>
        <v>117.24</v>
      </c>
      <c r="AS24" s="98">
        <f t="shared" si="9"/>
        <v>342.46000000000004</v>
      </c>
      <c r="AT24" s="98">
        <f t="shared" si="10"/>
        <v>47.68</v>
      </c>
      <c r="AU24" s="98">
        <f t="shared" si="25"/>
        <v>0</v>
      </c>
      <c r="AV24" s="98">
        <f t="array" ref="AV24">_xlfn.IFS(U24=0,AO24,U24&lt;0,AO24/-U24,U24&gt;0,AO24/U24)</f>
        <v>341.25256067888836</v>
      </c>
      <c r="AW24" s="234">
        <f t="shared" si="32"/>
        <v>0.3718320265416758</v>
      </c>
      <c r="AX24" s="234">
        <f t="shared" si="33"/>
        <v>2.9107178495299246</v>
      </c>
      <c r="AY24" s="99"/>
      <c r="AZ24" s="94">
        <f t="shared" si="13"/>
        <v>8872.5665776510978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4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757</v>
      </c>
      <c r="F26" s="93">
        <v>5</v>
      </c>
      <c r="G26" s="93">
        <v>3</v>
      </c>
      <c r="H26" s="93">
        <v>361</v>
      </c>
      <c r="I26" s="93">
        <v>376</v>
      </c>
      <c r="J26" s="93">
        <v>12</v>
      </c>
      <c r="K26" s="93">
        <v>123.09</v>
      </c>
      <c r="L26" s="92">
        <f t="shared" si="34"/>
        <v>93179.13</v>
      </c>
      <c r="M26" s="89">
        <v>999</v>
      </c>
      <c r="N26" s="89">
        <v>9</v>
      </c>
      <c r="O26" s="89">
        <v>1240</v>
      </c>
      <c r="P26" s="89">
        <v>50</v>
      </c>
      <c r="Q26" s="233">
        <f t="shared" si="14"/>
        <v>1.2857142857142858</v>
      </c>
      <c r="R26" s="92">
        <f t="shared" si="15"/>
        <v>0.5714285714285714</v>
      </c>
      <c r="S26" s="93">
        <v>4</v>
      </c>
      <c r="T26" s="93">
        <v>0</v>
      </c>
      <c r="U26" s="92">
        <f t="shared" si="16"/>
        <v>4</v>
      </c>
      <c r="V26" s="93">
        <v>3306</v>
      </c>
      <c r="W26" s="93">
        <v>0</v>
      </c>
      <c r="X26" s="92">
        <f t="shared" si="17"/>
        <v>3306</v>
      </c>
      <c r="Y26" s="93">
        <v>4960</v>
      </c>
      <c r="Z26" s="93">
        <v>0</v>
      </c>
      <c r="AA26" s="92">
        <f t="shared" si="18"/>
        <v>4960</v>
      </c>
      <c r="AB26" s="92">
        <f t="shared" si="19"/>
        <v>5580</v>
      </c>
      <c r="AC26" s="234">
        <f t="shared" si="20"/>
        <v>2.0560974604456289E-3</v>
      </c>
      <c r="AD26" s="92">
        <f t="shared" si="21"/>
        <v>492.36</v>
      </c>
      <c r="AE26" s="93">
        <v>1880.6399999999999</v>
      </c>
      <c r="AF26" s="234">
        <f t="shared" si="22"/>
        <v>0.37916129032258061</v>
      </c>
      <c r="AG26" s="93">
        <v>699.49</v>
      </c>
      <c r="AH26" s="93">
        <v>28</v>
      </c>
      <c r="AI26" s="93">
        <f>48+64</f>
        <v>112</v>
      </c>
      <c r="AJ26" s="93"/>
      <c r="AK26" s="93"/>
      <c r="AL26" s="122">
        <f t="shared" si="6"/>
        <v>374.68692975685065</v>
      </c>
      <c r="AM26" s="93">
        <v>0</v>
      </c>
      <c r="AN26" s="94">
        <f t="shared" si="23"/>
        <v>188.77259999999998</v>
      </c>
      <c r="AO26" s="95">
        <f t="shared" si="24"/>
        <v>1184.0504702431497</v>
      </c>
      <c r="AP26" s="96"/>
      <c r="AQ26" s="97">
        <f t="shared" si="7"/>
        <v>1240</v>
      </c>
      <c r="AR26" s="98">
        <f t="shared" si="35"/>
        <v>123.09</v>
      </c>
      <c r="AS26" s="98">
        <f t="shared" si="9"/>
        <v>470.15999999999997</v>
      </c>
      <c r="AT26" s="98">
        <f t="shared" si="10"/>
        <v>174.8725</v>
      </c>
      <c r="AU26" s="98">
        <f t="shared" si="25"/>
        <v>35</v>
      </c>
      <c r="AV26" s="98">
        <f t="array" ref="AV26">_xlfn.IFS(U26=0,AO26,U26&lt;0,AO26/-U26,U26&gt;0,AO26/U26)</f>
        <v>296.01261756078742</v>
      </c>
      <c r="AW26" s="234">
        <f t="shared" si="32"/>
        <v>0.23871985287160274</v>
      </c>
      <c r="AX26" s="234">
        <f t="shared" si="33"/>
        <v>2.4048470026873621</v>
      </c>
      <c r="AY26" s="99"/>
      <c r="AZ26" s="94">
        <f t="shared" si="13"/>
        <v>224081.55149351608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701</v>
      </c>
      <c r="F27" s="93">
        <v>3</v>
      </c>
      <c r="G27" s="93"/>
      <c r="H27" s="93" t="s">
        <v>100</v>
      </c>
      <c r="I27" s="93">
        <v>320</v>
      </c>
      <c r="J27" s="93">
        <v>378</v>
      </c>
      <c r="K27" s="93">
        <v>181.59</v>
      </c>
      <c r="L27" s="92">
        <f t="shared" si="34"/>
        <v>127294.59</v>
      </c>
      <c r="M27" s="89">
        <v>26</v>
      </c>
      <c r="N27" s="89">
        <v>2</v>
      </c>
      <c r="O27" s="89">
        <v>478</v>
      </c>
      <c r="P27" s="89">
        <v>100</v>
      </c>
      <c r="Q27" s="233">
        <f t="shared" si="14"/>
        <v>0.2857142857142857</v>
      </c>
      <c r="R27" s="92">
        <f t="shared" si="15"/>
        <v>0.14285714285714285</v>
      </c>
      <c r="S27" s="93">
        <v>1</v>
      </c>
      <c r="T27" s="93">
        <v>0</v>
      </c>
      <c r="U27" s="92">
        <f t="shared" si="16"/>
        <v>1</v>
      </c>
      <c r="V27" s="93">
        <v>306</v>
      </c>
      <c r="W27" s="93">
        <v>0</v>
      </c>
      <c r="X27" s="92">
        <f t="shared" si="17"/>
        <v>306</v>
      </c>
      <c r="Y27" s="93">
        <v>478</v>
      </c>
      <c r="Z27" s="93">
        <v>0</v>
      </c>
      <c r="AA27" s="92">
        <f t="shared" si="18"/>
        <v>478</v>
      </c>
      <c r="AB27" s="92">
        <f t="shared" si="19"/>
        <v>956</v>
      </c>
      <c r="AC27" s="234">
        <f t="shared" si="20"/>
        <v>1.9814810203488116E-4</v>
      </c>
      <c r="AD27" s="92">
        <f t="shared" si="21"/>
        <v>181.59</v>
      </c>
      <c r="AE27" s="93">
        <v>180.74</v>
      </c>
      <c r="AF27" s="234">
        <f t="shared" si="22"/>
        <v>0.37811715481171548</v>
      </c>
      <c r="AG27" s="93">
        <v>139.07</v>
      </c>
      <c r="AH27" s="93"/>
      <c r="AI27" s="93"/>
      <c r="AJ27" s="93"/>
      <c r="AK27" s="93"/>
      <c r="AL27" s="122">
        <f t="shared" si="6"/>
        <v>0</v>
      </c>
      <c r="AM27" s="93">
        <v>0</v>
      </c>
      <c r="AN27" s="94">
        <f t="shared" si="23"/>
        <v>17.4726</v>
      </c>
      <c r="AO27" s="95">
        <f t="shared" si="24"/>
        <v>-40.872600000000034</v>
      </c>
      <c r="AP27" s="96"/>
      <c r="AQ27" s="97">
        <f t="shared" si="7"/>
        <v>478</v>
      </c>
      <c r="AR27" s="98">
        <f t="shared" si="35"/>
        <v>181.59</v>
      </c>
      <c r="AS27" s="98">
        <f t="shared" si="9"/>
        <v>180.74</v>
      </c>
      <c r="AT27" s="98">
        <f t="shared" si="10"/>
        <v>139.07</v>
      </c>
      <c r="AU27" s="98">
        <f t="shared" si="25"/>
        <v>0</v>
      </c>
      <c r="AV27" s="98">
        <f t="array" ref="AV27">_xlfn.IFS(U27=0,AO27,U27&lt;0,AO27/-U27,U27&gt;0,AO27/U27)</f>
        <v>-40.872600000000034</v>
      </c>
      <c r="AW27" s="234">
        <f t="shared" si="32"/>
        <v>-8.5507531380753204E-2</v>
      </c>
      <c r="AX27" s="234">
        <f t="shared" si="33"/>
        <v>-0.22508177763092699</v>
      </c>
      <c r="AY27" s="99"/>
      <c r="AZ27" s="94">
        <f t="shared" si="13"/>
        <v>-28651.692600000024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740</v>
      </c>
      <c r="F28" s="93">
        <v>63</v>
      </c>
      <c r="G28" s="93">
        <v>19</v>
      </c>
      <c r="H28" s="93">
        <v>658</v>
      </c>
      <c r="I28" s="93">
        <v>0</v>
      </c>
      <c r="J28" s="93">
        <v>0</v>
      </c>
      <c r="K28" s="93">
        <v>133.62</v>
      </c>
      <c r="L28" s="92">
        <f t="shared" si="34"/>
        <v>98878.8</v>
      </c>
      <c r="M28" s="89">
        <v>226</v>
      </c>
      <c r="N28" s="89">
        <v>66</v>
      </c>
      <c r="O28" s="89">
        <v>1539</v>
      </c>
      <c r="P28" s="89">
        <v>43</v>
      </c>
      <c r="Q28" s="233">
        <f t="shared" si="14"/>
        <v>9.4285714285714288</v>
      </c>
      <c r="R28" s="92">
        <f t="shared" si="15"/>
        <v>3</v>
      </c>
      <c r="S28" s="93">
        <v>21</v>
      </c>
      <c r="T28" s="93">
        <v>0</v>
      </c>
      <c r="U28" s="92">
        <f t="shared" si="16"/>
        <v>21</v>
      </c>
      <c r="V28" s="93">
        <v>23152.21</v>
      </c>
      <c r="W28" s="93">
        <v>0</v>
      </c>
      <c r="X28" s="92">
        <f t="shared" si="17"/>
        <v>23152.21</v>
      </c>
      <c r="Y28" s="93">
        <v>33910.519999999997</v>
      </c>
      <c r="Z28" s="93">
        <v>0</v>
      </c>
      <c r="AA28" s="92">
        <f t="shared" si="18"/>
        <v>33910.519999999997</v>
      </c>
      <c r="AB28" s="92">
        <f t="shared" si="19"/>
        <v>43676.82</v>
      </c>
      <c r="AC28" s="234">
        <f t="shared" si="20"/>
        <v>1.4057123801288447E-2</v>
      </c>
      <c r="AD28" s="92">
        <f t="shared" si="21"/>
        <v>2806.02</v>
      </c>
      <c r="AE28" s="93">
        <v>12889.289999999997</v>
      </c>
      <c r="AF28" s="234">
        <f t="shared" si="22"/>
        <v>0.38009709081429593</v>
      </c>
      <c r="AG28" s="93">
        <v>8191.84</v>
      </c>
      <c r="AH28" s="93"/>
      <c r="AI28" s="93">
        <f>1111+2070+270+341+860</f>
        <v>4652</v>
      </c>
      <c r="AJ28" s="93">
        <f>192+6930</f>
        <v>7122</v>
      </c>
      <c r="AK28" s="93"/>
      <c r="AL28" s="122">
        <f t="shared" si="6"/>
        <v>682.94736781165579</v>
      </c>
      <c r="AM28" s="93">
        <v>530</v>
      </c>
      <c r="AN28" s="94">
        <f t="shared" si="23"/>
        <v>1321.9911909999998</v>
      </c>
      <c r="AO28" s="95">
        <f t="shared" si="24"/>
        <v>-4285.5685588116567</v>
      </c>
      <c r="AP28" s="96"/>
      <c r="AQ28" s="97">
        <f t="shared" si="7"/>
        <v>1614.7866666666664</v>
      </c>
      <c r="AR28" s="98">
        <f t="shared" si="35"/>
        <v>133.62</v>
      </c>
      <c r="AS28" s="98">
        <f t="shared" si="9"/>
        <v>613.77571428571412</v>
      </c>
      <c r="AT28" s="98">
        <f t="shared" si="10"/>
        <v>390.08761904761906</v>
      </c>
      <c r="AU28" s="98">
        <f t="shared" si="25"/>
        <v>560.66666666666663</v>
      </c>
      <c r="AV28" s="98">
        <f>_xlfn.IFS(U28=0,AO28,U28&lt;0,AO28/-U28,U28&gt;0,AO28/U28)</f>
        <v>-204.07469327674556</v>
      </c>
      <c r="AW28" s="234">
        <f t="shared" si="32"/>
        <v>-0.12637873317223261</v>
      </c>
      <c r="AX28" s="234">
        <f t="shared" si="33"/>
        <v>-1.5272765549823795</v>
      </c>
      <c r="AY28" s="99"/>
      <c r="AZ28" s="94">
        <f t="shared" si="13"/>
        <v>-151015.27302479171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4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4"/>
        <v>0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0</v>
      </c>
      <c r="AU30" s="98">
        <f t="shared" si="25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4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4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256</v>
      </c>
      <c r="F33" s="93">
        <v>10</v>
      </c>
      <c r="G33" s="93">
        <v>1</v>
      </c>
      <c r="H33" s="93">
        <v>106</v>
      </c>
      <c r="I33" s="93">
        <v>20</v>
      </c>
      <c r="J33" s="93">
        <v>119</v>
      </c>
      <c r="K33" s="93">
        <v>123.09</v>
      </c>
      <c r="L33" s="92">
        <f>E33*K33</f>
        <v>31511.040000000001</v>
      </c>
      <c r="M33" s="89">
        <v>341</v>
      </c>
      <c r="N33" s="89">
        <v>13</v>
      </c>
      <c r="O33" s="89">
        <v>1300</v>
      </c>
      <c r="P33" s="89">
        <v>33</v>
      </c>
      <c r="Q33" s="233">
        <f t="shared" si="14"/>
        <v>1.8571428571428572</v>
      </c>
      <c r="R33" s="92">
        <f t="shared" si="15"/>
        <v>0.2857142857142857</v>
      </c>
      <c r="S33" s="93">
        <v>2</v>
      </c>
      <c r="T33" s="93">
        <v>0</v>
      </c>
      <c r="U33" s="92">
        <f t="shared" si="16"/>
        <v>2</v>
      </c>
      <c r="V33" s="93">
        <v>2021.89</v>
      </c>
      <c r="W33" s="93">
        <v>0</v>
      </c>
      <c r="X33" s="92">
        <f t="shared" si="17"/>
        <v>2021.89</v>
      </c>
      <c r="Y33" s="93">
        <v>2799.9700000000003</v>
      </c>
      <c r="Z33" s="93">
        <v>0</v>
      </c>
      <c r="AA33" s="92">
        <f t="shared" si="18"/>
        <v>2799.9700000000003</v>
      </c>
      <c r="AB33" s="92">
        <f t="shared" si="19"/>
        <v>5577</v>
      </c>
      <c r="AC33" s="234">
        <f t="shared" si="20"/>
        <v>1.1606877432104733E-3</v>
      </c>
      <c r="AD33" s="92">
        <f t="shared" si="21"/>
        <v>246.18</v>
      </c>
      <c r="AE33" s="93">
        <v>1052.1400000000003</v>
      </c>
      <c r="AF33" s="234">
        <f t="shared" si="22"/>
        <v>0.37576831180334086</v>
      </c>
      <c r="AG33" s="93">
        <v>330.94</v>
      </c>
      <c r="AH33" s="93">
        <v>424</v>
      </c>
      <c r="AI33" s="93"/>
      <c r="AJ33" s="93"/>
      <c r="AK33" s="93"/>
      <c r="AL33" s="122">
        <f t="shared" si="6"/>
        <v>110.01887688151294</v>
      </c>
      <c r="AM33" s="93">
        <v>0</v>
      </c>
      <c r="AN33" s="94">
        <f t="shared" si="23"/>
        <v>115.44991900000001</v>
      </c>
      <c r="AO33" s="95">
        <f t="shared" si="24"/>
        <v>521.24120411848708</v>
      </c>
      <c r="AP33" s="96"/>
      <c r="AQ33" s="97">
        <f t="shared" si="7"/>
        <v>1399.9850000000001</v>
      </c>
      <c r="AR33" s="98">
        <f t="shared" si="35"/>
        <v>123.09</v>
      </c>
      <c r="AS33" s="98">
        <f t="shared" si="9"/>
        <v>526.07000000000016</v>
      </c>
      <c r="AT33" s="98">
        <f t="shared" si="10"/>
        <v>165.47</v>
      </c>
      <c r="AU33" s="98">
        <f t="shared" si="25"/>
        <v>212</v>
      </c>
      <c r="AV33" s="98">
        <f t="array" ref="AV33">_xlfn.IFS(U33=0,AO33,U33&lt;0,AO33/-U33,U33&gt;0,AO33/U33)</f>
        <v>260.62060205924354</v>
      </c>
      <c r="AW33" s="234">
        <f>IF(AQ33=0,0,AV33/AQ33)</f>
        <v>0.18615956746625392</v>
      </c>
      <c r="AX33" s="234">
        <f>IF(AR33=0,0,AV33/AR33)</f>
        <v>2.1173174267547612</v>
      </c>
      <c r="AY33" s="99"/>
      <c r="AZ33" s="94">
        <f t="shared" si="13"/>
        <v>66718.874127166346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93">
        <v>117</v>
      </c>
      <c r="K34" s="93">
        <v>117.24</v>
      </c>
      <c r="L34" s="92">
        <f>E34*K34</f>
        <v>13834.32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0.14285714285714285</v>
      </c>
      <c r="S34" s="93">
        <v>1</v>
      </c>
      <c r="T34" s="93">
        <v>0</v>
      </c>
      <c r="U34" s="92">
        <f t="shared" si="16"/>
        <v>1</v>
      </c>
      <c r="V34" s="93">
        <v>276</v>
      </c>
      <c r="W34" s="93">
        <v>0</v>
      </c>
      <c r="X34" s="92">
        <f t="shared" si="17"/>
        <v>276</v>
      </c>
      <c r="Y34" s="93">
        <v>439</v>
      </c>
      <c r="Z34" s="93">
        <v>0</v>
      </c>
      <c r="AA34" s="92">
        <f t="shared" si="18"/>
        <v>439</v>
      </c>
      <c r="AB34" s="92">
        <f t="shared" si="19"/>
        <v>0</v>
      </c>
      <c r="AC34" s="234">
        <f t="shared" si="20"/>
        <v>1.8198120668057077E-4</v>
      </c>
      <c r="AD34" s="92">
        <f t="shared" si="21"/>
        <v>117.24</v>
      </c>
      <c r="AE34" s="93">
        <v>165.77999999999997</v>
      </c>
      <c r="AF34" s="234">
        <f t="shared" si="22"/>
        <v>0.37763097949886099</v>
      </c>
      <c r="AG34" s="93">
        <v>64.41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15.759599999999999</v>
      </c>
      <c r="AO34" s="95">
        <f t="shared" si="24"/>
        <v>75.810400000000016</v>
      </c>
      <c r="AP34" s="96"/>
      <c r="AQ34" s="97">
        <f t="shared" si="7"/>
        <v>439</v>
      </c>
      <c r="AR34" s="98">
        <f t="shared" si="35"/>
        <v>117.24</v>
      </c>
      <c r="AS34" s="98">
        <f t="shared" si="9"/>
        <v>165.77999999999997</v>
      </c>
      <c r="AT34" s="98">
        <f t="shared" si="10"/>
        <v>64.41</v>
      </c>
      <c r="AU34" s="98">
        <f t="shared" si="25"/>
        <v>0</v>
      </c>
      <c r="AV34" s="98">
        <f t="array" ref="AV34">_xlfn.IFS(U34=0,AO34,U34&lt;0,AO34/-U34,U34&gt;0,AO34/U34)</f>
        <v>75.810400000000016</v>
      </c>
      <c r="AW34" s="234">
        <f>IF(AQ34=0,0,AV34/AQ34)</f>
        <v>0.17268883826879275</v>
      </c>
      <c r="AX34" s="234">
        <f>IF(AR34=0,0,AV34/AR34)</f>
        <v>0.64662572500852966</v>
      </c>
      <c r="AY34" s="99"/>
      <c r="AZ34" s="94">
        <f t="shared" si="13"/>
        <v>8945.6272000000026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2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ref="AL35:AL66" si="43">IFERROR($AL$127*H35/$H$127,0)</f>
        <v>0</v>
      </c>
      <c r="AM35" s="93">
        <v>0</v>
      </c>
      <c r="AN35" s="94">
        <f t="shared" si="23"/>
        <v>0</v>
      </c>
      <c r="AO35" s="95">
        <f t="shared" si="24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2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43"/>
        <v>0</v>
      </c>
      <c r="AM36" s="93">
        <v>0</v>
      </c>
      <c r="AN36" s="94">
        <f t="shared" si="23"/>
        <v>0</v>
      </c>
      <c r="AO36" s="95">
        <f t="shared" si="24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27</v>
      </c>
      <c r="F37" s="93" t="s">
        <v>100</v>
      </c>
      <c r="G37" s="93"/>
      <c r="H37" s="93">
        <v>1</v>
      </c>
      <c r="I37" s="93">
        <v>0</v>
      </c>
      <c r="J37" s="93">
        <v>26</v>
      </c>
      <c r="K37" s="93">
        <v>169.89</v>
      </c>
      <c r="L37" s="92">
        <f t="shared" si="42"/>
        <v>4587.03</v>
      </c>
      <c r="M37" s="89">
        <v>999</v>
      </c>
      <c r="N37" s="89">
        <v>0</v>
      </c>
      <c r="O37" s="89">
        <v>0</v>
      </c>
      <c r="P37" s="89">
        <v>0</v>
      </c>
      <c r="Q37" s="233">
        <f t="shared" si="14"/>
        <v>0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92.58</v>
      </c>
      <c r="AH37" s="93"/>
      <c r="AI37" s="93"/>
      <c r="AJ37" s="93"/>
      <c r="AK37" s="93"/>
      <c r="AL37" s="122">
        <f t="shared" si="43"/>
        <v>1.0379139328444615</v>
      </c>
      <c r="AM37" s="93">
        <v>0</v>
      </c>
      <c r="AN37" s="94">
        <f t="shared" si="23"/>
        <v>0</v>
      </c>
      <c r="AO37" s="95">
        <f t="shared" si="24"/>
        <v>-93.617913932844459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92.58</v>
      </c>
      <c r="AU37" s="98">
        <f t="shared" si="25"/>
        <v>0</v>
      </c>
      <c r="AV37" s="98">
        <f t="array" ref="AV37">_xlfn.IFS(U37=0,AO37,U37&lt;0,AO37/-U37,U37&gt;0,AO37/U37)</f>
        <v>-93.617913932844459</v>
      </c>
      <c r="AW37" s="234">
        <f t="shared" si="44"/>
        <v>0</v>
      </c>
      <c r="AX37" s="234">
        <f t="shared" si="45"/>
        <v>-0.55105017324647987</v>
      </c>
      <c r="AY37" s="99"/>
      <c r="AZ37" s="94">
        <f t="shared" si="13"/>
        <v>-2527.6836761868003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44</v>
      </c>
      <c r="F38" s="93">
        <v>1</v>
      </c>
      <c r="G38" s="93">
        <v>1</v>
      </c>
      <c r="H38" s="93">
        <v>41</v>
      </c>
      <c r="I38" s="93">
        <v>0</v>
      </c>
      <c r="J38" s="93">
        <v>1</v>
      </c>
      <c r="K38" s="92">
        <v>105.54</v>
      </c>
      <c r="L38" s="92">
        <f t="shared" si="42"/>
        <v>4643.76</v>
      </c>
      <c r="M38" s="89">
        <v>999</v>
      </c>
      <c r="N38" s="89">
        <v>1</v>
      </c>
      <c r="O38" s="89">
        <v>1197</v>
      </c>
      <c r="P38" s="89">
        <v>0</v>
      </c>
      <c r="Q38" s="233">
        <f t="shared" si="14"/>
        <v>0.14285714285714285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75.650000000000006</v>
      </c>
      <c r="AH38" s="93"/>
      <c r="AI38" s="93"/>
      <c r="AJ38" s="93"/>
      <c r="AK38" s="93"/>
      <c r="AL38" s="122">
        <f t="shared" si="43"/>
        <v>42.554471246622931</v>
      </c>
      <c r="AM38" s="93">
        <v>0</v>
      </c>
      <c r="AN38" s="94">
        <f t="shared" si="23"/>
        <v>0</v>
      </c>
      <c r="AO38" s="95">
        <f t="shared" si="24"/>
        <v>-118.20447124662294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75.650000000000006</v>
      </c>
      <c r="AU38" s="98">
        <f t="shared" si="25"/>
        <v>0</v>
      </c>
      <c r="AV38" s="98">
        <f t="array" ref="AV38">_xlfn.IFS(U38=0,AO38,U38&lt;0,AO38/-U38,U38&gt;0,AO38/U38)</f>
        <v>-118.20447124662294</v>
      </c>
      <c r="AW38" s="234">
        <f t="shared" si="44"/>
        <v>0</v>
      </c>
      <c r="AX38" s="234">
        <f t="shared" si="45"/>
        <v>-1.1199968850352751</v>
      </c>
      <c r="AY38" s="99"/>
      <c r="AZ38" s="94">
        <f t="shared" si="13"/>
        <v>-5200.9967348514092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10</v>
      </c>
      <c r="F39" s="93">
        <v>1</v>
      </c>
      <c r="G39" s="93">
        <v>1</v>
      </c>
      <c r="H39" s="93">
        <v>7</v>
      </c>
      <c r="I39" s="93">
        <v>0</v>
      </c>
      <c r="J39" s="93">
        <v>1</v>
      </c>
      <c r="K39" s="92">
        <v>105.54</v>
      </c>
      <c r="L39" s="92">
        <f t="shared" si="42"/>
        <v>1055.4000000000001</v>
      </c>
      <c r="M39" s="89">
        <v>999</v>
      </c>
      <c r="N39" s="89">
        <v>4</v>
      </c>
      <c r="O39" s="89">
        <v>1077</v>
      </c>
      <c r="P39" s="89">
        <v>33</v>
      </c>
      <c r="Q39" s="233">
        <f t="shared" si="14"/>
        <v>0.5714285714285714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842.29</v>
      </c>
      <c r="W39" s="93">
        <v>0</v>
      </c>
      <c r="X39" s="92">
        <f t="shared" si="17"/>
        <v>842.29</v>
      </c>
      <c r="Y39" s="93">
        <v>1053.6600000000001</v>
      </c>
      <c r="Z39" s="93">
        <v>0</v>
      </c>
      <c r="AA39" s="92">
        <f t="shared" si="18"/>
        <v>1053.6600000000001</v>
      </c>
      <c r="AB39" s="92">
        <f t="shared" si="19"/>
        <v>1421.64</v>
      </c>
      <c r="AC39" s="234">
        <f t="shared" si="20"/>
        <v>4.367797681800688E-4</v>
      </c>
      <c r="AD39" s="92">
        <f t="shared" si="21"/>
        <v>105.54</v>
      </c>
      <c r="AE39" s="93">
        <v>392.49000000000012</v>
      </c>
      <c r="AF39" s="234">
        <f t="shared" si="22"/>
        <v>0.37250156597004735</v>
      </c>
      <c r="AG39" s="93">
        <v>300.34000000000003</v>
      </c>
      <c r="AH39" s="93"/>
      <c r="AI39" s="93"/>
      <c r="AJ39" s="93"/>
      <c r="AK39" s="93"/>
      <c r="AL39" s="122">
        <f t="shared" si="43"/>
        <v>7.2653975299112314</v>
      </c>
      <c r="AM39" s="93">
        <v>0</v>
      </c>
      <c r="AN39" s="94">
        <f t="shared" si="23"/>
        <v>48.094758999999996</v>
      </c>
      <c r="AO39" s="95">
        <f t="shared" si="24"/>
        <v>199.92984347008871</v>
      </c>
      <c r="AP39" s="96"/>
      <c r="AQ39" s="97">
        <f t="shared" si="7"/>
        <v>1053.6600000000001</v>
      </c>
      <c r="AR39" s="98">
        <f t="shared" si="35"/>
        <v>105.54</v>
      </c>
      <c r="AS39" s="98">
        <f t="shared" si="9"/>
        <v>392.49000000000012</v>
      </c>
      <c r="AT39" s="98">
        <f t="shared" si="10"/>
        <v>300.34000000000003</v>
      </c>
      <c r="AU39" s="98">
        <f t="shared" si="25"/>
        <v>0</v>
      </c>
      <c r="AV39" s="98">
        <f t="array" ref="AV39">_xlfn.IFS(U39=0,AO39,U39&lt;0,AO39/-U39,U39&gt;0,AO39/U39)</f>
        <v>199.92984347008871</v>
      </c>
      <c r="AW39" s="234">
        <f t="shared" si="44"/>
        <v>0.18974796753230519</v>
      </c>
      <c r="AX39" s="234">
        <f t="shared" si="45"/>
        <v>1.8943513688657259</v>
      </c>
      <c r="AY39" s="99"/>
      <c r="AZ39" s="94">
        <f t="shared" si="13"/>
        <v>1999.2984347008871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30</v>
      </c>
      <c r="F40" s="93" t="s">
        <v>100</v>
      </c>
      <c r="G40" s="93" t="s">
        <v>100</v>
      </c>
      <c r="H40" s="93">
        <v>29</v>
      </c>
      <c r="I40" s="93">
        <v>0</v>
      </c>
      <c r="J40" s="93">
        <v>1</v>
      </c>
      <c r="K40" s="92">
        <v>105.54</v>
      </c>
      <c r="L40" s="92">
        <f t="shared" si="42"/>
        <v>3166.2000000000003</v>
      </c>
      <c r="M40" s="89">
        <v>266</v>
      </c>
      <c r="N40" s="89">
        <v>0</v>
      </c>
      <c r="O40" s="89">
        <v>0</v>
      </c>
      <c r="P40" s="89">
        <v>0</v>
      </c>
      <c r="Q40" s="233">
        <f t="shared" si="14"/>
        <v>0</v>
      </c>
      <c r="R40" s="92">
        <f t="shared" si="15"/>
        <v>-0.14285714285714285</v>
      </c>
      <c r="S40" s="93">
        <v>0</v>
      </c>
      <c r="T40" s="93">
        <v>-1</v>
      </c>
      <c r="U40" s="92">
        <f t="shared" si="16"/>
        <v>-1</v>
      </c>
      <c r="V40" s="93">
        <v>0</v>
      </c>
      <c r="W40" s="93">
        <v>-808</v>
      </c>
      <c r="X40" s="92">
        <f t="shared" si="17"/>
        <v>-808</v>
      </c>
      <c r="Y40" s="93">
        <v>0</v>
      </c>
      <c r="Z40" s="93">
        <v>-1197</v>
      </c>
      <c r="AA40" s="92">
        <f t="shared" si="18"/>
        <v>-1197</v>
      </c>
      <c r="AB40" s="92">
        <f t="shared" si="19"/>
        <v>0</v>
      </c>
      <c r="AC40" s="234">
        <f t="shared" si="20"/>
        <v>-4.9619932664383417E-4</v>
      </c>
      <c r="AD40" s="92">
        <f t="shared" si="21"/>
        <v>-105.54</v>
      </c>
      <c r="AE40" s="93">
        <v>-454.26</v>
      </c>
      <c r="AF40" s="234">
        <f t="shared" si="22"/>
        <v>0.37949874686716789</v>
      </c>
      <c r="AG40" s="93">
        <v>121.11</v>
      </c>
      <c r="AH40" s="93"/>
      <c r="AI40" s="93"/>
      <c r="AJ40" s="93"/>
      <c r="AK40" s="93"/>
      <c r="AL40" s="122">
        <f t="shared" si="43"/>
        <v>30.099504052489387</v>
      </c>
      <c r="AM40" s="93">
        <v>0</v>
      </c>
      <c r="AN40" s="94">
        <f t="shared" si="23"/>
        <v>-46.136800000000001</v>
      </c>
      <c r="AO40" s="95">
        <f t="shared" si="24"/>
        <v>-742.27270405248942</v>
      </c>
      <c r="AP40" s="96"/>
      <c r="AQ40" s="97">
        <f t="shared" si="7"/>
        <v>1197</v>
      </c>
      <c r="AR40" s="98">
        <f t="shared" si="35"/>
        <v>105.54</v>
      </c>
      <c r="AS40" s="98">
        <f t="shared" si="9"/>
        <v>454.26</v>
      </c>
      <c r="AT40" s="98">
        <f t="shared" si="10"/>
        <v>121.11</v>
      </c>
      <c r="AU40" s="98">
        <f t="shared" si="25"/>
        <v>0</v>
      </c>
      <c r="AV40" s="98">
        <f t="array" ref="AV40">_xlfn.IFS(U40=0,AO40,U40&lt;0,AO40/-U40,U40&gt;0,AO40/U40)</f>
        <v>-742.27270405248942</v>
      </c>
      <c r="AW40" s="234">
        <f t="shared" si="44"/>
        <v>-0.62011086387008307</v>
      </c>
      <c r="AX40" s="234">
        <f t="shared" si="45"/>
        <v>-7.0330936521933802</v>
      </c>
      <c r="AY40" s="99"/>
      <c r="AZ40" s="94">
        <f t="shared" si="13"/>
        <v>-22268.181121574682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41</v>
      </c>
      <c r="F41" s="93" t="s">
        <v>100</v>
      </c>
      <c r="G41" s="93">
        <v>1</v>
      </c>
      <c r="H41" s="93">
        <v>39</v>
      </c>
      <c r="I41" s="93">
        <v>0</v>
      </c>
      <c r="J41" s="93">
        <v>1</v>
      </c>
      <c r="K41" s="92">
        <v>123.09</v>
      </c>
      <c r="L41" s="92">
        <f t="shared" si="42"/>
        <v>5046.6900000000005</v>
      </c>
      <c r="M41" s="89">
        <v>999</v>
      </c>
      <c r="N41" s="89">
        <v>2</v>
      </c>
      <c r="O41" s="89">
        <v>1218</v>
      </c>
      <c r="P41" s="89">
        <v>0</v>
      </c>
      <c r="Q41" s="233">
        <f t="shared" si="14"/>
        <v>0.2857142857142857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810</v>
      </c>
      <c r="W41" s="93">
        <v>0</v>
      </c>
      <c r="X41" s="92">
        <f t="shared" si="17"/>
        <v>810</v>
      </c>
      <c r="Y41" s="93">
        <v>1218</v>
      </c>
      <c r="Z41" s="93">
        <v>0</v>
      </c>
      <c r="AA41" s="92">
        <f t="shared" si="18"/>
        <v>1218</v>
      </c>
      <c r="AB41" s="92">
        <f t="shared" si="19"/>
        <v>0</v>
      </c>
      <c r="AC41" s="234">
        <f t="shared" si="20"/>
        <v>5.0490457798846289E-4</v>
      </c>
      <c r="AD41" s="92">
        <f t="shared" si="21"/>
        <v>123.09</v>
      </c>
      <c r="AE41" s="93">
        <v>461.75</v>
      </c>
      <c r="AF41" s="234">
        <f t="shared" si="22"/>
        <v>0.37910509031198686</v>
      </c>
      <c r="AG41" s="93">
        <v>244.56</v>
      </c>
      <c r="AH41" s="93"/>
      <c r="AI41" s="93"/>
      <c r="AJ41" s="93"/>
      <c r="AK41" s="93"/>
      <c r="AL41" s="122">
        <f t="shared" si="43"/>
        <v>40.478643380934002</v>
      </c>
      <c r="AM41" s="93">
        <v>0</v>
      </c>
      <c r="AN41" s="94">
        <f t="shared" si="23"/>
        <v>46.250999999999998</v>
      </c>
      <c r="AO41" s="95">
        <f t="shared" si="24"/>
        <v>301.87035661906611</v>
      </c>
      <c r="AP41" s="96"/>
      <c r="AQ41" s="97">
        <f t="shared" si="7"/>
        <v>1218</v>
      </c>
      <c r="AR41" s="98">
        <f t="shared" si="35"/>
        <v>123.09</v>
      </c>
      <c r="AS41" s="98">
        <f t="shared" si="9"/>
        <v>461.75</v>
      </c>
      <c r="AT41" s="98">
        <f t="shared" si="10"/>
        <v>244.56</v>
      </c>
      <c r="AU41" s="98">
        <f t="shared" si="25"/>
        <v>0</v>
      </c>
      <c r="AV41" s="98">
        <f t="array" ref="AV41">_xlfn.IFS(U41=0,AO41,U41&lt;0,AO41/-U41,U41&gt;0,AO41/U41)</f>
        <v>301.87035661906611</v>
      </c>
      <c r="AW41" s="234">
        <f t="shared" si="44"/>
        <v>0.24784101528658958</v>
      </c>
      <c r="AX41" s="234">
        <f t="shared" si="45"/>
        <v>2.452436076196816</v>
      </c>
      <c r="AY41" s="99"/>
      <c r="AZ41" s="94">
        <f t="shared" si="13"/>
        <v>12376.684621381712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29</v>
      </c>
      <c r="F42" s="93">
        <v>1</v>
      </c>
      <c r="G42" s="93">
        <v>1</v>
      </c>
      <c r="H42" s="93">
        <v>26</v>
      </c>
      <c r="I42" s="93">
        <v>0</v>
      </c>
      <c r="J42" s="93">
        <v>1</v>
      </c>
      <c r="K42" s="92">
        <v>123.09</v>
      </c>
      <c r="L42" s="92">
        <f t="shared" si="42"/>
        <v>3569.61</v>
      </c>
      <c r="M42" s="89">
        <v>999</v>
      </c>
      <c r="N42" s="89">
        <v>2</v>
      </c>
      <c r="O42" s="89">
        <v>1176</v>
      </c>
      <c r="P42" s="89">
        <v>0</v>
      </c>
      <c r="Q42" s="233">
        <f t="shared" si="14"/>
        <v>0.2857142857142857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182.41</v>
      </c>
      <c r="AH42" s="93"/>
      <c r="AI42" s="93"/>
      <c r="AJ42" s="93"/>
      <c r="AK42" s="93"/>
      <c r="AL42" s="122">
        <f t="shared" si="43"/>
        <v>26.985762253956</v>
      </c>
      <c r="AM42" s="93">
        <v>0</v>
      </c>
      <c r="AN42" s="94">
        <f t="shared" si="23"/>
        <v>0</v>
      </c>
      <c r="AO42" s="95">
        <f t="shared" si="24"/>
        <v>-209.39576225395601</v>
      </c>
      <c r="AP42" s="96"/>
      <c r="AQ42" s="97">
        <f t="shared" si="7"/>
        <v>0</v>
      </c>
      <c r="AR42" s="98">
        <f t="shared" si="35"/>
        <v>123.09</v>
      </c>
      <c r="AS42" s="98">
        <f t="shared" si="9"/>
        <v>0</v>
      </c>
      <c r="AT42" s="98">
        <f t="shared" si="10"/>
        <v>182.41</v>
      </c>
      <c r="AU42" s="98">
        <f t="shared" si="25"/>
        <v>0</v>
      </c>
      <c r="AV42" s="98">
        <f t="array" ref="AV42">_xlfn.IFS(U42=0,AO42,U42&lt;0,AO42/-U42,U42&gt;0,AO42/U42)</f>
        <v>-209.39576225395601</v>
      </c>
      <c r="AW42" s="234">
        <f t="shared" si="44"/>
        <v>0</v>
      </c>
      <c r="AX42" s="234">
        <f t="shared" si="45"/>
        <v>-1.7011598200825087</v>
      </c>
      <c r="AY42" s="99"/>
      <c r="AZ42" s="94">
        <f t="shared" si="13"/>
        <v>-6072.4771053647246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</v>
      </c>
      <c r="F43" s="93">
        <v>3</v>
      </c>
      <c r="G43" s="93" t="s">
        <v>100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2"/>
        <v>492.36</v>
      </c>
      <c r="M43" s="89">
        <v>999</v>
      </c>
      <c r="N43" s="89">
        <v>3</v>
      </c>
      <c r="O43" s="89">
        <v>1102</v>
      </c>
      <c r="P43" s="89">
        <v>0</v>
      </c>
      <c r="Q43" s="233">
        <f t="shared" si="14"/>
        <v>0.42857142857142855</v>
      </c>
      <c r="R43" s="92">
        <f t="shared" si="15"/>
        <v>0.2857142857142857</v>
      </c>
      <c r="S43" s="93">
        <v>2</v>
      </c>
      <c r="T43" s="93">
        <v>0</v>
      </c>
      <c r="U43" s="92">
        <f t="shared" si="16"/>
        <v>2</v>
      </c>
      <c r="V43" s="93">
        <v>1411</v>
      </c>
      <c r="W43" s="93">
        <v>0</v>
      </c>
      <c r="X43" s="92">
        <f t="shared" si="17"/>
        <v>1411</v>
      </c>
      <c r="Y43" s="93">
        <v>2181</v>
      </c>
      <c r="Z43" s="93">
        <v>0</v>
      </c>
      <c r="AA43" s="92">
        <f t="shared" si="18"/>
        <v>2181</v>
      </c>
      <c r="AB43" s="92">
        <f t="shared" si="19"/>
        <v>0</v>
      </c>
      <c r="AC43" s="234">
        <f t="shared" si="20"/>
        <v>9.0410253250643472E-4</v>
      </c>
      <c r="AD43" s="92">
        <f t="shared" si="21"/>
        <v>246.18</v>
      </c>
      <c r="AE43" s="93">
        <v>831.21</v>
      </c>
      <c r="AF43" s="234">
        <f t="shared" si="22"/>
        <v>0.38111416781292984</v>
      </c>
      <c r="AG43" s="93">
        <v>185.88</v>
      </c>
      <c r="AH43" s="93"/>
      <c r="AI43" s="93"/>
      <c r="AJ43" s="93"/>
      <c r="AK43" s="93"/>
      <c r="AL43" s="122">
        <f t="shared" si="43"/>
        <v>0</v>
      </c>
      <c r="AM43" s="93">
        <v>0</v>
      </c>
      <c r="AN43" s="94">
        <f t="shared" si="23"/>
        <v>80.568100000000001</v>
      </c>
      <c r="AO43" s="95">
        <f t="shared" si="24"/>
        <v>837.16189999999995</v>
      </c>
      <c r="AP43" s="96"/>
      <c r="AQ43" s="97">
        <f t="shared" si="7"/>
        <v>1090.5</v>
      </c>
      <c r="AR43" s="98">
        <f t="shared" si="35"/>
        <v>123.09</v>
      </c>
      <c r="AS43" s="98">
        <f t="shared" si="9"/>
        <v>415.60500000000002</v>
      </c>
      <c r="AT43" s="98">
        <f t="shared" si="10"/>
        <v>92.94</v>
      </c>
      <c r="AU43" s="98">
        <f t="shared" si="25"/>
        <v>0</v>
      </c>
      <c r="AV43" s="98">
        <f t="array" ref="AV43">_xlfn.IFS(U43=0,AO43,U43&lt;0,AO43/-U43,U43&gt;0,AO43/U43)</f>
        <v>418.58094999999997</v>
      </c>
      <c r="AW43" s="234">
        <f t="shared" si="44"/>
        <v>0.38384314534617148</v>
      </c>
      <c r="AX43" s="234">
        <f t="shared" si="45"/>
        <v>3.4006089040539438</v>
      </c>
      <c r="AY43" s="99"/>
      <c r="AZ43" s="94">
        <f t="shared" si="13"/>
        <v>1674.3237999999999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187</v>
      </c>
      <c r="F44" s="93">
        <v>27</v>
      </c>
      <c r="G44" s="93">
        <v>9</v>
      </c>
      <c r="H44" s="93">
        <v>84</v>
      </c>
      <c r="I44" s="93">
        <v>0</v>
      </c>
      <c r="J44" s="93">
        <v>67</v>
      </c>
      <c r="K44" s="92">
        <v>111.39</v>
      </c>
      <c r="L44" s="92">
        <f t="shared" si="42"/>
        <v>20829.93</v>
      </c>
      <c r="M44" s="89">
        <v>45</v>
      </c>
      <c r="N44" s="89">
        <v>45</v>
      </c>
      <c r="O44" s="89">
        <v>1260</v>
      </c>
      <c r="P44" s="89">
        <v>32</v>
      </c>
      <c r="Q44" s="233">
        <f t="shared" si="14"/>
        <v>6.4285714285714288</v>
      </c>
      <c r="R44" s="92">
        <f t="shared" si="15"/>
        <v>2.1428571428571428</v>
      </c>
      <c r="S44" s="93">
        <v>16</v>
      </c>
      <c r="T44" s="93">
        <v>-1</v>
      </c>
      <c r="U44" s="92">
        <f t="shared" si="16"/>
        <v>15</v>
      </c>
      <c r="V44" s="93">
        <v>14030.41</v>
      </c>
      <c r="W44" s="93">
        <v>-973.44</v>
      </c>
      <c r="X44" s="92">
        <f t="shared" si="17"/>
        <v>13056.97</v>
      </c>
      <c r="Y44" s="93">
        <v>20076.989999999998</v>
      </c>
      <c r="Z44" s="93">
        <v>-1260.1099999999999</v>
      </c>
      <c r="AA44" s="92">
        <f t="shared" si="18"/>
        <v>18816.879999999997</v>
      </c>
      <c r="AB44" s="92">
        <f t="shared" si="19"/>
        <v>18144</v>
      </c>
      <c r="AC44" s="234">
        <f t="shared" si="20"/>
        <v>7.8002699962722057E-3</v>
      </c>
      <c r="AD44" s="92">
        <f t="shared" si="21"/>
        <v>1670.85</v>
      </c>
      <c r="AE44" s="93">
        <v>7165.7099999999991</v>
      </c>
      <c r="AF44" s="234">
        <f t="shared" si="22"/>
        <v>0.38081286589487739</v>
      </c>
      <c r="AG44" s="93">
        <v>3011.14</v>
      </c>
      <c r="AH44" s="93">
        <v>315</v>
      </c>
      <c r="AI44" s="93">
        <v>55</v>
      </c>
      <c r="AJ44" s="93"/>
      <c r="AK44" s="93"/>
      <c r="AL44" s="122">
        <f t="shared" si="43"/>
        <v>87.184770358934784</v>
      </c>
      <c r="AM44" s="93">
        <v>0</v>
      </c>
      <c r="AN44" s="94">
        <f t="shared" si="23"/>
        <v>745.55298699999992</v>
      </c>
      <c r="AO44" s="95">
        <f t="shared" si="24"/>
        <v>5766.4422426410656</v>
      </c>
      <c r="AP44" s="96"/>
      <c r="AQ44" s="97">
        <f t="shared" si="7"/>
        <v>1254.4586666666664</v>
      </c>
      <c r="AR44" s="98">
        <f t="shared" si="35"/>
        <v>111.39</v>
      </c>
      <c r="AS44" s="98">
        <f t="shared" si="9"/>
        <v>477.71399999999994</v>
      </c>
      <c r="AT44" s="98">
        <f t="shared" si="10"/>
        <v>188.19624999999999</v>
      </c>
      <c r="AU44" s="98">
        <f t="shared" si="25"/>
        <v>23.125</v>
      </c>
      <c r="AV44" s="98">
        <f t="array" ref="AV44">_xlfn.IFS(U44=0,AO44,U44&lt;0,AO44/-U44,U44&gt;0,AO44/U44)</f>
        <v>384.42948284273768</v>
      </c>
      <c r="AW44" s="234">
        <f t="shared" si="44"/>
        <v>0.30645049777864697</v>
      </c>
      <c r="AX44" s="234">
        <f t="shared" si="45"/>
        <v>3.4512028264901486</v>
      </c>
      <c r="AY44" s="99"/>
      <c r="AZ44" s="94">
        <f t="shared" si="13"/>
        <v>71888.313291591941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135</v>
      </c>
      <c r="F45" s="93">
        <v>48</v>
      </c>
      <c r="G45" s="93">
        <v>15</v>
      </c>
      <c r="H45" s="93">
        <v>71</v>
      </c>
      <c r="I45" s="93">
        <v>0</v>
      </c>
      <c r="J45" s="93">
        <v>1</v>
      </c>
      <c r="K45" s="92">
        <v>107.88</v>
      </c>
      <c r="L45" s="92">
        <f t="shared" si="42"/>
        <v>14563.8</v>
      </c>
      <c r="M45" s="89">
        <v>80</v>
      </c>
      <c r="N45" s="89">
        <v>55</v>
      </c>
      <c r="O45" s="89">
        <v>1572</v>
      </c>
      <c r="P45" s="89">
        <v>33</v>
      </c>
      <c r="Q45" s="233">
        <f t="shared" si="14"/>
        <v>7.8571428571428568</v>
      </c>
      <c r="R45" s="92">
        <f t="shared" si="15"/>
        <v>2.1428571428571428</v>
      </c>
      <c r="S45" s="93">
        <v>16</v>
      </c>
      <c r="T45" s="93">
        <v>-1</v>
      </c>
      <c r="U45" s="92">
        <f t="shared" si="16"/>
        <v>15</v>
      </c>
      <c r="V45" s="93">
        <v>19271.62</v>
      </c>
      <c r="W45" s="93">
        <v>-1041</v>
      </c>
      <c r="X45" s="92">
        <f t="shared" si="17"/>
        <v>18230.62</v>
      </c>
      <c r="Y45" s="93">
        <v>27926.54</v>
      </c>
      <c r="Z45" s="93">
        <v>-1530</v>
      </c>
      <c r="AA45" s="92">
        <f t="shared" si="18"/>
        <v>26396.54</v>
      </c>
      <c r="AB45" s="92">
        <f t="shared" si="19"/>
        <v>28531.8</v>
      </c>
      <c r="AC45" s="234">
        <f t="shared" si="20"/>
        <v>1.0942310253740213E-2</v>
      </c>
      <c r="AD45" s="92">
        <f t="shared" si="21"/>
        <v>1618.1999999999998</v>
      </c>
      <c r="AE45" s="93">
        <v>10043.949999999999</v>
      </c>
      <c r="AF45" s="234">
        <f t="shared" si="22"/>
        <v>0.38050252040608346</v>
      </c>
      <c r="AG45" s="93">
        <v>3943.7</v>
      </c>
      <c r="AH45" s="93">
        <f>451+162</f>
        <v>613</v>
      </c>
      <c r="AI45" s="93">
        <f>8736+1124</f>
        <v>9860</v>
      </c>
      <c r="AJ45" s="93">
        <v>2437</v>
      </c>
      <c r="AK45" s="93"/>
      <c r="AL45" s="122">
        <f t="shared" si="43"/>
        <v>73.691889231956779</v>
      </c>
      <c r="AM45" s="93">
        <v>0</v>
      </c>
      <c r="AN45" s="94">
        <f t="shared" si="23"/>
        <v>1040.968402</v>
      </c>
      <c r="AO45" s="95">
        <f t="shared" si="24"/>
        <v>-3233.9702912319544</v>
      </c>
      <c r="AP45" s="96"/>
      <c r="AQ45" s="97">
        <f t="shared" si="7"/>
        <v>1759.7693333333334</v>
      </c>
      <c r="AR45" s="98">
        <f t="shared" si="35"/>
        <v>107.88</v>
      </c>
      <c r="AS45" s="98">
        <f t="shared" si="9"/>
        <v>669.59666666666658</v>
      </c>
      <c r="AT45" s="98">
        <f t="shared" si="10"/>
        <v>246.48124999999999</v>
      </c>
      <c r="AU45" s="98">
        <f t="shared" si="25"/>
        <v>806.875</v>
      </c>
      <c r="AV45" s="98">
        <f t="array" ref="AV45">_xlfn.IFS(U45=0,AO45,U45&lt;0,AO45/-U45,U45&gt;0,AO45/U45)</f>
        <v>-215.59801941546363</v>
      </c>
      <c r="AW45" s="234">
        <f t="shared" si="44"/>
        <v>-0.12251493154905735</v>
      </c>
      <c r="AX45" s="234">
        <f t="shared" si="45"/>
        <v>-1.9984985114522027</v>
      </c>
      <c r="AY45" s="99"/>
      <c r="AZ45" s="94">
        <f t="shared" si="13"/>
        <v>-29105.732621087591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43"/>
        <v>0</v>
      </c>
      <c r="AM46" s="93">
        <v>0</v>
      </c>
      <c r="AN46" s="94">
        <f t="shared" si="23"/>
        <v>0</v>
      </c>
      <c r="AO46" s="95">
        <f t="shared" si="24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51</v>
      </c>
      <c r="F47" s="93">
        <v>7</v>
      </c>
      <c r="G47" s="93"/>
      <c r="H47" s="93">
        <v>34</v>
      </c>
      <c r="I47" s="93">
        <v>0</v>
      </c>
      <c r="J47" s="93">
        <v>10</v>
      </c>
      <c r="K47" s="92">
        <v>123.09</v>
      </c>
      <c r="L47" s="92">
        <f t="shared" si="42"/>
        <v>6277.59</v>
      </c>
      <c r="M47" s="89">
        <v>168</v>
      </c>
      <c r="N47" s="89">
        <v>10</v>
      </c>
      <c r="O47" s="89">
        <v>1404</v>
      </c>
      <c r="P47" s="89">
        <v>67</v>
      </c>
      <c r="Q47" s="233">
        <f t="shared" si="14"/>
        <v>1.4285714285714286</v>
      </c>
      <c r="R47" s="92">
        <f t="shared" si="15"/>
        <v>0.42857142857142855</v>
      </c>
      <c r="S47" s="93">
        <v>4</v>
      </c>
      <c r="T47" s="93">
        <v>-1</v>
      </c>
      <c r="U47" s="92">
        <f t="shared" si="16"/>
        <v>3</v>
      </c>
      <c r="V47" s="93">
        <v>3789</v>
      </c>
      <c r="W47" s="93">
        <v>-950</v>
      </c>
      <c r="X47" s="92">
        <f t="shared" si="17"/>
        <v>2839</v>
      </c>
      <c r="Y47" s="93">
        <v>5573.88</v>
      </c>
      <c r="Z47" s="93">
        <v>-1404</v>
      </c>
      <c r="AA47" s="92">
        <f t="shared" si="18"/>
        <v>4169.88</v>
      </c>
      <c r="AB47" s="92">
        <f t="shared" si="19"/>
        <v>9406.7999999999993</v>
      </c>
      <c r="AC47" s="234">
        <f t="shared" si="20"/>
        <v>1.7285644512828667E-3</v>
      </c>
      <c r="AD47" s="92">
        <f t="shared" si="21"/>
        <v>369.27</v>
      </c>
      <c r="AE47" s="93">
        <v>1591.6100000000001</v>
      </c>
      <c r="AF47" s="234">
        <f t="shared" si="22"/>
        <v>0.38169203909944655</v>
      </c>
      <c r="AG47" s="93">
        <v>412.91999999999996</v>
      </c>
      <c r="AH47" s="93"/>
      <c r="AI47" s="93">
        <v>330</v>
      </c>
      <c r="AJ47" s="93"/>
      <c r="AK47" s="93"/>
      <c r="AL47" s="122">
        <f t="shared" si="43"/>
        <v>35.289073716711698</v>
      </c>
      <c r="AM47" s="93">
        <v>0</v>
      </c>
      <c r="AN47" s="94">
        <f t="shared" si="23"/>
        <v>162.1069</v>
      </c>
      <c r="AO47" s="95">
        <f t="shared" si="24"/>
        <v>1268.6840262832882</v>
      </c>
      <c r="AP47" s="96"/>
      <c r="AQ47" s="97">
        <f t="shared" si="7"/>
        <v>1389.96</v>
      </c>
      <c r="AR47" s="98">
        <f t="shared" si="35"/>
        <v>123.09</v>
      </c>
      <c r="AS47" s="98">
        <f t="shared" si="9"/>
        <v>530.53666666666675</v>
      </c>
      <c r="AT47" s="98">
        <f t="shared" si="10"/>
        <v>103.22999999999999</v>
      </c>
      <c r="AU47" s="98">
        <f t="shared" si="25"/>
        <v>82.5</v>
      </c>
      <c r="AV47" s="98">
        <f t="array" ref="AV47">_xlfn.IFS(U47=0,AO47,U47&lt;0,AO47/-U47,U47&gt;0,AO47/U47)</f>
        <v>422.89467542776271</v>
      </c>
      <c r="AW47" s="234">
        <f t="shared" si="44"/>
        <v>0.30424952907116948</v>
      </c>
      <c r="AX47" s="234">
        <f t="shared" si="45"/>
        <v>3.4356541995918652</v>
      </c>
      <c r="AY47" s="99"/>
      <c r="AZ47" s="94">
        <f t="shared" si="13"/>
        <v>21567.628446815899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256</v>
      </c>
      <c r="F48" s="93">
        <v>40</v>
      </c>
      <c r="G48" s="93">
        <v>8</v>
      </c>
      <c r="H48" s="93">
        <v>207</v>
      </c>
      <c r="I48" s="93">
        <v>0</v>
      </c>
      <c r="J48" s="93">
        <v>1</v>
      </c>
      <c r="K48" s="92">
        <v>107.88</v>
      </c>
      <c r="L48" s="92">
        <f t="shared" si="42"/>
        <v>27617.279999999999</v>
      </c>
      <c r="M48" s="89">
        <v>42</v>
      </c>
      <c r="N48" s="89">
        <v>62</v>
      </c>
      <c r="O48" s="89">
        <v>1412</v>
      </c>
      <c r="P48" s="89">
        <v>61</v>
      </c>
      <c r="Q48" s="233">
        <f t="shared" si="14"/>
        <v>8.8571428571428577</v>
      </c>
      <c r="R48" s="92">
        <f t="shared" si="15"/>
        <v>4.2857142857142856</v>
      </c>
      <c r="S48" s="93">
        <v>32</v>
      </c>
      <c r="T48" s="93">
        <v>-2</v>
      </c>
      <c r="U48" s="92">
        <f t="shared" si="16"/>
        <v>30</v>
      </c>
      <c r="V48" s="93">
        <v>30588</v>
      </c>
      <c r="W48" s="93">
        <v>-2028</v>
      </c>
      <c r="X48" s="92">
        <f t="shared" si="17"/>
        <v>28560</v>
      </c>
      <c r="Y48" s="93">
        <v>45020.639999999999</v>
      </c>
      <c r="Z48" s="93">
        <v>-2824</v>
      </c>
      <c r="AA48" s="92">
        <f t="shared" si="18"/>
        <v>42196.639999999999</v>
      </c>
      <c r="AB48" s="92">
        <f t="shared" si="19"/>
        <v>53401.84</v>
      </c>
      <c r="AC48" s="234">
        <f t="shared" si="20"/>
        <v>1.7492017004705328E-2</v>
      </c>
      <c r="AD48" s="92">
        <f t="shared" si="21"/>
        <v>3236.3999999999996</v>
      </c>
      <c r="AE48" s="93">
        <v>15918.460000000001</v>
      </c>
      <c r="AF48" s="234">
        <f t="shared" si="22"/>
        <v>0.37724472849023055</v>
      </c>
      <c r="AG48" s="93">
        <v>5134.1099999999979</v>
      </c>
      <c r="AH48" s="93"/>
      <c r="AI48" s="93">
        <v>1744</v>
      </c>
      <c r="AJ48" s="93">
        <v>1022</v>
      </c>
      <c r="AK48" s="93"/>
      <c r="AL48" s="122">
        <f t="shared" si="43"/>
        <v>214.84818409880356</v>
      </c>
      <c r="AM48" s="93">
        <v>0</v>
      </c>
      <c r="AN48" s="94">
        <f t="shared" si="23"/>
        <v>1630.7759999999998</v>
      </c>
      <c r="AO48" s="95">
        <f t="shared" si="24"/>
        <v>13296.045815901198</v>
      </c>
      <c r="AP48" s="96"/>
      <c r="AQ48" s="97">
        <f t="shared" si="7"/>
        <v>1406.5546666666667</v>
      </c>
      <c r="AR48" s="98">
        <f t="shared" si="35"/>
        <v>107.88</v>
      </c>
      <c r="AS48" s="98">
        <f t="shared" si="9"/>
        <v>530.61533333333341</v>
      </c>
      <c r="AT48" s="98">
        <f t="shared" si="10"/>
        <v>160.44093749999993</v>
      </c>
      <c r="AU48" s="98">
        <f t="shared" si="25"/>
        <v>86.4375</v>
      </c>
      <c r="AV48" s="98">
        <f t="array" ref="AV48">_xlfn.IFS(U48=0,AO48,U48&lt;0,AO48/-U48,U48&gt;0,AO48/U48)</f>
        <v>443.20152719670659</v>
      </c>
      <c r="AW48" s="234">
        <f t="shared" si="44"/>
        <v>0.31509726404522248</v>
      </c>
      <c r="AX48" s="234">
        <f t="shared" si="45"/>
        <v>4.108282602861574</v>
      </c>
      <c r="AY48" s="99"/>
      <c r="AZ48" s="94">
        <f t="shared" si="13"/>
        <v>113459.59096235689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205</v>
      </c>
      <c r="F49" s="93">
        <v>53</v>
      </c>
      <c r="G49" s="93">
        <v>16</v>
      </c>
      <c r="H49" s="93">
        <v>104</v>
      </c>
      <c r="I49" s="93">
        <v>0</v>
      </c>
      <c r="J49" s="93">
        <v>32</v>
      </c>
      <c r="K49" s="92">
        <v>123.09</v>
      </c>
      <c r="L49" s="92">
        <f t="shared" si="42"/>
        <v>25233.45</v>
      </c>
      <c r="M49" s="89">
        <v>50</v>
      </c>
      <c r="N49" s="89">
        <v>61</v>
      </c>
      <c r="O49" s="89">
        <v>1453</v>
      </c>
      <c r="P49" s="89">
        <v>26</v>
      </c>
      <c r="Q49" s="233">
        <f t="shared" si="14"/>
        <v>8.7142857142857135</v>
      </c>
      <c r="R49" s="92">
        <f t="shared" si="15"/>
        <v>3.2857142857142856</v>
      </c>
      <c r="S49" s="93">
        <v>24</v>
      </c>
      <c r="T49" s="93">
        <v>-1</v>
      </c>
      <c r="U49" s="92">
        <f t="shared" si="16"/>
        <v>23</v>
      </c>
      <c r="V49" s="93">
        <v>27886.79</v>
      </c>
      <c r="W49" s="93">
        <v>-1257</v>
      </c>
      <c r="X49" s="92">
        <f t="shared" si="17"/>
        <v>26629.79</v>
      </c>
      <c r="Y49" s="93">
        <v>40754.51</v>
      </c>
      <c r="Z49" s="93">
        <v>-1754</v>
      </c>
      <c r="AA49" s="92">
        <f t="shared" si="18"/>
        <v>39000.51</v>
      </c>
      <c r="AB49" s="92">
        <f t="shared" si="19"/>
        <v>23044.58</v>
      </c>
      <c r="AC49" s="234">
        <f t="shared" si="20"/>
        <v>1.6167106767557331E-2</v>
      </c>
      <c r="AD49" s="92">
        <f t="shared" si="21"/>
        <v>2831.07</v>
      </c>
      <c r="AE49" s="93">
        <v>14685.240000000005</v>
      </c>
      <c r="AF49" s="234">
        <f t="shared" si="22"/>
        <v>0.37653969140403559</v>
      </c>
      <c r="AG49" s="93">
        <v>4706.5000000000055</v>
      </c>
      <c r="AH49" s="93"/>
      <c r="AI49" s="93">
        <f>1784+742</f>
        <v>2526</v>
      </c>
      <c r="AJ49" s="93">
        <v>2365</v>
      </c>
      <c r="AK49" s="93"/>
      <c r="AL49" s="122">
        <f t="shared" si="43"/>
        <v>107.943049015824</v>
      </c>
      <c r="AM49" s="93">
        <v>0</v>
      </c>
      <c r="AN49" s="94">
        <f t="shared" si="23"/>
        <v>1520.561009</v>
      </c>
      <c r="AO49" s="95">
        <f t="shared" si="24"/>
        <v>10258.195941984166</v>
      </c>
      <c r="AP49" s="96"/>
      <c r="AQ49" s="97">
        <f t="shared" si="7"/>
        <v>1695.6743478260871</v>
      </c>
      <c r="AR49" s="98">
        <f t="shared" si="35"/>
        <v>123.09</v>
      </c>
      <c r="AS49" s="98">
        <f t="shared" si="9"/>
        <v>638.4886956521741</v>
      </c>
      <c r="AT49" s="98">
        <f t="shared" si="10"/>
        <v>196.10416666666688</v>
      </c>
      <c r="AU49" s="98">
        <f t="shared" si="25"/>
        <v>203.79166666666666</v>
      </c>
      <c r="AV49" s="98">
        <f t="array" ref="AV49">_xlfn.IFS(U49=0,AO49,U49&lt;0,AO49/-U49,U49&gt;0,AO49/U49)</f>
        <v>446.00851921670289</v>
      </c>
      <c r="AW49" s="234">
        <f t="shared" si="44"/>
        <v>0.26302722559228497</v>
      </c>
      <c r="AX49" s="234">
        <f t="shared" si="45"/>
        <v>3.6234342287489065</v>
      </c>
      <c r="AY49" s="99"/>
      <c r="AZ49" s="94">
        <f t="shared" si="13"/>
        <v>91431.746439424096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385</v>
      </c>
      <c r="F50" s="93">
        <v>27</v>
      </c>
      <c r="G50" s="93">
        <v>9</v>
      </c>
      <c r="H50" s="93">
        <v>83</v>
      </c>
      <c r="I50" s="93">
        <v>0</v>
      </c>
      <c r="J50" s="93">
        <v>266</v>
      </c>
      <c r="K50" s="92">
        <v>134.79</v>
      </c>
      <c r="L50" s="92">
        <f t="shared" si="42"/>
        <v>51894.149999999994</v>
      </c>
      <c r="M50" s="89">
        <v>19</v>
      </c>
      <c r="N50" s="89">
        <v>44</v>
      </c>
      <c r="O50" s="89">
        <v>1421</v>
      </c>
      <c r="P50" s="89">
        <v>71</v>
      </c>
      <c r="Q50" s="233">
        <f t="shared" si="14"/>
        <v>6.2857142857142856</v>
      </c>
      <c r="R50" s="92">
        <f t="shared" si="15"/>
        <v>3.7142857142857144</v>
      </c>
      <c r="S50" s="93">
        <v>26</v>
      </c>
      <c r="T50" s="93">
        <v>0</v>
      </c>
      <c r="U50" s="92">
        <f t="shared" si="16"/>
        <v>26</v>
      </c>
      <c r="V50" s="93">
        <v>26143.280000000002</v>
      </c>
      <c r="W50" s="93">
        <v>0</v>
      </c>
      <c r="X50" s="92">
        <f t="shared" si="17"/>
        <v>26143.280000000002</v>
      </c>
      <c r="Y50" s="93">
        <v>37889.879999999997</v>
      </c>
      <c r="Z50" s="93">
        <v>0</v>
      </c>
      <c r="AA50" s="92">
        <f t="shared" si="18"/>
        <v>37889.879999999997</v>
      </c>
      <c r="AB50" s="92">
        <f t="shared" si="19"/>
        <v>44392.04</v>
      </c>
      <c r="AC50" s="234">
        <f t="shared" si="20"/>
        <v>1.5706710896086617E-2</v>
      </c>
      <c r="AD50" s="92">
        <f t="shared" si="21"/>
        <v>3504.54</v>
      </c>
      <c r="AE50" s="93">
        <v>14286.800000000003</v>
      </c>
      <c r="AF50" s="234">
        <f t="shared" si="22"/>
        <v>0.37706110444266394</v>
      </c>
      <c r="AG50" s="93">
        <v>3119.9600000000005</v>
      </c>
      <c r="AH50" s="93"/>
      <c r="AI50" s="93">
        <f>1357+391</f>
        <v>1748</v>
      </c>
      <c r="AJ50" s="93">
        <v>255</v>
      </c>
      <c r="AK50" s="93"/>
      <c r="AL50" s="122">
        <f t="shared" si="43"/>
        <v>86.146856426090309</v>
      </c>
      <c r="AM50" s="93">
        <v>50</v>
      </c>
      <c r="AN50" s="94">
        <f t="shared" si="23"/>
        <v>1492.7812880000001</v>
      </c>
      <c r="AO50" s="95">
        <f t="shared" si="24"/>
        <v>13346.651855573904</v>
      </c>
      <c r="AP50" s="96"/>
      <c r="AQ50" s="97">
        <f t="shared" si="7"/>
        <v>1457.3030769230768</v>
      </c>
      <c r="AR50" s="98">
        <f t="shared" si="35"/>
        <v>134.79</v>
      </c>
      <c r="AS50" s="98">
        <f t="shared" si="9"/>
        <v>549.4923076923078</v>
      </c>
      <c r="AT50" s="98">
        <f t="shared" si="10"/>
        <v>119.99846153846156</v>
      </c>
      <c r="AU50" s="98">
        <f t="shared" si="25"/>
        <v>77.038461538461533</v>
      </c>
      <c r="AV50" s="98">
        <f t="array" ref="AV50">_xlfn.IFS(U50=0,AO50,U50&lt;0,AO50/-U50,U50&gt;0,AO50/U50)</f>
        <v>513.33276367591941</v>
      </c>
      <c r="AW50" s="234">
        <f t="shared" si="44"/>
        <v>0.35224845936629795</v>
      </c>
      <c r="AX50" s="234">
        <f t="shared" si="45"/>
        <v>3.8083890769042172</v>
      </c>
      <c r="AY50" s="99"/>
      <c r="AZ50" s="94">
        <f t="shared" si="13"/>
        <v>197633.11401522896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136</v>
      </c>
      <c r="F51" s="93" t="s">
        <v>100</v>
      </c>
      <c r="G51" s="93" t="s">
        <v>100</v>
      </c>
      <c r="H51" s="93">
        <v>1</v>
      </c>
      <c r="I51" s="93">
        <v>0</v>
      </c>
      <c r="J51" s="93">
        <v>135</v>
      </c>
      <c r="K51" s="92">
        <v>144.15</v>
      </c>
      <c r="L51" s="92">
        <f t="shared" si="42"/>
        <v>19604.400000000001</v>
      </c>
      <c r="M51" s="89">
        <v>999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/>
      <c r="AJ51" s="93"/>
      <c r="AK51" s="93"/>
      <c r="AL51" s="122">
        <f t="shared" si="43"/>
        <v>1.0379139328444615</v>
      </c>
      <c r="AM51" s="93">
        <v>0</v>
      </c>
      <c r="AN51" s="94">
        <f t="shared" si="23"/>
        <v>0</v>
      </c>
      <c r="AO51" s="95">
        <f t="shared" si="24"/>
        <v>-1.0379139328444615</v>
      </c>
      <c r="AP51" s="96"/>
      <c r="AQ51" s="97">
        <f t="shared" si="7"/>
        <v>0</v>
      </c>
      <c r="AR51" s="98">
        <f t="shared" si="35"/>
        <v>144.15</v>
      </c>
      <c r="AS51" s="98">
        <f t="shared" si="9"/>
        <v>0</v>
      </c>
      <c r="AT51" s="98">
        <f t="shared" si="10"/>
        <v>0</v>
      </c>
      <c r="AU51" s="98">
        <f t="shared" si="25"/>
        <v>0</v>
      </c>
      <c r="AV51" s="98">
        <f t="array" ref="AV51">_xlfn.IFS(U51=0,AO51,U51&lt;0,AO51/-U51,U51&gt;0,AO51/U51)</f>
        <v>-1.0379139328444615</v>
      </c>
      <c r="AW51" s="234">
        <f t="shared" si="44"/>
        <v>0</v>
      </c>
      <c r="AX51" s="234">
        <f t="shared" si="45"/>
        <v>-7.2002353995453449E-3</v>
      </c>
      <c r="AY51" s="99"/>
      <c r="AZ51" s="94">
        <f t="shared" si="13"/>
        <v>-141.15629486684676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26</v>
      </c>
      <c r="F52" s="93">
        <v>12</v>
      </c>
      <c r="G52" s="93">
        <v>4</v>
      </c>
      <c r="H52" s="93">
        <v>9</v>
      </c>
      <c r="I52" s="93">
        <v>0</v>
      </c>
      <c r="J52" s="93">
        <v>1</v>
      </c>
      <c r="K52" s="92">
        <v>96.18</v>
      </c>
      <c r="L52" s="92">
        <f t="shared" si="42"/>
        <v>2500.6800000000003</v>
      </c>
      <c r="M52" s="89">
        <v>999</v>
      </c>
      <c r="N52" s="89">
        <v>15</v>
      </c>
      <c r="O52" s="89">
        <v>1302</v>
      </c>
      <c r="P52" s="89">
        <v>0</v>
      </c>
      <c r="Q52" s="233">
        <f t="shared" si="14"/>
        <v>2.1428571428571428</v>
      </c>
      <c r="R52" s="92">
        <f t="shared" si="15"/>
        <v>0.14285714285714285</v>
      </c>
      <c r="S52" s="93">
        <v>1</v>
      </c>
      <c r="T52" s="93">
        <v>0</v>
      </c>
      <c r="U52" s="92">
        <f t="shared" si="16"/>
        <v>1</v>
      </c>
      <c r="V52" s="93">
        <v>847</v>
      </c>
      <c r="W52" s="93">
        <v>0</v>
      </c>
      <c r="X52" s="92">
        <f t="shared" si="17"/>
        <v>847</v>
      </c>
      <c r="Y52" s="93">
        <v>1302</v>
      </c>
      <c r="Z52" s="93">
        <v>0</v>
      </c>
      <c r="AA52" s="92">
        <f t="shared" si="18"/>
        <v>1302</v>
      </c>
      <c r="AB52" s="92">
        <f t="shared" si="19"/>
        <v>0</v>
      </c>
      <c r="AC52" s="234">
        <f t="shared" si="20"/>
        <v>5.3972558336697757E-4</v>
      </c>
      <c r="AD52" s="92">
        <f t="shared" si="21"/>
        <v>96.18</v>
      </c>
      <c r="AE52" s="93">
        <v>492.84000000000003</v>
      </c>
      <c r="AF52" s="234">
        <f t="shared" si="22"/>
        <v>0.37852534562211981</v>
      </c>
      <c r="AG52" s="93">
        <v>604.20999999999992</v>
      </c>
      <c r="AH52" s="93"/>
      <c r="AI52" s="93">
        <f>1380+130</f>
        <v>1510</v>
      </c>
      <c r="AJ52" s="93">
        <v>990</v>
      </c>
      <c r="AK52" s="93"/>
      <c r="AL52" s="122">
        <f t="shared" si="43"/>
        <v>9.341225395600155</v>
      </c>
      <c r="AM52" s="93">
        <v>0</v>
      </c>
      <c r="AN52" s="94">
        <f t="shared" si="23"/>
        <v>48.363700000000001</v>
      </c>
      <c r="AO52" s="95">
        <f t="shared" si="24"/>
        <v>-2448.9349253956002</v>
      </c>
      <c r="AP52" s="96"/>
      <c r="AQ52" s="97">
        <f t="shared" si="7"/>
        <v>1302</v>
      </c>
      <c r="AR52" s="98">
        <f t="shared" si="35"/>
        <v>96.18</v>
      </c>
      <c r="AS52" s="98">
        <f t="shared" si="9"/>
        <v>492.84000000000003</v>
      </c>
      <c r="AT52" s="98">
        <f t="shared" si="10"/>
        <v>604.20999999999992</v>
      </c>
      <c r="AU52" s="98">
        <f t="shared" si="25"/>
        <v>2500</v>
      </c>
      <c r="AV52" s="98">
        <f t="array" ref="AV52">_xlfn.IFS(U52=0,AO52,U52&lt;0,AO52/-U52,U52&gt;0,AO52/U52)</f>
        <v>-2448.9349253956002</v>
      </c>
      <c r="AW52" s="234">
        <f t="shared" si="44"/>
        <v>-1.8809024004574502</v>
      </c>
      <c r="AX52" s="234">
        <f t="shared" si="45"/>
        <v>-25.461997560777707</v>
      </c>
      <c r="AY52" s="99"/>
      <c r="AZ52" s="94">
        <f t="shared" si="13"/>
        <v>-63672.308060285606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36</v>
      </c>
      <c r="F53" s="93">
        <v>2</v>
      </c>
      <c r="G53" s="93" t="s">
        <v>100</v>
      </c>
      <c r="H53" s="93">
        <v>33</v>
      </c>
      <c r="I53" s="93">
        <v>0</v>
      </c>
      <c r="J53" s="93">
        <v>1</v>
      </c>
      <c r="K53" s="92">
        <v>96.18</v>
      </c>
      <c r="L53" s="92">
        <f t="shared" si="42"/>
        <v>3462.4800000000005</v>
      </c>
      <c r="M53" s="89">
        <v>999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527.37000000000012</v>
      </c>
      <c r="AH53" s="93"/>
      <c r="AI53" s="93">
        <f>200+84</f>
        <v>284</v>
      </c>
      <c r="AJ53" s="93"/>
      <c r="AK53" s="93"/>
      <c r="AL53" s="122">
        <f t="shared" si="43"/>
        <v>34.251159783867237</v>
      </c>
      <c r="AM53" s="93">
        <v>0</v>
      </c>
      <c r="AN53" s="94">
        <f t="shared" si="23"/>
        <v>0</v>
      </c>
      <c r="AO53" s="95">
        <f t="shared" si="24"/>
        <v>-845.62115978386737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527.37000000000012</v>
      </c>
      <c r="AU53" s="98">
        <f t="shared" si="25"/>
        <v>0</v>
      </c>
      <c r="AV53" s="98">
        <f t="array" ref="AV53">_xlfn.IFS(U53=0,AO53,U53&lt;0,AO53/-U53,U53&gt;0,AO53/U53)</f>
        <v>-845.62115978386737</v>
      </c>
      <c r="AW53" s="234">
        <f t="shared" si="44"/>
        <v>0</v>
      </c>
      <c r="AX53" s="234">
        <f t="shared" si="45"/>
        <v>-8.7920686190878286</v>
      </c>
      <c r="AY53" s="99"/>
      <c r="AZ53" s="94">
        <f t="shared" si="13"/>
        <v>-30442.361752219225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46">SUM(F54:J54)</f>
        <v>24</v>
      </c>
      <c r="F54" s="93">
        <v>1</v>
      </c>
      <c r="G54" s="93">
        <v>1</v>
      </c>
      <c r="H54" s="93">
        <v>21</v>
      </c>
      <c r="I54" s="93">
        <v>0</v>
      </c>
      <c r="J54" s="93">
        <v>1</v>
      </c>
      <c r="K54" s="93">
        <v>123.09</v>
      </c>
      <c r="L54" s="92">
        <f t="shared" si="42"/>
        <v>2954.16</v>
      </c>
      <c r="M54" s="89">
        <v>999</v>
      </c>
      <c r="N54" s="89">
        <v>2</v>
      </c>
      <c r="O54" s="89">
        <v>998</v>
      </c>
      <c r="P54" s="89">
        <v>0</v>
      </c>
      <c r="Q54" s="233">
        <f t="shared" si="14"/>
        <v>0.2857142857142857</v>
      </c>
      <c r="R54" s="92">
        <f t="shared" si="15"/>
        <v>0.14285714285714285</v>
      </c>
      <c r="S54" s="93">
        <v>1</v>
      </c>
      <c r="T54" s="93">
        <v>0</v>
      </c>
      <c r="U54" s="92">
        <f t="shared" si="16"/>
        <v>1</v>
      </c>
      <c r="V54" s="93">
        <v>669</v>
      </c>
      <c r="W54" s="93">
        <v>0</v>
      </c>
      <c r="X54" s="92">
        <f t="shared" si="17"/>
        <v>669</v>
      </c>
      <c r="Y54" s="93">
        <v>998</v>
      </c>
      <c r="Z54" s="93">
        <v>0</v>
      </c>
      <c r="AA54" s="92">
        <f t="shared" si="18"/>
        <v>998</v>
      </c>
      <c r="AB54" s="92">
        <f t="shared" si="19"/>
        <v>0</v>
      </c>
      <c r="AC54" s="234">
        <f t="shared" si="20"/>
        <v>4.1370670675901965E-4</v>
      </c>
      <c r="AD54" s="92">
        <f t="shared" si="21"/>
        <v>123.09</v>
      </c>
      <c r="AE54" s="93">
        <v>378.55999999999995</v>
      </c>
      <c r="AF54" s="234">
        <f t="shared" si="22"/>
        <v>0.37931863727454906</v>
      </c>
      <c r="AG54" s="93">
        <v>280.25</v>
      </c>
      <c r="AH54" s="93"/>
      <c r="AI54" s="93"/>
      <c r="AJ54" s="93"/>
      <c r="AK54" s="93"/>
      <c r="AL54" s="122">
        <f t="shared" si="43"/>
        <v>21.796192589733696</v>
      </c>
      <c r="AM54" s="93">
        <v>0</v>
      </c>
      <c r="AN54" s="94">
        <f t="shared" si="23"/>
        <v>38.1999</v>
      </c>
      <c r="AO54" s="95">
        <f t="shared" si="24"/>
        <v>156.10390741026634</v>
      </c>
      <c r="AP54" s="96"/>
      <c r="AQ54" s="97">
        <f t="shared" si="7"/>
        <v>998</v>
      </c>
      <c r="AR54" s="98">
        <f t="shared" si="35"/>
        <v>123.09</v>
      </c>
      <c r="AS54" s="98">
        <f t="shared" si="9"/>
        <v>378.55999999999995</v>
      </c>
      <c r="AT54" s="98">
        <f t="shared" si="10"/>
        <v>280.25</v>
      </c>
      <c r="AU54" s="98">
        <f t="shared" si="25"/>
        <v>0</v>
      </c>
      <c r="AV54" s="98">
        <f t="array" ref="AV54">_xlfn.IFS(U54=0,AO54,U54&lt;0,AO54/-U54,U54&gt;0,AO54/U54)</f>
        <v>156.10390741026634</v>
      </c>
      <c r="AW54" s="234">
        <f t="shared" si="44"/>
        <v>0.15641674089205043</v>
      </c>
      <c r="AX54" s="234">
        <f t="shared" si="45"/>
        <v>1.2682095004489913</v>
      </c>
      <c r="AY54" s="99"/>
      <c r="AZ54" s="94">
        <f t="shared" si="13"/>
        <v>3746.4937778463923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43"/>
        <v>1.0379139328444615</v>
      </c>
      <c r="AM55" s="93">
        <v>0</v>
      </c>
      <c r="AN55" s="94">
        <f t="shared" si="23"/>
        <v>0</v>
      </c>
      <c r="AO55" s="95">
        <f t="shared" si="24"/>
        <v>-1.0379139328444615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-1.0379139328444615</v>
      </c>
      <c r="AW55" s="234">
        <f t="shared" si="44"/>
        <v>0</v>
      </c>
      <c r="AX55" s="234">
        <f t="shared" si="45"/>
        <v>-6.5611854911464791E-3</v>
      </c>
      <c r="AY55" s="99"/>
      <c r="AZ55" s="94">
        <f t="shared" si="13"/>
        <v>-2.0758278656889231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2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43"/>
        <v>0</v>
      </c>
      <c r="AM56" s="93">
        <v>0</v>
      </c>
      <c r="AN56" s="94">
        <f t="shared" si="23"/>
        <v>0</v>
      </c>
      <c r="AO56" s="95">
        <f t="shared" si="24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43"/>
        <v>0</v>
      </c>
      <c r="AM57" s="93">
        <v>0</v>
      </c>
      <c r="AN57" s="94">
        <f t="shared" si="23"/>
        <v>0</v>
      </c>
      <c r="AO57" s="95">
        <f t="shared" si="24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23</v>
      </c>
      <c r="F58" s="93">
        <v>1</v>
      </c>
      <c r="G58" s="93">
        <v>2</v>
      </c>
      <c r="H58" s="93">
        <v>19</v>
      </c>
      <c r="I58" s="93">
        <v>0</v>
      </c>
      <c r="J58" s="93">
        <v>1</v>
      </c>
      <c r="K58" s="93">
        <v>169.89</v>
      </c>
      <c r="L58" s="92">
        <f t="shared" si="42"/>
        <v>3907.47</v>
      </c>
      <c r="M58" s="89">
        <v>999</v>
      </c>
      <c r="N58" s="89">
        <v>2</v>
      </c>
      <c r="O58" s="89">
        <v>936</v>
      </c>
      <c r="P58" s="89">
        <v>0</v>
      </c>
      <c r="Q58" s="233">
        <f t="shared" si="14"/>
        <v>0.2857142857142857</v>
      </c>
      <c r="R58" s="92">
        <f t="shared" si="15"/>
        <v>0</v>
      </c>
      <c r="S58" s="93">
        <v>0</v>
      </c>
      <c r="T58" s="93">
        <v>0</v>
      </c>
      <c r="U58" s="92">
        <f t="shared" si="16"/>
        <v>0</v>
      </c>
      <c r="V58" s="93">
        <v>0</v>
      </c>
      <c r="W58" s="93">
        <v>0</v>
      </c>
      <c r="X58" s="92">
        <f t="shared" si="17"/>
        <v>0</v>
      </c>
      <c r="Y58" s="93">
        <v>0</v>
      </c>
      <c r="Z58" s="93">
        <v>0</v>
      </c>
      <c r="AA58" s="92">
        <f t="shared" si="18"/>
        <v>0</v>
      </c>
      <c r="AB58" s="92">
        <f t="shared" si="19"/>
        <v>0</v>
      </c>
      <c r="AC58" s="234">
        <f t="shared" si="20"/>
        <v>0</v>
      </c>
      <c r="AD58" s="92">
        <f t="shared" si="21"/>
        <v>0</v>
      </c>
      <c r="AE58" s="93">
        <v>0</v>
      </c>
      <c r="AF58" s="234">
        <f t="shared" si="22"/>
        <v>0</v>
      </c>
      <c r="AG58" s="93">
        <v>172.23000000000002</v>
      </c>
      <c r="AH58" s="93"/>
      <c r="AI58" s="93">
        <f>640+96</f>
        <v>736</v>
      </c>
      <c r="AJ58" s="93"/>
      <c r="AK58" s="93"/>
      <c r="AL58" s="122">
        <f t="shared" si="43"/>
        <v>19.720364724044771</v>
      </c>
      <c r="AM58" s="93">
        <v>0</v>
      </c>
      <c r="AN58" s="94">
        <f t="shared" si="23"/>
        <v>0</v>
      </c>
      <c r="AO58" s="95">
        <f t="shared" si="24"/>
        <v>-927.95036472404479</v>
      </c>
      <c r="AP58" s="96"/>
      <c r="AQ58" s="97">
        <f t="shared" si="7"/>
        <v>0</v>
      </c>
      <c r="AR58" s="98">
        <f t="shared" si="35"/>
        <v>169.89</v>
      </c>
      <c r="AS58" s="98">
        <f t="shared" si="9"/>
        <v>0</v>
      </c>
      <c r="AT58" s="98">
        <f t="shared" si="10"/>
        <v>172.23000000000002</v>
      </c>
      <c r="AU58" s="98">
        <f t="shared" si="25"/>
        <v>0</v>
      </c>
      <c r="AV58" s="98">
        <f t="array" ref="AV58">_xlfn.IFS(U58=0,AO58,U58&lt;0,AO58/-U58,U58&gt;0,AO58/U58)</f>
        <v>-927.95036472404479</v>
      </c>
      <c r="AW58" s="234">
        <f t="shared" si="44"/>
        <v>0</v>
      </c>
      <c r="AX58" s="234">
        <f t="shared" si="45"/>
        <v>-5.4620658350935596</v>
      </c>
      <c r="AY58" s="99"/>
      <c r="AZ58" s="94">
        <f t="shared" si="13"/>
        <v>-21342.858388653029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2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43"/>
        <v>0</v>
      </c>
      <c r="AM59" s="93">
        <v>0</v>
      </c>
      <c r="AN59" s="94">
        <f t="shared" si="23"/>
        <v>0</v>
      </c>
      <c r="AO59" s="95">
        <f t="shared" si="24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61</v>
      </c>
      <c r="F60" s="93">
        <v>1</v>
      </c>
      <c r="G60" s="93" t="s">
        <v>100</v>
      </c>
      <c r="H60" s="93">
        <v>19</v>
      </c>
      <c r="I60" s="93">
        <v>0</v>
      </c>
      <c r="J60" s="93">
        <v>41</v>
      </c>
      <c r="K60" s="93">
        <v>158.19</v>
      </c>
      <c r="L60" s="92">
        <f t="shared" si="42"/>
        <v>9649.59</v>
      </c>
      <c r="M60" s="89">
        <v>999</v>
      </c>
      <c r="N60" s="89">
        <v>1</v>
      </c>
      <c r="O60" s="89">
        <v>1049</v>
      </c>
      <c r="P60" s="89">
        <v>0</v>
      </c>
      <c r="Q60" s="233">
        <f t="shared" si="14"/>
        <v>0.14285714285714285</v>
      </c>
      <c r="R60" s="92">
        <f t="shared" si="15"/>
        <v>0.14285714285714285</v>
      </c>
      <c r="S60" s="93">
        <v>1</v>
      </c>
      <c r="T60" s="93">
        <v>0</v>
      </c>
      <c r="U60" s="92">
        <f t="shared" si="16"/>
        <v>1</v>
      </c>
      <c r="V60" s="93">
        <v>699</v>
      </c>
      <c r="W60" s="93">
        <v>0</v>
      </c>
      <c r="X60" s="92">
        <f t="shared" si="17"/>
        <v>699</v>
      </c>
      <c r="Y60" s="93">
        <v>1049</v>
      </c>
      <c r="Z60" s="93">
        <v>0</v>
      </c>
      <c r="AA60" s="92">
        <f t="shared" si="18"/>
        <v>1049</v>
      </c>
      <c r="AB60" s="92">
        <f t="shared" si="19"/>
        <v>0</v>
      </c>
      <c r="AC60" s="234">
        <f t="shared" si="20"/>
        <v>4.3484803145311788E-4</v>
      </c>
      <c r="AD60" s="92">
        <f t="shared" si="21"/>
        <v>158.19</v>
      </c>
      <c r="AE60" s="93">
        <v>397.73</v>
      </c>
      <c r="AF60" s="234">
        <f t="shared" si="22"/>
        <v>0.37915157292659679</v>
      </c>
      <c r="AG60" s="93">
        <v>131.97</v>
      </c>
      <c r="AH60" s="93"/>
      <c r="AI60" s="93"/>
      <c r="AJ60" s="93"/>
      <c r="AK60" s="93"/>
      <c r="AL60" s="122">
        <f t="shared" si="43"/>
        <v>19.720364724044771</v>
      </c>
      <c r="AM60" s="93">
        <v>0</v>
      </c>
      <c r="AN60" s="94">
        <f t="shared" si="23"/>
        <v>39.9129</v>
      </c>
      <c r="AO60" s="95">
        <f t="shared" si="24"/>
        <v>301.47673527595515</v>
      </c>
      <c r="AP60" s="96"/>
      <c r="AQ60" s="97">
        <f t="shared" si="7"/>
        <v>1049</v>
      </c>
      <c r="AR60" s="98">
        <f t="shared" si="35"/>
        <v>158.19</v>
      </c>
      <c r="AS60" s="98">
        <f t="shared" si="9"/>
        <v>397.73</v>
      </c>
      <c r="AT60" s="98">
        <f t="shared" si="10"/>
        <v>131.97</v>
      </c>
      <c r="AU60" s="98">
        <f t="shared" si="25"/>
        <v>0</v>
      </c>
      <c r="AV60" s="98">
        <f t="array" ref="AV60">_xlfn.IFS(U60=0,AO60,U60&lt;0,AO60/-U60,U60&gt;0,AO60/U60)</f>
        <v>301.47673527595515</v>
      </c>
      <c r="AW60" s="234">
        <f t="shared" si="44"/>
        <v>0.28739440922398013</v>
      </c>
      <c r="AX60" s="234">
        <f t="shared" si="45"/>
        <v>1.9057888316325631</v>
      </c>
      <c r="AY60" s="99"/>
      <c r="AZ60" s="94">
        <f t="shared" si="13"/>
        <v>18390.080851833263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478</v>
      </c>
      <c r="F61" s="93" t="s">
        <v>100</v>
      </c>
      <c r="G61" s="93">
        <v>1</v>
      </c>
      <c r="H61" s="93">
        <v>156</v>
      </c>
      <c r="I61" s="93">
        <v>0</v>
      </c>
      <c r="J61" s="93">
        <v>321</v>
      </c>
      <c r="K61" s="93">
        <v>128.94</v>
      </c>
      <c r="L61" s="92">
        <f t="shared" si="42"/>
        <v>61633.32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4"/>
        <v>0</v>
      </c>
      <c r="R61" s="92">
        <f t="shared" si="15"/>
        <v>-0.14285714285714285</v>
      </c>
      <c r="S61" s="93">
        <v>0</v>
      </c>
      <c r="T61" s="93">
        <v>-1</v>
      </c>
      <c r="U61" s="92">
        <f t="shared" si="16"/>
        <v>-1</v>
      </c>
      <c r="V61" s="93">
        <v>0</v>
      </c>
      <c r="W61" s="93">
        <v>-618</v>
      </c>
      <c r="X61" s="92">
        <f t="shared" si="17"/>
        <v>-618</v>
      </c>
      <c r="Y61" s="93">
        <v>0</v>
      </c>
      <c r="Z61" s="93">
        <v>-927</v>
      </c>
      <c r="AA61" s="92">
        <f t="shared" si="18"/>
        <v>-927</v>
      </c>
      <c r="AB61" s="92">
        <f t="shared" si="19"/>
        <v>0</v>
      </c>
      <c r="AC61" s="234">
        <f t="shared" si="20"/>
        <v>-3.8427466649860846E-4</v>
      </c>
      <c r="AD61" s="92">
        <f t="shared" si="21"/>
        <v>-128.94</v>
      </c>
      <c r="AE61" s="93">
        <v>-351.48</v>
      </c>
      <c r="AF61" s="234">
        <f t="shared" si="22"/>
        <v>0.37915857605177994</v>
      </c>
      <c r="AG61" s="93">
        <v>33.980000000000004</v>
      </c>
      <c r="AH61" s="93"/>
      <c r="AI61" s="93"/>
      <c r="AJ61" s="93"/>
      <c r="AK61" s="93"/>
      <c r="AL61" s="122">
        <f t="shared" si="43"/>
        <v>161.91457352373601</v>
      </c>
      <c r="AM61" s="93">
        <v>0</v>
      </c>
      <c r="AN61" s="94">
        <f t="shared" si="23"/>
        <v>-35.287799999999997</v>
      </c>
      <c r="AO61" s="95">
        <f t="shared" si="24"/>
        <v>-607.18677352373595</v>
      </c>
      <c r="AP61" s="96"/>
      <c r="AQ61" s="97">
        <f t="shared" si="7"/>
        <v>927</v>
      </c>
      <c r="AR61" s="98">
        <f t="shared" si="35"/>
        <v>128.94</v>
      </c>
      <c r="AS61" s="98">
        <f t="shared" si="9"/>
        <v>351.48</v>
      </c>
      <c r="AT61" s="98">
        <f t="shared" si="10"/>
        <v>33.980000000000004</v>
      </c>
      <c r="AU61" s="98">
        <f t="shared" si="25"/>
        <v>0</v>
      </c>
      <c r="AV61" s="98">
        <f t="array" ref="AV61">_xlfn.IFS(U61=0,AO61,U61&lt;0,AO61/-U61,U61&gt;0,AO61/U61)</f>
        <v>-607.18677352373595</v>
      </c>
      <c r="AW61" s="234">
        <f t="shared" si="44"/>
        <v>-0.65500191318633871</v>
      </c>
      <c r="AX61" s="234">
        <f t="shared" si="45"/>
        <v>-4.7090644759092291</v>
      </c>
      <c r="AY61" s="99"/>
      <c r="AZ61" s="94">
        <f t="shared" si="13"/>
        <v>-290235.27774434577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2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43"/>
        <v>0</v>
      </c>
      <c r="AM62" s="93">
        <v>0</v>
      </c>
      <c r="AN62" s="94">
        <f t="shared" si="23"/>
        <v>0</v>
      </c>
      <c r="AO62" s="95">
        <f t="shared" si="24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43"/>
        <v>0</v>
      </c>
      <c r="AM63" s="93">
        <v>0</v>
      </c>
      <c r="AN63" s="94">
        <f t="shared" si="23"/>
        <v>0</v>
      </c>
      <c r="AO63" s="95">
        <f t="shared" si="24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2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43"/>
        <v>0</v>
      </c>
      <c r="AM64" s="93">
        <v>0</v>
      </c>
      <c r="AN64" s="94">
        <f t="shared" si="23"/>
        <v>0</v>
      </c>
      <c r="AO64" s="95">
        <f t="shared" si="24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2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43"/>
        <v>1.0379139328444615</v>
      </c>
      <c r="AM65" s="93">
        <v>0</v>
      </c>
      <c r="AN65" s="94">
        <f t="shared" si="23"/>
        <v>0</v>
      </c>
      <c r="AO65" s="95">
        <f t="shared" si="24"/>
        <v>-1.0379139328444615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5"/>
        <v>0</v>
      </c>
      <c r="AV65" s="98">
        <f t="array" ref="AV65">_xlfn.IFS(U65=0,AO65,U65&lt;0,AO65/-U65,U65&gt;0,AO65/U65)</f>
        <v>-1.0379139328444615</v>
      </c>
      <c r="AW65" s="234">
        <f t="shared" si="44"/>
        <v>0</v>
      </c>
      <c r="AX65" s="234">
        <f t="shared" si="45"/>
        <v>-1.0411414714058195E-2</v>
      </c>
      <c r="AY65" s="99"/>
      <c r="AZ65" s="94">
        <f t="shared" si="13"/>
        <v>-98.60182362022384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2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43"/>
        <v>2.0758278656889231</v>
      </c>
      <c r="AM66" s="93">
        <v>0</v>
      </c>
      <c r="AN66" s="94">
        <f t="shared" si="23"/>
        <v>0</v>
      </c>
      <c r="AO66" s="95">
        <f t="shared" si="24"/>
        <v>-2.0758278656889231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-2.0758278656889231</v>
      </c>
      <c r="AW66" s="234">
        <f t="shared" si="44"/>
        <v>0</v>
      </c>
      <c r="AX66" s="234">
        <f t="shared" si="45"/>
        <v>-2.132334736198175E-2</v>
      </c>
      <c r="AY66" s="99"/>
      <c r="AZ66" s="94">
        <f t="shared" si="13"/>
        <v>-197.20364724044768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2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98" si="47">IFERROR($AL$127*H67/$H$127,0)</f>
        <v>0</v>
      </c>
      <c r="AM67" s="93">
        <v>0</v>
      </c>
      <c r="AN67" s="94">
        <f t="shared" si="23"/>
        <v>0</v>
      </c>
      <c r="AO67" s="95">
        <f t="shared" si="24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5"/>
        <v>0</v>
      </c>
      <c r="AV67" s="98">
        <f t="array" ref="AV67">_xlfn.IFS(U67=0,AO67,U67&lt;0,AO67/-U67,U67&gt;0,AO67/U67)</f>
        <v>0</v>
      </c>
      <c r="AW67" s="234">
        <f t="shared" si="44"/>
        <v>0</v>
      </c>
      <c r="AX67" s="234">
        <f t="shared" si="45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4" si="48">N68/7</f>
        <v>0</v>
      </c>
      <c r="R68" s="92">
        <f t="shared" ref="R68:R104" si="49">U68/7</f>
        <v>0</v>
      </c>
      <c r="S68" s="93">
        <v>0</v>
      </c>
      <c r="T68" s="93">
        <v>0</v>
      </c>
      <c r="U68" s="92">
        <f t="shared" ref="U68:U104" si="50">S68+T68</f>
        <v>0</v>
      </c>
      <c r="V68" s="93">
        <v>0</v>
      </c>
      <c r="W68" s="93">
        <v>0</v>
      </c>
      <c r="X68" s="92">
        <f t="shared" ref="X68:X104" si="51">V68+W68</f>
        <v>0</v>
      </c>
      <c r="Y68" s="93">
        <v>0</v>
      </c>
      <c r="Z68" s="93">
        <v>0</v>
      </c>
      <c r="AA68" s="92">
        <f t="shared" ref="AA68:AA104" si="52">Y68+Z68</f>
        <v>0</v>
      </c>
      <c r="AB68" s="92">
        <f t="shared" ref="AB68:AB104" si="53">N68*O68*P68/100</f>
        <v>0</v>
      </c>
      <c r="AC68" s="234">
        <f t="shared" ref="AC68:AC104" si="54">AA68/$AA$127</f>
        <v>0</v>
      </c>
      <c r="AD68" s="92">
        <f t="shared" ref="AD68:AD104" si="55">U68*K68</f>
        <v>0</v>
      </c>
      <c r="AE68" s="93">
        <v>0</v>
      </c>
      <c r="AF68" s="234">
        <f t="shared" ref="AF68:AF104" si="56">IF(AA68=0,0,AE68/AA68)</f>
        <v>0</v>
      </c>
      <c r="AG68" s="93">
        <v>0</v>
      </c>
      <c r="AH68" s="93"/>
      <c r="AI68" s="93"/>
      <c r="AJ68" s="93"/>
      <c r="AK68" s="93"/>
      <c r="AL68" s="122">
        <f t="shared" si="47"/>
        <v>0</v>
      </c>
      <c r="AM68" s="93">
        <v>0</v>
      </c>
      <c r="AN68" s="94">
        <f t="shared" ref="AN68:AN104" si="57">X68*5.71%</f>
        <v>0</v>
      </c>
      <c r="AO68" s="95">
        <f t="shared" ref="AO68:AO104" si="58">AA68-AD68-AE68-AG68-AH68-AI68-AJ68-AK68-AL68-AN68-AM68</f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4</v>
      </c>
      <c r="F69" s="93">
        <v>2</v>
      </c>
      <c r="G69" s="93">
        <v>1</v>
      </c>
      <c r="H69" s="93" t="s">
        <v>100</v>
      </c>
      <c r="I69" s="93">
        <v>0</v>
      </c>
      <c r="J69" s="93">
        <v>1</v>
      </c>
      <c r="K69" s="93">
        <v>140.63999999999999</v>
      </c>
      <c r="L69" s="92">
        <f t="shared" si="42"/>
        <v>562.55999999999995</v>
      </c>
      <c r="M69" s="89">
        <v>12</v>
      </c>
      <c r="N69" s="89">
        <v>2</v>
      </c>
      <c r="O69" s="89">
        <v>998</v>
      </c>
      <c r="P69" s="89">
        <v>0</v>
      </c>
      <c r="Q69" s="233">
        <f t="shared" si="48"/>
        <v>0.2857142857142857</v>
      </c>
      <c r="R69" s="92">
        <f t="shared" si="49"/>
        <v>0.14285714285714285</v>
      </c>
      <c r="S69" s="93">
        <v>1</v>
      </c>
      <c r="T69" s="93">
        <v>0</v>
      </c>
      <c r="U69" s="92">
        <f t="shared" si="50"/>
        <v>1</v>
      </c>
      <c r="V69" s="93">
        <v>669</v>
      </c>
      <c r="W69" s="93">
        <v>0</v>
      </c>
      <c r="X69" s="92">
        <f t="shared" si="51"/>
        <v>669</v>
      </c>
      <c r="Y69" s="93">
        <v>998</v>
      </c>
      <c r="Z69" s="93">
        <v>0</v>
      </c>
      <c r="AA69" s="92">
        <f t="shared" si="52"/>
        <v>998</v>
      </c>
      <c r="AB69" s="92">
        <f t="shared" si="53"/>
        <v>0</v>
      </c>
      <c r="AC69" s="234">
        <f t="shared" si="54"/>
        <v>4.1370670675901965E-4</v>
      </c>
      <c r="AD69" s="92">
        <f t="shared" si="55"/>
        <v>140.63999999999999</v>
      </c>
      <c r="AE69" s="93">
        <v>378.55999999999995</v>
      </c>
      <c r="AF69" s="234">
        <f t="shared" si="56"/>
        <v>0.37931863727454906</v>
      </c>
      <c r="AG69" s="93">
        <v>234.41</v>
      </c>
      <c r="AH69" s="93"/>
      <c r="AI69" s="93"/>
      <c r="AJ69" s="93"/>
      <c r="AK69" s="93"/>
      <c r="AL69" s="122">
        <f t="shared" si="47"/>
        <v>0</v>
      </c>
      <c r="AM69" s="93">
        <v>0</v>
      </c>
      <c r="AN69" s="94">
        <f t="shared" si="57"/>
        <v>38.1999</v>
      </c>
      <c r="AO69" s="95">
        <f t="shared" si="58"/>
        <v>206.19010000000009</v>
      </c>
      <c r="AP69" s="96"/>
      <c r="AQ69" s="97">
        <f t="shared" si="7"/>
        <v>998</v>
      </c>
      <c r="AR69" s="98">
        <f t="shared" si="35"/>
        <v>140.63999999999999</v>
      </c>
      <c r="AS69" s="98">
        <f t="shared" si="9"/>
        <v>378.55999999999995</v>
      </c>
      <c r="AT69" s="98">
        <f t="shared" si="10"/>
        <v>234.41</v>
      </c>
      <c r="AU69" s="98">
        <f t="shared" si="25"/>
        <v>0</v>
      </c>
      <c r="AV69" s="98">
        <f t="array" ref="AV69">_xlfn.IFS(U69=0,AO69,U69&lt;0,AO69/-U69,U69&gt;0,AO69/U69)</f>
        <v>206.19010000000009</v>
      </c>
      <c r="AW69" s="234">
        <f t="shared" si="44"/>
        <v>0.20660330661322654</v>
      </c>
      <c r="AX69" s="234">
        <f t="shared" si="45"/>
        <v>1.4660843287827083</v>
      </c>
      <c r="AY69" s="99"/>
      <c r="AZ69" s="94">
        <f t="shared" si="13"/>
        <v>824.76040000000035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2"/>
        <v>117.24</v>
      </c>
      <c r="M70" s="89">
        <v>999</v>
      </c>
      <c r="N70" s="89">
        <v>0</v>
      </c>
      <c r="O70" s="89">
        <v>0</v>
      </c>
      <c r="P70" s="89">
        <v>0</v>
      </c>
      <c r="Q70" s="233">
        <f t="shared" si="48"/>
        <v>0</v>
      </c>
      <c r="R70" s="92">
        <f t="shared" si="49"/>
        <v>0</v>
      </c>
      <c r="S70" s="93">
        <v>0</v>
      </c>
      <c r="T70" s="93">
        <v>0</v>
      </c>
      <c r="U70" s="92">
        <f t="shared" si="50"/>
        <v>0</v>
      </c>
      <c r="V70" s="93">
        <v>0</v>
      </c>
      <c r="W70" s="93">
        <v>0</v>
      </c>
      <c r="X70" s="92">
        <f t="shared" si="51"/>
        <v>0</v>
      </c>
      <c r="Y70" s="93">
        <v>0</v>
      </c>
      <c r="Z70" s="93">
        <v>0</v>
      </c>
      <c r="AA70" s="92">
        <f t="shared" si="52"/>
        <v>0</v>
      </c>
      <c r="AB70" s="92">
        <f t="shared" si="53"/>
        <v>0</v>
      </c>
      <c r="AC70" s="234">
        <f t="shared" si="54"/>
        <v>0</v>
      </c>
      <c r="AD70" s="92">
        <f t="shared" si="55"/>
        <v>0</v>
      </c>
      <c r="AE70" s="93">
        <v>0</v>
      </c>
      <c r="AF70" s="234">
        <f t="shared" si="56"/>
        <v>0</v>
      </c>
      <c r="AG70" s="93">
        <v>0</v>
      </c>
      <c r="AH70" s="93"/>
      <c r="AI70" s="93"/>
      <c r="AJ70" s="93"/>
      <c r="AK70" s="93"/>
      <c r="AL70" s="122">
        <f t="shared" si="47"/>
        <v>0</v>
      </c>
      <c r="AM70" s="93">
        <v>0</v>
      </c>
      <c r="AN70" s="94">
        <f t="shared" si="57"/>
        <v>0</v>
      </c>
      <c r="AO70" s="95">
        <f t="shared" si="58"/>
        <v>0</v>
      </c>
      <c r="AP70" s="96"/>
      <c r="AQ70" s="97">
        <f t="shared" si="7"/>
        <v>0</v>
      </c>
      <c r="AR70" s="98">
        <f t="shared" si="35"/>
        <v>117.24</v>
      </c>
      <c r="AS70" s="98">
        <f t="shared" si="9"/>
        <v>0</v>
      </c>
      <c r="AT70" s="98">
        <f t="shared" si="10"/>
        <v>0</v>
      </c>
      <c r="AU70" s="98">
        <f t="shared" si="25"/>
        <v>0</v>
      </c>
      <c r="AV70" s="98">
        <f t="array" ref="AV70">_xlfn.IFS(U70=0,AO70,U70&lt;0,AO70/-U70,U70&gt;0,AO70/U70)</f>
        <v>0</v>
      </c>
      <c r="AW70" s="234">
        <f t="shared" si="44"/>
        <v>0</v>
      </c>
      <c r="AX70" s="234">
        <f t="shared" si="45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27</v>
      </c>
      <c r="F71" s="93">
        <v>1</v>
      </c>
      <c r="G71" s="93">
        <v>1</v>
      </c>
      <c r="H71" s="93">
        <v>1</v>
      </c>
      <c r="I71" s="93">
        <v>0</v>
      </c>
      <c r="J71" s="93">
        <v>24</v>
      </c>
      <c r="K71" s="93">
        <v>123.09</v>
      </c>
      <c r="L71" s="92">
        <f t="shared" si="42"/>
        <v>3323.4300000000003</v>
      </c>
      <c r="M71" s="89">
        <v>999</v>
      </c>
      <c r="N71" s="89">
        <v>1</v>
      </c>
      <c r="O71" s="89">
        <v>702</v>
      </c>
      <c r="P71" s="89">
        <v>0</v>
      </c>
      <c r="Q71" s="233">
        <f t="shared" si="48"/>
        <v>0.14285714285714285</v>
      </c>
      <c r="R71" s="92">
        <f t="shared" si="49"/>
        <v>0</v>
      </c>
      <c r="S71" s="93">
        <v>0</v>
      </c>
      <c r="T71" s="93">
        <v>0</v>
      </c>
      <c r="U71" s="92">
        <f t="shared" si="50"/>
        <v>0</v>
      </c>
      <c r="V71" s="93">
        <v>0</v>
      </c>
      <c r="W71" s="93">
        <v>0</v>
      </c>
      <c r="X71" s="92">
        <f t="shared" si="51"/>
        <v>0</v>
      </c>
      <c r="Y71" s="93">
        <v>0</v>
      </c>
      <c r="Z71" s="93">
        <v>0</v>
      </c>
      <c r="AA71" s="92">
        <f t="shared" si="52"/>
        <v>0</v>
      </c>
      <c r="AB71" s="92">
        <f t="shared" si="53"/>
        <v>0</v>
      </c>
      <c r="AC71" s="234">
        <f t="shared" si="54"/>
        <v>0</v>
      </c>
      <c r="AD71" s="92">
        <f t="shared" si="55"/>
        <v>0</v>
      </c>
      <c r="AE71" s="93">
        <v>0</v>
      </c>
      <c r="AF71" s="234">
        <f t="shared" si="56"/>
        <v>0</v>
      </c>
      <c r="AG71" s="93">
        <v>87.509999999999991</v>
      </c>
      <c r="AH71" s="93"/>
      <c r="AI71" s="93"/>
      <c r="AJ71" s="93"/>
      <c r="AK71" s="93"/>
      <c r="AL71" s="122">
        <f t="shared" si="47"/>
        <v>1.0379139328444615</v>
      </c>
      <c r="AM71" s="93">
        <v>0</v>
      </c>
      <c r="AN71" s="94">
        <f t="shared" si="57"/>
        <v>0</v>
      </c>
      <c r="AO71" s="95">
        <f t="shared" si="58"/>
        <v>-88.547913932844452</v>
      </c>
      <c r="AP71" s="96"/>
      <c r="AQ71" s="97">
        <f t="shared" si="7"/>
        <v>0</v>
      </c>
      <c r="AR71" s="98">
        <f t="shared" si="35"/>
        <v>123.09</v>
      </c>
      <c r="AS71" s="98">
        <f t="shared" si="9"/>
        <v>0</v>
      </c>
      <c r="AT71" s="98">
        <f t="shared" si="10"/>
        <v>87.509999999999991</v>
      </c>
      <c r="AU71" s="98">
        <f t="shared" ref="AU71:AU104" si="59">IF(S71=0,0,(AH71+AI71+AJ71)/S71)</f>
        <v>0</v>
      </c>
      <c r="AV71" s="98">
        <f t="array" ref="AV71">_xlfn.IFS(U71=0,AO71,U71&lt;0,AO71/-U71,U71&gt;0,AO71/U71)</f>
        <v>-88.547913932844452</v>
      </c>
      <c r="AW71" s="234">
        <f t="shared" si="44"/>
        <v>0</v>
      </c>
      <c r="AX71" s="234">
        <f t="shared" si="45"/>
        <v>-0.71937536707160976</v>
      </c>
      <c r="AY71" s="99"/>
      <c r="AZ71" s="94">
        <f t="shared" si="13"/>
        <v>-2390.7936761868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2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8"/>
        <v>0</v>
      </c>
      <c r="R72" s="92">
        <f t="shared" si="49"/>
        <v>0</v>
      </c>
      <c r="S72" s="93">
        <v>0</v>
      </c>
      <c r="T72" s="93">
        <v>0</v>
      </c>
      <c r="U72" s="92">
        <f t="shared" si="50"/>
        <v>0</v>
      </c>
      <c r="V72" s="93">
        <v>0</v>
      </c>
      <c r="W72" s="93">
        <v>0</v>
      </c>
      <c r="X72" s="92">
        <f t="shared" si="51"/>
        <v>0</v>
      </c>
      <c r="Y72" s="93">
        <v>0</v>
      </c>
      <c r="Z72" s="93">
        <v>0</v>
      </c>
      <c r="AA72" s="92">
        <f t="shared" si="52"/>
        <v>0</v>
      </c>
      <c r="AB72" s="92">
        <f t="shared" si="53"/>
        <v>0</v>
      </c>
      <c r="AC72" s="234">
        <f t="shared" si="54"/>
        <v>0</v>
      </c>
      <c r="AD72" s="92">
        <f t="shared" si="55"/>
        <v>0</v>
      </c>
      <c r="AE72" s="93">
        <v>0</v>
      </c>
      <c r="AF72" s="234">
        <f t="shared" si="56"/>
        <v>0</v>
      </c>
      <c r="AG72" s="93">
        <v>0</v>
      </c>
      <c r="AH72" s="93"/>
      <c r="AI72" s="93"/>
      <c r="AJ72" s="93"/>
      <c r="AK72" s="93"/>
      <c r="AL72" s="122">
        <f t="shared" si="47"/>
        <v>0</v>
      </c>
      <c r="AM72" s="93">
        <v>0</v>
      </c>
      <c r="AN72" s="94">
        <f t="shared" si="57"/>
        <v>0</v>
      </c>
      <c r="AO72" s="95">
        <f t="shared" si="58"/>
        <v>0</v>
      </c>
      <c r="AP72" s="96"/>
      <c r="AQ72" s="97">
        <f t="shared" si="7"/>
        <v>0</v>
      </c>
      <c r="AR72" s="98">
        <f t="shared" si="35"/>
        <v>123.09</v>
      </c>
      <c r="AS72" s="98">
        <f t="shared" si="9"/>
        <v>0</v>
      </c>
      <c r="AT72" s="98">
        <f t="shared" si="10"/>
        <v>0</v>
      </c>
      <c r="AU72" s="98">
        <f t="shared" si="59"/>
        <v>0</v>
      </c>
      <c r="AV72" s="98">
        <f t="array" ref="AV72">_xlfn.IFS(U72=0,AO72,U72&lt;0,AO72/-U72,U72&gt;0,AO72/U72)</f>
        <v>0</v>
      </c>
      <c r="AW72" s="234">
        <f t="shared" si="44"/>
        <v>0</v>
      </c>
      <c r="AX72" s="234">
        <f t="shared" si="45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2</v>
      </c>
      <c r="F73" s="93" t="s">
        <v>100</v>
      </c>
      <c r="G73" s="93" t="s">
        <v>100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2"/>
        <v>246.18</v>
      </c>
      <c r="M73" s="89">
        <v>999</v>
      </c>
      <c r="N73" s="89">
        <v>2</v>
      </c>
      <c r="O73" s="89">
        <v>807</v>
      </c>
      <c r="P73" s="89">
        <v>50</v>
      </c>
      <c r="Q73" s="233">
        <f t="shared" si="48"/>
        <v>0.2857142857142857</v>
      </c>
      <c r="R73" s="92">
        <f t="shared" si="49"/>
        <v>0.14285714285714285</v>
      </c>
      <c r="S73" s="93">
        <v>1</v>
      </c>
      <c r="T73" s="93">
        <v>0</v>
      </c>
      <c r="U73" s="92">
        <f t="shared" si="50"/>
        <v>1</v>
      </c>
      <c r="V73" s="93">
        <v>611</v>
      </c>
      <c r="W73" s="93">
        <v>0</v>
      </c>
      <c r="X73" s="92">
        <f t="shared" si="51"/>
        <v>611</v>
      </c>
      <c r="Y73" s="93">
        <v>807</v>
      </c>
      <c r="Z73" s="93">
        <v>0</v>
      </c>
      <c r="AA73" s="92">
        <f t="shared" si="52"/>
        <v>807</v>
      </c>
      <c r="AB73" s="92">
        <f t="shared" si="53"/>
        <v>807</v>
      </c>
      <c r="AC73" s="234">
        <f t="shared" si="54"/>
        <v>3.3453037310073031E-4</v>
      </c>
      <c r="AD73" s="92">
        <f t="shared" si="55"/>
        <v>123.09</v>
      </c>
      <c r="AE73" s="93">
        <v>314.27999999999997</v>
      </c>
      <c r="AF73" s="234">
        <f t="shared" si="56"/>
        <v>0.38944237918215607</v>
      </c>
      <c r="AG73" s="93">
        <v>127.94999999999999</v>
      </c>
      <c r="AH73" s="93"/>
      <c r="AI73" s="93"/>
      <c r="AJ73" s="93"/>
      <c r="AK73" s="93"/>
      <c r="AL73" s="122">
        <f t="shared" si="47"/>
        <v>1.0379139328444615</v>
      </c>
      <c r="AM73" s="93">
        <v>0</v>
      </c>
      <c r="AN73" s="94">
        <f t="shared" si="57"/>
        <v>34.888100000000001</v>
      </c>
      <c r="AO73" s="95">
        <f t="shared" si="58"/>
        <v>205.75398606715552</v>
      </c>
      <c r="AP73" s="96"/>
      <c r="AQ73" s="97">
        <f t="shared" si="7"/>
        <v>807</v>
      </c>
      <c r="AR73" s="98">
        <f t="shared" si="35"/>
        <v>123.09</v>
      </c>
      <c r="AS73" s="98">
        <f t="shared" si="9"/>
        <v>314.27999999999997</v>
      </c>
      <c r="AT73" s="98">
        <f t="shared" si="10"/>
        <v>127.94999999999999</v>
      </c>
      <c r="AU73" s="98">
        <f t="shared" si="59"/>
        <v>0</v>
      </c>
      <c r="AV73" s="98">
        <f t="array" ref="AV73">_xlfn.IFS(U73=0,AO73,U73&lt;0,AO73/-U73,U73&gt;0,AO73/U73)</f>
        <v>205.75398606715552</v>
      </c>
      <c r="AW73" s="234">
        <f t="shared" si="44"/>
        <v>0.25496156885645044</v>
      </c>
      <c r="AX73" s="234">
        <f t="shared" si="45"/>
        <v>1.6715735321078522</v>
      </c>
      <c r="AY73" s="99"/>
      <c r="AZ73" s="94">
        <f t="shared" si="13"/>
        <v>411.50797213431105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8"/>
        <v>0</v>
      </c>
      <c r="R74" s="92">
        <f t="shared" si="49"/>
        <v>0</v>
      </c>
      <c r="S74" s="93">
        <v>0</v>
      </c>
      <c r="T74" s="93">
        <v>0</v>
      </c>
      <c r="U74" s="92">
        <f t="shared" si="50"/>
        <v>0</v>
      </c>
      <c r="V74" s="93">
        <v>0</v>
      </c>
      <c r="W74" s="93">
        <v>0</v>
      </c>
      <c r="X74" s="92">
        <f t="shared" si="51"/>
        <v>0</v>
      </c>
      <c r="Y74" s="93">
        <v>0</v>
      </c>
      <c r="Z74" s="93">
        <v>0</v>
      </c>
      <c r="AA74" s="92">
        <f t="shared" si="52"/>
        <v>0</v>
      </c>
      <c r="AB74" s="92">
        <f t="shared" si="53"/>
        <v>0</v>
      </c>
      <c r="AC74" s="234">
        <f t="shared" si="54"/>
        <v>0</v>
      </c>
      <c r="AD74" s="92">
        <f t="shared" si="55"/>
        <v>0</v>
      </c>
      <c r="AE74" s="93">
        <v>0</v>
      </c>
      <c r="AF74" s="234">
        <f t="shared" si="56"/>
        <v>0</v>
      </c>
      <c r="AG74" s="93">
        <v>0</v>
      </c>
      <c r="AH74" s="93"/>
      <c r="AI74" s="93"/>
      <c r="AJ74" s="93"/>
      <c r="AK74" s="93"/>
      <c r="AL74" s="122">
        <f t="shared" si="47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9</v>
      </c>
      <c r="F75" s="93">
        <v>7</v>
      </c>
      <c r="G75" s="93">
        <v>1</v>
      </c>
      <c r="H75" s="93" t="s">
        <v>100</v>
      </c>
      <c r="I75" s="93">
        <v>0</v>
      </c>
      <c r="J75" s="93">
        <v>1</v>
      </c>
      <c r="K75" s="93">
        <v>134.79</v>
      </c>
      <c r="L75" s="92">
        <f t="shared" si="42"/>
        <v>1213.1099999999999</v>
      </c>
      <c r="M75" s="89">
        <v>21</v>
      </c>
      <c r="N75" s="89">
        <v>4</v>
      </c>
      <c r="O75" s="89">
        <v>763</v>
      </c>
      <c r="P75" s="89">
        <v>0</v>
      </c>
      <c r="Q75" s="233">
        <f t="shared" si="48"/>
        <v>0.5714285714285714</v>
      </c>
      <c r="R75" s="92">
        <f t="shared" si="49"/>
        <v>0.14285714285714285</v>
      </c>
      <c r="S75" s="93">
        <v>1</v>
      </c>
      <c r="T75" s="93">
        <v>0</v>
      </c>
      <c r="U75" s="92">
        <f t="shared" si="50"/>
        <v>1</v>
      </c>
      <c r="V75" s="93">
        <v>569.44000000000005</v>
      </c>
      <c r="W75" s="93">
        <v>0</v>
      </c>
      <c r="X75" s="92">
        <f t="shared" si="51"/>
        <v>569.44000000000005</v>
      </c>
      <c r="Y75" s="93">
        <v>763.01</v>
      </c>
      <c r="Z75" s="93">
        <v>0</v>
      </c>
      <c r="AA75" s="92">
        <f t="shared" si="52"/>
        <v>763.01</v>
      </c>
      <c r="AB75" s="92">
        <f t="shared" si="53"/>
        <v>0</v>
      </c>
      <c r="AC75" s="234">
        <f t="shared" si="54"/>
        <v>3.1629494421262481E-4</v>
      </c>
      <c r="AD75" s="92">
        <f t="shared" si="55"/>
        <v>134.79</v>
      </c>
      <c r="AE75" s="93">
        <v>282.05</v>
      </c>
      <c r="AF75" s="234">
        <f t="shared" si="56"/>
        <v>0.36965439509311804</v>
      </c>
      <c r="AG75" s="93">
        <v>361.5</v>
      </c>
      <c r="AH75" s="93"/>
      <c r="AI75" s="93"/>
      <c r="AJ75" s="93"/>
      <c r="AK75" s="93"/>
      <c r="AL75" s="122">
        <f t="shared" si="47"/>
        <v>0</v>
      </c>
      <c r="AM75" s="93">
        <v>0</v>
      </c>
      <c r="AN75" s="94">
        <f t="shared" si="57"/>
        <v>32.515024000000004</v>
      </c>
      <c r="AO75" s="95">
        <f t="shared" si="58"/>
        <v>-47.845023999999988</v>
      </c>
      <c r="AP75" s="96"/>
      <c r="AQ75" s="97">
        <f t="shared" si="7"/>
        <v>763.01</v>
      </c>
      <c r="AR75" s="98">
        <f t="shared" si="35"/>
        <v>134.79</v>
      </c>
      <c r="AS75" s="98">
        <f t="shared" si="9"/>
        <v>282.05</v>
      </c>
      <c r="AT75" s="98">
        <f t="shared" si="10"/>
        <v>361.5</v>
      </c>
      <c r="AU75" s="98">
        <f t="shared" si="59"/>
        <v>0</v>
      </c>
      <c r="AV75" s="98">
        <f t="array" ref="AV75">_xlfn.IFS(U75=0,AO75,U75&lt;0,AO75/-U75,U75&gt;0,AO75/U75)</f>
        <v>-47.845023999999988</v>
      </c>
      <c r="AW75" s="234">
        <f t="shared" si="44"/>
        <v>-6.2705631643097712E-2</v>
      </c>
      <c r="AX75" s="234">
        <f t="shared" si="45"/>
        <v>-0.35495974478818898</v>
      </c>
      <c r="AY75" s="99"/>
      <c r="AZ75" s="94">
        <f t="shared" si="13"/>
        <v>-430.60521599999987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39</v>
      </c>
      <c r="F76" s="93">
        <v>5</v>
      </c>
      <c r="G76" s="93">
        <v>2</v>
      </c>
      <c r="H76" s="93">
        <v>31</v>
      </c>
      <c r="I76" s="93">
        <v>0</v>
      </c>
      <c r="J76" s="93">
        <v>1</v>
      </c>
      <c r="K76" s="93">
        <v>123.09</v>
      </c>
      <c r="L76" s="92">
        <f t="shared" si="42"/>
        <v>4800.51</v>
      </c>
      <c r="M76" s="89">
        <v>999</v>
      </c>
      <c r="N76" s="89">
        <v>7</v>
      </c>
      <c r="O76" s="89">
        <v>1050</v>
      </c>
      <c r="P76" s="89">
        <v>0</v>
      </c>
      <c r="Q76" s="233">
        <f t="shared" si="48"/>
        <v>1</v>
      </c>
      <c r="R76" s="92">
        <f t="shared" si="49"/>
        <v>0</v>
      </c>
      <c r="S76" s="93">
        <v>0</v>
      </c>
      <c r="T76" s="93">
        <v>0</v>
      </c>
      <c r="U76" s="92">
        <f t="shared" si="50"/>
        <v>0</v>
      </c>
      <c r="V76" s="93">
        <v>0</v>
      </c>
      <c r="W76" s="93">
        <v>0</v>
      </c>
      <c r="X76" s="92">
        <f t="shared" si="51"/>
        <v>0</v>
      </c>
      <c r="Y76" s="93">
        <v>0</v>
      </c>
      <c r="Z76" s="93">
        <v>0</v>
      </c>
      <c r="AA76" s="92">
        <f t="shared" si="52"/>
        <v>0</v>
      </c>
      <c r="AB76" s="92">
        <f t="shared" si="53"/>
        <v>0</v>
      </c>
      <c r="AC76" s="234">
        <f t="shared" si="54"/>
        <v>0</v>
      </c>
      <c r="AD76" s="92">
        <f t="shared" si="55"/>
        <v>0</v>
      </c>
      <c r="AE76" s="93">
        <v>0</v>
      </c>
      <c r="AF76" s="234">
        <f t="shared" si="56"/>
        <v>0</v>
      </c>
      <c r="AG76" s="93">
        <v>390.60000000000008</v>
      </c>
      <c r="AH76" s="93"/>
      <c r="AI76" s="93">
        <v>1000</v>
      </c>
      <c r="AJ76" s="93"/>
      <c r="AK76" s="93"/>
      <c r="AL76" s="122">
        <f t="shared" si="47"/>
        <v>32.175331918178308</v>
      </c>
      <c r="AM76" s="93">
        <v>0</v>
      </c>
      <c r="AN76" s="94">
        <f t="shared" si="57"/>
        <v>0</v>
      </c>
      <c r="AO76" s="95">
        <f t="shared" si="58"/>
        <v>-1422.7753319181784</v>
      </c>
      <c r="AP76" s="96"/>
      <c r="AQ76" s="97">
        <f t="shared" si="7"/>
        <v>0</v>
      </c>
      <c r="AR76" s="98">
        <f t="shared" si="35"/>
        <v>123.09</v>
      </c>
      <c r="AS76" s="98">
        <f t="shared" si="9"/>
        <v>0</v>
      </c>
      <c r="AT76" s="98">
        <f t="shared" si="10"/>
        <v>390.60000000000008</v>
      </c>
      <c r="AU76" s="98">
        <f t="shared" si="59"/>
        <v>0</v>
      </c>
      <c r="AV76" s="98">
        <f t="array" ref="AV76">_xlfn.IFS(U76=0,AO76,U76&lt;0,AO76/-U76,U76&gt;0,AO76/U76)</f>
        <v>-1422.7753319181784</v>
      </c>
      <c r="AW76" s="234">
        <f t="shared" si="44"/>
        <v>0</v>
      </c>
      <c r="AX76" s="234">
        <f t="shared" si="45"/>
        <v>-11.558821447056449</v>
      </c>
      <c r="AY76" s="99"/>
      <c r="AZ76" s="94">
        <f t="shared" si="13"/>
        <v>-55488.237944808956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29</v>
      </c>
      <c r="F77" s="93">
        <v>4</v>
      </c>
      <c r="G77" s="93" t="s">
        <v>100</v>
      </c>
      <c r="H77" s="93">
        <v>21</v>
      </c>
      <c r="I77" s="93">
        <v>0</v>
      </c>
      <c r="J77" s="93">
        <v>4</v>
      </c>
      <c r="K77" s="93">
        <v>123.09</v>
      </c>
      <c r="L77" s="92">
        <f t="shared" si="42"/>
        <v>3569.61</v>
      </c>
      <c r="M77" s="89">
        <v>132</v>
      </c>
      <c r="N77" s="89">
        <v>6</v>
      </c>
      <c r="O77" s="89">
        <v>1150</v>
      </c>
      <c r="P77" s="89">
        <v>50</v>
      </c>
      <c r="Q77" s="233">
        <f t="shared" si="48"/>
        <v>0.8571428571428571</v>
      </c>
      <c r="R77" s="92">
        <f t="shared" si="49"/>
        <v>0.14285714285714285</v>
      </c>
      <c r="S77" s="93">
        <v>1</v>
      </c>
      <c r="T77" s="93">
        <v>0</v>
      </c>
      <c r="U77" s="92">
        <f t="shared" si="50"/>
        <v>1</v>
      </c>
      <c r="V77" s="93">
        <v>714</v>
      </c>
      <c r="W77" s="93">
        <v>0</v>
      </c>
      <c r="X77" s="92">
        <f t="shared" si="51"/>
        <v>714</v>
      </c>
      <c r="Y77" s="93">
        <v>1126</v>
      </c>
      <c r="Z77" s="93">
        <v>0</v>
      </c>
      <c r="AA77" s="92">
        <f t="shared" si="52"/>
        <v>1126</v>
      </c>
      <c r="AB77" s="92">
        <f t="shared" si="53"/>
        <v>3450</v>
      </c>
      <c r="AC77" s="234">
        <f t="shared" si="54"/>
        <v>4.6676728638342298E-4</v>
      </c>
      <c r="AD77" s="92">
        <f t="shared" si="55"/>
        <v>123.09</v>
      </c>
      <c r="AE77" s="93">
        <v>425.48</v>
      </c>
      <c r="AF77" s="234">
        <f t="shared" si="56"/>
        <v>0.37786856127886326</v>
      </c>
      <c r="AG77" s="93">
        <v>465.61</v>
      </c>
      <c r="AH77" s="93"/>
      <c r="AI77" s="93">
        <f>944+8</f>
        <v>952</v>
      </c>
      <c r="AJ77" s="93"/>
      <c r="AK77" s="93"/>
      <c r="AL77" s="122">
        <f t="shared" si="47"/>
        <v>21.796192589733696</v>
      </c>
      <c r="AM77" s="93">
        <v>0</v>
      </c>
      <c r="AN77" s="94">
        <f t="shared" si="57"/>
        <v>40.769399999999997</v>
      </c>
      <c r="AO77" s="95">
        <f t="shared" si="58"/>
        <v>-902.74559258973375</v>
      </c>
      <c r="AP77" s="96"/>
      <c r="AQ77" s="97">
        <f t="shared" si="7"/>
        <v>1126</v>
      </c>
      <c r="AR77" s="98">
        <f t="shared" si="35"/>
        <v>123.09</v>
      </c>
      <c r="AS77" s="98">
        <f t="shared" si="9"/>
        <v>425.48</v>
      </c>
      <c r="AT77" s="98">
        <f t="shared" si="10"/>
        <v>465.61</v>
      </c>
      <c r="AU77" s="98">
        <f t="shared" si="59"/>
        <v>952</v>
      </c>
      <c r="AV77" s="98">
        <f t="array" ref="AV77">_xlfn.IFS(U77=0,AO77,U77&lt;0,AO77/-U77,U77&gt;0,AO77/U77)</f>
        <v>-902.74559258973375</v>
      </c>
      <c r="AW77" s="234">
        <f t="shared" si="44"/>
        <v>-0.80172787974221471</v>
      </c>
      <c r="AX77" s="234">
        <f t="shared" si="45"/>
        <v>-7.3340286992422916</v>
      </c>
      <c r="AY77" s="99"/>
      <c r="AZ77" s="94">
        <f t="shared" si="13"/>
        <v>-26179.622185102278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16</v>
      </c>
      <c r="F78" s="93">
        <v>4</v>
      </c>
      <c r="G78" s="93">
        <v>4</v>
      </c>
      <c r="H78" s="93">
        <v>7</v>
      </c>
      <c r="I78" s="93">
        <v>0</v>
      </c>
      <c r="J78" s="93">
        <v>1</v>
      </c>
      <c r="K78" s="93">
        <v>123.09</v>
      </c>
      <c r="L78" s="92">
        <f t="shared" si="42"/>
        <v>1969.44</v>
      </c>
      <c r="M78" s="89">
        <v>53</v>
      </c>
      <c r="N78" s="89">
        <v>5</v>
      </c>
      <c r="O78" s="89">
        <v>1000</v>
      </c>
      <c r="P78" s="89">
        <v>0</v>
      </c>
      <c r="Q78" s="233">
        <f t="shared" si="48"/>
        <v>0.7142857142857143</v>
      </c>
      <c r="R78" s="92">
        <f t="shared" si="49"/>
        <v>0.14285714285714285</v>
      </c>
      <c r="S78" s="93">
        <v>1</v>
      </c>
      <c r="T78" s="93">
        <v>0</v>
      </c>
      <c r="U78" s="92">
        <f t="shared" si="50"/>
        <v>1</v>
      </c>
      <c r="V78" s="93">
        <v>611</v>
      </c>
      <c r="W78" s="93">
        <v>0</v>
      </c>
      <c r="X78" s="92">
        <f t="shared" si="51"/>
        <v>611</v>
      </c>
      <c r="Y78" s="93">
        <v>979</v>
      </c>
      <c r="Z78" s="93">
        <v>0</v>
      </c>
      <c r="AA78" s="92">
        <f t="shared" si="52"/>
        <v>979</v>
      </c>
      <c r="AB78" s="92">
        <f t="shared" si="53"/>
        <v>0</v>
      </c>
      <c r="AC78" s="234">
        <f t="shared" si="54"/>
        <v>4.058305269710223E-4</v>
      </c>
      <c r="AD78" s="92">
        <f t="shared" si="55"/>
        <v>123.09</v>
      </c>
      <c r="AE78" s="93">
        <v>369.53</v>
      </c>
      <c r="AF78" s="234">
        <f t="shared" si="56"/>
        <v>0.37745658835546475</v>
      </c>
      <c r="AG78" s="93">
        <v>305.10000000000002</v>
      </c>
      <c r="AH78" s="93"/>
      <c r="AI78" s="93"/>
      <c r="AJ78" s="93"/>
      <c r="AK78" s="93"/>
      <c r="AL78" s="122">
        <f t="shared" si="47"/>
        <v>7.2653975299112314</v>
      </c>
      <c r="AM78" s="93">
        <v>0</v>
      </c>
      <c r="AN78" s="94">
        <f t="shared" si="57"/>
        <v>34.888100000000001</v>
      </c>
      <c r="AO78" s="95">
        <f t="shared" si="58"/>
        <v>139.12650247008872</v>
      </c>
      <c r="AP78" s="96"/>
      <c r="AQ78" s="97">
        <f t="shared" si="7"/>
        <v>979</v>
      </c>
      <c r="AR78" s="98">
        <f t="shared" si="35"/>
        <v>123.09</v>
      </c>
      <c r="AS78" s="98">
        <f t="shared" si="9"/>
        <v>369.53</v>
      </c>
      <c r="AT78" s="98">
        <f t="shared" si="10"/>
        <v>305.10000000000002</v>
      </c>
      <c r="AU78" s="98">
        <f t="shared" si="59"/>
        <v>0</v>
      </c>
      <c r="AV78" s="98">
        <f t="array" ref="AV78">_xlfn.IFS(U78=0,AO78,U78&lt;0,AO78/-U78,U78&gt;0,AO78/U78)</f>
        <v>139.12650247008872</v>
      </c>
      <c r="AW78" s="234">
        <f t="shared" si="44"/>
        <v>0.14211082989794557</v>
      </c>
      <c r="AX78" s="234">
        <f t="shared" si="45"/>
        <v>1.1302827400283428</v>
      </c>
      <c r="AY78" s="99"/>
      <c r="AZ78" s="94">
        <f t="shared" si="13"/>
        <v>2226.0240395214196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35</v>
      </c>
      <c r="F79" s="93">
        <v>13</v>
      </c>
      <c r="G79" s="93">
        <v>8</v>
      </c>
      <c r="H79" s="93">
        <v>13</v>
      </c>
      <c r="I79" s="93">
        <v>0</v>
      </c>
      <c r="J79" s="93">
        <v>1</v>
      </c>
      <c r="K79" s="93">
        <v>164.04</v>
      </c>
      <c r="L79" s="92">
        <f t="shared" si="42"/>
        <v>5741.4</v>
      </c>
      <c r="M79" s="89">
        <v>42</v>
      </c>
      <c r="N79" s="89">
        <v>21</v>
      </c>
      <c r="O79" s="89">
        <v>1300</v>
      </c>
      <c r="P79" s="89">
        <v>44</v>
      </c>
      <c r="Q79" s="233">
        <f t="shared" si="48"/>
        <v>3</v>
      </c>
      <c r="R79" s="92">
        <f t="shared" si="49"/>
        <v>0.7142857142857143</v>
      </c>
      <c r="S79" s="93">
        <v>5</v>
      </c>
      <c r="T79" s="93">
        <v>0</v>
      </c>
      <c r="U79" s="92">
        <f t="shared" si="50"/>
        <v>5</v>
      </c>
      <c r="V79" s="93">
        <v>4529</v>
      </c>
      <c r="W79" s="93">
        <v>0</v>
      </c>
      <c r="X79" s="92">
        <f t="shared" si="51"/>
        <v>4529</v>
      </c>
      <c r="Y79" s="93">
        <v>6443</v>
      </c>
      <c r="Z79" s="93">
        <v>0</v>
      </c>
      <c r="AA79" s="92">
        <f t="shared" si="52"/>
        <v>6443</v>
      </c>
      <c r="AB79" s="92">
        <f t="shared" si="53"/>
        <v>12012</v>
      </c>
      <c r="AC79" s="234">
        <f t="shared" si="54"/>
        <v>2.6708540196877391E-3</v>
      </c>
      <c r="AD79" s="92">
        <f t="shared" si="55"/>
        <v>820.19999999999993</v>
      </c>
      <c r="AE79" s="93">
        <v>2393.17</v>
      </c>
      <c r="AF79" s="234">
        <f t="shared" si="56"/>
        <v>0.37143721868694707</v>
      </c>
      <c r="AG79" s="93">
        <v>1066.6900000000003</v>
      </c>
      <c r="AH79" s="93"/>
      <c r="AI79" s="93">
        <v>830</v>
      </c>
      <c r="AJ79" s="93"/>
      <c r="AK79" s="93"/>
      <c r="AL79" s="122">
        <f t="shared" si="47"/>
        <v>13.492881126978</v>
      </c>
      <c r="AM79" s="93">
        <v>0</v>
      </c>
      <c r="AN79" s="94">
        <f t="shared" si="57"/>
        <v>258.60589999999996</v>
      </c>
      <c r="AO79" s="95">
        <f t="shared" si="58"/>
        <v>1060.8412188730215</v>
      </c>
      <c r="AP79" s="96"/>
      <c r="AQ79" s="97">
        <f t="shared" si="7"/>
        <v>1288.5999999999999</v>
      </c>
      <c r="AR79" s="98">
        <f t="shared" si="35"/>
        <v>164.04</v>
      </c>
      <c r="AS79" s="98">
        <f t="shared" si="9"/>
        <v>478.63400000000001</v>
      </c>
      <c r="AT79" s="98">
        <f t="shared" si="10"/>
        <v>213.33800000000005</v>
      </c>
      <c r="AU79" s="98">
        <f t="shared" si="59"/>
        <v>166</v>
      </c>
      <c r="AV79" s="98">
        <f t="array" ref="AV79">_xlfn.IFS(U79=0,AO79,U79&lt;0,AO79/-U79,U79&gt;0,AO79/U79)</f>
        <v>212.16824377460429</v>
      </c>
      <c r="AW79" s="234">
        <f t="shared" si="44"/>
        <v>0.16465019693823088</v>
      </c>
      <c r="AX79" s="234">
        <f t="shared" si="45"/>
        <v>1.293393341713023</v>
      </c>
      <c r="AY79" s="99"/>
      <c r="AZ79" s="94">
        <f t="shared" si="13"/>
        <v>7425.8885321111502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25</v>
      </c>
      <c r="F80" s="93">
        <v>4</v>
      </c>
      <c r="G80" s="93">
        <v>3</v>
      </c>
      <c r="H80" s="93">
        <v>17</v>
      </c>
      <c r="I80" s="93">
        <v>0</v>
      </c>
      <c r="J80" s="93">
        <v>1</v>
      </c>
      <c r="K80" s="93">
        <v>164.04</v>
      </c>
      <c r="L80" s="92">
        <f t="shared" si="42"/>
        <v>4101</v>
      </c>
      <c r="M80" s="89">
        <v>112</v>
      </c>
      <c r="N80" s="89">
        <v>5</v>
      </c>
      <c r="O80" s="89">
        <v>987</v>
      </c>
      <c r="P80" s="89">
        <v>0</v>
      </c>
      <c r="Q80" s="233">
        <f t="shared" si="48"/>
        <v>0.7142857142857143</v>
      </c>
      <c r="R80" s="92">
        <f t="shared" si="49"/>
        <v>0</v>
      </c>
      <c r="S80" s="93">
        <v>0</v>
      </c>
      <c r="T80" s="93">
        <v>0</v>
      </c>
      <c r="U80" s="92">
        <f t="shared" si="50"/>
        <v>0</v>
      </c>
      <c r="V80" s="93">
        <v>0</v>
      </c>
      <c r="W80" s="93">
        <v>0</v>
      </c>
      <c r="X80" s="92">
        <f t="shared" si="51"/>
        <v>0</v>
      </c>
      <c r="Y80" s="93">
        <v>0</v>
      </c>
      <c r="Z80" s="93">
        <v>0</v>
      </c>
      <c r="AA80" s="92">
        <f t="shared" si="52"/>
        <v>0</v>
      </c>
      <c r="AB80" s="92">
        <f t="shared" si="53"/>
        <v>0</v>
      </c>
      <c r="AC80" s="234">
        <f t="shared" si="54"/>
        <v>0</v>
      </c>
      <c r="AD80" s="92">
        <f t="shared" si="55"/>
        <v>0</v>
      </c>
      <c r="AE80" s="93">
        <v>0</v>
      </c>
      <c r="AF80" s="234">
        <f t="shared" si="56"/>
        <v>0</v>
      </c>
      <c r="AG80" s="93">
        <v>732.65999999999985</v>
      </c>
      <c r="AH80" s="93">
        <f>129+162</f>
        <v>291</v>
      </c>
      <c r="AI80" s="93">
        <f>32+39</f>
        <v>71</v>
      </c>
      <c r="AJ80" s="93"/>
      <c r="AK80" s="93"/>
      <c r="AL80" s="122">
        <f t="shared" si="47"/>
        <v>17.644536858355849</v>
      </c>
      <c r="AM80" s="93">
        <v>0</v>
      </c>
      <c r="AN80" s="94">
        <f t="shared" si="57"/>
        <v>0</v>
      </c>
      <c r="AO80" s="95">
        <f t="shared" si="58"/>
        <v>-1112.3045368583557</v>
      </c>
      <c r="AP80" s="96"/>
      <c r="AQ80" s="97">
        <f t="shared" si="7"/>
        <v>0</v>
      </c>
      <c r="AR80" s="98">
        <f t="shared" si="35"/>
        <v>164.04</v>
      </c>
      <c r="AS80" s="98">
        <f t="shared" si="9"/>
        <v>0</v>
      </c>
      <c r="AT80" s="98">
        <f t="shared" si="10"/>
        <v>732.65999999999985</v>
      </c>
      <c r="AU80" s="98">
        <f t="shared" si="59"/>
        <v>0</v>
      </c>
      <c r="AV80" s="98">
        <f t="array" ref="AV80">_xlfn.IFS(U80=0,AO80,U80&lt;0,AO80/-U80,U80&gt;0,AO80/U80)</f>
        <v>-1112.3045368583557</v>
      </c>
      <c r="AW80" s="234">
        <f t="shared" si="44"/>
        <v>0</v>
      </c>
      <c r="AX80" s="234">
        <f t="shared" si="45"/>
        <v>-6.7806909098900014</v>
      </c>
      <c r="AY80" s="99"/>
      <c r="AZ80" s="94">
        <f t="shared" si="13"/>
        <v>-27807.613421458893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14</v>
      </c>
      <c r="F81" s="93" t="s">
        <v>100</v>
      </c>
      <c r="G81" s="93" t="s">
        <v>100</v>
      </c>
      <c r="H81" s="93">
        <v>13</v>
      </c>
      <c r="I81" s="93">
        <v>0</v>
      </c>
      <c r="J81" s="93">
        <v>1</v>
      </c>
      <c r="K81" s="93">
        <v>128.94</v>
      </c>
      <c r="L81" s="92">
        <f t="shared" si="42"/>
        <v>1805.1599999999999</v>
      </c>
      <c r="M81" s="89">
        <v>999</v>
      </c>
      <c r="N81" s="89">
        <v>0</v>
      </c>
      <c r="O81" s="89">
        <v>0</v>
      </c>
      <c r="P81" s="89">
        <v>0</v>
      </c>
      <c r="Q81" s="233">
        <f t="shared" si="48"/>
        <v>0</v>
      </c>
      <c r="R81" s="92">
        <f t="shared" si="49"/>
        <v>0</v>
      </c>
      <c r="S81" s="93">
        <v>0</v>
      </c>
      <c r="T81" s="93">
        <v>0</v>
      </c>
      <c r="U81" s="92">
        <f t="shared" si="50"/>
        <v>0</v>
      </c>
      <c r="V81" s="93">
        <v>0</v>
      </c>
      <c r="W81" s="93">
        <v>0</v>
      </c>
      <c r="X81" s="92">
        <f t="shared" si="51"/>
        <v>0</v>
      </c>
      <c r="Y81" s="93">
        <v>0</v>
      </c>
      <c r="Z81" s="93">
        <v>0</v>
      </c>
      <c r="AA81" s="92">
        <f t="shared" si="52"/>
        <v>0</v>
      </c>
      <c r="AB81" s="92">
        <f t="shared" si="53"/>
        <v>0</v>
      </c>
      <c r="AC81" s="234">
        <f t="shared" si="54"/>
        <v>0</v>
      </c>
      <c r="AD81" s="92">
        <f t="shared" si="55"/>
        <v>0</v>
      </c>
      <c r="AE81" s="93">
        <v>0</v>
      </c>
      <c r="AF81" s="234">
        <f t="shared" si="56"/>
        <v>0</v>
      </c>
      <c r="AG81" s="93">
        <v>0</v>
      </c>
      <c r="AH81" s="93"/>
      <c r="AI81" s="93"/>
      <c r="AJ81" s="93"/>
      <c r="AK81" s="93"/>
      <c r="AL81" s="122">
        <f t="shared" si="47"/>
        <v>13.492881126978</v>
      </c>
      <c r="AM81" s="93">
        <v>0</v>
      </c>
      <c r="AN81" s="94">
        <f t="shared" si="57"/>
        <v>0</v>
      </c>
      <c r="AO81" s="95">
        <f t="shared" si="58"/>
        <v>-13.492881126978</v>
      </c>
      <c r="AP81" s="96"/>
      <c r="AQ81" s="97">
        <f t="shared" si="7"/>
        <v>0</v>
      </c>
      <c r="AR81" s="98">
        <f t="shared" si="35"/>
        <v>128.94</v>
      </c>
      <c r="AS81" s="98">
        <f t="shared" si="9"/>
        <v>0</v>
      </c>
      <c r="AT81" s="98">
        <f t="shared" si="10"/>
        <v>0</v>
      </c>
      <c r="AU81" s="98">
        <f t="shared" si="59"/>
        <v>0</v>
      </c>
      <c r="AV81" s="98">
        <f t="array" ref="AV81">_xlfn.IFS(U81=0,AO81,U81&lt;0,AO81/-U81,U81&gt;0,AO81/U81)</f>
        <v>-13.492881126978</v>
      </c>
      <c r="AW81" s="234">
        <f t="shared" si="44"/>
        <v>0</v>
      </c>
      <c r="AX81" s="234">
        <f t="shared" si="45"/>
        <v>-0.10464464965858539</v>
      </c>
      <c r="AY81" s="99"/>
      <c r="AZ81" s="94">
        <f t="shared" si="13"/>
        <v>-188.90033577769199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43</v>
      </c>
      <c r="F82" s="93">
        <v>4</v>
      </c>
      <c r="G82" s="93" t="s">
        <v>100</v>
      </c>
      <c r="H82" s="93">
        <v>38</v>
      </c>
      <c r="I82" s="93">
        <v>0</v>
      </c>
      <c r="J82" s="93">
        <v>1</v>
      </c>
      <c r="K82" s="93">
        <v>128.94</v>
      </c>
      <c r="L82" s="92">
        <f t="shared" si="42"/>
        <v>5544.42</v>
      </c>
      <c r="M82" s="89">
        <v>314</v>
      </c>
      <c r="N82" s="89">
        <v>4</v>
      </c>
      <c r="O82" s="89">
        <v>1174</v>
      </c>
      <c r="P82" s="89">
        <v>0</v>
      </c>
      <c r="Q82" s="233">
        <f t="shared" si="48"/>
        <v>0.5714285714285714</v>
      </c>
      <c r="R82" s="92">
        <f t="shared" si="49"/>
        <v>0</v>
      </c>
      <c r="S82" s="93">
        <v>0</v>
      </c>
      <c r="T82" s="93">
        <v>0</v>
      </c>
      <c r="U82" s="92">
        <f t="shared" si="50"/>
        <v>0</v>
      </c>
      <c r="V82" s="93">
        <v>0</v>
      </c>
      <c r="W82" s="93">
        <v>0</v>
      </c>
      <c r="X82" s="92">
        <f t="shared" si="51"/>
        <v>0</v>
      </c>
      <c r="Y82" s="93">
        <v>0</v>
      </c>
      <c r="Z82" s="93">
        <v>0</v>
      </c>
      <c r="AA82" s="92">
        <f t="shared" si="52"/>
        <v>0</v>
      </c>
      <c r="AB82" s="92">
        <f t="shared" si="53"/>
        <v>0</v>
      </c>
      <c r="AC82" s="234">
        <f t="shared" si="54"/>
        <v>0</v>
      </c>
      <c r="AD82" s="92">
        <f t="shared" si="55"/>
        <v>0</v>
      </c>
      <c r="AE82" s="93">
        <v>0</v>
      </c>
      <c r="AF82" s="234">
        <f t="shared" si="56"/>
        <v>0</v>
      </c>
      <c r="AG82" s="93">
        <v>1.64</v>
      </c>
      <c r="AH82" s="93"/>
      <c r="AI82" s="93">
        <v>298</v>
      </c>
      <c r="AJ82" s="93">
        <v>1980</v>
      </c>
      <c r="AK82" s="93"/>
      <c r="AL82" s="122">
        <f t="shared" si="47"/>
        <v>39.440729448089542</v>
      </c>
      <c r="AM82" s="93">
        <v>0</v>
      </c>
      <c r="AN82" s="94">
        <f t="shared" si="57"/>
        <v>0</v>
      </c>
      <c r="AO82" s="95">
        <f t="shared" si="58"/>
        <v>-2319.0807294480892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1.64</v>
      </c>
      <c r="AU82" s="98">
        <f t="shared" si="59"/>
        <v>0</v>
      </c>
      <c r="AV82" s="98">
        <f t="array" ref="AV82">_xlfn.IFS(U82=0,AO82,U82&lt;0,AO82/-U82,U82&gt;0,AO82/U82)</f>
        <v>-2319.0807294480892</v>
      </c>
      <c r="AW82" s="234">
        <f t="shared" si="44"/>
        <v>0</v>
      </c>
      <c r="AX82" s="234">
        <f t="shared" si="45"/>
        <v>-17.985735454072355</v>
      </c>
      <c r="AY82" s="99"/>
      <c r="AZ82" s="94">
        <f t="shared" si="13"/>
        <v>-99720.47136626784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43</v>
      </c>
      <c r="F83" s="93">
        <v>1</v>
      </c>
      <c r="G83" s="93" t="s">
        <v>100</v>
      </c>
      <c r="H83" s="93">
        <v>41</v>
      </c>
      <c r="I83" s="93">
        <v>0</v>
      </c>
      <c r="J83" s="93">
        <v>1</v>
      </c>
      <c r="K83" s="93">
        <v>123.09</v>
      </c>
      <c r="L83" s="92">
        <f t="shared" si="42"/>
        <v>5292.87</v>
      </c>
      <c r="M83" s="89">
        <v>999</v>
      </c>
      <c r="N83" s="89">
        <v>0</v>
      </c>
      <c r="O83" s="89">
        <v>0</v>
      </c>
      <c r="P83" s="89">
        <v>0</v>
      </c>
      <c r="Q83" s="233">
        <f t="shared" si="48"/>
        <v>0</v>
      </c>
      <c r="R83" s="92">
        <f t="shared" si="49"/>
        <v>0</v>
      </c>
      <c r="S83" s="93">
        <v>0</v>
      </c>
      <c r="T83" s="93">
        <v>0</v>
      </c>
      <c r="U83" s="92">
        <f t="shared" si="50"/>
        <v>0</v>
      </c>
      <c r="V83" s="93">
        <v>0</v>
      </c>
      <c r="W83" s="93">
        <v>0</v>
      </c>
      <c r="X83" s="92">
        <f t="shared" si="51"/>
        <v>0</v>
      </c>
      <c r="Y83" s="93">
        <v>0</v>
      </c>
      <c r="Z83" s="93">
        <v>0</v>
      </c>
      <c r="AA83" s="92">
        <f t="shared" si="52"/>
        <v>0</v>
      </c>
      <c r="AB83" s="92">
        <f t="shared" si="53"/>
        <v>0</v>
      </c>
      <c r="AC83" s="234">
        <f t="shared" si="54"/>
        <v>0</v>
      </c>
      <c r="AD83" s="92">
        <f t="shared" si="55"/>
        <v>0</v>
      </c>
      <c r="AE83" s="93">
        <v>0</v>
      </c>
      <c r="AF83" s="234">
        <f t="shared" si="56"/>
        <v>0</v>
      </c>
      <c r="AG83" s="93">
        <v>90.84</v>
      </c>
      <c r="AH83" s="93"/>
      <c r="AI83" s="93"/>
      <c r="AJ83" s="93"/>
      <c r="AK83" s="93"/>
      <c r="AL83" s="122">
        <f t="shared" si="47"/>
        <v>42.554471246622931</v>
      </c>
      <c r="AM83" s="93">
        <v>0</v>
      </c>
      <c r="AN83" s="94">
        <f t="shared" si="57"/>
        <v>0</v>
      </c>
      <c r="AO83" s="95">
        <f t="shared" si="58"/>
        <v>-133.39447124662294</v>
      </c>
      <c r="AP83" s="96"/>
      <c r="AQ83" s="97">
        <f t="shared" si="7"/>
        <v>0</v>
      </c>
      <c r="AR83" s="98">
        <f t="shared" si="35"/>
        <v>123.09</v>
      </c>
      <c r="AS83" s="98">
        <f t="shared" si="9"/>
        <v>0</v>
      </c>
      <c r="AT83" s="98">
        <f t="shared" si="10"/>
        <v>90.84</v>
      </c>
      <c r="AU83" s="98">
        <f t="shared" si="59"/>
        <v>0</v>
      </c>
      <c r="AV83" s="98">
        <f t="array" ref="AV83">_xlfn.IFS(U83=0,AO83,U83&lt;0,AO83/-U83,U83&gt;0,AO83/U83)</f>
        <v>-133.39447124662294</v>
      </c>
      <c r="AW83" s="234">
        <f t="shared" si="44"/>
        <v>0</v>
      </c>
      <c r="AX83" s="234">
        <f t="shared" si="45"/>
        <v>-1.0837149341670562</v>
      </c>
      <c r="AY83" s="99"/>
      <c r="AZ83" s="94">
        <f t="shared" si="13"/>
        <v>-5735.9622636047861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41</v>
      </c>
      <c r="F84" s="93">
        <v>1</v>
      </c>
      <c r="G84" s="93" t="s">
        <v>100</v>
      </c>
      <c r="H84" s="93">
        <v>39</v>
      </c>
      <c r="I84" s="93">
        <v>0</v>
      </c>
      <c r="J84" s="93">
        <v>1</v>
      </c>
      <c r="K84" s="93">
        <v>146.49</v>
      </c>
      <c r="L84" s="92">
        <f t="shared" si="42"/>
        <v>6006.09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48"/>
        <v>0.14285714285714285</v>
      </c>
      <c r="R84" s="92">
        <f t="shared" si="49"/>
        <v>0.14285714285714285</v>
      </c>
      <c r="S84" s="93">
        <v>1</v>
      </c>
      <c r="T84" s="93">
        <v>0</v>
      </c>
      <c r="U84" s="92">
        <f t="shared" si="50"/>
        <v>1</v>
      </c>
      <c r="V84" s="93">
        <v>908</v>
      </c>
      <c r="W84" s="93">
        <v>0</v>
      </c>
      <c r="X84" s="92">
        <f t="shared" si="51"/>
        <v>908</v>
      </c>
      <c r="Y84" s="93">
        <v>1438</v>
      </c>
      <c r="Z84" s="93">
        <v>0</v>
      </c>
      <c r="AA84" s="92">
        <f t="shared" si="52"/>
        <v>1438</v>
      </c>
      <c r="AB84" s="92">
        <f t="shared" si="53"/>
        <v>0</v>
      </c>
      <c r="AC84" s="234">
        <f t="shared" si="54"/>
        <v>5.9610244921790608E-4</v>
      </c>
      <c r="AD84" s="92">
        <f t="shared" si="55"/>
        <v>146.49</v>
      </c>
      <c r="AE84" s="93">
        <v>543.22</v>
      </c>
      <c r="AF84" s="234">
        <f t="shared" si="56"/>
        <v>0.37776077885952714</v>
      </c>
      <c r="AG84" s="93">
        <v>363.44</v>
      </c>
      <c r="AH84" s="93"/>
      <c r="AI84" s="93">
        <v>208</v>
      </c>
      <c r="AJ84" s="93"/>
      <c r="AK84" s="93"/>
      <c r="AL84" s="122">
        <f t="shared" si="47"/>
        <v>40.478643380934002</v>
      </c>
      <c r="AM84" s="93">
        <v>0</v>
      </c>
      <c r="AN84" s="94">
        <f t="shared" si="57"/>
        <v>51.846799999999995</v>
      </c>
      <c r="AO84" s="95">
        <f t="shared" si="58"/>
        <v>84.524556619065976</v>
      </c>
      <c r="AP84" s="96"/>
      <c r="AQ84" s="97">
        <f t="shared" si="7"/>
        <v>1438</v>
      </c>
      <c r="AR84" s="98">
        <f t="shared" si="35"/>
        <v>146.49</v>
      </c>
      <c r="AS84" s="98">
        <f t="shared" si="9"/>
        <v>543.22</v>
      </c>
      <c r="AT84" s="98">
        <f t="shared" si="10"/>
        <v>363.44</v>
      </c>
      <c r="AU84" s="98">
        <f t="shared" si="59"/>
        <v>208</v>
      </c>
      <c r="AV84" s="98">
        <f t="array" ref="AV84">_xlfn.IFS(U84=0,AO84,U84&lt;0,AO84/-U84,U84&gt;0,AO84/U84)</f>
        <v>84.524556619065976</v>
      </c>
      <c r="AW84" s="234">
        <f t="shared" si="44"/>
        <v>5.8779246605748244E-2</v>
      </c>
      <c r="AX84" s="234">
        <f t="shared" si="45"/>
        <v>0.576998816431606</v>
      </c>
      <c r="AY84" s="99"/>
      <c r="AZ84" s="94">
        <f t="shared" si="13"/>
        <v>3465.5068213817049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36</v>
      </c>
      <c r="F85" s="93">
        <v>2</v>
      </c>
      <c r="G85" s="93" t="s">
        <v>100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2"/>
        <v>3715.2000000000003</v>
      </c>
      <c r="M85" s="89">
        <v>999</v>
      </c>
      <c r="N85" s="89">
        <v>1</v>
      </c>
      <c r="O85" s="89">
        <v>900</v>
      </c>
      <c r="P85" s="89">
        <v>0</v>
      </c>
      <c r="Q85" s="233">
        <f t="shared" si="48"/>
        <v>0.14285714285714285</v>
      </c>
      <c r="R85" s="92">
        <f t="shared" si="49"/>
        <v>0</v>
      </c>
      <c r="S85" s="93">
        <v>0</v>
      </c>
      <c r="T85" s="93">
        <v>0</v>
      </c>
      <c r="U85" s="92">
        <f t="shared" si="50"/>
        <v>0</v>
      </c>
      <c r="V85" s="93">
        <v>0</v>
      </c>
      <c r="W85" s="93">
        <v>0</v>
      </c>
      <c r="X85" s="92">
        <f t="shared" si="51"/>
        <v>0</v>
      </c>
      <c r="Y85" s="93">
        <v>0</v>
      </c>
      <c r="Z85" s="93">
        <v>0</v>
      </c>
      <c r="AA85" s="92">
        <f t="shared" si="52"/>
        <v>0</v>
      </c>
      <c r="AB85" s="92">
        <f t="shared" si="53"/>
        <v>0</v>
      </c>
      <c r="AC85" s="234">
        <f t="shared" si="54"/>
        <v>0</v>
      </c>
      <c r="AD85" s="92">
        <f t="shared" si="55"/>
        <v>0</v>
      </c>
      <c r="AE85" s="93">
        <v>0</v>
      </c>
      <c r="AF85" s="234">
        <f t="shared" si="56"/>
        <v>0</v>
      </c>
      <c r="AG85" s="93">
        <v>190.61999999999998</v>
      </c>
      <c r="AH85" s="93"/>
      <c r="AI85" s="93">
        <v>466</v>
      </c>
      <c r="AJ85" s="93">
        <v>410</v>
      </c>
      <c r="AK85" s="93"/>
      <c r="AL85" s="122">
        <f t="shared" si="47"/>
        <v>34.251159783867237</v>
      </c>
      <c r="AM85" s="93">
        <v>0</v>
      </c>
      <c r="AN85" s="94">
        <f t="shared" si="57"/>
        <v>0</v>
      </c>
      <c r="AO85" s="95">
        <f t="shared" si="58"/>
        <v>-1100.8711597838671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190.61999999999998</v>
      </c>
      <c r="AU85" s="98">
        <f t="shared" si="59"/>
        <v>0</v>
      </c>
      <c r="AV85" s="98">
        <f t="array" ref="AV85">_xlfn.IFS(U85=0,AO85,U85&lt;0,AO85/-U85,U85&gt;0,AO85/U85)</f>
        <v>-1100.8711597838671</v>
      </c>
      <c r="AW85" s="234">
        <f t="shared" si="44"/>
        <v>0</v>
      </c>
      <c r="AX85" s="234">
        <f t="shared" si="45"/>
        <v>-10.667356199456076</v>
      </c>
      <c r="AY85" s="99"/>
      <c r="AZ85" s="94">
        <f t="shared" si="13"/>
        <v>-39631.361752219214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41</v>
      </c>
      <c r="F86" s="93">
        <v>13</v>
      </c>
      <c r="G86" s="93" t="s">
        <v>100</v>
      </c>
      <c r="H86" s="93">
        <v>27</v>
      </c>
      <c r="I86" s="93">
        <v>0</v>
      </c>
      <c r="J86" s="93">
        <v>1</v>
      </c>
      <c r="K86" s="93">
        <v>150</v>
      </c>
      <c r="L86" s="92">
        <f t="shared" si="42"/>
        <v>6150</v>
      </c>
      <c r="M86" s="89">
        <v>283</v>
      </c>
      <c r="N86" s="89">
        <v>15</v>
      </c>
      <c r="O86" s="89">
        <v>1064</v>
      </c>
      <c r="P86" s="89">
        <v>100</v>
      </c>
      <c r="Q86" s="233">
        <f t="shared" si="48"/>
        <v>2.1428571428571428</v>
      </c>
      <c r="R86" s="92">
        <f t="shared" si="49"/>
        <v>0.2857142857142857</v>
      </c>
      <c r="S86" s="93">
        <v>2</v>
      </c>
      <c r="T86" s="93">
        <v>0</v>
      </c>
      <c r="U86" s="92">
        <f t="shared" si="50"/>
        <v>2</v>
      </c>
      <c r="V86" s="93">
        <v>1504</v>
      </c>
      <c r="W86" s="93">
        <v>0</v>
      </c>
      <c r="X86" s="92">
        <f t="shared" si="51"/>
        <v>1504</v>
      </c>
      <c r="Y86" s="93">
        <v>2128</v>
      </c>
      <c r="Z86" s="93">
        <v>0</v>
      </c>
      <c r="AA86" s="92">
        <f t="shared" si="52"/>
        <v>2128</v>
      </c>
      <c r="AB86" s="92">
        <f t="shared" si="53"/>
        <v>15960</v>
      </c>
      <c r="AC86" s="234">
        <f t="shared" si="54"/>
        <v>8.8213213625570528E-4</v>
      </c>
      <c r="AD86" s="92">
        <f t="shared" si="55"/>
        <v>300</v>
      </c>
      <c r="AE86" s="93">
        <v>816.82999999999993</v>
      </c>
      <c r="AF86" s="234">
        <f t="shared" si="56"/>
        <v>0.38384868421052626</v>
      </c>
      <c r="AG86" s="93">
        <v>103.04</v>
      </c>
      <c r="AH86" s="93"/>
      <c r="AI86" s="93">
        <v>70</v>
      </c>
      <c r="AJ86" s="93"/>
      <c r="AK86" s="93"/>
      <c r="AL86" s="122">
        <f t="shared" si="47"/>
        <v>28.023676186800465</v>
      </c>
      <c r="AM86" s="93">
        <v>0</v>
      </c>
      <c r="AN86" s="94">
        <f t="shared" si="57"/>
        <v>85.878399999999999</v>
      </c>
      <c r="AO86" s="95">
        <f t="shared" si="58"/>
        <v>724.2279238131996</v>
      </c>
      <c r="AP86" s="96"/>
      <c r="AQ86" s="97">
        <f t="shared" si="7"/>
        <v>1064</v>
      </c>
      <c r="AR86" s="98">
        <f t="shared" si="35"/>
        <v>150</v>
      </c>
      <c r="AS86" s="98">
        <f t="shared" si="9"/>
        <v>408.41499999999996</v>
      </c>
      <c r="AT86" s="98">
        <f t="shared" si="10"/>
        <v>51.52</v>
      </c>
      <c r="AU86" s="98">
        <f t="shared" si="59"/>
        <v>35</v>
      </c>
      <c r="AV86" s="98">
        <f t="array" ref="AV86">_xlfn.IFS(U86=0,AO86,U86&lt;0,AO86/-U86,U86&gt;0,AO86/U86)</f>
        <v>362.1139619065998</v>
      </c>
      <c r="AW86" s="234">
        <f t="shared" si="44"/>
        <v>0.34033267096484943</v>
      </c>
      <c r="AX86" s="234">
        <f t="shared" si="45"/>
        <v>2.4140930793773321</v>
      </c>
      <c r="AY86" s="99"/>
      <c r="AZ86" s="94">
        <f t="shared" si="13"/>
        <v>14846.672438170592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7</v>
      </c>
      <c r="F87" s="93">
        <v>4</v>
      </c>
      <c r="G87" s="93">
        <v>2</v>
      </c>
      <c r="H87" s="93" t="s">
        <v>100</v>
      </c>
      <c r="I87" s="93">
        <v>0</v>
      </c>
      <c r="J87" s="93">
        <v>1</v>
      </c>
      <c r="K87" s="93">
        <v>150</v>
      </c>
      <c r="L87" s="92">
        <f t="shared" si="42"/>
        <v>1050</v>
      </c>
      <c r="M87" s="89">
        <v>999</v>
      </c>
      <c r="N87" s="89">
        <v>7</v>
      </c>
      <c r="O87" s="89">
        <v>1056</v>
      </c>
      <c r="P87" s="89">
        <v>75</v>
      </c>
      <c r="Q87" s="233">
        <f t="shared" si="48"/>
        <v>1</v>
      </c>
      <c r="R87" s="92">
        <f t="shared" si="49"/>
        <v>0.5714285714285714</v>
      </c>
      <c r="S87" s="93">
        <v>4</v>
      </c>
      <c r="T87" s="93">
        <v>0</v>
      </c>
      <c r="U87" s="92">
        <f t="shared" si="50"/>
        <v>4</v>
      </c>
      <c r="V87" s="93">
        <v>2914</v>
      </c>
      <c r="W87" s="93">
        <v>0</v>
      </c>
      <c r="X87" s="92">
        <f t="shared" si="51"/>
        <v>2914</v>
      </c>
      <c r="Y87" s="93">
        <v>4224</v>
      </c>
      <c r="Z87" s="93">
        <v>0</v>
      </c>
      <c r="AA87" s="92">
        <f t="shared" si="52"/>
        <v>4224</v>
      </c>
      <c r="AB87" s="92">
        <f t="shared" si="53"/>
        <v>5544</v>
      </c>
      <c r="AC87" s="234">
        <f t="shared" si="54"/>
        <v>1.7509991276053096E-3</v>
      </c>
      <c r="AD87" s="92">
        <f t="shared" si="55"/>
        <v>600</v>
      </c>
      <c r="AE87" s="93">
        <v>1611.94</v>
      </c>
      <c r="AF87" s="234">
        <f t="shared" si="56"/>
        <v>0.38161458333333337</v>
      </c>
      <c r="AG87" s="93">
        <v>455.26</v>
      </c>
      <c r="AH87" s="93"/>
      <c r="AI87" s="93"/>
      <c r="AJ87" s="93"/>
      <c r="AK87" s="93"/>
      <c r="AL87" s="122">
        <f t="shared" si="47"/>
        <v>0</v>
      </c>
      <c r="AM87" s="93">
        <v>0</v>
      </c>
      <c r="AN87" s="94">
        <f t="shared" si="57"/>
        <v>166.38939999999999</v>
      </c>
      <c r="AO87" s="95">
        <f t="shared" si="58"/>
        <v>1390.4105999999999</v>
      </c>
      <c r="AP87" s="96"/>
      <c r="AQ87" s="97">
        <f t="shared" si="7"/>
        <v>1056</v>
      </c>
      <c r="AR87" s="98">
        <f t="shared" si="35"/>
        <v>150</v>
      </c>
      <c r="AS87" s="98">
        <f t="shared" si="9"/>
        <v>402.98500000000001</v>
      </c>
      <c r="AT87" s="98">
        <f t="shared" si="10"/>
        <v>113.815</v>
      </c>
      <c r="AU87" s="98">
        <f t="shared" si="59"/>
        <v>0</v>
      </c>
      <c r="AV87" s="98">
        <f t="array" ref="AV87">_xlfn.IFS(U87=0,AO87,U87&lt;0,AO87/-U87,U87&gt;0,AO87/U87)</f>
        <v>347.60264999999998</v>
      </c>
      <c r="AW87" s="234">
        <f t="shared" si="44"/>
        <v>0.32916917613636359</v>
      </c>
      <c r="AX87" s="234">
        <f t="shared" si="45"/>
        <v>2.3173509999999999</v>
      </c>
      <c r="AY87" s="99"/>
      <c r="AZ87" s="94">
        <f t="shared" si="13"/>
        <v>2433.2185500000001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3</v>
      </c>
      <c r="F88" s="93" t="s">
        <v>100</v>
      </c>
      <c r="G88" s="93">
        <v>2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2"/>
        <v>450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8"/>
        <v>0.14285714285714285</v>
      </c>
      <c r="R88" s="92">
        <f t="shared" si="49"/>
        <v>0</v>
      </c>
      <c r="S88" s="93">
        <v>0</v>
      </c>
      <c r="T88" s="93">
        <v>0</v>
      </c>
      <c r="U88" s="92">
        <f t="shared" si="50"/>
        <v>0</v>
      </c>
      <c r="V88" s="93">
        <v>0</v>
      </c>
      <c r="W88" s="93">
        <v>0</v>
      </c>
      <c r="X88" s="92">
        <f t="shared" si="51"/>
        <v>0</v>
      </c>
      <c r="Y88" s="93">
        <v>0</v>
      </c>
      <c r="Z88" s="93">
        <v>0</v>
      </c>
      <c r="AA88" s="92">
        <f t="shared" si="52"/>
        <v>0</v>
      </c>
      <c r="AB88" s="92">
        <f t="shared" si="53"/>
        <v>0</v>
      </c>
      <c r="AC88" s="234">
        <f t="shared" si="54"/>
        <v>0</v>
      </c>
      <c r="AD88" s="92">
        <f t="shared" si="55"/>
        <v>0</v>
      </c>
      <c r="AE88" s="93">
        <v>0</v>
      </c>
      <c r="AF88" s="234">
        <f t="shared" si="56"/>
        <v>0</v>
      </c>
      <c r="AG88" s="93">
        <v>259.75</v>
      </c>
      <c r="AH88" s="93"/>
      <c r="AI88" s="93"/>
      <c r="AJ88" s="93"/>
      <c r="AK88" s="93"/>
      <c r="AL88" s="122">
        <f t="shared" si="47"/>
        <v>0</v>
      </c>
      <c r="AM88" s="93">
        <v>0</v>
      </c>
      <c r="AN88" s="94">
        <f t="shared" si="57"/>
        <v>0</v>
      </c>
      <c r="AO88" s="95">
        <f t="shared" si="58"/>
        <v>-259.75</v>
      </c>
      <c r="AP88" s="96"/>
      <c r="AQ88" s="97">
        <f t="shared" si="7"/>
        <v>0</v>
      </c>
      <c r="AR88" s="98">
        <f t="shared" si="35"/>
        <v>150</v>
      </c>
      <c r="AS88" s="98">
        <f t="shared" si="9"/>
        <v>0</v>
      </c>
      <c r="AT88" s="98">
        <f t="shared" si="10"/>
        <v>259.75</v>
      </c>
      <c r="AU88" s="98">
        <f t="shared" si="59"/>
        <v>0</v>
      </c>
      <c r="AV88" s="98">
        <f t="array" ref="AV88">_xlfn.IFS(U88=0,AO88,U88&lt;0,AO88/-U88,U88&gt;0,AO88/U88)</f>
        <v>-259.75</v>
      </c>
      <c r="AW88" s="234">
        <f t="shared" si="44"/>
        <v>0</v>
      </c>
      <c r="AX88" s="234">
        <f t="shared" si="45"/>
        <v>-1.7316666666666667</v>
      </c>
      <c r="AY88" s="99"/>
      <c r="AZ88" s="94">
        <f t="shared" si="13"/>
        <v>-779.25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7</v>
      </c>
      <c r="F89" s="93">
        <v>3</v>
      </c>
      <c r="G89" s="93">
        <v>2</v>
      </c>
      <c r="H89" s="93">
        <v>1</v>
      </c>
      <c r="I89" s="93">
        <v>0</v>
      </c>
      <c r="J89" s="93">
        <v>1</v>
      </c>
      <c r="K89" s="93">
        <v>169.89</v>
      </c>
      <c r="L89" s="92">
        <f t="shared" si="42"/>
        <v>1189.23</v>
      </c>
      <c r="M89" s="89">
        <v>53</v>
      </c>
      <c r="N89" s="89">
        <v>4</v>
      </c>
      <c r="O89" s="89">
        <v>1504</v>
      </c>
      <c r="P89" s="89">
        <v>0</v>
      </c>
      <c r="Q89" s="233">
        <f t="shared" si="48"/>
        <v>0.5714285714285714</v>
      </c>
      <c r="R89" s="92">
        <f t="shared" si="49"/>
        <v>0.14285714285714285</v>
      </c>
      <c r="S89" s="93">
        <v>1</v>
      </c>
      <c r="T89" s="93">
        <v>0</v>
      </c>
      <c r="U89" s="92">
        <f t="shared" si="50"/>
        <v>1</v>
      </c>
      <c r="V89" s="93">
        <v>1016</v>
      </c>
      <c r="W89" s="93">
        <v>0</v>
      </c>
      <c r="X89" s="92">
        <f t="shared" si="51"/>
        <v>1016</v>
      </c>
      <c r="Y89" s="93">
        <v>1504</v>
      </c>
      <c r="Z89" s="93">
        <v>0</v>
      </c>
      <c r="AA89" s="92">
        <f t="shared" si="52"/>
        <v>1504</v>
      </c>
      <c r="AB89" s="92">
        <f t="shared" si="53"/>
        <v>0</v>
      </c>
      <c r="AC89" s="234">
        <f t="shared" si="54"/>
        <v>6.2346181058673907E-4</v>
      </c>
      <c r="AD89" s="92">
        <f t="shared" si="55"/>
        <v>169.89</v>
      </c>
      <c r="AE89" s="93">
        <v>570.79999999999995</v>
      </c>
      <c r="AF89" s="234">
        <f t="shared" si="56"/>
        <v>0.37952127659574464</v>
      </c>
      <c r="AG89" s="93">
        <v>128.45999999999998</v>
      </c>
      <c r="AH89" s="93"/>
      <c r="AI89" s="93"/>
      <c r="AJ89" s="93"/>
      <c r="AK89" s="93"/>
      <c r="AL89" s="122">
        <f t="shared" si="47"/>
        <v>1.0379139328444615</v>
      </c>
      <c r="AM89" s="93">
        <v>0</v>
      </c>
      <c r="AN89" s="94">
        <f t="shared" si="57"/>
        <v>58.013599999999997</v>
      </c>
      <c r="AO89" s="95">
        <f t="shared" si="58"/>
        <v>575.79848606715564</v>
      </c>
      <c r="AP89" s="96"/>
      <c r="AQ89" s="97">
        <f t="shared" si="7"/>
        <v>1504</v>
      </c>
      <c r="AR89" s="98">
        <f t="shared" si="35"/>
        <v>169.89</v>
      </c>
      <c r="AS89" s="98">
        <f t="shared" si="9"/>
        <v>570.79999999999995</v>
      </c>
      <c r="AT89" s="98">
        <f t="shared" si="10"/>
        <v>128.45999999999998</v>
      </c>
      <c r="AU89" s="98">
        <f t="shared" si="59"/>
        <v>0</v>
      </c>
      <c r="AV89" s="98">
        <f t="array" ref="AV89">_xlfn.IFS(U89=0,AO89,U89&lt;0,AO89/-U89,U89&gt;0,AO89/U89)</f>
        <v>575.79848606715564</v>
      </c>
      <c r="AW89" s="234">
        <f t="shared" si="44"/>
        <v>0.38284473807656627</v>
      </c>
      <c r="AX89" s="234">
        <f t="shared" si="45"/>
        <v>3.3892429576028942</v>
      </c>
      <c r="AY89" s="99"/>
      <c r="AZ89" s="94">
        <f t="shared" si="13"/>
        <v>4030.5894024700892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2"/>
        <v>5286.12</v>
      </c>
      <c r="M90" s="89">
        <v>725</v>
      </c>
      <c r="N90" s="89">
        <v>0</v>
      </c>
      <c r="O90" s="89">
        <v>0</v>
      </c>
      <c r="P90" s="89">
        <v>0</v>
      </c>
      <c r="Q90" s="233">
        <f t="shared" si="48"/>
        <v>0</v>
      </c>
      <c r="R90" s="92">
        <f t="shared" si="49"/>
        <v>0</v>
      </c>
      <c r="S90" s="93">
        <v>0</v>
      </c>
      <c r="T90" s="93">
        <v>0</v>
      </c>
      <c r="U90" s="92">
        <f t="shared" si="50"/>
        <v>0</v>
      </c>
      <c r="V90" s="93">
        <v>0</v>
      </c>
      <c r="W90" s="93">
        <v>0</v>
      </c>
      <c r="X90" s="92">
        <f t="shared" si="51"/>
        <v>0</v>
      </c>
      <c r="Y90" s="93">
        <v>0</v>
      </c>
      <c r="Z90" s="93">
        <v>0</v>
      </c>
      <c r="AA90" s="92">
        <f t="shared" si="52"/>
        <v>0</v>
      </c>
      <c r="AB90" s="92">
        <f t="shared" si="53"/>
        <v>0</v>
      </c>
      <c r="AC90" s="234">
        <f t="shared" si="54"/>
        <v>0</v>
      </c>
      <c r="AD90" s="92">
        <f t="shared" si="55"/>
        <v>0</v>
      </c>
      <c r="AE90" s="93">
        <v>0</v>
      </c>
      <c r="AF90" s="234">
        <f t="shared" si="56"/>
        <v>0</v>
      </c>
      <c r="AG90" s="93">
        <v>0</v>
      </c>
      <c r="AH90" s="93"/>
      <c r="AI90" s="93"/>
      <c r="AJ90" s="93"/>
      <c r="AK90" s="93"/>
      <c r="AL90" s="122">
        <f t="shared" si="47"/>
        <v>49.819868776534157</v>
      </c>
      <c r="AM90" s="93">
        <v>0</v>
      </c>
      <c r="AN90" s="94">
        <f t="shared" si="57"/>
        <v>0</v>
      </c>
      <c r="AO90" s="95">
        <f t="shared" si="58"/>
        <v>-49.819868776534157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-49.819868776534157</v>
      </c>
      <c r="AW90" s="234">
        <f t="shared" si="44"/>
        <v>0</v>
      </c>
      <c r="AX90" s="234">
        <f t="shared" si="45"/>
        <v>-0.46180820148808083</v>
      </c>
      <c r="AY90" s="99"/>
      <c r="AZ90" s="94">
        <f t="shared" si="13"/>
        <v>-2441.1735700501736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33</v>
      </c>
      <c r="F91" s="93">
        <v>3</v>
      </c>
      <c r="G91" s="93">
        <v>2</v>
      </c>
      <c r="H91" s="93">
        <v>22</v>
      </c>
      <c r="I91" s="93">
        <v>0</v>
      </c>
      <c r="J91" s="93">
        <v>6</v>
      </c>
      <c r="K91" s="93">
        <v>93.84</v>
      </c>
      <c r="L91" s="92">
        <f t="shared" si="42"/>
        <v>3096.7200000000003</v>
      </c>
      <c r="M91" s="89">
        <v>999</v>
      </c>
      <c r="N91" s="89">
        <v>3</v>
      </c>
      <c r="O91" s="89">
        <v>1075</v>
      </c>
      <c r="P91" s="89">
        <v>0</v>
      </c>
      <c r="Q91" s="233">
        <f t="shared" si="48"/>
        <v>0.42857142857142855</v>
      </c>
      <c r="R91" s="92">
        <f t="shared" si="49"/>
        <v>0.14285714285714285</v>
      </c>
      <c r="S91" s="93">
        <v>1</v>
      </c>
      <c r="T91" s="93">
        <v>0</v>
      </c>
      <c r="U91" s="92">
        <f t="shared" si="50"/>
        <v>1</v>
      </c>
      <c r="V91" s="93">
        <v>732</v>
      </c>
      <c r="W91" s="93">
        <v>0</v>
      </c>
      <c r="X91" s="92">
        <f t="shared" si="51"/>
        <v>732</v>
      </c>
      <c r="Y91" s="93">
        <v>1075</v>
      </c>
      <c r="Z91" s="93">
        <v>0</v>
      </c>
      <c r="AA91" s="92">
        <f t="shared" si="52"/>
        <v>1075</v>
      </c>
      <c r="AB91" s="92">
        <f t="shared" si="53"/>
        <v>0</v>
      </c>
      <c r="AC91" s="234">
        <f t="shared" si="54"/>
        <v>4.456259616893248E-4</v>
      </c>
      <c r="AD91" s="92">
        <f t="shared" si="55"/>
        <v>93.84</v>
      </c>
      <c r="AE91" s="93">
        <v>381.86</v>
      </c>
      <c r="AF91" s="234">
        <f t="shared" si="56"/>
        <v>0.35521860465116278</v>
      </c>
      <c r="AG91" s="93">
        <v>652.79</v>
      </c>
      <c r="AH91" s="93"/>
      <c r="AI91" s="93">
        <f>721+352</f>
        <v>1073</v>
      </c>
      <c r="AJ91" s="93"/>
      <c r="AK91" s="93"/>
      <c r="AL91" s="122">
        <f t="shared" si="47"/>
        <v>22.834106522578157</v>
      </c>
      <c r="AM91" s="93">
        <v>0</v>
      </c>
      <c r="AN91" s="94">
        <f t="shared" si="57"/>
        <v>41.797199999999997</v>
      </c>
      <c r="AO91" s="95">
        <f t="shared" si="58"/>
        <v>-1191.1213065225782</v>
      </c>
      <c r="AP91" s="96"/>
      <c r="AQ91" s="97">
        <f t="shared" si="7"/>
        <v>1075</v>
      </c>
      <c r="AR91" s="98">
        <f t="shared" si="35"/>
        <v>93.84</v>
      </c>
      <c r="AS91" s="98">
        <f t="shared" si="9"/>
        <v>381.86</v>
      </c>
      <c r="AT91" s="98">
        <f t="shared" si="10"/>
        <v>652.79</v>
      </c>
      <c r="AU91" s="98">
        <f t="shared" si="59"/>
        <v>1073</v>
      </c>
      <c r="AV91" s="98">
        <f t="array" ref="AV91">_xlfn.IFS(U91=0,AO91,U91&lt;0,AO91/-U91,U91&gt;0,AO91/U91)</f>
        <v>-1191.1213065225782</v>
      </c>
      <c r="AW91" s="234">
        <f t="shared" si="44"/>
        <v>-1.108019820021003</v>
      </c>
      <c r="AX91" s="234">
        <f t="shared" si="45"/>
        <v>-12.693108552030884</v>
      </c>
      <c r="AY91" s="99"/>
      <c r="AZ91" s="94">
        <f t="shared" si="13"/>
        <v>-39307.003115245076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47</v>
      </c>
      <c r="F92" s="93">
        <v>2</v>
      </c>
      <c r="G92" s="93">
        <v>1</v>
      </c>
      <c r="H92" s="93">
        <v>43</v>
      </c>
      <c r="I92" s="93">
        <v>0</v>
      </c>
      <c r="J92" s="93">
        <v>1</v>
      </c>
      <c r="K92" s="93">
        <v>139.47</v>
      </c>
      <c r="L92" s="92">
        <f t="shared" si="42"/>
        <v>6555.09</v>
      </c>
      <c r="M92" s="89">
        <v>212</v>
      </c>
      <c r="N92" s="89">
        <v>5</v>
      </c>
      <c r="O92" s="89">
        <v>1250</v>
      </c>
      <c r="P92" s="89">
        <v>0</v>
      </c>
      <c r="Q92" s="233">
        <f t="shared" si="48"/>
        <v>0.7142857142857143</v>
      </c>
      <c r="R92" s="92">
        <f t="shared" si="49"/>
        <v>0.2857142857142857</v>
      </c>
      <c r="S92" s="93">
        <v>2</v>
      </c>
      <c r="T92" s="93">
        <v>0</v>
      </c>
      <c r="U92" s="92">
        <f t="shared" si="50"/>
        <v>2</v>
      </c>
      <c r="V92" s="93">
        <v>1593</v>
      </c>
      <c r="W92" s="93">
        <v>0</v>
      </c>
      <c r="X92" s="92">
        <f t="shared" si="51"/>
        <v>1593</v>
      </c>
      <c r="Y92" s="93">
        <v>2462.5</v>
      </c>
      <c r="Z92" s="93">
        <v>0</v>
      </c>
      <c r="AA92" s="92">
        <f t="shared" si="52"/>
        <v>2462.5</v>
      </c>
      <c r="AB92" s="92">
        <f t="shared" si="53"/>
        <v>0</v>
      </c>
      <c r="AC92" s="234">
        <f t="shared" si="54"/>
        <v>1.0207943541022905E-3</v>
      </c>
      <c r="AD92" s="92">
        <f t="shared" si="55"/>
        <v>278.94</v>
      </c>
      <c r="AE92" s="93">
        <v>939.13999999999987</v>
      </c>
      <c r="AF92" s="234">
        <f t="shared" si="56"/>
        <v>0.38137664974619284</v>
      </c>
      <c r="AG92" s="93">
        <v>508.2</v>
      </c>
      <c r="AH92" s="93"/>
      <c r="AI92" s="93">
        <v>774</v>
      </c>
      <c r="AJ92" s="93"/>
      <c r="AK92" s="93"/>
      <c r="AL92" s="122">
        <f t="shared" si="47"/>
        <v>44.630299112311853</v>
      </c>
      <c r="AM92" s="93">
        <v>0</v>
      </c>
      <c r="AN92" s="94">
        <f t="shared" si="57"/>
        <v>90.960300000000004</v>
      </c>
      <c r="AO92" s="95">
        <f t="shared" si="58"/>
        <v>-173.37059911231182</v>
      </c>
      <c r="AP92" s="96"/>
      <c r="AQ92" s="97">
        <f t="shared" si="7"/>
        <v>1231.25</v>
      </c>
      <c r="AR92" s="98">
        <f t="shared" si="35"/>
        <v>139.47</v>
      </c>
      <c r="AS92" s="98">
        <f t="shared" si="9"/>
        <v>469.56999999999994</v>
      </c>
      <c r="AT92" s="98">
        <f t="shared" si="10"/>
        <v>254.1</v>
      </c>
      <c r="AU92" s="98">
        <f t="shared" si="59"/>
        <v>387</v>
      </c>
      <c r="AV92" s="98">
        <f t="array" ref="AV92">_xlfn.IFS(U92=0,AO92,U92&lt;0,AO92/-U92,U92&gt;0,AO92/U92)</f>
        <v>-86.685299556155911</v>
      </c>
      <c r="AW92" s="234">
        <f t="shared" si="44"/>
        <v>-7.0404304208045415E-2</v>
      </c>
      <c r="AX92" s="234">
        <f t="shared" si="45"/>
        <v>-0.62153365997100385</v>
      </c>
      <c r="AY92" s="99"/>
      <c r="AZ92" s="94">
        <f t="shared" si="13"/>
        <v>-4074.209079139328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40</v>
      </c>
      <c r="F93" s="93"/>
      <c r="G93" s="93"/>
      <c r="H93" s="93">
        <v>39</v>
      </c>
      <c r="I93" s="93">
        <v>0</v>
      </c>
      <c r="J93" s="93">
        <v>1</v>
      </c>
      <c r="K93" s="93">
        <v>139.47</v>
      </c>
      <c r="L93" s="92">
        <f t="shared" si="42"/>
        <v>5578.8</v>
      </c>
      <c r="M93" s="89">
        <v>999</v>
      </c>
      <c r="N93" s="89">
        <v>2</v>
      </c>
      <c r="O93" s="89">
        <v>1296</v>
      </c>
      <c r="P93" s="89">
        <v>0</v>
      </c>
      <c r="Q93" s="233">
        <f t="shared" si="48"/>
        <v>0.2857142857142857</v>
      </c>
      <c r="R93" s="92">
        <f t="shared" si="49"/>
        <v>0</v>
      </c>
      <c r="S93" s="93">
        <v>0</v>
      </c>
      <c r="T93" s="93">
        <v>0</v>
      </c>
      <c r="U93" s="92">
        <f t="shared" si="50"/>
        <v>0</v>
      </c>
      <c r="V93" s="93">
        <v>0</v>
      </c>
      <c r="W93" s="93">
        <v>0</v>
      </c>
      <c r="X93" s="92">
        <f t="shared" si="51"/>
        <v>0</v>
      </c>
      <c r="Y93" s="93">
        <v>0</v>
      </c>
      <c r="Z93" s="93">
        <v>0</v>
      </c>
      <c r="AA93" s="92">
        <f t="shared" si="52"/>
        <v>0</v>
      </c>
      <c r="AB93" s="92">
        <f t="shared" si="53"/>
        <v>0</v>
      </c>
      <c r="AC93" s="234">
        <f t="shared" si="54"/>
        <v>0</v>
      </c>
      <c r="AD93" s="92">
        <f t="shared" si="55"/>
        <v>0</v>
      </c>
      <c r="AE93" s="93">
        <v>0</v>
      </c>
      <c r="AF93" s="234">
        <f t="shared" si="56"/>
        <v>0</v>
      </c>
      <c r="AG93" s="93">
        <v>177.58</v>
      </c>
      <c r="AH93" s="93"/>
      <c r="AI93" s="93"/>
      <c r="AJ93" s="93"/>
      <c r="AK93" s="93"/>
      <c r="AL93" s="122">
        <f t="shared" si="47"/>
        <v>40.478643380934002</v>
      </c>
      <c r="AM93" s="93">
        <v>0</v>
      </c>
      <c r="AN93" s="94">
        <f t="shared" si="57"/>
        <v>0</v>
      </c>
      <c r="AO93" s="95">
        <f t="shared" si="58"/>
        <v>-218.05864338093403</v>
      </c>
      <c r="AP93" s="96"/>
      <c r="AQ93" s="97">
        <f t="shared" si="7"/>
        <v>0</v>
      </c>
      <c r="AR93" s="98">
        <f t="shared" si="35"/>
        <v>139.47</v>
      </c>
      <c r="AS93" s="98">
        <f t="shared" si="9"/>
        <v>0</v>
      </c>
      <c r="AT93" s="98">
        <f t="shared" si="10"/>
        <v>177.58</v>
      </c>
      <c r="AU93" s="98">
        <f t="shared" si="59"/>
        <v>0</v>
      </c>
      <c r="AV93" s="98">
        <f t="array" ref="AV93">_xlfn.IFS(U93=0,AO93,U93&lt;0,AO93/-U93,U93&gt;0,AO93/U93)</f>
        <v>-218.05864338093403</v>
      </c>
      <c r="AW93" s="234">
        <f t="shared" si="44"/>
        <v>0</v>
      </c>
      <c r="AX93" s="234">
        <f t="shared" si="45"/>
        <v>-1.5634806293893599</v>
      </c>
      <c r="AY93" s="99"/>
      <c r="AZ93" s="94">
        <f t="shared" si="13"/>
        <v>-8722.3457352373607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8"/>
        <v>0</v>
      </c>
      <c r="R94" s="92">
        <f t="shared" si="49"/>
        <v>0</v>
      </c>
      <c r="S94" s="93">
        <v>0</v>
      </c>
      <c r="T94" s="93">
        <v>0</v>
      </c>
      <c r="U94" s="92">
        <f t="shared" si="50"/>
        <v>0</v>
      </c>
      <c r="V94" s="93">
        <v>0</v>
      </c>
      <c r="W94" s="93">
        <v>0</v>
      </c>
      <c r="X94" s="92">
        <f t="shared" si="51"/>
        <v>0</v>
      </c>
      <c r="Y94" s="93">
        <v>0</v>
      </c>
      <c r="Z94" s="93">
        <v>0</v>
      </c>
      <c r="AA94" s="92">
        <f t="shared" si="52"/>
        <v>0</v>
      </c>
      <c r="AB94" s="92">
        <f t="shared" si="53"/>
        <v>0</v>
      </c>
      <c r="AC94" s="234">
        <f t="shared" si="54"/>
        <v>0</v>
      </c>
      <c r="AD94" s="92">
        <f t="shared" si="55"/>
        <v>0</v>
      </c>
      <c r="AE94" s="93">
        <v>0</v>
      </c>
      <c r="AF94" s="234">
        <f t="shared" si="56"/>
        <v>0</v>
      </c>
      <c r="AG94" s="93">
        <v>0</v>
      </c>
      <c r="AH94" s="93"/>
      <c r="AI94" s="93"/>
      <c r="AJ94" s="93"/>
      <c r="AK94" s="93"/>
      <c r="AL94" s="122">
        <f t="shared" si="47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8"/>
        <v>0</v>
      </c>
      <c r="R95" s="92">
        <f t="shared" si="49"/>
        <v>0</v>
      </c>
      <c r="S95" s="93">
        <v>0</v>
      </c>
      <c r="T95" s="93">
        <v>0</v>
      </c>
      <c r="U95" s="92">
        <f t="shared" si="50"/>
        <v>0</v>
      </c>
      <c r="V95" s="93">
        <v>0</v>
      </c>
      <c r="W95" s="93">
        <v>0</v>
      </c>
      <c r="X95" s="92">
        <f t="shared" si="51"/>
        <v>0</v>
      </c>
      <c r="Y95" s="93">
        <v>0</v>
      </c>
      <c r="Z95" s="93">
        <v>0</v>
      </c>
      <c r="AA95" s="92">
        <f t="shared" si="52"/>
        <v>0</v>
      </c>
      <c r="AB95" s="92">
        <f t="shared" si="53"/>
        <v>0</v>
      </c>
      <c r="AC95" s="234">
        <f t="shared" si="54"/>
        <v>0</v>
      </c>
      <c r="AD95" s="92">
        <f t="shared" si="55"/>
        <v>0</v>
      </c>
      <c r="AE95" s="93">
        <v>0</v>
      </c>
      <c r="AF95" s="234">
        <f t="shared" si="56"/>
        <v>0</v>
      </c>
      <c r="AG95" s="93">
        <v>0</v>
      </c>
      <c r="AH95" s="93"/>
      <c r="AI95" s="93"/>
      <c r="AJ95" s="93"/>
      <c r="AK95" s="93"/>
      <c r="AL95" s="122">
        <f t="shared" si="47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8"/>
        <v>0</v>
      </c>
      <c r="R96" s="92">
        <f t="shared" si="49"/>
        <v>0</v>
      </c>
      <c r="S96" s="93">
        <v>0</v>
      </c>
      <c r="T96" s="93">
        <v>0</v>
      </c>
      <c r="U96" s="92">
        <f t="shared" si="50"/>
        <v>0</v>
      </c>
      <c r="V96" s="93">
        <v>0</v>
      </c>
      <c r="W96" s="93">
        <v>0</v>
      </c>
      <c r="X96" s="92">
        <f t="shared" si="51"/>
        <v>0</v>
      </c>
      <c r="Y96" s="93">
        <v>0</v>
      </c>
      <c r="Z96" s="93">
        <v>0</v>
      </c>
      <c r="AA96" s="92">
        <f t="shared" si="52"/>
        <v>0</v>
      </c>
      <c r="AB96" s="92">
        <f t="shared" si="53"/>
        <v>0</v>
      </c>
      <c r="AC96" s="234">
        <f t="shared" si="54"/>
        <v>0</v>
      </c>
      <c r="AD96" s="92">
        <f t="shared" si="55"/>
        <v>0</v>
      </c>
      <c r="AE96" s="93">
        <v>0</v>
      </c>
      <c r="AF96" s="234">
        <f t="shared" si="56"/>
        <v>0</v>
      </c>
      <c r="AG96" s="93">
        <v>0</v>
      </c>
      <c r="AH96" s="93"/>
      <c r="AI96" s="93"/>
      <c r="AJ96" s="93"/>
      <c r="AK96" s="93"/>
      <c r="AL96" s="122">
        <f t="shared" si="47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 t="s">
        <v>100</v>
      </c>
      <c r="G97" s="93"/>
      <c r="H97" s="93">
        <v>2</v>
      </c>
      <c r="I97" s="93">
        <v>0</v>
      </c>
      <c r="J97" s="93">
        <v>0</v>
      </c>
      <c r="K97" s="93">
        <v>400.08</v>
      </c>
      <c r="L97" s="92">
        <f t="shared" si="42"/>
        <v>800.16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8"/>
        <v>0</v>
      </c>
      <c r="R97" s="92">
        <f t="shared" si="49"/>
        <v>0</v>
      </c>
      <c r="S97" s="93">
        <v>0</v>
      </c>
      <c r="T97" s="93">
        <v>0</v>
      </c>
      <c r="U97" s="92">
        <f t="shared" si="50"/>
        <v>0</v>
      </c>
      <c r="V97" s="93">
        <v>0</v>
      </c>
      <c r="W97" s="93">
        <v>0</v>
      </c>
      <c r="X97" s="92">
        <f t="shared" si="51"/>
        <v>0</v>
      </c>
      <c r="Y97" s="93">
        <v>0</v>
      </c>
      <c r="Z97" s="93">
        <v>0</v>
      </c>
      <c r="AA97" s="92">
        <f t="shared" si="52"/>
        <v>0</v>
      </c>
      <c r="AB97" s="92">
        <f t="shared" si="53"/>
        <v>0</v>
      </c>
      <c r="AC97" s="234">
        <f t="shared" si="54"/>
        <v>0</v>
      </c>
      <c r="AD97" s="92">
        <f t="shared" si="55"/>
        <v>0</v>
      </c>
      <c r="AE97" s="93">
        <v>0</v>
      </c>
      <c r="AF97" s="234">
        <f t="shared" si="56"/>
        <v>0</v>
      </c>
      <c r="AG97" s="93">
        <v>3.88</v>
      </c>
      <c r="AH97" s="93"/>
      <c r="AI97" s="93"/>
      <c r="AJ97" s="93"/>
      <c r="AK97" s="93"/>
      <c r="AL97" s="122">
        <f t="shared" si="47"/>
        <v>2.0758278656889231</v>
      </c>
      <c r="AM97" s="93">
        <v>0</v>
      </c>
      <c r="AN97" s="94">
        <f t="shared" si="57"/>
        <v>0</v>
      </c>
      <c r="AO97" s="95">
        <f t="shared" si="58"/>
        <v>-5.9558278656889225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3.88</v>
      </c>
      <c r="AU97" s="98">
        <f t="shared" si="59"/>
        <v>0</v>
      </c>
      <c r="AV97" s="98">
        <f t="array" ref="AV97">_xlfn.IFS(U97=0,AO97,U97&lt;0,AO97/-U97,U97&gt;0,AO97/U97)</f>
        <v>-5.9558278656889225</v>
      </c>
      <c r="AW97" s="234">
        <f t="shared" si="44"/>
        <v>0</v>
      </c>
      <c r="AX97" s="234">
        <f t="shared" si="45"/>
        <v>-1.4886592345753156E-2</v>
      </c>
      <c r="AY97" s="99"/>
      <c r="AZ97" s="94">
        <f t="shared" si="13"/>
        <v>-11.911655731377845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7</v>
      </c>
      <c r="F98" s="93">
        <v>2</v>
      </c>
      <c r="G98" s="93" t="s">
        <v>100</v>
      </c>
      <c r="H98" s="93">
        <v>5</v>
      </c>
      <c r="I98" s="93">
        <v>0</v>
      </c>
      <c r="J98" s="93">
        <v>0</v>
      </c>
      <c r="K98" s="93">
        <v>300.08</v>
      </c>
      <c r="L98" s="92">
        <f t="shared" si="42"/>
        <v>2100.56</v>
      </c>
      <c r="M98" s="89">
        <v>43</v>
      </c>
      <c r="N98" s="89">
        <v>3</v>
      </c>
      <c r="O98" s="89">
        <v>878</v>
      </c>
      <c r="P98" s="89">
        <v>100</v>
      </c>
      <c r="Q98" s="233">
        <f t="shared" si="48"/>
        <v>0.42857142857142855</v>
      </c>
      <c r="R98" s="92">
        <f t="shared" si="49"/>
        <v>0.2857142857142857</v>
      </c>
      <c r="S98" s="93">
        <v>2</v>
      </c>
      <c r="T98" s="93">
        <v>0</v>
      </c>
      <c r="U98" s="92">
        <f t="shared" si="50"/>
        <v>2</v>
      </c>
      <c r="V98" s="93">
        <v>1269</v>
      </c>
      <c r="W98" s="93">
        <v>0</v>
      </c>
      <c r="X98" s="92">
        <f t="shared" si="51"/>
        <v>1269</v>
      </c>
      <c r="Y98" s="93">
        <v>1756</v>
      </c>
      <c r="Z98" s="93">
        <v>0</v>
      </c>
      <c r="AA98" s="92">
        <f t="shared" si="52"/>
        <v>1756</v>
      </c>
      <c r="AB98" s="92">
        <f t="shared" si="53"/>
        <v>2634</v>
      </c>
      <c r="AC98" s="234">
        <f t="shared" si="54"/>
        <v>7.279248267222831E-4</v>
      </c>
      <c r="AD98" s="92">
        <f t="shared" si="55"/>
        <v>600.16</v>
      </c>
      <c r="AE98" s="93">
        <v>675.59999999999991</v>
      </c>
      <c r="AF98" s="234">
        <f t="shared" si="56"/>
        <v>0.38473804100227788</v>
      </c>
      <c r="AG98" s="93">
        <v>177.41</v>
      </c>
      <c r="AH98" s="93"/>
      <c r="AI98" s="93"/>
      <c r="AJ98" s="93"/>
      <c r="AK98" s="93"/>
      <c r="AL98" s="122">
        <f t="shared" si="47"/>
        <v>5.1895696642223088</v>
      </c>
      <c r="AM98" s="93">
        <v>0</v>
      </c>
      <c r="AN98" s="94">
        <f t="shared" si="57"/>
        <v>72.45989999999999</v>
      </c>
      <c r="AO98" s="95">
        <f t="shared" si="58"/>
        <v>225.18053033577797</v>
      </c>
      <c r="AP98" s="96"/>
      <c r="AQ98" s="97">
        <f t="shared" ref="AQ98:AQ104" si="60">IF(U98=0,0,AA98/U98)</f>
        <v>878</v>
      </c>
      <c r="AR98" s="98">
        <f t="shared" si="35"/>
        <v>300.08</v>
      </c>
      <c r="AS98" s="98">
        <f t="shared" ref="AS98:AS104" si="61">IF(U98=0,0,AE98/U98)</f>
        <v>337.79999999999995</v>
      </c>
      <c r="AT98" s="98">
        <f t="shared" ref="AT98:AT104" si="62">IF(S98=0,AG98/1,AG98/S98)</f>
        <v>88.704999999999998</v>
      </c>
      <c r="AU98" s="98">
        <f t="shared" si="59"/>
        <v>0</v>
      </c>
      <c r="AV98" s="98">
        <f t="array" ref="AV98">_xlfn.IFS(U98=0,AO98,U98&lt;0,AO98/-U98,U98&gt;0,AO98/U98)</f>
        <v>112.59026516788899</v>
      </c>
      <c r="AW98" s="234">
        <f t="shared" si="44"/>
        <v>0.12823492615932686</v>
      </c>
      <c r="AX98" s="234">
        <f t="shared" si="45"/>
        <v>0.37520083033820645</v>
      </c>
      <c r="AY98" s="99"/>
      <c r="AZ98" s="94">
        <f t="shared" ref="AZ98:AZ104" si="63">AV98*E98</f>
        <v>788.13185617522288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4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8"/>
        <v>0</v>
      </c>
      <c r="R99" s="92">
        <f t="shared" si="49"/>
        <v>0</v>
      </c>
      <c r="S99" s="93">
        <v>0</v>
      </c>
      <c r="T99" s="93">
        <v>0</v>
      </c>
      <c r="U99" s="92">
        <f t="shared" si="50"/>
        <v>0</v>
      </c>
      <c r="V99" s="93">
        <v>0</v>
      </c>
      <c r="W99" s="93">
        <v>0</v>
      </c>
      <c r="X99" s="92">
        <f t="shared" si="51"/>
        <v>0</v>
      </c>
      <c r="Y99" s="93">
        <v>0</v>
      </c>
      <c r="Z99" s="93">
        <v>0</v>
      </c>
      <c r="AA99" s="92">
        <f t="shared" si="52"/>
        <v>0</v>
      </c>
      <c r="AB99" s="92">
        <f t="shared" si="53"/>
        <v>0</v>
      </c>
      <c r="AC99" s="234">
        <f t="shared" si="54"/>
        <v>0</v>
      </c>
      <c r="AD99" s="92">
        <f t="shared" si="55"/>
        <v>0</v>
      </c>
      <c r="AE99" s="93">
        <v>0</v>
      </c>
      <c r="AF99" s="234">
        <f t="shared" si="56"/>
        <v>0</v>
      </c>
      <c r="AG99" s="93">
        <v>0</v>
      </c>
      <c r="AH99" s="93"/>
      <c r="AI99" s="93"/>
      <c r="AJ99" s="93"/>
      <c r="AK99" s="93"/>
      <c r="AL99" s="122">
        <f t="shared" ref="AL99:AL104" si="65">IFERROR($AL$127*H99/$H$127,0)</f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4" si="66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4" si="67">IF(AQ99=0,0,AV99/AQ99)</f>
        <v>0</v>
      </c>
      <c r="AX99" s="234">
        <f t="shared" ref="AX99:AX104" si="68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33</v>
      </c>
      <c r="F100" s="93">
        <v>3</v>
      </c>
      <c r="G100" s="93"/>
      <c r="H100" s="93">
        <v>30</v>
      </c>
      <c r="I100" s="93">
        <v>0</v>
      </c>
      <c r="J100" s="93">
        <v>0</v>
      </c>
      <c r="K100" s="93">
        <v>142.97999999999999</v>
      </c>
      <c r="L100" s="92">
        <f t="shared" si="64"/>
        <v>4718.3399999999992</v>
      </c>
      <c r="M100" s="89">
        <v>143</v>
      </c>
      <c r="N100" s="89">
        <v>4</v>
      </c>
      <c r="O100" s="89">
        <v>1300</v>
      </c>
      <c r="P100" s="89">
        <v>100</v>
      </c>
      <c r="Q100" s="233">
        <f t="shared" si="48"/>
        <v>0.5714285714285714</v>
      </c>
      <c r="R100" s="92">
        <f t="shared" si="49"/>
        <v>0.14285714285714285</v>
      </c>
      <c r="S100" s="93">
        <v>1</v>
      </c>
      <c r="T100" s="93">
        <v>0</v>
      </c>
      <c r="U100" s="92">
        <f t="shared" si="50"/>
        <v>1</v>
      </c>
      <c r="V100" s="93">
        <v>834</v>
      </c>
      <c r="W100" s="93">
        <v>0</v>
      </c>
      <c r="X100" s="92">
        <f t="shared" si="51"/>
        <v>834</v>
      </c>
      <c r="Y100" s="93">
        <v>1300</v>
      </c>
      <c r="Z100" s="93">
        <v>0</v>
      </c>
      <c r="AA100" s="92">
        <f t="shared" si="52"/>
        <v>1300</v>
      </c>
      <c r="AB100" s="92">
        <f t="shared" si="53"/>
        <v>5200</v>
      </c>
      <c r="AC100" s="234">
        <f t="shared" si="54"/>
        <v>5.3889651181034625E-4</v>
      </c>
      <c r="AD100" s="92">
        <f t="shared" si="55"/>
        <v>142.97999999999999</v>
      </c>
      <c r="AE100" s="93">
        <v>491.61</v>
      </c>
      <c r="AF100" s="234">
        <f t="shared" si="56"/>
        <v>0.37816153846153849</v>
      </c>
      <c r="AG100" s="93">
        <v>206.16</v>
      </c>
      <c r="AH100" s="93"/>
      <c r="AI100" s="93"/>
      <c r="AJ100" s="93"/>
      <c r="AK100" s="93"/>
      <c r="AL100" s="122">
        <f t="shared" si="65"/>
        <v>31.137417985333848</v>
      </c>
      <c r="AM100" s="93">
        <v>0</v>
      </c>
      <c r="AN100" s="94">
        <f t="shared" si="57"/>
        <v>47.621400000000001</v>
      </c>
      <c r="AO100" s="95">
        <f t="shared" si="58"/>
        <v>380.49118201466615</v>
      </c>
      <c r="AP100" s="96"/>
      <c r="AQ100" s="97">
        <f t="shared" si="60"/>
        <v>1300</v>
      </c>
      <c r="AR100" s="98">
        <f t="shared" si="66"/>
        <v>142.97999999999999</v>
      </c>
      <c r="AS100" s="98">
        <f t="shared" si="61"/>
        <v>491.61</v>
      </c>
      <c r="AT100" s="98">
        <f t="shared" si="62"/>
        <v>206.16</v>
      </c>
      <c r="AU100" s="98">
        <f t="shared" si="59"/>
        <v>0</v>
      </c>
      <c r="AV100" s="98">
        <f t="array" ref="AV100">_xlfn.IFS(U100=0,AO100,U100&lt;0,AO100/-U100,U100&gt;0,AO100/U100)</f>
        <v>380.49118201466615</v>
      </c>
      <c r="AW100" s="234">
        <f t="shared" si="67"/>
        <v>0.29268552462666625</v>
      </c>
      <c r="AX100" s="234">
        <f t="shared" si="68"/>
        <v>2.6611496853732421</v>
      </c>
      <c r="AY100" s="99"/>
      <c r="AZ100" s="94">
        <f t="shared" si="63"/>
        <v>12556.209006483983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8"/>
        <v>0</v>
      </c>
      <c r="R101" s="92">
        <f t="shared" si="49"/>
        <v>0</v>
      </c>
      <c r="S101" s="93">
        <v>0</v>
      </c>
      <c r="T101" s="93">
        <v>0</v>
      </c>
      <c r="U101" s="92">
        <f t="shared" si="50"/>
        <v>0</v>
      </c>
      <c r="V101" s="93">
        <v>0</v>
      </c>
      <c r="W101" s="93">
        <v>0</v>
      </c>
      <c r="X101" s="92">
        <f t="shared" si="51"/>
        <v>0</v>
      </c>
      <c r="Y101" s="93">
        <v>0</v>
      </c>
      <c r="Z101" s="93">
        <v>0</v>
      </c>
      <c r="AA101" s="92">
        <f t="shared" si="52"/>
        <v>0</v>
      </c>
      <c r="AB101" s="92">
        <f t="shared" si="53"/>
        <v>0</v>
      </c>
      <c r="AC101" s="234">
        <f t="shared" si="54"/>
        <v>0</v>
      </c>
      <c r="AD101" s="92">
        <f t="shared" si="55"/>
        <v>0</v>
      </c>
      <c r="AE101" s="93">
        <v>0</v>
      </c>
      <c r="AF101" s="234">
        <f t="shared" si="56"/>
        <v>0</v>
      </c>
      <c r="AG101" s="93">
        <v>0</v>
      </c>
      <c r="AH101" s="93"/>
      <c r="AI101" s="93"/>
      <c r="AJ101" s="93"/>
      <c r="AK101" s="93"/>
      <c r="AL101" s="122">
        <f t="shared" si="65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6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7"/>
        <v>0</v>
      </c>
      <c r="AX101" s="234">
        <f t="shared" si="68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124</v>
      </c>
      <c r="F102" s="93">
        <v>4</v>
      </c>
      <c r="G102" s="93">
        <v>4</v>
      </c>
      <c r="H102" s="93">
        <v>116</v>
      </c>
      <c r="I102" s="93">
        <v>0</v>
      </c>
      <c r="J102" s="93">
        <v>0</v>
      </c>
      <c r="K102" s="92">
        <v>123.09</v>
      </c>
      <c r="L102" s="92">
        <f t="shared" si="64"/>
        <v>15263.16</v>
      </c>
      <c r="M102" s="89">
        <v>169</v>
      </c>
      <c r="N102" s="89">
        <v>9</v>
      </c>
      <c r="O102" s="89">
        <v>1300</v>
      </c>
      <c r="P102" s="89">
        <v>20</v>
      </c>
      <c r="Q102" s="233">
        <f t="shared" si="48"/>
        <v>1.2857142857142858</v>
      </c>
      <c r="R102" s="92">
        <f t="shared" si="49"/>
        <v>0.42857142857142855</v>
      </c>
      <c r="S102" s="93">
        <v>3</v>
      </c>
      <c r="T102" s="93">
        <v>0</v>
      </c>
      <c r="U102" s="92">
        <f t="shared" si="50"/>
        <v>3</v>
      </c>
      <c r="V102" s="93">
        <v>2520</v>
      </c>
      <c r="W102" s="93">
        <v>0</v>
      </c>
      <c r="X102" s="92">
        <f t="shared" si="51"/>
        <v>2520</v>
      </c>
      <c r="Y102" s="93">
        <v>3900</v>
      </c>
      <c r="Z102" s="93">
        <v>0</v>
      </c>
      <c r="AA102" s="92">
        <f t="shared" si="52"/>
        <v>3900</v>
      </c>
      <c r="AB102" s="92">
        <f t="shared" si="53"/>
        <v>2340</v>
      </c>
      <c r="AC102" s="234">
        <f t="shared" si="54"/>
        <v>1.6166895354310388E-3</v>
      </c>
      <c r="AD102" s="92">
        <f t="shared" si="55"/>
        <v>369.27</v>
      </c>
      <c r="AE102" s="93">
        <v>1475.5500000000002</v>
      </c>
      <c r="AF102" s="234">
        <f t="shared" si="56"/>
        <v>0.37834615384615389</v>
      </c>
      <c r="AG102" s="93">
        <v>1087.3999999999999</v>
      </c>
      <c r="AH102" s="93"/>
      <c r="AI102" s="93"/>
      <c r="AJ102" s="93"/>
      <c r="AK102" s="93"/>
      <c r="AL102" s="122">
        <f t="shared" si="65"/>
        <v>120.39801620995755</v>
      </c>
      <c r="AM102" s="93">
        <v>0</v>
      </c>
      <c r="AN102" s="94">
        <f t="shared" si="57"/>
        <v>143.892</v>
      </c>
      <c r="AO102" s="95">
        <f t="shared" si="58"/>
        <v>703.48998379004252</v>
      </c>
      <c r="AP102" s="96"/>
      <c r="AQ102" s="97">
        <f t="shared" si="60"/>
        <v>1300</v>
      </c>
      <c r="AR102" s="98">
        <f t="shared" si="66"/>
        <v>123.09</v>
      </c>
      <c r="AS102" s="98">
        <f t="shared" si="61"/>
        <v>491.85000000000008</v>
      </c>
      <c r="AT102" s="98">
        <f t="shared" si="62"/>
        <v>362.46666666666664</v>
      </c>
      <c r="AU102" s="98">
        <f t="shared" si="59"/>
        <v>0</v>
      </c>
      <c r="AV102" s="98">
        <f t="array" ref="AV102">_xlfn.IFS(U102=0,AO102,U102&lt;0,AO102/-U102,U102&gt;0,AO102/U102)</f>
        <v>234.49666126334751</v>
      </c>
      <c r="AW102" s="234">
        <f t="shared" si="67"/>
        <v>0.18038204712565192</v>
      </c>
      <c r="AX102" s="234">
        <f t="shared" si="68"/>
        <v>1.9050829577004427</v>
      </c>
      <c r="AY102" s="99"/>
      <c r="AZ102" s="94">
        <f t="shared" si="63"/>
        <v>29077.585996655092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8"/>
        <v>0</v>
      </c>
      <c r="R103" s="92">
        <f t="shared" si="49"/>
        <v>0</v>
      </c>
      <c r="S103" s="93">
        <v>0</v>
      </c>
      <c r="T103" s="93">
        <v>0</v>
      </c>
      <c r="U103" s="92">
        <f t="shared" si="50"/>
        <v>0</v>
      </c>
      <c r="V103" s="93">
        <v>0</v>
      </c>
      <c r="W103" s="93">
        <v>0</v>
      </c>
      <c r="X103" s="92">
        <f t="shared" si="51"/>
        <v>0</v>
      </c>
      <c r="Y103" s="93">
        <v>0</v>
      </c>
      <c r="Z103" s="93">
        <v>0</v>
      </c>
      <c r="AA103" s="92">
        <f t="shared" si="52"/>
        <v>0</v>
      </c>
      <c r="AB103" s="92">
        <f t="shared" si="53"/>
        <v>0</v>
      </c>
      <c r="AC103" s="234">
        <f t="shared" si="54"/>
        <v>0</v>
      </c>
      <c r="AD103" s="92">
        <f t="shared" si="55"/>
        <v>0</v>
      </c>
      <c r="AE103" s="93">
        <v>0</v>
      </c>
      <c r="AF103" s="234">
        <f t="shared" si="56"/>
        <v>0</v>
      </c>
      <c r="AG103" s="93">
        <v>0</v>
      </c>
      <c r="AH103" s="93"/>
      <c r="AI103" s="93"/>
      <c r="AJ103" s="93"/>
      <c r="AK103" s="93"/>
      <c r="AL103" s="122">
        <f t="shared" si="65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6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7"/>
        <v>0</v>
      </c>
      <c r="AX103" s="234">
        <f t="shared" si="68"/>
        <v>0</v>
      </c>
      <c r="AY103" s="99"/>
      <c r="AZ103" s="94">
        <f t="shared" si="63"/>
        <v>0</v>
      </c>
    </row>
    <row r="104" spans="1:52" s="464" customFormat="1" outlineLevel="1">
      <c r="A104" s="451" t="s">
        <v>121</v>
      </c>
      <c r="B104" s="452">
        <v>926559395</v>
      </c>
      <c r="C104" s="452" t="s">
        <v>338</v>
      </c>
      <c r="D104" s="453" t="s">
        <v>84</v>
      </c>
      <c r="E104" s="454">
        <f t="shared" si="46"/>
        <v>294</v>
      </c>
      <c r="F104" s="93">
        <v>6</v>
      </c>
      <c r="G104" s="93">
        <v>2</v>
      </c>
      <c r="H104" s="93">
        <v>86</v>
      </c>
      <c r="I104" s="93">
        <v>0</v>
      </c>
      <c r="J104" s="93">
        <v>200</v>
      </c>
      <c r="K104" s="455">
        <v>142.97999999999999</v>
      </c>
      <c r="L104" s="455">
        <f t="shared" si="64"/>
        <v>42036.119999999995</v>
      </c>
      <c r="M104" s="89">
        <v>107</v>
      </c>
      <c r="N104" s="89">
        <v>21</v>
      </c>
      <c r="O104" s="89">
        <v>1990</v>
      </c>
      <c r="P104" s="89">
        <v>93</v>
      </c>
      <c r="Q104" s="456">
        <f t="shared" si="48"/>
        <v>3</v>
      </c>
      <c r="R104" s="455">
        <f t="shared" si="49"/>
        <v>2.1428571428571428</v>
      </c>
      <c r="S104" s="93">
        <v>15</v>
      </c>
      <c r="T104" s="93">
        <v>0</v>
      </c>
      <c r="U104" s="92">
        <f t="shared" si="50"/>
        <v>15</v>
      </c>
      <c r="V104" s="93">
        <v>26600.010000000002</v>
      </c>
      <c r="W104" s="93">
        <v>0</v>
      </c>
      <c r="X104" s="92">
        <f t="shared" si="51"/>
        <v>26600.010000000002</v>
      </c>
      <c r="Y104" s="93">
        <v>29849.89</v>
      </c>
      <c r="Z104" s="93">
        <v>0</v>
      </c>
      <c r="AA104" s="92">
        <f t="shared" si="52"/>
        <v>29849.89</v>
      </c>
      <c r="AB104" s="92">
        <f t="shared" si="53"/>
        <v>38864.699999999997</v>
      </c>
      <c r="AC104" s="234">
        <f t="shared" si="54"/>
        <v>1.2373847383786567E-2</v>
      </c>
      <c r="AD104" s="92">
        <f t="shared" si="55"/>
        <v>2144.6999999999998</v>
      </c>
      <c r="AE104" s="93">
        <v>6066.8900000000031</v>
      </c>
      <c r="AF104" s="234">
        <f t="shared" si="56"/>
        <v>0.20324664513001567</v>
      </c>
      <c r="AG104" s="93">
        <v>403.36</v>
      </c>
      <c r="AH104" s="455"/>
      <c r="AI104" s="455">
        <v>83</v>
      </c>
      <c r="AJ104" s="455"/>
      <c r="AK104" s="455"/>
      <c r="AL104" s="458">
        <f t="shared" si="65"/>
        <v>89.260598224623706</v>
      </c>
      <c r="AM104" s="93">
        <v>0</v>
      </c>
      <c r="AN104" s="459">
        <f t="shared" si="57"/>
        <v>1518.8605710000002</v>
      </c>
      <c r="AO104" s="95">
        <f t="shared" si="58"/>
        <v>19543.81883077537</v>
      </c>
      <c r="AP104" s="459"/>
      <c r="AQ104" s="461">
        <f t="shared" si="60"/>
        <v>1989.9926666666665</v>
      </c>
      <c r="AR104" s="462">
        <f t="shared" si="66"/>
        <v>142.97999999999999</v>
      </c>
      <c r="AS104" s="462">
        <f t="shared" si="61"/>
        <v>404.45933333333352</v>
      </c>
      <c r="AT104" s="462">
        <f t="shared" si="62"/>
        <v>26.890666666666668</v>
      </c>
      <c r="AU104" s="462">
        <f t="shared" si="59"/>
        <v>5.5333333333333332</v>
      </c>
      <c r="AV104" s="462">
        <f t="array" ref="AV104">_xlfn.IFS(U104=0,AO104,U104&lt;0,AO104/-U104,U104&gt;0,AO104/U104)</f>
        <v>1302.9212553850246</v>
      </c>
      <c r="AW104" s="457">
        <f t="shared" si="67"/>
        <v>0.65473671195355732</v>
      </c>
      <c r="AX104" s="457">
        <f t="shared" si="68"/>
        <v>9.1126119414255466</v>
      </c>
      <c r="AY104" s="463"/>
      <c r="AZ104" s="459">
        <f t="shared" si="63"/>
        <v>383058.84908319724</v>
      </c>
    </row>
    <row r="105" spans="1:52" s="113" customFormat="1" outlineLevel="1">
      <c r="A105" s="101"/>
      <c r="B105" s="102"/>
      <c r="C105" s="103" t="s">
        <v>218</v>
      </c>
      <c r="D105" s="104"/>
      <c r="E105" s="235"/>
      <c r="F105" s="105"/>
      <c r="G105" s="105"/>
      <c r="H105" s="106"/>
      <c r="I105" s="106"/>
      <c r="J105" s="106"/>
      <c r="K105" s="105"/>
      <c r="L105" s="105"/>
      <c r="M105" s="103"/>
      <c r="N105" s="103"/>
      <c r="O105" s="103"/>
      <c r="P105" s="103"/>
      <c r="Q105" s="236"/>
      <c r="R105" s="105"/>
      <c r="S105" s="106"/>
      <c r="T105" s="106"/>
      <c r="U105" s="105"/>
      <c r="V105" s="106"/>
      <c r="W105" s="106"/>
      <c r="X105" s="105"/>
      <c r="Y105" s="106"/>
      <c r="Z105" s="106"/>
      <c r="AA105" s="105"/>
      <c r="AB105" s="105"/>
      <c r="AC105" s="237"/>
      <c r="AD105" s="105"/>
      <c r="AE105" s="106"/>
      <c r="AF105" s="237"/>
      <c r="AG105" s="106"/>
      <c r="AH105" s="106"/>
      <c r="AI105" s="106"/>
      <c r="AJ105" s="106"/>
      <c r="AK105" s="106"/>
      <c r="AL105" s="107"/>
      <c r="AM105" s="106"/>
      <c r="AN105" s="108"/>
      <c r="AO105" s="109"/>
      <c r="AP105" s="110"/>
      <c r="AQ105" s="111">
        <f t="shared" ref="AQ105:AX105" si="69">AVERAGE(AQ7:AQ98)</f>
        <v>638.40109374510826</v>
      </c>
      <c r="AR105" s="111">
        <f t="shared" si="69"/>
        <v>141.22217391304349</v>
      </c>
      <c r="AS105" s="111">
        <f t="shared" si="69"/>
        <v>241.54720605181373</v>
      </c>
      <c r="AT105" s="111">
        <f t="shared" si="69"/>
        <v>129.86794786521568</v>
      </c>
      <c r="AU105" s="111">
        <f t="shared" si="69"/>
        <v>107.15038509119222</v>
      </c>
      <c r="AV105" s="111">
        <f t="shared" si="69"/>
        <v>-33.511813633432965</v>
      </c>
      <c r="AW105" s="112">
        <f t="shared" si="69"/>
        <v>4.7512506799559283E-2</v>
      </c>
      <c r="AX105" s="112">
        <f t="shared" si="69"/>
        <v>-0.38321934015649678</v>
      </c>
      <c r="AY105" s="99"/>
      <c r="AZ105" s="108"/>
    </row>
    <row r="106" spans="1:52" s="120" customFormat="1">
      <c r="A106" s="114" t="s">
        <v>85</v>
      </c>
      <c r="B106" s="115"/>
      <c r="C106" s="116"/>
      <c r="D106" s="116"/>
      <c r="E106" s="238">
        <f t="shared" ref="E106:J106" si="70">SUM(E3:E104)</f>
        <v>61664</v>
      </c>
      <c r="F106" s="116">
        <f t="shared" si="70"/>
        <v>2097</v>
      </c>
      <c r="G106" s="116">
        <f t="shared" si="70"/>
        <v>665</v>
      </c>
      <c r="H106" s="116">
        <f t="shared" si="70"/>
        <v>10364</v>
      </c>
      <c r="I106" s="116">
        <f t="shared" si="70"/>
        <v>1461</v>
      </c>
      <c r="J106" s="116">
        <f t="shared" si="70"/>
        <v>47077</v>
      </c>
      <c r="K106" s="116"/>
      <c r="L106" s="116">
        <f>SUM(L3:L104)</f>
        <v>7645825.3100000033</v>
      </c>
      <c r="M106" s="116"/>
      <c r="N106" s="116">
        <f>SUM(N3:N104)</f>
        <v>3101</v>
      </c>
      <c r="O106" s="116"/>
      <c r="P106" s="116"/>
      <c r="Q106" s="212"/>
      <c r="R106" s="116"/>
      <c r="S106" s="116">
        <f t="shared" ref="S106:AE106" si="71">SUM(S3:S104)</f>
        <v>1730</v>
      </c>
      <c r="T106" s="116">
        <f t="shared" si="71"/>
        <v>-35</v>
      </c>
      <c r="U106" s="116">
        <f t="shared" si="71"/>
        <v>1695</v>
      </c>
      <c r="V106" s="116">
        <f t="shared" si="71"/>
        <v>1694803.0599999998</v>
      </c>
      <c r="W106" s="116">
        <f t="shared" si="71"/>
        <v>-35587.440000000002</v>
      </c>
      <c r="X106" s="116">
        <f t="shared" si="71"/>
        <v>1659215.6199999999</v>
      </c>
      <c r="Y106" s="116">
        <f t="shared" si="71"/>
        <v>2465283.2499999995</v>
      </c>
      <c r="Z106" s="116">
        <f t="shared" si="71"/>
        <v>-52946.239999999998</v>
      </c>
      <c r="AA106" s="116">
        <f t="shared" si="71"/>
        <v>2412337.0099999993</v>
      </c>
      <c r="AB106" s="116">
        <f t="shared" si="71"/>
        <v>2481597.0999999996</v>
      </c>
      <c r="AC106" s="239">
        <f t="shared" si="71"/>
        <v>1.0000000000000004</v>
      </c>
      <c r="AD106" s="117">
        <f t="shared" si="71"/>
        <v>210794.49999999997</v>
      </c>
      <c r="AE106" s="116">
        <f t="shared" si="71"/>
        <v>908073.200000001</v>
      </c>
      <c r="AF106" s="239">
        <f>AE106/AA106</f>
        <v>0.37642883072958422</v>
      </c>
      <c r="AG106" s="116">
        <f t="shared" ref="AG106:AO106" si="72">SUM(AG3:AG104)</f>
        <v>226778.54999999976</v>
      </c>
      <c r="AH106" s="117">
        <f t="shared" si="72"/>
        <v>6217</v>
      </c>
      <c r="AI106" s="117">
        <f t="shared" si="72"/>
        <v>172288</v>
      </c>
      <c r="AJ106" s="117">
        <f t="shared" si="72"/>
        <v>215420</v>
      </c>
      <c r="AK106" s="117">
        <f t="shared" si="72"/>
        <v>0</v>
      </c>
      <c r="AL106" s="117">
        <f t="shared" si="72"/>
        <v>10756.940000000004</v>
      </c>
      <c r="AM106" s="116">
        <f t="shared" si="72"/>
        <v>1310</v>
      </c>
      <c r="AN106" s="117">
        <f t="shared" si="72"/>
        <v>94741.211902000054</v>
      </c>
      <c r="AO106" s="117">
        <f t="shared" si="72"/>
        <v>565957.60809799959</v>
      </c>
      <c r="AP106" s="118"/>
      <c r="AQ106" s="116"/>
      <c r="AR106" s="116"/>
      <c r="AS106" s="116"/>
      <c r="AT106" s="116"/>
      <c r="AU106" s="240">
        <f>(AH106+AI106+AJ106)/S106</f>
        <v>227.70231213872833</v>
      </c>
      <c r="AV106" s="116"/>
      <c r="AW106" s="116"/>
      <c r="AX106" s="116"/>
      <c r="AY106" s="119"/>
      <c r="AZ106" s="116">
        <f>SUM(AZ3:AZ104)</f>
        <v>18946682.832591519</v>
      </c>
    </row>
    <row r="107" spans="1:52" hidden="1" outlineLevel="1">
      <c r="A107" s="89"/>
      <c r="B107" s="90"/>
      <c r="C107" s="90"/>
      <c r="D107" s="121"/>
      <c r="E107" s="241"/>
      <c r="F107" s="93"/>
      <c r="G107" s="93"/>
      <c r="H107" s="93"/>
      <c r="I107" s="93"/>
      <c r="J107" s="93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545"/>
      <c r="AI107" s="545"/>
      <c r="AJ107" s="448"/>
      <c r="AK107" s="448"/>
      <c r="AL107" s="122"/>
      <c r="AM107" s="93"/>
      <c r="AN107" s="123"/>
      <c r="AO107" s="124"/>
      <c r="AP107" s="96"/>
      <c r="AQ107" s="125"/>
      <c r="AR107" s="126"/>
      <c r="AS107" s="126"/>
      <c r="AT107" s="126"/>
      <c r="AU107" s="126"/>
      <c r="AV107" s="126"/>
      <c r="AW107" s="244"/>
      <c r="AX107" s="244"/>
      <c r="AY107" s="99"/>
      <c r="AZ107" s="123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92"/>
      <c r="AB112" s="92"/>
      <c r="AC112" s="234"/>
      <c r="AD112" s="92"/>
      <c r="AE112" s="93"/>
      <c r="AF112" s="234"/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100"/>
      <c r="C113" s="100"/>
      <c r="D113" s="100"/>
      <c r="E113" s="100"/>
      <c r="H113" s="270"/>
      <c r="K113" s="93"/>
      <c r="L113" s="93"/>
      <c r="M113" s="89"/>
      <c r="N113" s="89"/>
      <c r="O113" s="89"/>
      <c r="P113" s="89"/>
      <c r="Q113" s="242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243"/>
      <c r="AD113" s="93"/>
      <c r="AE113" s="93"/>
      <c r="AF113" s="243"/>
      <c r="AG113" s="93"/>
      <c r="AH113" s="448"/>
      <c r="AI113" s="448"/>
      <c r="AJ113" s="448"/>
      <c r="AK113" s="448"/>
      <c r="AL113" s="122"/>
      <c r="AM113" s="93"/>
      <c r="AN113" s="123"/>
      <c r="AO113" s="124"/>
      <c r="AP113" s="96"/>
      <c r="AQ113" s="245" t="e">
        <f>AVERAGE(AQ108:AQ112)</f>
        <v>#DIV/0!</v>
      </c>
      <c r="AR113" s="245" t="e">
        <f>AVERAGE(AR108:AR112)</f>
        <v>#DIV/0!</v>
      </c>
      <c r="AS113" s="245" t="e">
        <f t="shared" ref="AS113:AX113" si="73">AVERAGE(AS108:AS112)</f>
        <v>#DIV/0!</v>
      </c>
      <c r="AT113" s="245" t="e">
        <f t="shared" si="73"/>
        <v>#DIV/0!</v>
      </c>
      <c r="AU113" s="245" t="e">
        <f t="shared" si="73"/>
        <v>#DIV/0!</v>
      </c>
      <c r="AV113" s="245" t="e">
        <f t="shared" si="73"/>
        <v>#DIV/0!</v>
      </c>
      <c r="AW113" s="246" t="e">
        <f t="shared" si="73"/>
        <v>#DIV/0!</v>
      </c>
      <c r="AX113" s="246" t="e">
        <f t="shared" si="73"/>
        <v>#DIV/0!</v>
      </c>
      <c r="AY113" s="99"/>
      <c r="AZ113" s="123"/>
    </row>
    <row r="114" spans="1:52" s="120" customFormat="1" hidden="1" outlineLevel="1">
      <c r="A114" s="247" t="s">
        <v>226</v>
      </c>
      <c r="B114" s="248"/>
      <c r="C114" s="249"/>
      <c r="D114" s="249"/>
      <c r="E114" s="250">
        <f t="shared" ref="E114:J114" si="74">SUM(E108:E112)</f>
        <v>0</v>
      </c>
      <c r="F114" s="249">
        <f t="shared" si="74"/>
        <v>0</v>
      </c>
      <c r="G114" s="249">
        <f t="shared" si="74"/>
        <v>0</v>
      </c>
      <c r="H114" s="249">
        <f t="shared" si="74"/>
        <v>0</v>
      </c>
      <c r="I114" s="249">
        <f t="shared" si="74"/>
        <v>0</v>
      </c>
      <c r="J114" s="249">
        <f t="shared" si="74"/>
        <v>0</v>
      </c>
      <c r="K114" s="249"/>
      <c r="L114" s="249">
        <f>SUM(L108:L112)</f>
        <v>0</v>
      </c>
      <c r="M114" s="249"/>
      <c r="N114" s="249">
        <f>SUM(N108:N112)</f>
        <v>0</v>
      </c>
      <c r="O114" s="249"/>
      <c r="P114" s="249"/>
      <c r="Q114" s="251"/>
      <c r="R114" s="249"/>
      <c r="S114" s="249">
        <f t="shared" ref="S114:AE114" si="75">SUM(S108:S112)</f>
        <v>0</v>
      </c>
      <c r="T114" s="249">
        <f t="shared" si="75"/>
        <v>0</v>
      </c>
      <c r="U114" s="249">
        <f t="shared" si="75"/>
        <v>0</v>
      </c>
      <c r="V114" s="249">
        <f t="shared" si="75"/>
        <v>0</v>
      </c>
      <c r="W114" s="249">
        <f t="shared" si="75"/>
        <v>0</v>
      </c>
      <c r="X114" s="249">
        <f t="shared" si="75"/>
        <v>0</v>
      </c>
      <c r="Y114" s="249">
        <f t="shared" si="75"/>
        <v>0</v>
      </c>
      <c r="Z114" s="249">
        <f t="shared" si="75"/>
        <v>0</v>
      </c>
      <c r="AA114" s="249">
        <f t="shared" si="75"/>
        <v>0</v>
      </c>
      <c r="AB114" s="249">
        <f t="shared" si="75"/>
        <v>0</v>
      </c>
      <c r="AC114" s="252">
        <f t="shared" si="75"/>
        <v>0</v>
      </c>
      <c r="AD114" s="253">
        <f t="shared" si="75"/>
        <v>0</v>
      </c>
      <c r="AE114" s="249">
        <f t="shared" si="75"/>
        <v>0</v>
      </c>
      <c r="AF114" s="252" t="e">
        <f>AE114/AA114</f>
        <v>#DIV/0!</v>
      </c>
      <c r="AG114" s="249">
        <f t="shared" ref="AG114:AO114" si="76">SUM(AG108:AG112)</f>
        <v>0</v>
      </c>
      <c r="AH114" s="253">
        <f t="shared" si="76"/>
        <v>0</v>
      </c>
      <c r="AI114" s="253">
        <f t="shared" si="76"/>
        <v>0</v>
      </c>
      <c r="AJ114" s="253">
        <f t="shared" si="76"/>
        <v>0</v>
      </c>
      <c r="AK114" s="253">
        <f t="shared" si="76"/>
        <v>0</v>
      </c>
      <c r="AL114" s="253">
        <f t="shared" si="76"/>
        <v>0</v>
      </c>
      <c r="AM114" s="249">
        <f t="shared" si="76"/>
        <v>0</v>
      </c>
      <c r="AN114" s="253">
        <f t="shared" si="76"/>
        <v>0</v>
      </c>
      <c r="AO114" s="253">
        <f t="shared" si="76"/>
        <v>0</v>
      </c>
      <c r="AP114" s="254"/>
      <c r="AQ114" s="249"/>
      <c r="AR114" s="249"/>
      <c r="AS114" s="249"/>
      <c r="AT114" s="249"/>
      <c r="AU114" s="255" t="e">
        <f>(AH114+AI114+AJ114)/S114</f>
        <v>#DIV/0!</v>
      </c>
      <c r="AV114" s="249"/>
      <c r="AW114" s="249"/>
      <c r="AX114" s="249"/>
      <c r="AY114" s="256"/>
      <c r="AZ114" s="249">
        <f>SUM(AZ108:AZ112)</f>
        <v>0</v>
      </c>
    </row>
    <row r="115" spans="1:52" s="120" customFormat="1" hidden="1" outlineLevel="1">
      <c r="A115" s="257"/>
      <c r="B115" s="258"/>
      <c r="C115" s="139"/>
      <c r="D115" s="139"/>
      <c r="E115" s="25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260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261"/>
      <c r="AD115" s="262"/>
      <c r="AE115" s="139"/>
      <c r="AF115" s="261"/>
      <c r="AG115" s="139"/>
      <c r="AH115" s="546"/>
      <c r="AI115" s="547"/>
      <c r="AJ115" s="449"/>
      <c r="AK115" s="262"/>
      <c r="AL115" s="262"/>
      <c r="AM115" s="139"/>
      <c r="AN115" s="262"/>
      <c r="AO115" s="262"/>
      <c r="AP115" s="96"/>
      <c r="AQ115" s="139"/>
      <c r="AR115" s="139"/>
      <c r="AS115" s="139"/>
      <c r="AT115" s="139"/>
      <c r="AU115" s="139"/>
      <c r="AV115" s="139"/>
      <c r="AW115" s="139"/>
      <c r="AX115" s="139"/>
      <c r="AY115" s="96"/>
      <c r="AZ115" s="139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121"/>
      <c r="E123" s="241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92"/>
      <c r="AB123" s="92"/>
      <c r="AC123" s="234"/>
      <c r="AD123" s="92"/>
      <c r="AE123" s="93"/>
      <c r="AF123" s="234"/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127"/>
      <c r="B124" s="100"/>
      <c r="C124" s="89"/>
      <c r="D124" s="127"/>
      <c r="E124" s="232"/>
      <c r="F124" s="92"/>
      <c r="G124" s="92"/>
      <c r="H124" s="93"/>
      <c r="I124" s="92"/>
      <c r="J124" s="93"/>
      <c r="K124" s="92"/>
      <c r="L124" s="92"/>
      <c r="M124" s="89"/>
      <c r="N124" s="129"/>
      <c r="O124" s="129"/>
      <c r="P124" s="129"/>
      <c r="Q124" s="233"/>
      <c r="R124" s="128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234"/>
      <c r="AD124" s="92"/>
      <c r="AE124" s="92"/>
      <c r="AF124" s="234"/>
      <c r="AG124" s="92"/>
      <c r="AH124" s="93"/>
      <c r="AI124" s="93"/>
      <c r="AJ124" s="93"/>
      <c r="AK124" s="93"/>
      <c r="AL124" s="122"/>
      <c r="AN124" s="94"/>
      <c r="AO124" s="95"/>
      <c r="AP124" s="96"/>
      <c r="AQ124" s="130" t="e">
        <f t="shared" ref="AQ124:AX124" si="77">AVERAGE(AQ116:AQ123)</f>
        <v>#DIV/0!</v>
      </c>
      <c r="AR124" s="130" t="e">
        <f t="shared" si="77"/>
        <v>#DIV/0!</v>
      </c>
      <c r="AS124" s="130" t="e">
        <f t="shared" si="77"/>
        <v>#DIV/0!</v>
      </c>
      <c r="AT124" s="130" t="e">
        <f t="shared" si="77"/>
        <v>#DIV/0!</v>
      </c>
      <c r="AU124" s="130" t="e">
        <f t="shared" si="77"/>
        <v>#DIV/0!</v>
      </c>
      <c r="AV124" s="130" t="e">
        <f t="shared" si="77"/>
        <v>#DIV/0!</v>
      </c>
      <c r="AW124" s="131" t="e">
        <f t="shared" si="77"/>
        <v>#DIV/0!</v>
      </c>
      <c r="AX124" s="131" t="e">
        <f t="shared" si="77"/>
        <v>#DIV/0!</v>
      </c>
      <c r="AY124" s="99"/>
      <c r="AZ124" s="94"/>
    </row>
    <row r="125" spans="1:52" s="139" customFormat="1" ht="15" hidden="1" customHeight="1" outlineLevel="1">
      <c r="A125" s="132" t="s">
        <v>235</v>
      </c>
      <c r="B125" s="133"/>
      <c r="C125" s="134"/>
      <c r="D125" s="134"/>
      <c r="E125" s="264">
        <f t="shared" ref="E125:J125" si="78">SUM(E116:E123)</f>
        <v>0</v>
      </c>
      <c r="F125" s="134">
        <f t="shared" si="78"/>
        <v>0</v>
      </c>
      <c r="G125" s="134">
        <f t="shared" si="78"/>
        <v>0</v>
      </c>
      <c r="H125" s="134">
        <f t="shared" si="78"/>
        <v>0</v>
      </c>
      <c r="I125" s="134">
        <f t="shared" si="78"/>
        <v>0</v>
      </c>
      <c r="J125" s="134">
        <f t="shared" si="78"/>
        <v>0</v>
      </c>
      <c r="K125" s="134"/>
      <c r="L125" s="134">
        <f>SUM(L116:L123)</f>
        <v>0</v>
      </c>
      <c r="M125" s="134"/>
      <c r="N125" s="134">
        <f>SUM(N116:N123)</f>
        <v>0</v>
      </c>
      <c r="O125" s="134"/>
      <c r="P125" s="134"/>
      <c r="Q125" s="213"/>
      <c r="R125" s="134"/>
      <c r="S125" s="134">
        <f t="shared" ref="S125:AE125" si="79">SUM(S116:S123)</f>
        <v>0</v>
      </c>
      <c r="T125" s="134">
        <f t="shared" si="79"/>
        <v>0</v>
      </c>
      <c r="U125" s="134">
        <f t="shared" si="79"/>
        <v>0</v>
      </c>
      <c r="V125" s="134">
        <f t="shared" si="79"/>
        <v>0</v>
      </c>
      <c r="W125" s="134">
        <f t="shared" si="79"/>
        <v>0</v>
      </c>
      <c r="X125" s="134">
        <f t="shared" si="79"/>
        <v>0</v>
      </c>
      <c r="Y125" s="134">
        <f t="shared" si="79"/>
        <v>0</v>
      </c>
      <c r="Z125" s="134">
        <f t="shared" si="79"/>
        <v>0</v>
      </c>
      <c r="AA125" s="134">
        <f t="shared" si="79"/>
        <v>0</v>
      </c>
      <c r="AB125" s="134">
        <f t="shared" si="79"/>
        <v>0</v>
      </c>
      <c r="AC125" s="265">
        <f t="shared" si="79"/>
        <v>0</v>
      </c>
      <c r="AD125" s="135">
        <f t="shared" si="79"/>
        <v>0</v>
      </c>
      <c r="AE125" s="134">
        <f t="shared" si="79"/>
        <v>0</v>
      </c>
      <c r="AF125" s="265" t="e">
        <f>AE125/AA125</f>
        <v>#DIV/0!</v>
      </c>
      <c r="AG125" s="134">
        <f t="shared" ref="AG125:AO125" si="80">SUM(AG116:AG123)</f>
        <v>0</v>
      </c>
      <c r="AH125" s="134">
        <f t="shared" si="80"/>
        <v>0</v>
      </c>
      <c r="AI125" s="134">
        <f t="shared" si="80"/>
        <v>0</v>
      </c>
      <c r="AJ125" s="134">
        <f t="shared" si="80"/>
        <v>0</v>
      </c>
      <c r="AK125" s="134">
        <f t="shared" si="80"/>
        <v>0</v>
      </c>
      <c r="AL125" s="136">
        <f t="shared" si="80"/>
        <v>0</v>
      </c>
      <c r="AM125" s="134">
        <f t="shared" si="80"/>
        <v>0</v>
      </c>
      <c r="AN125" s="134">
        <f t="shared" si="80"/>
        <v>0</v>
      </c>
      <c r="AO125" s="134">
        <f t="shared" si="80"/>
        <v>0</v>
      </c>
      <c r="AP125" s="137"/>
      <c r="AQ125" s="134"/>
      <c r="AR125" s="134"/>
      <c r="AS125" s="134"/>
      <c r="AT125" s="134"/>
      <c r="AU125" s="134" t="e">
        <f>(AH125+AI125+AJ125)/S125</f>
        <v>#DIV/0!</v>
      </c>
      <c r="AV125" s="134"/>
      <c r="AW125" s="134"/>
      <c r="AX125" s="134"/>
      <c r="AY125" s="138"/>
      <c r="AZ125" s="134">
        <f>SUM(AZ116:AZ123)</f>
        <v>0</v>
      </c>
    </row>
    <row r="126" spans="1:52" s="120" customFormat="1" collapsed="1">
      <c r="A126" s="429" t="s">
        <v>333</v>
      </c>
      <c r="B126" s="430"/>
      <c r="C126" s="431"/>
      <c r="D126" s="431"/>
      <c r="E126" s="432">
        <f>SUM(E3:E18)+E28+E45+E47+E48+E49+E50</f>
        <v>55066</v>
      </c>
      <c r="F126" s="431">
        <f>SUM(F3:F18)+F28+F45+F47+F48+F49+F50</f>
        <v>1927</v>
      </c>
      <c r="G126" s="431">
        <f>SUM(G3:G18)+G28+G45+G47+G48+G49+G50</f>
        <v>602</v>
      </c>
      <c r="H126" s="431">
        <f t="shared" ref="H126:AO126" si="81">SUM(H3:H18)+H28+H45+H47+H48+H49+H50</f>
        <v>8270</v>
      </c>
      <c r="I126" s="431">
        <f t="shared" si="81"/>
        <v>13</v>
      </c>
      <c r="J126" s="431">
        <f t="shared" si="81"/>
        <v>44254</v>
      </c>
      <c r="K126" s="431"/>
      <c r="L126" s="431">
        <f t="shared" si="81"/>
        <v>6790395.21</v>
      </c>
      <c r="M126" s="431">
        <f t="shared" si="81"/>
        <v>1432</v>
      </c>
      <c r="N126" s="431">
        <f t="shared" si="81"/>
        <v>2848</v>
      </c>
      <c r="O126" s="431"/>
      <c r="P126" s="431"/>
      <c r="Q126" s="486">
        <f t="shared" si="81"/>
        <v>406.85714285714289</v>
      </c>
      <c r="R126" s="486">
        <f t="shared" si="81"/>
        <v>230.42857142857142</v>
      </c>
      <c r="S126" s="431">
        <f t="shared" si="81"/>
        <v>1645</v>
      </c>
      <c r="T126" s="431">
        <f>SUM(T3:T18)+T28+T45+T47+T48+T49+T50</f>
        <v>-32</v>
      </c>
      <c r="U126" s="431">
        <f t="shared" si="81"/>
        <v>1613</v>
      </c>
      <c r="V126" s="431">
        <f t="shared" si="81"/>
        <v>1612009.31</v>
      </c>
      <c r="W126" s="431">
        <f t="shared" si="81"/>
        <v>-33188</v>
      </c>
      <c r="X126" s="431">
        <f t="shared" si="81"/>
        <v>1578821.31</v>
      </c>
      <c r="Y126" s="431">
        <f t="shared" si="81"/>
        <v>2353906.9299999992</v>
      </c>
      <c r="Z126" s="431">
        <f t="shared" si="81"/>
        <v>-49562.13</v>
      </c>
      <c r="AA126" s="431">
        <f t="shared" si="81"/>
        <v>2304344.7999999993</v>
      </c>
      <c r="AB126" s="431">
        <f t="shared" si="81"/>
        <v>2341488.7599999993</v>
      </c>
      <c r="AC126" s="434">
        <f t="shared" si="81"/>
        <v>0.95523336517562318</v>
      </c>
      <c r="AD126" s="435">
        <f t="shared" si="81"/>
        <v>199750.43999999997</v>
      </c>
      <c r="AE126" s="431">
        <f t="shared" si="81"/>
        <v>872396.0900000009</v>
      </c>
      <c r="AF126" s="434">
        <f t="shared" ref="AF126" si="82">AE126/AA126</f>
        <v>0.3785874796167662</v>
      </c>
      <c r="AG126" s="431">
        <f t="shared" si="81"/>
        <v>210197.65999999974</v>
      </c>
      <c r="AH126" s="435">
        <f t="shared" si="81"/>
        <v>5159</v>
      </c>
      <c r="AI126" s="435">
        <f t="shared" si="81"/>
        <v>163766</v>
      </c>
      <c r="AJ126" s="435">
        <f t="shared" si="81"/>
        <v>212040</v>
      </c>
      <c r="AK126" s="435">
        <f t="shared" si="81"/>
        <v>0</v>
      </c>
      <c r="AL126" s="435">
        <f t="shared" si="81"/>
        <v>8583.5482246236988</v>
      </c>
      <c r="AM126" s="431">
        <f t="shared" si="81"/>
        <v>1310</v>
      </c>
      <c r="AN126" s="435">
        <f t="shared" si="81"/>
        <v>90150.696801000013</v>
      </c>
      <c r="AO126" s="435">
        <f t="shared" si="81"/>
        <v>540991.36497437581</v>
      </c>
      <c r="AP126" s="436"/>
      <c r="AQ126" s="431"/>
      <c r="AR126" s="431"/>
      <c r="AS126" s="431"/>
      <c r="AT126" s="431"/>
      <c r="AU126" s="437"/>
      <c r="AV126" s="431"/>
      <c r="AW126" s="431"/>
      <c r="AX126" s="431"/>
      <c r="AY126" s="438"/>
      <c r="AZ126" s="431"/>
    </row>
    <row r="127" spans="1:52" s="158" customFormat="1">
      <c r="A127" s="153" t="s">
        <v>6</v>
      </c>
      <c r="B127" s="154"/>
      <c r="C127" s="155"/>
      <c r="D127" s="155"/>
      <c r="E127" s="267">
        <f t="shared" ref="E127:AE127" si="83">E106+E114+E125</f>
        <v>61664</v>
      </c>
      <c r="F127" s="267">
        <f>F106+F114+F125</f>
        <v>2097</v>
      </c>
      <c r="G127" s="267">
        <f t="shared" si="83"/>
        <v>665</v>
      </c>
      <c r="H127" s="267">
        <f t="shared" si="83"/>
        <v>10364</v>
      </c>
      <c r="I127" s="267">
        <f t="shared" si="83"/>
        <v>1461</v>
      </c>
      <c r="J127" s="267">
        <f t="shared" si="83"/>
        <v>47077</v>
      </c>
      <c r="K127" s="267">
        <f t="shared" si="83"/>
        <v>0</v>
      </c>
      <c r="L127" s="267">
        <f t="shared" si="83"/>
        <v>7645825.3100000033</v>
      </c>
      <c r="M127" s="267">
        <f t="shared" si="83"/>
        <v>0</v>
      </c>
      <c r="N127" s="267">
        <f t="shared" si="83"/>
        <v>3101</v>
      </c>
      <c r="O127" s="267">
        <f t="shared" si="83"/>
        <v>0</v>
      </c>
      <c r="P127" s="267">
        <f t="shared" si="83"/>
        <v>0</v>
      </c>
      <c r="Q127" s="215">
        <f t="shared" si="83"/>
        <v>0</v>
      </c>
      <c r="R127" s="267">
        <f t="shared" si="83"/>
        <v>0</v>
      </c>
      <c r="S127" s="267">
        <f t="shared" si="83"/>
        <v>1730</v>
      </c>
      <c r="T127" s="267">
        <f t="shared" si="83"/>
        <v>-35</v>
      </c>
      <c r="U127" s="267">
        <f t="shared" si="83"/>
        <v>1695</v>
      </c>
      <c r="V127" s="267">
        <f t="shared" si="83"/>
        <v>1694803.0599999998</v>
      </c>
      <c r="W127" s="267">
        <f t="shared" si="83"/>
        <v>-35587.440000000002</v>
      </c>
      <c r="X127" s="267">
        <f t="shared" si="83"/>
        <v>1659215.6199999999</v>
      </c>
      <c r="Y127" s="267">
        <f t="shared" si="83"/>
        <v>2465283.2499999995</v>
      </c>
      <c r="Z127" s="267">
        <f t="shared" si="83"/>
        <v>-52946.239999999998</v>
      </c>
      <c r="AA127" s="267">
        <f t="shared" si="83"/>
        <v>2412337.0099999993</v>
      </c>
      <c r="AB127" s="267">
        <f t="shared" si="83"/>
        <v>2481597.0999999996</v>
      </c>
      <c r="AC127" s="267">
        <f t="shared" si="83"/>
        <v>1.0000000000000004</v>
      </c>
      <c r="AD127" s="267">
        <f t="shared" si="83"/>
        <v>210794.49999999997</v>
      </c>
      <c r="AE127" s="267">
        <f t="shared" si="83"/>
        <v>908073.200000001</v>
      </c>
      <c r="AF127" s="268">
        <f>AE127/AA127</f>
        <v>0.37642883072958422</v>
      </c>
      <c r="AG127" s="267">
        <f>AG106+AG114+AG125+AG126</f>
        <v>436976.2099999995</v>
      </c>
      <c r="AH127" s="267">
        <f>AH106+AH114+AH125</f>
        <v>6217</v>
      </c>
      <c r="AI127" s="267">
        <f>AI106+AI114+AI125</f>
        <v>172288</v>
      </c>
      <c r="AJ127" s="267">
        <f>AJ106+AJ114+AJ125</f>
        <v>215420</v>
      </c>
      <c r="AK127" s="267">
        <f>AK106+AK114+AK125</f>
        <v>0</v>
      </c>
      <c r="AL127" s="156">
        <v>10756.94</v>
      </c>
      <c r="AM127" s="267">
        <f>AM106+AM114+AM125</f>
        <v>1310</v>
      </c>
      <c r="AN127" s="267">
        <f>AN106+AN114+AN125</f>
        <v>94741.211902000054</v>
      </c>
      <c r="AO127" s="267">
        <f>AO106+AO114+AO125</f>
        <v>565957.60809799959</v>
      </c>
      <c r="AP127" s="155"/>
      <c r="AQ127" s="155"/>
      <c r="AR127" s="155"/>
      <c r="AS127" s="155"/>
      <c r="AT127" s="155"/>
      <c r="AU127" s="155">
        <f>(AH127+AI127)/S127</f>
        <v>103.1820809248555</v>
      </c>
      <c r="AV127" s="155"/>
      <c r="AW127" s="155"/>
      <c r="AX127" s="155"/>
      <c r="AY127" s="157"/>
      <c r="AZ127" s="155">
        <f>AZ106+AZ125</f>
        <v>18946682.832591519</v>
      </c>
    </row>
    <row r="128" spans="1:52" s="143" customFormat="1">
      <c r="A128" s="142"/>
      <c r="B128" s="141"/>
      <c r="C128" s="159"/>
      <c r="D128" s="142"/>
      <c r="E128" s="266"/>
      <c r="N128" s="144"/>
      <c r="O128" s="144"/>
      <c r="P128" s="144"/>
      <c r="R128" s="145"/>
      <c r="S128" s="146"/>
      <c r="T128" s="146"/>
      <c r="U128" s="147"/>
      <c r="V128" s="147"/>
      <c r="W128" s="147"/>
      <c r="X128" s="147"/>
      <c r="Y128" s="146"/>
      <c r="Z128" s="147"/>
      <c r="AA128" s="147"/>
      <c r="AB128" s="147"/>
      <c r="AE128" s="148"/>
      <c r="AG128" s="160"/>
      <c r="AH128" s="338"/>
      <c r="AI128" s="338"/>
      <c r="AJ128" s="450"/>
      <c r="AK128" s="450"/>
      <c r="AL128" s="149"/>
      <c r="AM128" s="150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2"/>
    </row>
    <row r="129" spans="3:4">
      <c r="C129" s="162"/>
      <c r="D129" s="162"/>
    </row>
    <row r="130" spans="3:4">
      <c r="C130" s="162"/>
      <c r="D130" s="162"/>
    </row>
  </sheetData>
  <mergeCells count="10">
    <mergeCell ref="AH1:AI1"/>
    <mergeCell ref="AQ1:AX1"/>
    <mergeCell ref="AH107:AI107"/>
    <mergeCell ref="AH115:AI115"/>
    <mergeCell ref="F1:H1"/>
    <mergeCell ref="I1:J1"/>
    <mergeCell ref="N1:P1"/>
    <mergeCell ref="S1:T1"/>
    <mergeCell ref="V1:W1"/>
    <mergeCell ref="Y1:Z1"/>
  </mergeCells>
  <conditionalFormatting sqref="AC129:AC1048576">
    <cfRule type="cellIs" dxfId="106" priority="15" operator="greaterThan">
      <formula>0.23</formula>
    </cfRule>
  </conditionalFormatting>
  <conditionalFormatting sqref="M124:O124 M107:M113 M3:M105">
    <cfRule type="cellIs" dxfId="105" priority="26" operator="greaterThan">
      <formula>120</formula>
    </cfRule>
  </conditionalFormatting>
  <conditionalFormatting sqref="AC128">
    <cfRule type="cellIs" dxfId="104" priority="27" operator="greaterThan">
      <formula>0.23</formula>
    </cfRule>
  </conditionalFormatting>
  <conditionalFormatting sqref="AA124:AC124 AA107:AC107 AA113:AC113 AA105:AC105 AB3:AC10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{CD9095A0-E0D3-4230-B415-FECA2E8F8E21}</x14:id>
        </ext>
      </extLst>
    </cfRule>
  </conditionalFormatting>
  <conditionalFormatting sqref="AC113 AC107 AC3:AC10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{7BBD27E0-9A21-4241-8E68-C8A635713EA9}</x14:id>
        </ext>
      </extLst>
    </cfRule>
  </conditionalFormatting>
  <conditionalFormatting sqref="AC1">
    <cfRule type="cellIs" dxfId="103" priority="25" operator="greaterThan">
      <formula>0.23</formula>
    </cfRule>
  </conditionalFormatting>
  <conditionalFormatting sqref="AV108:AV11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{AE9A138E-E8B8-4EB9-9C5B-F32DE57539D8}</x14:id>
        </ext>
      </extLst>
    </cfRule>
  </conditionalFormatting>
  <conditionalFormatting sqref="AW108:AX1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{8E749962-41A2-411E-A996-09F566BE0301}</x14:id>
        </ext>
      </extLst>
    </cfRule>
  </conditionalFormatting>
  <conditionalFormatting sqref="AZ108:AZ11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{301628DB-00B1-43D8-9C82-7556B95ECEC9}</x14:id>
        </ext>
      </extLst>
    </cfRule>
  </conditionalFormatting>
  <conditionalFormatting sqref="AZ108:AZ11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{570D72E3-9D7C-4B62-9BAF-5437B0871838}</x14:id>
        </ext>
      </extLst>
    </cfRule>
  </conditionalFormatting>
  <conditionalFormatting sqref="Q124">
    <cfRule type="cellIs" dxfId="102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{FE543429-ACCA-4F68-A4C3-B44A0748AAE1}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{A1451D0B-6D50-4AA6-A3CF-7BFE6C6FCD13}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{0005F3DE-5FCE-4C13-95B5-3F0BB4BC2CAF}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{45EDE2E5-CCDE-4B76-A941-F08B30D24B32}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{095F434B-CCAF-4BE2-BC89-94E4A9F73A64}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{887B0A81-B7EA-4BDE-B797-47AD842C11E4}</x14:id>
        </ext>
      </extLst>
    </cfRule>
  </conditionalFormatting>
  <conditionalFormatting sqref="AZ3:AZ16 AZ107 AZ124 AZ113 AZ26:AZ43 AZ94:AZ10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{D1B672A1-08D9-4199-A280-362D6A75660E}</x14:id>
        </ext>
      </extLst>
    </cfRule>
  </conditionalFormatting>
  <conditionalFormatting sqref="AZ116:AZ1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{3E1DE570-F503-4097-B213-EF0AC6E0771F}</x14:id>
        </ext>
      </extLst>
    </cfRule>
  </conditionalFormatting>
  <conditionalFormatting sqref="AV3:AV16 AV107 AV26:AV43 AV94:AV10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{65CB1289-2DE9-4276-AC0E-B62F4B0EC1FB}</x14:id>
        </ext>
      </extLst>
    </cfRule>
  </conditionalFormatting>
  <conditionalFormatting sqref="AW107:AX107 AW3:AX16 AW26:AX43 AW94:AX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{586D965F-E254-41B0-A6FE-8CFE4C19B97C}</x14:id>
        </ext>
      </extLst>
    </cfRule>
  </conditionalFormatting>
  <conditionalFormatting sqref="AZ3:AZ16 AZ107 AZ113 AZ26:AZ43 AZ94:AZ10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{9537ADBC-149B-455F-9EC0-C567C3F7BC4C}</x14:id>
        </ext>
      </extLst>
    </cfRule>
  </conditionalFormatting>
  <conditionalFormatting sqref="AZ116:AZ1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{34599C41-D2DE-4B39-B14E-CBF42EDAB309}</x14:id>
        </ext>
      </extLst>
    </cfRule>
  </conditionalFormatting>
  <conditionalFormatting sqref="AV116:AV1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{35D4E0B0-B054-403A-946B-718D66460E18}</x14:id>
        </ext>
      </extLst>
    </cfRule>
  </conditionalFormatting>
  <conditionalFormatting sqref="AW116:AX12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{C49BDCD3-F415-45DA-A5F2-82869FEE2BB8}</x14:id>
        </ext>
      </extLst>
    </cfRule>
  </conditionalFormatting>
  <conditionalFormatting sqref="AO107 AO124 AO113 AO3:AO10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{B1E82C35-BAE4-4186-9B6C-C233EEC89F41}</x14:id>
        </ext>
      </extLst>
    </cfRule>
  </conditionalFormatting>
  <conditionalFormatting sqref="AO107 AO113 AO3:AO10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{91700894-2A01-47B2-9036-45C550BCCAC3}</x14:id>
        </ext>
      </extLst>
    </cfRule>
  </conditionalFormatting>
  <conditionalFormatting sqref="AO108:AO11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{472BA1CD-D77C-46D3-BE4F-35949970C1CF}</x14:id>
        </ext>
      </extLst>
    </cfRule>
  </conditionalFormatting>
  <conditionalFormatting sqref="AO108:AO11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{A4DDA2BA-3B1A-4BB8-9109-32B820D668AF}</x14:id>
        </ext>
      </extLst>
    </cfRule>
  </conditionalFormatting>
  <conditionalFormatting sqref="AO116:AO12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{3C76C757-FBB4-4E75-B194-482CC25B9766}</x14:id>
        </ext>
      </extLst>
    </cfRule>
  </conditionalFormatting>
  <conditionalFormatting sqref="AO116:AO1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{359997CE-6B92-4423-A050-B76461D2BFAB}</x14:id>
        </ext>
      </extLst>
    </cfRule>
  </conditionalFormatting>
  <conditionalFormatting sqref="AA3:AA10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{CE640600-51F2-4DBF-81B0-D6D060FD8CBF}</x14:id>
        </ext>
      </extLst>
    </cfRule>
  </conditionalFormatting>
  <conditionalFormatting sqref="M116:M123">
    <cfRule type="cellIs" dxfId="101" priority="7" operator="greaterThan">
      <formula>120</formula>
    </cfRule>
  </conditionalFormatting>
  <conditionalFormatting sqref="AB108:AC11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{0A167829-960E-4673-A6BF-31599F63228D}</x14:id>
        </ext>
      </extLst>
    </cfRule>
  </conditionalFormatting>
  <conditionalFormatting sqref="AC108:AC11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{5B6DEBCF-D73C-4D01-8B81-DB53F1A49ACC}</x14:id>
        </ext>
      </extLst>
    </cfRule>
  </conditionalFormatting>
  <conditionalFormatting sqref="AA108:AA11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{4FDE7051-7A27-4B08-92BE-DEA3CF842D91}</x14:id>
        </ext>
      </extLst>
    </cfRule>
  </conditionalFormatting>
  <conditionalFormatting sqref="AB116:AC12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{8794BABE-4924-4507-AE44-11B045AA0EC8}</x14:id>
        </ext>
      </extLst>
    </cfRule>
  </conditionalFormatting>
  <conditionalFormatting sqref="AC116:AC1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{405A308E-62E1-41A4-BAE2-9A2AF29CC06B}</x14:id>
        </ext>
      </extLst>
    </cfRule>
  </conditionalFormatting>
  <conditionalFormatting sqref="AA116:AA1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{8B24B4FC-0F15-4B87-A401-506B3E5F63C3}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9095A0-E0D3-4230-B415-FECA2E8F8E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AA124:AC124 AA107:AC107 AA113:AC113 AA105:AC105 AB3:AC104</xm:sqref>
        </x14:conditionalFormatting>
        <x14:conditionalFormatting xmlns:xm="http://schemas.microsoft.com/office/excel/2006/main">
          <x14:cfRule type="dataBar" id="{7BBD27E0-9A21-4241-8E68-C8A635713E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AC113 AC107 AC3:AC105</xm:sqref>
        </x14:conditionalFormatting>
        <x14:conditionalFormatting xmlns:xm="http://schemas.microsoft.com/office/excel/2006/main">
          <x14:cfRule type="dataBar" id="{AE9A138E-E8B8-4EB9-9C5B-F32DE57539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AV108:AV112</xm:sqref>
        </x14:conditionalFormatting>
        <x14:conditionalFormatting xmlns:xm="http://schemas.microsoft.com/office/excel/2006/main">
          <x14:cfRule type="dataBar" id="{8E749962-41A2-411E-A996-09F566BE03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AW108:AX112</xm:sqref>
        </x14:conditionalFormatting>
        <x14:conditionalFormatting xmlns:xm="http://schemas.microsoft.com/office/excel/2006/main">
          <x14:cfRule type="dataBar" id="{301628DB-00B1-43D8-9C82-7556B95ECE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570D72E3-9D7C-4B62-9BAF-5437B0871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FE543429-ACCA-4F68-A4C3-B44A0748AA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A1451D0B-6D50-4AA6-A3CF-7BFE6C6FCD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0005F3DE-5FCE-4C13-95B5-3F0BB4BC2C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45EDE2E5-CCDE-4B76-A941-F08B30D24B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095F434B-CCAF-4BE2-BC89-94E4A9F73A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87B0A81-B7EA-4BDE-B797-47AD842C11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D1B672A1-08D9-4199-A280-362D6A7566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AZ124 AZ113 AZ26:AZ43 AZ94:AZ105</xm:sqref>
        </x14:conditionalFormatting>
        <x14:conditionalFormatting xmlns:xm="http://schemas.microsoft.com/office/excel/2006/main">
          <x14:cfRule type="dataBar" id="{3E1DE570-F503-4097-B213-EF0AC6E077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65CB1289-2DE9-4276-AC0E-B62F4B0EC1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AV107 AV26:AV43 AV94:AV104</xm:sqref>
        </x14:conditionalFormatting>
        <x14:conditionalFormatting xmlns:xm="http://schemas.microsoft.com/office/excel/2006/main">
          <x14:cfRule type="dataBar" id="{586D965F-E254-41B0-A6FE-8CFE4C19B9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AW107:AX107 AW3:AX16 AW26:AX43 AW94:AX104</xm:sqref>
        </x14:conditionalFormatting>
        <x14:conditionalFormatting xmlns:xm="http://schemas.microsoft.com/office/excel/2006/main">
          <x14:cfRule type="dataBar" id="{9537ADBC-149B-455F-9EC0-C567C3F7BC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AZ113 AZ26:AZ43 AZ94:AZ105</xm:sqref>
        </x14:conditionalFormatting>
        <x14:conditionalFormatting xmlns:xm="http://schemas.microsoft.com/office/excel/2006/main">
          <x14:cfRule type="dataBar" id="{34599C41-D2DE-4B39-B14E-CBF42EDAB3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35D4E0B0-B054-403A-946B-718D66460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AV116:AV123</xm:sqref>
        </x14:conditionalFormatting>
        <x14:conditionalFormatting xmlns:xm="http://schemas.microsoft.com/office/excel/2006/main">
          <x14:cfRule type="dataBar" id="{C49BDCD3-F415-45DA-A5F2-82869FEE2B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AW116:AX123</xm:sqref>
        </x14:conditionalFormatting>
        <x14:conditionalFormatting xmlns:xm="http://schemas.microsoft.com/office/excel/2006/main">
          <x14:cfRule type="dataBar" id="{B1E82C35-BAE4-4186-9B6C-C233EEC89F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AO124 AO113 AO3:AO105</xm:sqref>
        </x14:conditionalFormatting>
        <x14:conditionalFormatting xmlns:xm="http://schemas.microsoft.com/office/excel/2006/main">
          <x14:cfRule type="dataBar" id="{91700894-2A01-47B2-9036-45C550BCCA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AO113 AO3:AO105</xm:sqref>
        </x14:conditionalFormatting>
        <x14:conditionalFormatting xmlns:xm="http://schemas.microsoft.com/office/excel/2006/main">
          <x14:cfRule type="dataBar" id="{472BA1CD-D77C-46D3-BE4F-35949970C1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A4DDA2BA-3B1A-4BB8-9109-32B820D668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3C76C757-FBB4-4E75-B194-482CC25B97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359997CE-6B92-4423-A050-B76461D2BF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CE640600-51F2-4DBF-81B0-D6D060FD8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AA3:AA104</xm:sqref>
        </x14:conditionalFormatting>
        <x14:conditionalFormatting xmlns:xm="http://schemas.microsoft.com/office/excel/2006/main">
          <x14:cfRule type="dataBar" id="{0A167829-960E-4673-A6BF-31599F6322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AB108:AC112</xm:sqref>
        </x14:conditionalFormatting>
        <x14:conditionalFormatting xmlns:xm="http://schemas.microsoft.com/office/excel/2006/main">
          <x14:cfRule type="dataBar" id="{5B6DEBCF-D73C-4D01-8B81-DB53F1A49A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AC108:AC112</xm:sqref>
        </x14:conditionalFormatting>
        <x14:conditionalFormatting xmlns:xm="http://schemas.microsoft.com/office/excel/2006/main">
          <x14:cfRule type="dataBar" id="{4FDE7051-7A27-4B08-92BE-DEA3CF842D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AA108:AA112</xm:sqref>
        </x14:conditionalFormatting>
        <x14:conditionalFormatting xmlns:xm="http://schemas.microsoft.com/office/excel/2006/main">
          <x14:cfRule type="dataBar" id="{8794BABE-4924-4507-AE44-11B045AA0E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AB116:AC123</xm:sqref>
        </x14:conditionalFormatting>
        <x14:conditionalFormatting xmlns:xm="http://schemas.microsoft.com/office/excel/2006/main">
          <x14:cfRule type="dataBar" id="{405A308E-62E1-41A4-BAE2-9A2AF29CC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AC116:AC123</xm:sqref>
        </x14:conditionalFormatting>
        <x14:conditionalFormatting xmlns:xm="http://schemas.microsoft.com/office/excel/2006/main">
          <x14:cfRule type="dataBar" id="{8B24B4FC-0F15-4B87-A401-506B3E5F63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AA116:AA123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0D66-A99A-4D2D-BAFD-BD7C15871B5B}">
  <dimension ref="A1:AZ130"/>
  <sheetViews>
    <sheetView zoomScale="70" zoomScaleNormal="70" workbookViewId="0">
      <pane xSplit="3" ySplit="2" topLeftCell="D96" activePane="bottomRight" state="frozen"/>
      <selection pane="topRight" activeCell="D1" sqref="D1"/>
      <selection pane="bottomLeft" activeCell="A3" sqref="A3"/>
      <selection pane="bottomRight" activeCell="K126" sqref="K126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328</v>
      </c>
      <c r="B1" s="73"/>
      <c r="C1" s="72"/>
      <c r="D1" s="72"/>
      <c r="E1" s="222"/>
      <c r="F1" s="539" t="s">
        <v>42</v>
      </c>
      <c r="G1" s="539"/>
      <c r="H1" s="539"/>
      <c r="I1" s="540" t="s">
        <v>115</v>
      </c>
      <c r="J1" s="541"/>
      <c r="M1" s="415" t="s">
        <v>43</v>
      </c>
      <c r="N1" s="539" t="s">
        <v>116</v>
      </c>
      <c r="O1" s="539"/>
      <c r="P1" s="539"/>
      <c r="R1" s="224"/>
      <c r="S1" s="542"/>
      <c r="T1" s="542"/>
      <c r="U1" s="224"/>
      <c r="V1" s="543"/>
      <c r="W1" s="544"/>
      <c r="X1" s="224"/>
      <c r="Y1" s="542"/>
      <c r="Z1" s="542"/>
      <c r="AA1" s="224"/>
      <c r="AB1" s="224"/>
      <c r="AC1" s="224"/>
      <c r="AD1" s="224"/>
      <c r="AE1" s="225"/>
      <c r="AF1" s="224"/>
      <c r="AG1" s="225"/>
      <c r="AH1" s="535"/>
      <c r="AI1" s="535"/>
      <c r="AJ1" s="283" t="s">
        <v>248</v>
      </c>
      <c r="AK1" s="414"/>
      <c r="AL1" s="416" t="s">
        <v>44</v>
      </c>
      <c r="AM1" s="225"/>
      <c r="AQ1" s="536" t="s">
        <v>45</v>
      </c>
      <c r="AR1" s="537"/>
      <c r="AS1" s="537"/>
      <c r="AT1" s="537"/>
      <c r="AU1" s="537"/>
      <c r="AV1" s="537"/>
      <c r="AW1" s="537"/>
      <c r="AX1" s="538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330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2712</v>
      </c>
      <c r="F3" s="93">
        <v>124</v>
      </c>
      <c r="G3" s="93">
        <v>30</v>
      </c>
      <c r="H3" s="93">
        <v>868</v>
      </c>
      <c r="I3" s="93">
        <v>1</v>
      </c>
      <c r="J3" s="93">
        <v>1689</v>
      </c>
      <c r="K3" s="92">
        <v>142.97999999999999</v>
      </c>
      <c r="L3" s="92">
        <f t="shared" ref="L3" si="0">E3*K3</f>
        <v>387761.75999999995</v>
      </c>
      <c r="M3" s="89">
        <v>33</v>
      </c>
      <c r="N3" s="89">
        <v>176</v>
      </c>
      <c r="O3" s="89">
        <v>1503</v>
      </c>
      <c r="P3" s="89">
        <v>58</v>
      </c>
      <c r="Q3" s="233">
        <f>N3/7</f>
        <v>25.142857142857142</v>
      </c>
      <c r="R3" s="92">
        <f>U3/7</f>
        <v>16</v>
      </c>
      <c r="S3" s="93">
        <v>113</v>
      </c>
      <c r="T3" s="93">
        <v>-1</v>
      </c>
      <c r="U3" s="92">
        <f t="shared" ref="U3" si="1">S3+T3</f>
        <v>112</v>
      </c>
      <c r="V3" s="93">
        <v>115301.63999999998</v>
      </c>
      <c r="W3" s="93">
        <v>-976</v>
      </c>
      <c r="X3" s="92">
        <f t="shared" ref="X3" si="2">V3+W3</f>
        <v>114325.63999999998</v>
      </c>
      <c r="Y3" s="93">
        <v>173466.11</v>
      </c>
      <c r="Z3" s="93">
        <v>-1515</v>
      </c>
      <c r="AA3" s="92">
        <f>Y3+Z3</f>
        <v>171951.11</v>
      </c>
      <c r="AB3" s="92">
        <f>N3*O3*P3/100</f>
        <v>153426.23999999999</v>
      </c>
      <c r="AC3" s="234">
        <f>AA3/$AA$127</f>
        <v>5.9890781722978376E-2</v>
      </c>
      <c r="AD3" s="92">
        <f t="shared" ref="AD3" si="3">U3*K3</f>
        <v>16013.759999999998</v>
      </c>
      <c r="AE3" s="93">
        <v>64994.499999999949</v>
      </c>
      <c r="AF3" s="234">
        <f t="shared" ref="AF3" si="4">IF(AA3=0,0,AE3/AA3)</f>
        <v>0.3779824393108015</v>
      </c>
      <c r="AG3" s="93">
        <v>13279.180000000029</v>
      </c>
      <c r="AH3" s="93">
        <v>1000</v>
      </c>
      <c r="AI3" s="93">
        <v>17588</v>
      </c>
      <c r="AJ3" s="93"/>
      <c r="AK3" s="93"/>
      <c r="AL3" s="122">
        <f>IFERROR($AL$127*H3/$H$127,0)</f>
        <v>809.92774923960792</v>
      </c>
      <c r="AM3" s="93">
        <v>0</v>
      </c>
      <c r="AN3" s="94">
        <f>X3*5.71%</f>
        <v>6527.9940439999991</v>
      </c>
      <c r="AO3" s="95">
        <f>AA3-AD3-AE3-AG3-AH3-AI3-AK3-AL3-AN3-AM3</f>
        <v>51737.748206760407</v>
      </c>
      <c r="AP3" s="96"/>
      <c r="AQ3" s="97">
        <f t="shared" ref="AQ3:AQ97" si="5">IF(U3=0,0,AA3/U3)</f>
        <v>1535.2777678571426</v>
      </c>
      <c r="AR3" s="98">
        <f t="shared" ref="AR3:AR19" si="6">K3</f>
        <v>142.97999999999999</v>
      </c>
      <c r="AS3" s="98">
        <f t="shared" ref="AS3:AS97" si="7">IF(U3=0,0,AE3/U3)</f>
        <v>580.30803571428521</v>
      </c>
      <c r="AT3" s="98">
        <f t="shared" ref="AT3:AT97" si="8">IF(S3=0,AG3/1,AG3/S3)</f>
        <v>117.51486725663743</v>
      </c>
      <c r="AU3" s="98">
        <f>IF(S3=0,0,(AH3+AI3+AJ3)/S3)</f>
        <v>164.49557522123894</v>
      </c>
      <c r="AV3" s="98">
        <f>_xlfn.IFS(U3=0,AO3,U3&lt;0,AO3/-U3,U3&gt;0,AO3/U3)</f>
        <v>461.94418041750362</v>
      </c>
      <c r="AW3" s="234">
        <f t="shared" ref="AW3" si="9">IF(AQ3=0,0,AV3/AQ3)</f>
        <v>0.30088638687334102</v>
      </c>
      <c r="AX3" s="234">
        <f t="shared" ref="AX3" si="10">IF(AR3=0,0,AV3/AR3)</f>
        <v>3.2308307484788337</v>
      </c>
      <c r="AY3" s="99"/>
      <c r="AZ3" s="94">
        <f t="shared" ref="AZ3:AZ97" si="11">AV3*E3</f>
        <v>1252792.6172922698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1230</v>
      </c>
      <c r="F4" s="93">
        <v>355</v>
      </c>
      <c r="G4" s="93">
        <v>107</v>
      </c>
      <c r="H4" s="93">
        <v>702</v>
      </c>
      <c r="I4" s="93">
        <v>0</v>
      </c>
      <c r="J4" s="93">
        <v>66</v>
      </c>
      <c r="K4" s="92">
        <v>123.09</v>
      </c>
      <c r="L4" s="92">
        <f>E4*K4</f>
        <v>151400.70000000001</v>
      </c>
      <c r="M4" s="89">
        <v>16</v>
      </c>
      <c r="N4" s="89">
        <v>548</v>
      </c>
      <c r="O4" s="89">
        <v>1516</v>
      </c>
      <c r="P4" s="89">
        <v>60</v>
      </c>
      <c r="Q4" s="233">
        <f t="shared" ref="Q4:Q67" si="12">N4/7</f>
        <v>78.285714285714292</v>
      </c>
      <c r="R4" s="92">
        <f t="shared" ref="R4:R67" si="13">U4/7</f>
        <v>43.571428571428569</v>
      </c>
      <c r="S4" s="93">
        <v>312</v>
      </c>
      <c r="T4" s="93">
        <v>-7</v>
      </c>
      <c r="U4" s="92">
        <f t="shared" ref="U4:U67" si="14">S4+T4</f>
        <v>305</v>
      </c>
      <c r="V4" s="93">
        <v>326207.28000000009</v>
      </c>
      <c r="W4" s="93">
        <v>-7656.59</v>
      </c>
      <c r="X4" s="92">
        <f t="shared" ref="X4:X67" si="15">V4+W4</f>
        <v>318550.69000000006</v>
      </c>
      <c r="Y4" s="93">
        <v>487438.24999999994</v>
      </c>
      <c r="Z4" s="93">
        <v>-11172.05</v>
      </c>
      <c r="AA4" s="92">
        <f t="shared" ref="AA4:AA67" si="16">Y4+Z4</f>
        <v>476266.19999999995</v>
      </c>
      <c r="AB4" s="92">
        <f t="shared" ref="AB4:AB67" si="17">N4*O4*P4/100</f>
        <v>498460.8</v>
      </c>
      <c r="AC4" s="234">
        <f t="shared" ref="AC4:AC67" si="18">AA4/$AA$127</f>
        <v>0.1658840994177494</v>
      </c>
      <c r="AD4" s="92">
        <f t="shared" ref="AD4:AD67" si="19">U4*K4</f>
        <v>37542.450000000004</v>
      </c>
      <c r="AE4" s="93">
        <v>179899.72999999975</v>
      </c>
      <c r="AF4" s="234">
        <f t="shared" ref="AF4:AF67" si="20">IF(AA4=0,0,AE4/AA4)</f>
        <v>0.37772936647614247</v>
      </c>
      <c r="AG4" s="93">
        <v>37626.14000000005</v>
      </c>
      <c r="AH4" s="93">
        <v>6000</v>
      </c>
      <c r="AI4" s="93">
        <v>38000</v>
      </c>
      <c r="AJ4" s="93"/>
      <c r="AK4" s="93"/>
      <c r="AL4" s="122">
        <f t="shared" ref="AL4:AL67" si="21">IFERROR($AL$127*H4/$H$127,0)</f>
        <v>655.03373267995937</v>
      </c>
      <c r="AM4" s="93">
        <v>0</v>
      </c>
      <c r="AN4" s="94">
        <f t="shared" ref="AN4:AN67" si="22">X4*5.71%</f>
        <v>18189.244399000003</v>
      </c>
      <c r="AO4" s="95">
        <f>AA4-AD4-AE4-AG4-AH4-AI4-AK4-AL4-AN4-AM4</f>
        <v>158353.6018683202</v>
      </c>
      <c r="AP4" s="96"/>
      <c r="AQ4" s="97">
        <f t="shared" si="5"/>
        <v>1561.5285245901637</v>
      </c>
      <c r="AR4" s="98">
        <f t="shared" si="6"/>
        <v>123.09</v>
      </c>
      <c r="AS4" s="98">
        <f t="shared" si="7"/>
        <v>589.83518032786799</v>
      </c>
      <c r="AT4" s="98">
        <f t="shared" si="8"/>
        <v>120.59660256410272</v>
      </c>
      <c r="AU4" s="98">
        <f t="shared" ref="AU4:AU70" si="23">IF(S4=0,0,(AH4+AI4+AJ4)/S4)</f>
        <v>141.02564102564102</v>
      </c>
      <c r="AV4" s="98">
        <f t="array" ref="AV4">_xlfn.IFS(U4=0,AO4,U4&lt;0,AO4/-U4,U4&gt;0,AO4/U4)</f>
        <v>519.19213727318095</v>
      </c>
      <c r="AW4" s="234">
        <f>IF(AQ4=0,0,AV4/AQ4)</f>
        <v>0.33248969141274398</v>
      </c>
      <c r="AX4" s="234">
        <f>IF(AR4=0,0,AV4/AR4)</f>
        <v>4.2179879541244691</v>
      </c>
      <c r="AY4" s="99"/>
      <c r="AZ4" s="94">
        <f t="shared" si="11"/>
        <v>638606.32884601259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3588</v>
      </c>
      <c r="F5" s="93">
        <v>106</v>
      </c>
      <c r="G5" s="93">
        <v>30</v>
      </c>
      <c r="H5" s="93">
        <v>614</v>
      </c>
      <c r="I5" s="93">
        <v>0</v>
      </c>
      <c r="J5" s="93">
        <v>2838</v>
      </c>
      <c r="K5" s="92">
        <v>123.09</v>
      </c>
      <c r="L5" s="92">
        <f>E5*K5</f>
        <v>441646.92</v>
      </c>
      <c r="M5" s="89">
        <v>30</v>
      </c>
      <c r="N5" s="89">
        <v>163</v>
      </c>
      <c r="O5" s="89">
        <v>1500</v>
      </c>
      <c r="P5" s="89">
        <v>73</v>
      </c>
      <c r="Q5" s="233">
        <f t="shared" si="12"/>
        <v>23.285714285714285</v>
      </c>
      <c r="R5" s="92">
        <f t="shared" si="13"/>
        <v>15.571428571428571</v>
      </c>
      <c r="S5" s="93">
        <v>109</v>
      </c>
      <c r="T5" s="93">
        <v>0</v>
      </c>
      <c r="U5" s="92">
        <f t="shared" si="14"/>
        <v>109</v>
      </c>
      <c r="V5" s="93">
        <v>108179.36</v>
      </c>
      <c r="W5" s="93">
        <v>0</v>
      </c>
      <c r="X5" s="92">
        <f t="shared" si="15"/>
        <v>108179.36</v>
      </c>
      <c r="Y5" s="93">
        <v>161118.84000000003</v>
      </c>
      <c r="Z5" s="93">
        <v>0</v>
      </c>
      <c r="AA5" s="92">
        <f t="shared" si="16"/>
        <v>161118.84000000003</v>
      </c>
      <c r="AB5" s="92">
        <f t="shared" si="17"/>
        <v>178485</v>
      </c>
      <c r="AC5" s="234">
        <f t="shared" si="18"/>
        <v>5.6117888845843913E-2</v>
      </c>
      <c r="AD5" s="92">
        <f t="shared" si="19"/>
        <v>13416.81</v>
      </c>
      <c r="AE5" s="93">
        <v>60551.510000000068</v>
      </c>
      <c r="AF5" s="234">
        <f t="shared" si="20"/>
        <v>0.37581892967948416</v>
      </c>
      <c r="AG5" s="93">
        <v>10832.209999999994</v>
      </c>
      <c r="AH5" s="93">
        <v>1000</v>
      </c>
      <c r="AI5" s="93">
        <v>10065</v>
      </c>
      <c r="AJ5" s="93"/>
      <c r="AK5" s="93"/>
      <c r="AL5" s="122">
        <f t="shared" si="21"/>
        <v>572.92124197363967</v>
      </c>
      <c r="AM5" s="93">
        <v>0</v>
      </c>
      <c r="AN5" s="94">
        <f t="shared" si="22"/>
        <v>6177.0414559999999</v>
      </c>
      <c r="AO5" s="95">
        <f t="shared" ref="AO5:AO68" si="24">AA5-AD5-AE5-AG5-AH5-AI5-AK5-AL5-AN5-AM5</f>
        <v>58503.347302026326</v>
      </c>
      <c r="AP5" s="96"/>
      <c r="AQ5" s="97">
        <f t="shared" si="5"/>
        <v>1478.1544954128442</v>
      </c>
      <c r="AR5" s="98">
        <f t="shared" si="6"/>
        <v>123.09</v>
      </c>
      <c r="AS5" s="98">
        <f t="shared" si="7"/>
        <v>555.5184403669731</v>
      </c>
      <c r="AT5" s="98">
        <f t="shared" si="8"/>
        <v>99.37807339449536</v>
      </c>
      <c r="AU5" s="98">
        <f t="shared" si="23"/>
        <v>101.51376146788991</v>
      </c>
      <c r="AV5" s="98">
        <f t="array" ref="AV5">_xlfn.IFS(U5=0,AO5,U5&lt;0,AO5/-U5,U5&gt;0,AO5/U5)</f>
        <v>536.72795689932411</v>
      </c>
      <c r="AW5" s="234">
        <f>IF(AQ5=0,0,AV5/AQ5)</f>
        <v>0.36310680552334118</v>
      </c>
      <c r="AX5" s="234">
        <f>IF(AR5=0,0,AV5/AR5)</f>
        <v>4.3604513518508741</v>
      </c>
      <c r="AY5" s="99"/>
      <c r="AZ5" s="94">
        <f t="shared" si="11"/>
        <v>1925779.909354775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5">SUM(F6:J6)</f>
        <v>8934</v>
      </c>
      <c r="F6" s="93">
        <v>58</v>
      </c>
      <c r="G6" s="93">
        <v>17</v>
      </c>
      <c r="H6" s="93">
        <v>510</v>
      </c>
      <c r="I6" s="93">
        <v>0</v>
      </c>
      <c r="J6" s="93">
        <v>8349</v>
      </c>
      <c r="K6" s="92">
        <v>123.09</v>
      </c>
      <c r="L6" s="92">
        <f t="shared" ref="L6" si="26">E6*K6</f>
        <v>1099686.06</v>
      </c>
      <c r="M6" s="89">
        <v>55</v>
      </c>
      <c r="N6" s="89">
        <v>92</v>
      </c>
      <c r="O6" s="89">
        <v>1351</v>
      </c>
      <c r="P6" s="89">
        <v>72</v>
      </c>
      <c r="Q6" s="233">
        <f t="shared" si="12"/>
        <v>13.142857142857142</v>
      </c>
      <c r="R6" s="92">
        <f t="shared" si="13"/>
        <v>9</v>
      </c>
      <c r="S6" s="93">
        <v>64</v>
      </c>
      <c r="T6" s="93">
        <v>-1</v>
      </c>
      <c r="U6" s="92">
        <f t="shared" si="14"/>
        <v>63</v>
      </c>
      <c r="V6" s="93">
        <v>58819.66</v>
      </c>
      <c r="W6" s="93">
        <v>-947</v>
      </c>
      <c r="X6" s="92">
        <f t="shared" si="15"/>
        <v>57872.66</v>
      </c>
      <c r="Y6" s="93">
        <v>88450.049999999988</v>
      </c>
      <c r="Z6" s="93">
        <v>-1434</v>
      </c>
      <c r="AA6" s="92">
        <f t="shared" si="16"/>
        <v>87016.049999999988</v>
      </c>
      <c r="AB6" s="92">
        <f t="shared" si="17"/>
        <v>89490.240000000005</v>
      </c>
      <c r="AC6" s="234">
        <f t="shared" si="18"/>
        <v>3.0307796541387676E-2</v>
      </c>
      <c r="AD6" s="92">
        <f t="shared" si="19"/>
        <v>7754.67</v>
      </c>
      <c r="AE6" s="93">
        <v>32830.189999999981</v>
      </c>
      <c r="AF6" s="234">
        <f t="shared" si="20"/>
        <v>0.37728890244960539</v>
      </c>
      <c r="AG6" s="93">
        <v>6474.260000000002</v>
      </c>
      <c r="AH6" s="93">
        <v>200</v>
      </c>
      <c r="AI6" s="93">
        <v>5025</v>
      </c>
      <c r="AJ6" s="93"/>
      <c r="AK6" s="93"/>
      <c r="AL6" s="122">
        <f t="shared" si="21"/>
        <v>475.8792075025346</v>
      </c>
      <c r="AM6" s="93">
        <v>0</v>
      </c>
      <c r="AN6" s="94">
        <f t="shared" si="22"/>
        <v>3304.5288860000001</v>
      </c>
      <c r="AO6" s="95">
        <f t="shared" si="24"/>
        <v>30951.521906497474</v>
      </c>
      <c r="AP6" s="96"/>
      <c r="AQ6" s="97">
        <f t="shared" si="5"/>
        <v>1381.2071428571426</v>
      </c>
      <c r="AR6" s="98">
        <f t="shared" si="6"/>
        <v>123.09</v>
      </c>
      <c r="AS6" s="98">
        <f t="shared" si="7"/>
        <v>521.11412698412664</v>
      </c>
      <c r="AT6" s="98">
        <f t="shared" si="8"/>
        <v>101.16031250000003</v>
      </c>
      <c r="AU6" s="98">
        <f t="shared" si="23"/>
        <v>81.640625</v>
      </c>
      <c r="AV6" s="98">
        <f t="array" ref="AV6">_xlfn.IFS(U6=0,AO6,U6&lt;0,AO6/-U6,U6&gt;0,AO6/U6)</f>
        <v>491.29399851583293</v>
      </c>
      <c r="AW6" s="234">
        <f t="shared" ref="AW6" si="27">IF(AQ6=0,0,AV6/AQ6)</f>
        <v>0.35569899928228738</v>
      </c>
      <c r="AX6" s="234">
        <f t="shared" ref="AX6" si="28">IF(AR6=0,0,AV6/AR6)</f>
        <v>3.9913396581024689</v>
      </c>
      <c r="AY6" s="99"/>
      <c r="AZ6" s="94">
        <f t="shared" si="11"/>
        <v>4389220.5827404512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716</v>
      </c>
      <c r="F7" s="93">
        <v>123</v>
      </c>
      <c r="G7" s="93">
        <v>39</v>
      </c>
      <c r="H7" s="93">
        <v>471</v>
      </c>
      <c r="I7" s="93">
        <v>3</v>
      </c>
      <c r="J7" s="93">
        <v>80</v>
      </c>
      <c r="K7" s="92">
        <v>117.24</v>
      </c>
      <c r="L7" s="92">
        <f>E7*K7</f>
        <v>83943.84</v>
      </c>
      <c r="M7" s="89">
        <v>30</v>
      </c>
      <c r="N7" s="89">
        <v>185</v>
      </c>
      <c r="O7" s="89">
        <v>1473</v>
      </c>
      <c r="P7" s="89">
        <v>64</v>
      </c>
      <c r="Q7" s="233">
        <f t="shared" si="12"/>
        <v>26.428571428571427</v>
      </c>
      <c r="R7" s="92">
        <f t="shared" si="13"/>
        <v>16.857142857142858</v>
      </c>
      <c r="S7" s="93">
        <v>121</v>
      </c>
      <c r="T7" s="93">
        <v>-3</v>
      </c>
      <c r="U7" s="92">
        <f t="shared" si="14"/>
        <v>118</v>
      </c>
      <c r="V7" s="93">
        <v>118048.54999999999</v>
      </c>
      <c r="W7" s="93">
        <v>-2802</v>
      </c>
      <c r="X7" s="92">
        <f t="shared" si="15"/>
        <v>115246.54999999999</v>
      </c>
      <c r="Y7" s="93">
        <v>175913.1</v>
      </c>
      <c r="Z7" s="93">
        <v>-4328</v>
      </c>
      <c r="AA7" s="92">
        <f t="shared" si="16"/>
        <v>171585.1</v>
      </c>
      <c r="AB7" s="92">
        <f t="shared" si="17"/>
        <v>174403.20000000001</v>
      </c>
      <c r="AC7" s="234">
        <f t="shared" si="18"/>
        <v>5.9763299992744552E-2</v>
      </c>
      <c r="AD7" s="92">
        <f t="shared" si="19"/>
        <v>13834.32</v>
      </c>
      <c r="AE7" s="93">
        <v>64195.069999999971</v>
      </c>
      <c r="AF7" s="234">
        <f t="shared" si="20"/>
        <v>0.37412963013688233</v>
      </c>
      <c r="AG7" s="93">
        <v>13493.559999999972</v>
      </c>
      <c r="AH7" s="93">
        <v>1000</v>
      </c>
      <c r="AI7" s="93">
        <v>14839</v>
      </c>
      <c r="AJ7" s="93"/>
      <c r="AK7" s="93"/>
      <c r="AL7" s="122">
        <f t="shared" si="21"/>
        <v>439.48844457587018</v>
      </c>
      <c r="AM7" s="93">
        <v>0</v>
      </c>
      <c r="AN7" s="94">
        <f t="shared" si="22"/>
        <v>6580.5780049999994</v>
      </c>
      <c r="AO7" s="95">
        <f t="shared" si="24"/>
        <v>57203.083550424184</v>
      </c>
      <c r="AP7" s="96"/>
      <c r="AQ7" s="97">
        <f t="shared" si="5"/>
        <v>1454.1110169491526</v>
      </c>
      <c r="AR7" s="98">
        <f t="shared" si="6"/>
        <v>117.24</v>
      </c>
      <c r="AS7" s="98">
        <f t="shared" si="7"/>
        <v>544.02601694915234</v>
      </c>
      <c r="AT7" s="98">
        <f t="shared" si="8"/>
        <v>111.5170247933882</v>
      </c>
      <c r="AU7" s="98">
        <f t="shared" si="23"/>
        <v>130.900826446281</v>
      </c>
      <c r="AV7" s="98">
        <f t="array" ref="AV7">_xlfn.IFS(U7=0,AO7,U7&lt;0,AO7/-U7,U7&gt;0,AO7/U7)</f>
        <v>484.77189449512019</v>
      </c>
      <c r="AW7" s="234">
        <f>IF(AQ7=0,0,AV7/AQ7)</f>
        <v>0.33338025009411759</v>
      </c>
      <c r="AX7" s="234">
        <f>IF(AR7=0,0,AV7/AR7)</f>
        <v>4.1348677456083269</v>
      </c>
      <c r="AY7" s="99"/>
      <c r="AZ7" s="94">
        <f t="shared" si="11"/>
        <v>347096.67645850603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140</v>
      </c>
      <c r="F8" s="93">
        <v>40</v>
      </c>
      <c r="G8" s="93">
        <v>15</v>
      </c>
      <c r="H8" s="93">
        <v>85</v>
      </c>
      <c r="I8" s="93">
        <v>0</v>
      </c>
      <c r="J8" s="93">
        <v>0</v>
      </c>
      <c r="K8" s="92">
        <v>169.89</v>
      </c>
      <c r="L8" s="92">
        <f>E8*K8</f>
        <v>23784.6</v>
      </c>
      <c r="M8" s="89">
        <v>26</v>
      </c>
      <c r="N8" s="89">
        <v>49</v>
      </c>
      <c r="O8" s="89">
        <v>1464</v>
      </c>
      <c r="P8" s="89">
        <v>67</v>
      </c>
      <c r="Q8" s="233">
        <f t="shared" si="12"/>
        <v>7</v>
      </c>
      <c r="R8" s="92">
        <f t="shared" si="13"/>
        <v>4.1428571428571432</v>
      </c>
      <c r="S8" s="93">
        <v>29</v>
      </c>
      <c r="T8" s="93">
        <v>0</v>
      </c>
      <c r="U8" s="92">
        <f t="shared" si="14"/>
        <v>29</v>
      </c>
      <c r="V8" s="93">
        <v>28608.240000000002</v>
      </c>
      <c r="W8" s="93">
        <v>0</v>
      </c>
      <c r="X8" s="92">
        <f t="shared" si="15"/>
        <v>28608.240000000002</v>
      </c>
      <c r="Y8" s="93">
        <v>42456.17</v>
      </c>
      <c r="Z8" s="93">
        <v>0</v>
      </c>
      <c r="AA8" s="92">
        <f t="shared" si="16"/>
        <v>42456.17</v>
      </c>
      <c r="AB8" s="92">
        <f t="shared" si="17"/>
        <v>48063.12</v>
      </c>
      <c r="AC8" s="234">
        <f t="shared" si="18"/>
        <v>1.4787535888914372E-2</v>
      </c>
      <c r="AD8" s="92">
        <f t="shared" si="19"/>
        <v>4926.8099999999995</v>
      </c>
      <c r="AE8" s="93">
        <v>16104.329999999998</v>
      </c>
      <c r="AF8" s="234">
        <f t="shared" si="20"/>
        <v>0.37931659874171408</v>
      </c>
      <c r="AG8" s="93">
        <v>3436.2900000000036</v>
      </c>
      <c r="AH8" s="93"/>
      <c r="AI8" s="93">
        <v>2289</v>
      </c>
      <c r="AJ8" s="93"/>
      <c r="AK8" s="93"/>
      <c r="AL8" s="122">
        <f t="shared" si="21"/>
        <v>79.313201250422438</v>
      </c>
      <c r="AM8" s="93">
        <v>0</v>
      </c>
      <c r="AN8" s="94">
        <f t="shared" si="22"/>
        <v>1633.5305040000001</v>
      </c>
      <c r="AO8" s="95">
        <f t="shared" si="24"/>
        <v>13986.896294749575</v>
      </c>
      <c r="AP8" s="96"/>
      <c r="AQ8" s="97">
        <f t="shared" si="5"/>
        <v>1464.0058620689654</v>
      </c>
      <c r="AR8" s="98">
        <f t="shared" si="6"/>
        <v>169.89</v>
      </c>
      <c r="AS8" s="98">
        <f t="shared" si="7"/>
        <v>555.32172413793091</v>
      </c>
      <c r="AT8" s="98">
        <f t="shared" si="8"/>
        <v>118.49275862068978</v>
      </c>
      <c r="AU8" s="98">
        <f t="shared" si="23"/>
        <v>78.931034482758619</v>
      </c>
      <c r="AV8" s="98">
        <f t="array" ref="AV8">_xlfn.IFS(U8=0,AO8,U8&lt;0,AO8/-U8,U8&gt;0,AO8/U8)</f>
        <v>482.30676878446809</v>
      </c>
      <c r="AW8" s="234">
        <f>IF(AQ8=0,0,AV8/AQ8)</f>
        <v>0.32944319505856456</v>
      </c>
      <c r="AX8" s="234">
        <f>IF(AR8=0,0,AV8/AR8)</f>
        <v>2.8389355982369069</v>
      </c>
      <c r="AY8" s="99"/>
      <c r="AZ8" s="94">
        <f t="shared" si="11"/>
        <v>67522.947629825532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9443</v>
      </c>
      <c r="F9" s="93">
        <v>221</v>
      </c>
      <c r="G9" s="93">
        <v>78</v>
      </c>
      <c r="H9" s="93">
        <v>722</v>
      </c>
      <c r="I9" s="93">
        <v>0</v>
      </c>
      <c r="J9" s="93">
        <v>8422</v>
      </c>
      <c r="K9" s="92">
        <v>123.09</v>
      </c>
      <c r="L9" s="92">
        <f>E9*K9</f>
        <v>1162338.8700000001</v>
      </c>
      <c r="M9" s="89">
        <v>17</v>
      </c>
      <c r="N9" s="89">
        <v>358</v>
      </c>
      <c r="O9" s="89">
        <v>1567</v>
      </c>
      <c r="P9" s="89">
        <v>51</v>
      </c>
      <c r="Q9" s="233">
        <f t="shared" si="12"/>
        <v>51.142857142857146</v>
      </c>
      <c r="R9" s="92">
        <f t="shared" si="13"/>
        <v>23.714285714285715</v>
      </c>
      <c r="S9" s="93">
        <v>171</v>
      </c>
      <c r="T9" s="93">
        <v>-5</v>
      </c>
      <c r="U9" s="92">
        <f t="shared" si="14"/>
        <v>166</v>
      </c>
      <c r="V9" s="93">
        <v>184080.5</v>
      </c>
      <c r="W9" s="93">
        <v>-5428</v>
      </c>
      <c r="X9" s="92">
        <f t="shared" si="15"/>
        <v>178652.5</v>
      </c>
      <c r="Y9" s="93">
        <v>275857.89999999997</v>
      </c>
      <c r="Z9" s="93">
        <v>-8148</v>
      </c>
      <c r="AA9" s="92">
        <f t="shared" si="16"/>
        <v>267709.89999999997</v>
      </c>
      <c r="AB9" s="92">
        <f t="shared" si="17"/>
        <v>286102.86</v>
      </c>
      <c r="AC9" s="234">
        <f t="shared" si="18"/>
        <v>9.3243685289268366E-2</v>
      </c>
      <c r="AD9" s="92">
        <f t="shared" si="19"/>
        <v>20432.940000000002</v>
      </c>
      <c r="AE9" s="93">
        <v>101415.9499999999</v>
      </c>
      <c r="AF9" s="234">
        <f t="shared" si="20"/>
        <v>0.37882779082880352</v>
      </c>
      <c r="AG9" s="93">
        <v>25997.370000000123</v>
      </c>
      <c r="AH9" s="93">
        <v>9000</v>
      </c>
      <c r="AI9" s="93">
        <v>38577</v>
      </c>
      <c r="AJ9" s="93"/>
      <c r="AK9" s="93"/>
      <c r="AL9" s="122">
        <f t="shared" si="21"/>
        <v>673.69566238594109</v>
      </c>
      <c r="AM9" s="93">
        <v>0</v>
      </c>
      <c r="AN9" s="94">
        <f t="shared" si="22"/>
        <v>10201.05775</v>
      </c>
      <c r="AO9" s="95">
        <f t="shared" si="24"/>
        <v>61411.886587613997</v>
      </c>
      <c r="AP9" s="96"/>
      <c r="AQ9" s="97">
        <f t="shared" si="5"/>
        <v>1612.7102409638553</v>
      </c>
      <c r="AR9" s="98">
        <f t="shared" si="6"/>
        <v>123.09</v>
      </c>
      <c r="AS9" s="98">
        <f t="shared" si="7"/>
        <v>610.93945783132472</v>
      </c>
      <c r="AT9" s="98">
        <f t="shared" si="8"/>
        <v>152.03140350877266</v>
      </c>
      <c r="AU9" s="98">
        <f t="shared" si="23"/>
        <v>278.22807017543857</v>
      </c>
      <c r="AV9" s="98">
        <f t="array" ref="AV9">_xlfn.IFS(U9=0,AO9,U9&lt;0,AO9/-U9,U9&gt;0,AO9/U9)</f>
        <v>369.95112402177108</v>
      </c>
      <c r="AW9" s="234">
        <f>IF(AQ9=0,0,AV9/AQ9)</f>
        <v>0.2293971444000166</v>
      </c>
      <c r="AX9" s="234">
        <f>IF(AR9=0,0,AV9/AR9)</f>
        <v>3.0055335447377614</v>
      </c>
      <c r="AY9" s="99"/>
      <c r="AZ9" s="94">
        <f t="shared" si="11"/>
        <v>3493448.4641375844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7780</v>
      </c>
      <c r="F10" s="93">
        <v>156</v>
      </c>
      <c r="G10" s="93">
        <v>43</v>
      </c>
      <c r="H10" s="93">
        <v>593</v>
      </c>
      <c r="I10" s="93">
        <v>0</v>
      </c>
      <c r="J10" s="93">
        <v>6988</v>
      </c>
      <c r="K10" s="92">
        <v>123.09</v>
      </c>
      <c r="L10" s="92">
        <f>E10*K10</f>
        <v>957640.20000000007</v>
      </c>
      <c r="M10" s="89">
        <v>27</v>
      </c>
      <c r="N10" s="89">
        <v>242</v>
      </c>
      <c r="O10" s="89">
        <v>1334</v>
      </c>
      <c r="P10" s="89">
        <v>64</v>
      </c>
      <c r="Q10" s="233">
        <f t="shared" si="12"/>
        <v>34.571428571428569</v>
      </c>
      <c r="R10" s="92">
        <f t="shared" si="13"/>
        <v>19.857142857142858</v>
      </c>
      <c r="S10" s="93">
        <v>147</v>
      </c>
      <c r="T10" s="93">
        <v>-8</v>
      </c>
      <c r="U10" s="92">
        <f t="shared" si="14"/>
        <v>139</v>
      </c>
      <c r="V10" s="93">
        <v>132293.57000000004</v>
      </c>
      <c r="W10" s="93">
        <v>-7438</v>
      </c>
      <c r="X10" s="92">
        <f t="shared" si="15"/>
        <v>124855.57000000004</v>
      </c>
      <c r="Y10" s="93">
        <v>198403.57000000004</v>
      </c>
      <c r="Z10" s="93">
        <v>-11024</v>
      </c>
      <c r="AA10" s="92">
        <f t="shared" si="16"/>
        <v>187379.57000000004</v>
      </c>
      <c r="AB10" s="92">
        <f t="shared" si="17"/>
        <v>206609.92000000001</v>
      </c>
      <c r="AC10" s="234">
        <f t="shared" si="18"/>
        <v>6.5264533193275395E-2</v>
      </c>
      <c r="AD10" s="92">
        <f t="shared" si="19"/>
        <v>17109.510000000002</v>
      </c>
      <c r="AE10" s="93">
        <v>70934.899999999994</v>
      </c>
      <c r="AF10" s="234">
        <f t="shared" si="20"/>
        <v>0.37856261491047277</v>
      </c>
      <c r="AG10" s="93">
        <v>17108.819999999949</v>
      </c>
      <c r="AH10" s="93">
        <v>5000</v>
      </c>
      <c r="AI10" s="93">
        <v>28500</v>
      </c>
      <c r="AJ10" s="93"/>
      <c r="AK10" s="93"/>
      <c r="AL10" s="122">
        <f t="shared" si="21"/>
        <v>553.32621578235887</v>
      </c>
      <c r="AM10" s="93">
        <v>0</v>
      </c>
      <c r="AN10" s="94">
        <f t="shared" si="22"/>
        <v>7129.253047000002</v>
      </c>
      <c r="AO10" s="95">
        <f t="shared" si="24"/>
        <v>41043.76073721773</v>
      </c>
      <c r="AP10" s="96"/>
      <c r="AQ10" s="97">
        <f t="shared" si="5"/>
        <v>1348.0544604316549</v>
      </c>
      <c r="AR10" s="98">
        <f t="shared" si="6"/>
        <v>123.09</v>
      </c>
      <c r="AS10" s="98">
        <f t="shared" si="7"/>
        <v>510.32302158273376</v>
      </c>
      <c r="AT10" s="98">
        <f t="shared" si="8"/>
        <v>116.38653061224456</v>
      </c>
      <c r="AU10" s="98">
        <f t="shared" si="23"/>
        <v>227.89115646258503</v>
      </c>
      <c r="AV10" s="98">
        <f t="array" ref="AV10">_xlfn.IFS(U10=0,AO10,U10&lt;0,AO10/-U10,U10&gt;0,AO10/U10)</f>
        <v>295.27885422458797</v>
      </c>
      <c r="AW10" s="234">
        <f>IF(AQ10=0,0,AV10/AQ10)</f>
        <v>0.21904074567583715</v>
      </c>
      <c r="AX10" s="234">
        <f>IF(AR10=0,0,AV10/AR10)</f>
        <v>2.3988858089575755</v>
      </c>
      <c r="AY10" s="99"/>
      <c r="AZ10" s="94">
        <f t="shared" si="11"/>
        <v>2297269.4858672945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9">SUM(F11:J11)</f>
        <v>733</v>
      </c>
      <c r="F11" s="93">
        <v>72</v>
      </c>
      <c r="G11" s="93">
        <v>19</v>
      </c>
      <c r="H11" s="93">
        <v>295</v>
      </c>
      <c r="I11" s="93">
        <v>0</v>
      </c>
      <c r="J11" s="93">
        <v>347</v>
      </c>
      <c r="K11" s="92">
        <v>123.09</v>
      </c>
      <c r="L11" s="92">
        <f t="shared" ref="L11" si="30">E11*K11</f>
        <v>90224.97</v>
      </c>
      <c r="M11" s="89">
        <v>17</v>
      </c>
      <c r="N11" s="89">
        <v>115</v>
      </c>
      <c r="O11" s="89">
        <v>1302</v>
      </c>
      <c r="P11" s="89">
        <v>63</v>
      </c>
      <c r="Q11" s="233">
        <f t="shared" si="12"/>
        <v>16.428571428571427</v>
      </c>
      <c r="R11" s="92">
        <f t="shared" si="13"/>
        <v>11.142857142857142</v>
      </c>
      <c r="S11" s="93">
        <v>79</v>
      </c>
      <c r="T11" s="93">
        <v>-1</v>
      </c>
      <c r="U11" s="92">
        <f t="shared" si="14"/>
        <v>78</v>
      </c>
      <c r="V11" s="93">
        <v>69075.199999999997</v>
      </c>
      <c r="W11" s="93">
        <v>-867</v>
      </c>
      <c r="X11" s="92">
        <f t="shared" si="15"/>
        <v>68208.2</v>
      </c>
      <c r="Y11" s="93">
        <v>103242.59</v>
      </c>
      <c r="Z11" s="93">
        <v>-1301</v>
      </c>
      <c r="AA11" s="92">
        <f t="shared" si="16"/>
        <v>101941.59</v>
      </c>
      <c r="AB11" s="92">
        <f t="shared" si="17"/>
        <v>94329.9</v>
      </c>
      <c r="AC11" s="234">
        <f t="shared" si="18"/>
        <v>3.5506380361158212E-2</v>
      </c>
      <c r="AD11" s="92">
        <f t="shared" si="19"/>
        <v>9601.02</v>
      </c>
      <c r="AE11" s="93">
        <v>38044.350000000013</v>
      </c>
      <c r="AF11" s="234">
        <f t="shared" si="20"/>
        <v>0.37319753399961697</v>
      </c>
      <c r="AG11" s="93">
        <v>8927.2599999999893</v>
      </c>
      <c r="AH11" s="93">
        <v>756</v>
      </c>
      <c r="AI11" s="93">
        <v>6676</v>
      </c>
      <c r="AJ11" s="93"/>
      <c r="AK11" s="93"/>
      <c r="AL11" s="122">
        <f t="shared" si="21"/>
        <v>275.26346316323077</v>
      </c>
      <c r="AM11" s="93">
        <v>0</v>
      </c>
      <c r="AN11" s="94">
        <f t="shared" si="22"/>
        <v>3894.6882199999995</v>
      </c>
      <c r="AO11" s="95">
        <f t="shared" si="24"/>
        <v>33767.008316836764</v>
      </c>
      <c r="AP11" s="96"/>
      <c r="AQ11" s="97">
        <f t="shared" si="5"/>
        <v>1306.9434615384614</v>
      </c>
      <c r="AR11" s="98">
        <f t="shared" si="6"/>
        <v>123.09</v>
      </c>
      <c r="AS11" s="98">
        <f t="shared" si="7"/>
        <v>487.74807692307706</v>
      </c>
      <c r="AT11" s="98">
        <f t="shared" si="8"/>
        <v>113.00329113924037</v>
      </c>
      <c r="AU11" s="98">
        <f t="shared" si="23"/>
        <v>94.075949367088612</v>
      </c>
      <c r="AV11" s="98">
        <f t="array" ref="AV11">_xlfn.IFS(U11=0,AO11,U11&lt;0,AO11/-U11,U11&gt;0,AO11/U11)</f>
        <v>432.91036303636878</v>
      </c>
      <c r="AW11" s="234">
        <f t="shared" ref="AW11:AW28" si="31">IF(AQ11=0,0,AV11/AQ11)</f>
        <v>0.33123878406091928</v>
      </c>
      <c r="AX11" s="234">
        <f t="shared" ref="AX11:AX28" si="32">IF(AR11=0,0,AV11/AR11)</f>
        <v>3.5170230159750488</v>
      </c>
      <c r="AY11" s="99"/>
      <c r="AZ11" s="94">
        <f t="shared" si="11"/>
        <v>317323.29610565829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9"/>
        <v>6016</v>
      </c>
      <c r="F12" s="93">
        <v>108</v>
      </c>
      <c r="G12" s="93">
        <v>42</v>
      </c>
      <c r="H12" s="93">
        <v>637</v>
      </c>
      <c r="I12" s="93">
        <v>1</v>
      </c>
      <c r="J12" s="93">
        <v>5228</v>
      </c>
      <c r="K12" s="92">
        <v>117.24</v>
      </c>
      <c r="L12" s="92">
        <f>E12*K12</f>
        <v>705315.83999999997</v>
      </c>
      <c r="M12" s="89">
        <v>22</v>
      </c>
      <c r="N12" s="89">
        <v>178</v>
      </c>
      <c r="O12" s="89">
        <v>1354</v>
      </c>
      <c r="P12" s="89">
        <v>62</v>
      </c>
      <c r="Q12" s="233">
        <f t="shared" si="12"/>
        <v>25.428571428571427</v>
      </c>
      <c r="R12" s="92">
        <f t="shared" si="13"/>
        <v>14.142857142857142</v>
      </c>
      <c r="S12" s="93">
        <v>100</v>
      </c>
      <c r="T12" s="93">
        <v>-1</v>
      </c>
      <c r="U12" s="92">
        <f t="shared" si="14"/>
        <v>99</v>
      </c>
      <c r="V12" s="93">
        <v>91069.180000000022</v>
      </c>
      <c r="W12" s="93">
        <v>-904</v>
      </c>
      <c r="X12" s="92">
        <f t="shared" si="15"/>
        <v>90165.180000000022</v>
      </c>
      <c r="Y12" s="93">
        <v>135656.36999999997</v>
      </c>
      <c r="Z12" s="93">
        <v>-1378</v>
      </c>
      <c r="AA12" s="92">
        <f t="shared" si="16"/>
        <v>134278.36999999997</v>
      </c>
      <c r="AB12" s="92">
        <f t="shared" si="17"/>
        <v>149427.44</v>
      </c>
      <c r="AC12" s="234">
        <f t="shared" si="18"/>
        <v>4.6769320348018263E-2</v>
      </c>
      <c r="AD12" s="92">
        <f t="shared" si="19"/>
        <v>11606.76</v>
      </c>
      <c r="AE12" s="93">
        <v>50679.119999999988</v>
      </c>
      <c r="AF12" s="234">
        <f t="shared" si="20"/>
        <v>0.37741834369898891</v>
      </c>
      <c r="AG12" s="93">
        <v>12425.95</v>
      </c>
      <c r="AH12" s="93">
        <v>4051</v>
      </c>
      <c r="AI12" s="93">
        <v>18982</v>
      </c>
      <c r="AJ12" s="93"/>
      <c r="AK12" s="93"/>
      <c r="AL12" s="122">
        <f t="shared" si="21"/>
        <v>594.38246113551872</v>
      </c>
      <c r="AM12" s="93">
        <v>0</v>
      </c>
      <c r="AN12" s="94">
        <f t="shared" si="22"/>
        <v>5148.431778000001</v>
      </c>
      <c r="AO12" s="95">
        <f t="shared" si="24"/>
        <v>30790.725760864476</v>
      </c>
      <c r="AP12" s="96"/>
      <c r="AQ12" s="97">
        <f t="shared" si="5"/>
        <v>1356.3471717171715</v>
      </c>
      <c r="AR12" s="98">
        <f t="shared" si="6"/>
        <v>117.24</v>
      </c>
      <c r="AS12" s="98">
        <f t="shared" si="7"/>
        <v>511.91030303030288</v>
      </c>
      <c r="AT12" s="98">
        <f t="shared" si="8"/>
        <v>124.2595</v>
      </c>
      <c r="AU12" s="98">
        <f t="shared" si="23"/>
        <v>230.33</v>
      </c>
      <c r="AV12" s="98">
        <f t="array" ref="AV12">_xlfn.IFS(U12=0,AO12,U12&lt;0,AO12/-U12,U12&gt;0,AO12/U12)</f>
        <v>311.01743192792401</v>
      </c>
      <c r="AW12" s="234">
        <f t="shared" si="31"/>
        <v>0.22930517968653091</v>
      </c>
      <c r="AX12" s="234">
        <f t="shared" si="32"/>
        <v>2.6528269526435007</v>
      </c>
      <c r="AY12" s="99"/>
      <c r="AZ12" s="94">
        <f t="shared" si="11"/>
        <v>1871080.8704783907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9"/>
        <v>2407</v>
      </c>
      <c r="F13" s="93">
        <v>208</v>
      </c>
      <c r="G13" s="93">
        <v>53</v>
      </c>
      <c r="H13" s="93">
        <v>902</v>
      </c>
      <c r="I13" s="93">
        <v>1</v>
      </c>
      <c r="J13" s="93">
        <v>1243</v>
      </c>
      <c r="K13" s="92">
        <v>123.09</v>
      </c>
      <c r="L13" s="92">
        <f t="shared" ref="L13:L28" si="33">E13*K13</f>
        <v>296277.63</v>
      </c>
      <c r="M13" s="89">
        <v>23</v>
      </c>
      <c r="N13" s="89">
        <v>331</v>
      </c>
      <c r="O13" s="89">
        <v>1575</v>
      </c>
      <c r="P13" s="89">
        <v>64</v>
      </c>
      <c r="Q13" s="233">
        <f t="shared" si="12"/>
        <v>47.285714285714285</v>
      </c>
      <c r="R13" s="92">
        <f t="shared" si="13"/>
        <v>25.857142857142858</v>
      </c>
      <c r="S13" s="93">
        <v>182</v>
      </c>
      <c r="T13" s="93">
        <v>-1</v>
      </c>
      <c r="U13" s="92">
        <f t="shared" si="14"/>
        <v>181</v>
      </c>
      <c r="V13" s="93">
        <v>197191.08</v>
      </c>
      <c r="W13" s="93">
        <v>-1189</v>
      </c>
      <c r="X13" s="92">
        <f t="shared" si="15"/>
        <v>196002.08</v>
      </c>
      <c r="Y13" s="93">
        <v>295841.33000000013</v>
      </c>
      <c r="Z13" s="93">
        <v>-1732</v>
      </c>
      <c r="AA13" s="92">
        <f t="shared" si="16"/>
        <v>294109.33000000013</v>
      </c>
      <c r="AB13" s="92">
        <f t="shared" si="17"/>
        <v>333648</v>
      </c>
      <c r="AC13" s="234">
        <f t="shared" si="18"/>
        <v>0.10243863901617981</v>
      </c>
      <c r="AD13" s="92">
        <f t="shared" si="19"/>
        <v>22279.29</v>
      </c>
      <c r="AE13" s="93">
        <v>111164.44000000015</v>
      </c>
      <c r="AF13" s="234">
        <f t="shared" si="20"/>
        <v>0.37796978422955879</v>
      </c>
      <c r="AG13" s="93">
        <v>22303.750000000025</v>
      </c>
      <c r="AH13" s="93">
        <v>6000</v>
      </c>
      <c r="AI13" s="93">
        <v>40366</v>
      </c>
      <c r="AJ13" s="93"/>
      <c r="AK13" s="93"/>
      <c r="AL13" s="122">
        <f t="shared" si="21"/>
        <v>841.65302973977691</v>
      </c>
      <c r="AM13" s="93">
        <v>2269</v>
      </c>
      <c r="AN13" s="94">
        <f t="shared" si="22"/>
        <v>11191.718767999999</v>
      </c>
      <c r="AO13" s="95">
        <f t="shared" si="24"/>
        <v>77693.478202260187</v>
      </c>
      <c r="AP13" s="96"/>
      <c r="AQ13" s="97">
        <f t="shared" si="5"/>
        <v>1624.9134254143653</v>
      </c>
      <c r="AR13" s="98">
        <f t="shared" si="6"/>
        <v>123.09</v>
      </c>
      <c r="AS13" s="98">
        <f t="shared" si="7"/>
        <v>614.16817679558096</v>
      </c>
      <c r="AT13" s="98">
        <f t="shared" si="8"/>
        <v>122.54807692307706</v>
      </c>
      <c r="AU13" s="98">
        <f t="shared" si="23"/>
        <v>254.75824175824175</v>
      </c>
      <c r="AV13" s="98">
        <f t="array" ref="AV13">_xlfn.IFS(U13=0,AO13,U13&lt;0,AO13/-U13,U13&gt;0,AO13/U13)</f>
        <v>429.24573592408944</v>
      </c>
      <c r="AW13" s="234">
        <f t="shared" si="31"/>
        <v>0.26416529595392352</v>
      </c>
      <c r="AX13" s="234">
        <f t="shared" si="32"/>
        <v>3.4872510839555564</v>
      </c>
      <c r="AY13" s="99"/>
      <c r="AZ13" s="94">
        <f t="shared" si="11"/>
        <v>1033194.4863692833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9"/>
        <v>2086</v>
      </c>
      <c r="F14" s="93">
        <v>29</v>
      </c>
      <c r="G14" s="93">
        <v>17</v>
      </c>
      <c r="H14" s="93">
        <v>454</v>
      </c>
      <c r="I14" s="93">
        <v>2</v>
      </c>
      <c r="J14" s="93">
        <v>1584</v>
      </c>
      <c r="K14" s="92">
        <v>123.09</v>
      </c>
      <c r="L14" s="92">
        <f t="shared" si="33"/>
        <v>256765.74000000002</v>
      </c>
      <c r="M14" s="89">
        <v>44</v>
      </c>
      <c r="N14" s="89">
        <v>40</v>
      </c>
      <c r="O14" s="89">
        <v>1308</v>
      </c>
      <c r="P14" s="89">
        <v>65</v>
      </c>
      <c r="Q14" s="233">
        <f t="shared" si="12"/>
        <v>5.7142857142857144</v>
      </c>
      <c r="R14" s="92">
        <f t="shared" si="13"/>
        <v>3.4285714285714284</v>
      </c>
      <c r="S14" s="93">
        <v>28</v>
      </c>
      <c r="T14" s="93">
        <v>-4</v>
      </c>
      <c r="U14" s="92">
        <f t="shared" si="14"/>
        <v>24</v>
      </c>
      <c r="V14" s="93">
        <v>23678.18</v>
      </c>
      <c r="W14" s="93">
        <v>-3433</v>
      </c>
      <c r="X14" s="92">
        <f t="shared" si="15"/>
        <v>20245.18</v>
      </c>
      <c r="Y14" s="93">
        <v>35338.359999999993</v>
      </c>
      <c r="Z14" s="93">
        <v>-5229.28</v>
      </c>
      <c r="AA14" s="92">
        <f t="shared" si="16"/>
        <v>30109.079999999994</v>
      </c>
      <c r="AB14" s="92">
        <f t="shared" si="17"/>
        <v>34008</v>
      </c>
      <c r="AC14" s="234">
        <f t="shared" si="18"/>
        <v>1.0487029354795636E-2</v>
      </c>
      <c r="AD14" s="92">
        <f t="shared" si="19"/>
        <v>2954.16</v>
      </c>
      <c r="AE14" s="93">
        <v>10736.169999999991</v>
      </c>
      <c r="AF14" s="234">
        <f t="shared" si="20"/>
        <v>0.3565758236385832</v>
      </c>
      <c r="AG14" s="93">
        <v>4481.0299999999943</v>
      </c>
      <c r="AH14" s="93">
        <v>188</v>
      </c>
      <c r="AI14" s="93">
        <v>2656</v>
      </c>
      <c r="AJ14" s="93"/>
      <c r="AK14" s="93"/>
      <c r="AL14" s="122">
        <f t="shared" si="21"/>
        <v>423.62580432578568</v>
      </c>
      <c r="AM14" s="93">
        <v>0</v>
      </c>
      <c r="AN14" s="94">
        <f t="shared" si="22"/>
        <v>1155.9997779999999</v>
      </c>
      <c r="AO14" s="95">
        <f t="shared" si="24"/>
        <v>7514.0944176742232</v>
      </c>
      <c r="AP14" s="96"/>
      <c r="AQ14" s="97">
        <f t="shared" si="5"/>
        <v>1254.5449999999998</v>
      </c>
      <c r="AR14" s="98">
        <f t="shared" si="6"/>
        <v>123.09</v>
      </c>
      <c r="AS14" s="98">
        <f t="shared" si="7"/>
        <v>447.34041666666627</v>
      </c>
      <c r="AT14" s="98">
        <f t="shared" si="8"/>
        <v>160.03678571428551</v>
      </c>
      <c r="AU14" s="98">
        <f t="shared" si="23"/>
        <v>101.57142857142857</v>
      </c>
      <c r="AV14" s="98">
        <f t="array" ref="AV14">_xlfn.IFS(U14=0,AO14,U14&lt;0,AO14/-U14,U14&gt;0,AO14/U14)</f>
        <v>313.08726740309265</v>
      </c>
      <c r="AW14" s="234">
        <f t="shared" si="31"/>
        <v>0.24956240501782934</v>
      </c>
      <c r="AX14" s="234">
        <f t="shared" si="32"/>
        <v>2.5435637939970155</v>
      </c>
      <c r="AY14" s="99"/>
      <c r="AZ14" s="94">
        <f t="shared" si="11"/>
        <v>653100.03980285127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9"/>
        <v>4156</v>
      </c>
      <c r="F15" s="93">
        <v>46</v>
      </c>
      <c r="G15" s="93">
        <v>8</v>
      </c>
      <c r="H15" s="93">
        <v>348</v>
      </c>
      <c r="I15" s="93">
        <v>0</v>
      </c>
      <c r="J15" s="93">
        <v>3754</v>
      </c>
      <c r="K15" s="92">
        <v>123.09</v>
      </c>
      <c r="L15" s="92">
        <f t="shared" si="33"/>
        <v>511562.04000000004</v>
      </c>
      <c r="M15" s="89">
        <v>48</v>
      </c>
      <c r="N15" s="89">
        <v>79</v>
      </c>
      <c r="O15" s="89">
        <v>1280</v>
      </c>
      <c r="P15" s="89">
        <v>67</v>
      </c>
      <c r="Q15" s="233">
        <f t="shared" si="12"/>
        <v>11.285714285714286</v>
      </c>
      <c r="R15" s="92">
        <f t="shared" si="13"/>
        <v>7.8571428571428568</v>
      </c>
      <c r="S15" s="93">
        <v>56</v>
      </c>
      <c r="T15" s="93">
        <v>-1</v>
      </c>
      <c r="U15" s="92">
        <f t="shared" si="14"/>
        <v>55</v>
      </c>
      <c r="V15" s="93">
        <v>48278.71</v>
      </c>
      <c r="W15" s="93">
        <v>-834</v>
      </c>
      <c r="X15" s="92">
        <f t="shared" si="15"/>
        <v>47444.71</v>
      </c>
      <c r="Y15" s="93">
        <v>72423.67</v>
      </c>
      <c r="Z15" s="93">
        <v>-1253</v>
      </c>
      <c r="AA15" s="92">
        <f t="shared" si="16"/>
        <v>71170.67</v>
      </c>
      <c r="AB15" s="92">
        <f t="shared" si="17"/>
        <v>67750.399999999994</v>
      </c>
      <c r="AC15" s="234">
        <f t="shared" si="18"/>
        <v>2.478883132564905E-2</v>
      </c>
      <c r="AD15" s="92">
        <f t="shared" si="19"/>
        <v>6769.95</v>
      </c>
      <c r="AE15" s="93">
        <v>26966.730000000003</v>
      </c>
      <c r="AF15" s="234">
        <f t="shared" si="20"/>
        <v>0.37890229219424243</v>
      </c>
      <c r="AG15" s="93">
        <v>5351.809999999994</v>
      </c>
      <c r="AH15" s="93">
        <v>536</v>
      </c>
      <c r="AI15" s="93">
        <v>2975</v>
      </c>
      <c r="AJ15" s="93"/>
      <c r="AK15" s="93"/>
      <c r="AL15" s="122">
        <f t="shared" si="21"/>
        <v>324.71757688408246</v>
      </c>
      <c r="AM15" s="93">
        <v>0</v>
      </c>
      <c r="AN15" s="94">
        <f t="shared" si="22"/>
        <v>2709.0929409999999</v>
      </c>
      <c r="AO15" s="95">
        <f t="shared" si="24"/>
        <v>25537.369482115922</v>
      </c>
      <c r="AP15" s="96"/>
      <c r="AQ15" s="97">
        <f t="shared" si="5"/>
        <v>1294.0121818181817</v>
      </c>
      <c r="AR15" s="98">
        <f t="shared" si="6"/>
        <v>123.09</v>
      </c>
      <c r="AS15" s="98">
        <f t="shared" si="7"/>
        <v>490.30418181818186</v>
      </c>
      <c r="AT15" s="98">
        <f t="shared" si="8"/>
        <v>95.568035714285614</v>
      </c>
      <c r="AU15" s="98">
        <f t="shared" si="23"/>
        <v>62.696428571428569</v>
      </c>
      <c r="AV15" s="98">
        <f t="array" ref="AV15">_xlfn.IFS(U15=0,AO15,U15&lt;0,AO15/-U15,U15&gt;0,AO15/U15)</f>
        <v>464.31580876574407</v>
      </c>
      <c r="AW15" s="234">
        <f t="shared" si="31"/>
        <v>0.35881873083555244</v>
      </c>
      <c r="AX15" s="234">
        <f t="shared" si="32"/>
        <v>3.7721651536740928</v>
      </c>
      <c r="AY15" s="99"/>
      <c r="AZ15" s="94">
        <f t="shared" si="11"/>
        <v>1929696.5012304324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9"/>
        <v>2391</v>
      </c>
      <c r="F16" s="93">
        <v>122</v>
      </c>
      <c r="G16" s="93">
        <v>25</v>
      </c>
      <c r="H16" s="93">
        <v>688</v>
      </c>
      <c r="I16" s="93">
        <v>2</v>
      </c>
      <c r="J16" s="93">
        <v>1554</v>
      </c>
      <c r="K16" s="92">
        <v>117.24</v>
      </c>
      <c r="L16" s="92">
        <f t="shared" si="33"/>
        <v>280320.83999999997</v>
      </c>
      <c r="M16" s="89">
        <v>22</v>
      </c>
      <c r="N16" s="89">
        <v>208</v>
      </c>
      <c r="O16" s="89">
        <v>1513</v>
      </c>
      <c r="P16" s="89">
        <v>77</v>
      </c>
      <c r="Q16" s="233">
        <f t="shared" si="12"/>
        <v>29.714285714285715</v>
      </c>
      <c r="R16" s="92">
        <f t="shared" si="13"/>
        <v>24</v>
      </c>
      <c r="S16" s="93">
        <v>170</v>
      </c>
      <c r="T16" s="93">
        <v>-2</v>
      </c>
      <c r="U16" s="92">
        <f t="shared" si="14"/>
        <v>168</v>
      </c>
      <c r="V16" s="93">
        <v>172297.77000000002</v>
      </c>
      <c r="W16" s="93">
        <v>-2123</v>
      </c>
      <c r="X16" s="92">
        <f t="shared" si="15"/>
        <v>170174.77000000002</v>
      </c>
      <c r="Y16" s="93">
        <v>257246.15000000002</v>
      </c>
      <c r="Z16" s="93">
        <v>-3026</v>
      </c>
      <c r="AA16" s="92">
        <f t="shared" si="16"/>
        <v>254220.15000000002</v>
      </c>
      <c r="AB16" s="92">
        <f t="shared" si="17"/>
        <v>242322.08</v>
      </c>
      <c r="AC16" s="234">
        <f t="shared" si="18"/>
        <v>8.8545188880914019E-2</v>
      </c>
      <c r="AD16" s="92">
        <f t="shared" si="19"/>
        <v>19696.32</v>
      </c>
      <c r="AE16" s="93">
        <v>96099.590000000011</v>
      </c>
      <c r="AF16" s="234">
        <f t="shared" si="20"/>
        <v>0.37801720280630785</v>
      </c>
      <c r="AG16" s="93">
        <v>15230.879999999976</v>
      </c>
      <c r="AH16" s="93">
        <v>1708</v>
      </c>
      <c r="AI16" s="93">
        <v>11915</v>
      </c>
      <c r="AJ16" s="93"/>
      <c r="AK16" s="93"/>
      <c r="AL16" s="122">
        <f t="shared" si="21"/>
        <v>641.97038188577221</v>
      </c>
      <c r="AM16" s="93">
        <v>0</v>
      </c>
      <c r="AN16" s="94">
        <f t="shared" si="22"/>
        <v>9716.9793669999999</v>
      </c>
      <c r="AO16" s="95">
        <f t="shared" si="24"/>
        <v>99211.410251114256</v>
      </c>
      <c r="AP16" s="96"/>
      <c r="AQ16" s="97">
        <f t="shared" si="5"/>
        <v>1513.2151785714286</v>
      </c>
      <c r="AR16" s="98">
        <f t="shared" si="6"/>
        <v>117.24</v>
      </c>
      <c r="AS16" s="98">
        <f t="shared" si="7"/>
        <v>572.02136904761915</v>
      </c>
      <c r="AT16" s="98">
        <f t="shared" si="8"/>
        <v>89.593411764705735</v>
      </c>
      <c r="AU16" s="98">
        <f t="shared" si="23"/>
        <v>80.135294117647064</v>
      </c>
      <c r="AV16" s="98">
        <f t="array" ref="AV16">_xlfn.IFS(U16=0,AO16,U16&lt;0,AO16/-U16,U16&gt;0,AO16/U16)</f>
        <v>590.54410863758483</v>
      </c>
      <c r="AW16" s="234">
        <f t="shared" si="31"/>
        <v>0.39025785426967236</v>
      </c>
      <c r="AX16" s="234">
        <f t="shared" si="32"/>
        <v>5.0370531272397203</v>
      </c>
      <c r="AY16" s="99"/>
      <c r="AZ16" s="94">
        <f t="shared" si="11"/>
        <v>1411990.9637524653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9"/>
        <v>1543</v>
      </c>
      <c r="F17" s="93">
        <v>29</v>
      </c>
      <c r="G17" s="93">
        <v>7</v>
      </c>
      <c r="H17" s="93">
        <v>113</v>
      </c>
      <c r="I17" s="93">
        <v>1</v>
      </c>
      <c r="J17" s="93">
        <v>1393</v>
      </c>
      <c r="K17" s="93">
        <v>123.09</v>
      </c>
      <c r="L17" s="92">
        <f t="shared" si="33"/>
        <v>189927.87</v>
      </c>
      <c r="M17" s="89">
        <v>24</v>
      </c>
      <c r="N17" s="89">
        <v>42</v>
      </c>
      <c r="O17" s="89">
        <v>1480</v>
      </c>
      <c r="P17" s="89">
        <v>58</v>
      </c>
      <c r="Q17" s="233">
        <f t="shared" si="12"/>
        <v>6</v>
      </c>
      <c r="R17" s="92">
        <f t="shared" si="13"/>
        <v>2.8571428571428572</v>
      </c>
      <c r="S17" s="93">
        <v>21</v>
      </c>
      <c r="T17" s="93">
        <v>-1</v>
      </c>
      <c r="U17" s="92">
        <f t="shared" si="14"/>
        <v>20</v>
      </c>
      <c r="V17" s="93">
        <v>20819.189999999999</v>
      </c>
      <c r="W17" s="93">
        <v>-957</v>
      </c>
      <c r="X17" s="92">
        <f t="shared" si="15"/>
        <v>19862.189999999999</v>
      </c>
      <c r="Y17" s="93">
        <v>30943.18</v>
      </c>
      <c r="Z17" s="93">
        <v>-1480</v>
      </c>
      <c r="AA17" s="92">
        <f t="shared" si="16"/>
        <v>29463.18</v>
      </c>
      <c r="AB17" s="92">
        <f t="shared" si="17"/>
        <v>36052.800000000003</v>
      </c>
      <c r="AC17" s="234">
        <f t="shared" si="18"/>
        <v>1.0262061595559471E-2</v>
      </c>
      <c r="AD17" s="92">
        <f t="shared" si="19"/>
        <v>2461.8000000000002</v>
      </c>
      <c r="AE17" s="93">
        <v>11198.23</v>
      </c>
      <c r="AF17" s="234">
        <f t="shared" si="20"/>
        <v>0.38007540258722922</v>
      </c>
      <c r="AG17" s="93">
        <v>2620.6600000000017</v>
      </c>
      <c r="AH17" s="93"/>
      <c r="AI17" s="93">
        <v>3789</v>
      </c>
      <c r="AJ17" s="93"/>
      <c r="AK17" s="93"/>
      <c r="AL17" s="122">
        <f t="shared" si="21"/>
        <v>105.43990283879688</v>
      </c>
      <c r="AM17" s="93">
        <v>0</v>
      </c>
      <c r="AN17" s="94">
        <f t="shared" si="22"/>
        <v>1134.1310489999998</v>
      </c>
      <c r="AO17" s="95">
        <f t="shared" si="24"/>
        <v>8153.919048161204</v>
      </c>
      <c r="AP17" s="96"/>
      <c r="AQ17" s="97">
        <f t="shared" si="5"/>
        <v>1473.1590000000001</v>
      </c>
      <c r="AR17" s="98">
        <f t="shared" si="6"/>
        <v>123.09</v>
      </c>
      <c r="AS17" s="98">
        <f t="shared" si="7"/>
        <v>559.91149999999993</v>
      </c>
      <c r="AT17" s="98">
        <f t="shared" si="8"/>
        <v>124.79333333333341</v>
      </c>
      <c r="AU17" s="98">
        <f t="shared" si="23"/>
        <v>180.42857142857142</v>
      </c>
      <c r="AV17" s="98">
        <f t="array" ref="AV17">_xlfn.IFS(U17=0,AO17,U17&lt;0,AO17/-U17,U17&gt;0,AO17/U17)</f>
        <v>407.69595240806018</v>
      </c>
      <c r="AW17" s="234">
        <f t="shared" si="31"/>
        <v>0.27674945637779774</v>
      </c>
      <c r="AX17" s="234">
        <f t="shared" si="32"/>
        <v>3.3121776944354551</v>
      </c>
      <c r="AY17" s="99"/>
      <c r="AZ17" s="94">
        <f t="shared" si="11"/>
        <v>629074.85456563684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9"/>
        <v>1420</v>
      </c>
      <c r="F18" s="93">
        <v>42</v>
      </c>
      <c r="G18" s="93">
        <v>18</v>
      </c>
      <c r="H18" s="93">
        <v>399</v>
      </c>
      <c r="I18" s="93">
        <v>2</v>
      </c>
      <c r="J18" s="93">
        <v>959</v>
      </c>
      <c r="K18" s="93">
        <v>123.09</v>
      </c>
      <c r="L18" s="92">
        <f t="shared" si="33"/>
        <v>174787.80000000002</v>
      </c>
      <c r="M18" s="89">
        <v>107</v>
      </c>
      <c r="N18" s="89">
        <v>69</v>
      </c>
      <c r="O18" s="89">
        <v>1839</v>
      </c>
      <c r="P18" s="89">
        <v>41</v>
      </c>
      <c r="Q18" s="233">
        <f t="shared" si="12"/>
        <v>9.8571428571428577</v>
      </c>
      <c r="R18" s="92">
        <f t="shared" si="13"/>
        <v>4.1428571428571432</v>
      </c>
      <c r="S18" s="93">
        <v>29</v>
      </c>
      <c r="T18" s="93">
        <v>0</v>
      </c>
      <c r="U18" s="92">
        <f t="shared" si="14"/>
        <v>29</v>
      </c>
      <c r="V18" s="93">
        <v>34931</v>
      </c>
      <c r="W18" s="93">
        <v>0</v>
      </c>
      <c r="X18" s="92">
        <f t="shared" si="15"/>
        <v>34931</v>
      </c>
      <c r="Y18" s="93">
        <v>52960.98</v>
      </c>
      <c r="Z18" s="93">
        <v>0</v>
      </c>
      <c r="AA18" s="92">
        <f t="shared" si="16"/>
        <v>52960.98</v>
      </c>
      <c r="AB18" s="92">
        <f t="shared" si="17"/>
        <v>52025.31</v>
      </c>
      <c r="AC18" s="234">
        <f t="shared" si="18"/>
        <v>1.844637404791992E-2</v>
      </c>
      <c r="AD18" s="92">
        <f t="shared" si="19"/>
        <v>3569.61</v>
      </c>
      <c r="AE18" s="93">
        <v>19919.849999999999</v>
      </c>
      <c r="AF18" s="234">
        <f t="shared" si="20"/>
        <v>0.37612313820476884</v>
      </c>
      <c r="AG18" s="93">
        <v>4261.2000000000025</v>
      </c>
      <c r="AH18" s="93"/>
      <c r="AI18" s="93">
        <v>13350</v>
      </c>
      <c r="AJ18" s="93"/>
      <c r="AK18" s="93"/>
      <c r="AL18" s="122">
        <f t="shared" si="21"/>
        <v>372.30549763433595</v>
      </c>
      <c r="AM18" s="93">
        <v>0</v>
      </c>
      <c r="AN18" s="94">
        <f t="shared" si="22"/>
        <v>1994.5600999999999</v>
      </c>
      <c r="AO18" s="95">
        <f t="shared" si="24"/>
        <v>9493.4544023656636</v>
      </c>
      <c r="AP18" s="96"/>
      <c r="AQ18" s="97">
        <f t="shared" si="5"/>
        <v>1826.2406896551724</v>
      </c>
      <c r="AR18" s="98">
        <f t="shared" si="6"/>
        <v>123.09</v>
      </c>
      <c r="AS18" s="98">
        <f t="shared" si="7"/>
        <v>686.89137931034475</v>
      </c>
      <c r="AT18" s="98">
        <f t="shared" si="8"/>
        <v>146.93793103448286</v>
      </c>
      <c r="AU18" s="98">
        <f t="shared" si="23"/>
        <v>460.34482758620692</v>
      </c>
      <c r="AV18" s="98">
        <f t="array" ref="AV18">_xlfn.IFS(U18=0,AO18,U18&lt;0,AO18/-U18,U18&gt;0,AO18/U18)</f>
        <v>327.36049663329874</v>
      </c>
      <c r="AW18" s="234">
        <f t="shared" si="31"/>
        <v>0.17925375252432382</v>
      </c>
      <c r="AX18" s="234">
        <f t="shared" si="32"/>
        <v>2.6595214609903222</v>
      </c>
      <c r="AY18" s="99"/>
      <c r="AZ18" s="94">
        <f t="shared" si="11"/>
        <v>464851.90521928424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9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3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2"/>
        <v>0</v>
      </c>
      <c r="R19" s="92">
        <f t="shared" si="13"/>
        <v>0</v>
      </c>
      <c r="S19" s="93">
        <v>0</v>
      </c>
      <c r="T19" s="93">
        <v>0</v>
      </c>
      <c r="U19" s="92">
        <f t="shared" si="14"/>
        <v>0</v>
      </c>
      <c r="V19" s="93">
        <v>0</v>
      </c>
      <c r="W19" s="93">
        <v>0</v>
      </c>
      <c r="X19" s="92">
        <f t="shared" si="15"/>
        <v>0</v>
      </c>
      <c r="Y19" s="93">
        <v>0</v>
      </c>
      <c r="Z19" s="93">
        <v>0</v>
      </c>
      <c r="AA19" s="92">
        <f t="shared" si="16"/>
        <v>0</v>
      </c>
      <c r="AB19" s="92">
        <f t="shared" si="17"/>
        <v>0</v>
      </c>
      <c r="AC19" s="234">
        <f t="shared" si="18"/>
        <v>0</v>
      </c>
      <c r="AD19" s="92">
        <f t="shared" si="19"/>
        <v>0</v>
      </c>
      <c r="AE19" s="93">
        <v>0</v>
      </c>
      <c r="AF19" s="234">
        <f t="shared" si="20"/>
        <v>0</v>
      </c>
      <c r="AG19" s="93">
        <v>0</v>
      </c>
      <c r="AH19" s="93"/>
      <c r="AI19" s="93"/>
      <c r="AJ19" s="93"/>
      <c r="AK19" s="93"/>
      <c r="AL19" s="122">
        <f t="shared" si="21"/>
        <v>0</v>
      </c>
      <c r="AM19" s="93">
        <v>0</v>
      </c>
      <c r="AN19" s="94">
        <f t="shared" si="22"/>
        <v>0</v>
      </c>
      <c r="AO19" s="95">
        <f t="shared" si="24"/>
        <v>0</v>
      </c>
      <c r="AP19" s="96"/>
      <c r="AQ19" s="97">
        <f t="shared" si="5"/>
        <v>0</v>
      </c>
      <c r="AR19" s="98">
        <f t="shared" si="6"/>
        <v>123.09</v>
      </c>
      <c r="AS19" s="98">
        <f t="shared" si="7"/>
        <v>0</v>
      </c>
      <c r="AT19" s="98">
        <f t="shared" si="8"/>
        <v>0</v>
      </c>
      <c r="AU19" s="98">
        <f t="shared" si="23"/>
        <v>0</v>
      </c>
      <c r="AV19" s="98">
        <f t="array" ref="AV19">_xlfn.IFS(U19=0,AO19,U19&lt;0,AO19/-U19,U19&gt;0,AO19/U19)</f>
        <v>0</v>
      </c>
      <c r="AW19" s="234">
        <f t="shared" si="31"/>
        <v>0</v>
      </c>
      <c r="AX19" s="234">
        <f t="shared" si="32"/>
        <v>0</v>
      </c>
      <c r="AY19" s="99"/>
      <c r="AZ19" s="94">
        <f t="shared" si="11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9"/>
        <v>300</v>
      </c>
      <c r="F20" s="93">
        <v>1</v>
      </c>
      <c r="G20" s="93" t="s">
        <v>100</v>
      </c>
      <c r="H20" s="93">
        <v>157</v>
      </c>
      <c r="I20" s="93">
        <v>1</v>
      </c>
      <c r="J20" s="93">
        <v>141</v>
      </c>
      <c r="K20" s="93">
        <v>117.24</v>
      </c>
      <c r="L20" s="92">
        <f t="shared" si="33"/>
        <v>35172</v>
      </c>
      <c r="M20" s="89">
        <v>102</v>
      </c>
      <c r="N20" s="89">
        <v>4</v>
      </c>
      <c r="O20" s="89">
        <v>1201</v>
      </c>
      <c r="P20" s="89">
        <v>33</v>
      </c>
      <c r="Q20" s="233">
        <f t="shared" si="12"/>
        <v>0.5714285714285714</v>
      </c>
      <c r="R20" s="92">
        <f t="shared" si="13"/>
        <v>0.5714285714285714</v>
      </c>
      <c r="S20" s="93">
        <v>5</v>
      </c>
      <c r="T20" s="93">
        <v>-1</v>
      </c>
      <c r="U20" s="92">
        <f t="shared" si="14"/>
        <v>4</v>
      </c>
      <c r="V20" s="93">
        <v>4280</v>
      </c>
      <c r="W20" s="93">
        <v>-824</v>
      </c>
      <c r="X20" s="92">
        <f t="shared" si="15"/>
        <v>3456</v>
      </c>
      <c r="Y20" s="93">
        <v>6397</v>
      </c>
      <c r="Z20" s="93">
        <v>-1201</v>
      </c>
      <c r="AA20" s="92">
        <f t="shared" si="16"/>
        <v>5196</v>
      </c>
      <c r="AB20" s="92">
        <f t="shared" si="17"/>
        <v>1585.32</v>
      </c>
      <c r="AC20" s="234">
        <f t="shared" si="18"/>
        <v>1.8097731490805478E-3</v>
      </c>
      <c r="AD20" s="92">
        <f t="shared" si="19"/>
        <v>468.96</v>
      </c>
      <c r="AE20" s="93">
        <v>1944.1499999999996</v>
      </c>
      <c r="AF20" s="234">
        <f t="shared" si="20"/>
        <v>0.37416281755196296</v>
      </c>
      <c r="AG20" s="93">
        <v>463.49</v>
      </c>
      <c r="AH20" s="93"/>
      <c r="AI20" s="93">
        <v>1081</v>
      </c>
      <c r="AJ20" s="93"/>
      <c r="AK20" s="93"/>
      <c r="AL20" s="122">
        <f t="shared" si="21"/>
        <v>146.49614819195673</v>
      </c>
      <c r="AM20" s="93">
        <v>0</v>
      </c>
      <c r="AN20" s="94">
        <f t="shared" si="22"/>
        <v>197.33759999999998</v>
      </c>
      <c r="AO20" s="95">
        <f t="shared" si="24"/>
        <v>894.56625180804383</v>
      </c>
      <c r="AP20" s="96"/>
      <c r="AQ20" s="97">
        <f t="shared" si="5"/>
        <v>1299</v>
      </c>
      <c r="AR20" s="98">
        <f>K20</f>
        <v>117.24</v>
      </c>
      <c r="AS20" s="98">
        <f t="shared" si="7"/>
        <v>486.03749999999991</v>
      </c>
      <c r="AT20" s="98">
        <f t="shared" si="8"/>
        <v>92.698000000000008</v>
      </c>
      <c r="AU20" s="98">
        <f t="shared" si="23"/>
        <v>216.2</v>
      </c>
      <c r="AV20" s="98">
        <f t="array" ref="AV20">_xlfn.IFS(U20=0,AO20,U20&lt;0,AO20/-U20,U20&gt;0,AO20/U20)</f>
        <v>223.64156295201096</v>
      </c>
      <c r="AW20" s="234">
        <f t="shared" si="31"/>
        <v>0.17216440565974669</v>
      </c>
      <c r="AX20" s="234">
        <f t="shared" si="32"/>
        <v>1.9075534199250339</v>
      </c>
      <c r="AY20" s="99"/>
      <c r="AZ20" s="94">
        <f t="shared" si="11"/>
        <v>67092.468885603288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9"/>
        <v>306</v>
      </c>
      <c r="F21" s="93">
        <v>4</v>
      </c>
      <c r="G21" s="93" t="s">
        <v>100</v>
      </c>
      <c r="H21" s="93">
        <v>154</v>
      </c>
      <c r="I21" s="93">
        <v>1</v>
      </c>
      <c r="J21" s="93">
        <v>147</v>
      </c>
      <c r="K21" s="93">
        <v>117.24</v>
      </c>
      <c r="L21" s="92">
        <f t="shared" si="33"/>
        <v>35875.439999999995</v>
      </c>
      <c r="M21" s="89">
        <v>117</v>
      </c>
      <c r="N21" s="89">
        <v>8</v>
      </c>
      <c r="O21" s="89">
        <v>1201</v>
      </c>
      <c r="P21" s="89">
        <v>33</v>
      </c>
      <c r="Q21" s="233">
        <f t="shared" si="12"/>
        <v>1.1428571428571428</v>
      </c>
      <c r="R21" s="92">
        <f t="shared" si="13"/>
        <v>0.2857142857142857</v>
      </c>
      <c r="S21" s="93">
        <v>3</v>
      </c>
      <c r="T21" s="93">
        <v>-1</v>
      </c>
      <c r="U21" s="92">
        <f t="shared" si="14"/>
        <v>2</v>
      </c>
      <c r="V21" s="93">
        <v>2406</v>
      </c>
      <c r="W21" s="93">
        <v>-824</v>
      </c>
      <c r="X21" s="92">
        <f t="shared" si="15"/>
        <v>1582</v>
      </c>
      <c r="Y21" s="93">
        <v>3577</v>
      </c>
      <c r="Z21" s="93">
        <v>-1201</v>
      </c>
      <c r="AA21" s="92">
        <f t="shared" si="16"/>
        <v>2376</v>
      </c>
      <c r="AB21" s="92">
        <f t="shared" si="17"/>
        <v>3170.64</v>
      </c>
      <c r="AC21" s="234">
        <f t="shared" si="18"/>
        <v>8.2756370327470769E-4</v>
      </c>
      <c r="AD21" s="92">
        <f t="shared" si="19"/>
        <v>234.48</v>
      </c>
      <c r="AE21" s="93">
        <v>900.81</v>
      </c>
      <c r="AF21" s="234">
        <f t="shared" si="20"/>
        <v>0.37912878787878784</v>
      </c>
      <c r="AG21" s="93">
        <v>498.53</v>
      </c>
      <c r="AH21" s="93">
        <v>791</v>
      </c>
      <c r="AI21" s="93">
        <v>532</v>
      </c>
      <c r="AJ21" s="93"/>
      <c r="AK21" s="93"/>
      <c r="AL21" s="122">
        <f t="shared" si="21"/>
        <v>143.69685873605945</v>
      </c>
      <c r="AM21" s="93">
        <v>0</v>
      </c>
      <c r="AN21" s="94">
        <f t="shared" si="22"/>
        <v>90.3322</v>
      </c>
      <c r="AO21" s="95">
        <f t="shared" si="24"/>
        <v>-814.84905873605931</v>
      </c>
      <c r="AP21" s="96"/>
      <c r="AQ21" s="97">
        <f t="shared" si="5"/>
        <v>1188</v>
      </c>
      <c r="AR21" s="98">
        <f t="shared" ref="AR21:AR98" si="34">K21</f>
        <v>117.24</v>
      </c>
      <c r="AS21" s="98">
        <f t="shared" si="7"/>
        <v>450.40499999999997</v>
      </c>
      <c r="AT21" s="98">
        <f t="shared" si="8"/>
        <v>166.17666666666665</v>
      </c>
      <c r="AU21" s="98">
        <f t="shared" si="23"/>
        <v>441</v>
      </c>
      <c r="AV21" s="98">
        <f t="array" ref="AV21">_xlfn.IFS(U21=0,AO21,U21&lt;0,AO21/-U21,U21&gt;0,AO21/U21)</f>
        <v>-407.42452936802965</v>
      </c>
      <c r="AW21" s="234">
        <f t="shared" si="31"/>
        <v>-0.3429499405454795</v>
      </c>
      <c r="AX21" s="234">
        <f t="shared" si="32"/>
        <v>-3.4751324579326992</v>
      </c>
      <c r="AY21" s="99"/>
      <c r="AZ21" s="94">
        <f t="shared" si="11"/>
        <v>-124671.90598661707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9"/>
        <v>296</v>
      </c>
      <c r="F22" s="93">
        <v>4</v>
      </c>
      <c r="G22" s="93" t="s">
        <v>100</v>
      </c>
      <c r="H22" s="93">
        <v>144</v>
      </c>
      <c r="I22" s="93">
        <v>1</v>
      </c>
      <c r="J22" s="93">
        <v>147</v>
      </c>
      <c r="K22" s="93">
        <v>117.24</v>
      </c>
      <c r="L22" s="92">
        <f t="shared" si="33"/>
        <v>34703.040000000001</v>
      </c>
      <c r="M22" s="89">
        <v>76</v>
      </c>
      <c r="N22" s="89">
        <v>8</v>
      </c>
      <c r="O22" s="89">
        <v>1201</v>
      </c>
      <c r="P22" s="89">
        <v>100</v>
      </c>
      <c r="Q22" s="233">
        <f t="shared" si="12"/>
        <v>1.1428571428571428</v>
      </c>
      <c r="R22" s="92">
        <f t="shared" si="13"/>
        <v>1</v>
      </c>
      <c r="S22" s="93">
        <v>7</v>
      </c>
      <c r="T22" s="93">
        <v>0</v>
      </c>
      <c r="U22" s="92">
        <f t="shared" si="14"/>
        <v>7</v>
      </c>
      <c r="V22" s="93">
        <v>5719.95</v>
      </c>
      <c r="W22" s="93">
        <v>0</v>
      </c>
      <c r="X22" s="92">
        <f t="shared" si="15"/>
        <v>5719.95</v>
      </c>
      <c r="Y22" s="93">
        <v>8418.66</v>
      </c>
      <c r="Z22" s="93">
        <v>0</v>
      </c>
      <c r="AA22" s="92">
        <f t="shared" si="16"/>
        <v>8418.66</v>
      </c>
      <c r="AB22" s="92">
        <f t="shared" si="17"/>
        <v>9608</v>
      </c>
      <c r="AC22" s="234">
        <f t="shared" si="18"/>
        <v>2.9322295649034727E-3</v>
      </c>
      <c r="AD22" s="92">
        <f t="shared" si="19"/>
        <v>820.68</v>
      </c>
      <c r="AE22" s="93">
        <v>3161.66</v>
      </c>
      <c r="AF22" s="234">
        <f t="shared" si="20"/>
        <v>0.37555382923173047</v>
      </c>
      <c r="AG22" s="93">
        <v>692.9899999999999</v>
      </c>
      <c r="AH22" s="93"/>
      <c r="AI22" s="93">
        <v>1000</v>
      </c>
      <c r="AJ22" s="93"/>
      <c r="AK22" s="93"/>
      <c r="AL22" s="122">
        <f t="shared" si="21"/>
        <v>134.36589388306859</v>
      </c>
      <c r="AM22" s="93">
        <v>0</v>
      </c>
      <c r="AN22" s="94">
        <f t="shared" si="22"/>
        <v>326.60914499999996</v>
      </c>
      <c r="AO22" s="95">
        <f t="shared" si="24"/>
        <v>2282.3549611169315</v>
      </c>
      <c r="AP22" s="96"/>
      <c r="AQ22" s="97">
        <f t="shared" si="5"/>
        <v>1202.6657142857143</v>
      </c>
      <c r="AR22" s="98">
        <f t="shared" si="34"/>
        <v>117.24</v>
      </c>
      <c r="AS22" s="98">
        <f t="shared" si="7"/>
        <v>451.66571428571427</v>
      </c>
      <c r="AT22" s="98">
        <f t="shared" si="8"/>
        <v>98.99857142857141</v>
      </c>
      <c r="AU22" s="98">
        <f t="shared" si="23"/>
        <v>142.85714285714286</v>
      </c>
      <c r="AV22" s="98">
        <f t="array" ref="AV22">_xlfn.IFS(U22=0,AO22,U22&lt;0,AO22/-U22,U22&gt;0,AO22/U22)</f>
        <v>326.05070873099021</v>
      </c>
      <c r="AW22" s="234">
        <f t="shared" si="31"/>
        <v>0.27110667981803888</v>
      </c>
      <c r="AX22" s="234">
        <f t="shared" si="32"/>
        <v>2.7810534692169075</v>
      </c>
      <c r="AY22" s="99"/>
      <c r="AZ22" s="94">
        <f t="shared" si="11"/>
        <v>96511.009784373106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9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3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2"/>
        <v>0</v>
      </c>
      <c r="R23" s="92">
        <f t="shared" si="13"/>
        <v>0</v>
      </c>
      <c r="S23" s="93">
        <v>0</v>
      </c>
      <c r="T23" s="93">
        <v>0</v>
      </c>
      <c r="U23" s="92">
        <f t="shared" si="14"/>
        <v>0</v>
      </c>
      <c r="V23" s="93">
        <v>0</v>
      </c>
      <c r="W23" s="93">
        <v>0</v>
      </c>
      <c r="X23" s="92">
        <f t="shared" si="15"/>
        <v>0</v>
      </c>
      <c r="Y23" s="93">
        <v>0</v>
      </c>
      <c r="Z23" s="93">
        <v>0</v>
      </c>
      <c r="AA23" s="92">
        <f t="shared" si="16"/>
        <v>0</v>
      </c>
      <c r="AB23" s="92">
        <f t="shared" si="17"/>
        <v>0</v>
      </c>
      <c r="AC23" s="234">
        <f t="shared" si="18"/>
        <v>0</v>
      </c>
      <c r="AD23" s="92">
        <f t="shared" si="19"/>
        <v>0</v>
      </c>
      <c r="AE23" s="93">
        <v>0</v>
      </c>
      <c r="AF23" s="234">
        <f t="shared" si="20"/>
        <v>0</v>
      </c>
      <c r="AG23" s="93">
        <v>0</v>
      </c>
      <c r="AH23" s="93"/>
      <c r="AI23" s="93"/>
      <c r="AJ23" s="93"/>
      <c r="AK23" s="93"/>
      <c r="AL23" s="122">
        <f t="shared" si="21"/>
        <v>0</v>
      </c>
      <c r="AM23" s="93">
        <v>0</v>
      </c>
      <c r="AN23" s="94">
        <f t="shared" si="22"/>
        <v>0</v>
      </c>
      <c r="AO23" s="95">
        <f t="shared" si="24"/>
        <v>0</v>
      </c>
      <c r="AP23" s="96"/>
      <c r="AQ23" s="97">
        <f t="shared" si="5"/>
        <v>0</v>
      </c>
      <c r="AR23" s="98">
        <f t="shared" si="34"/>
        <v>117.24</v>
      </c>
      <c r="AS23" s="98">
        <f t="shared" si="7"/>
        <v>0</v>
      </c>
      <c r="AT23" s="98">
        <f t="shared" si="8"/>
        <v>0</v>
      </c>
      <c r="AU23" s="98">
        <f t="shared" si="23"/>
        <v>0</v>
      </c>
      <c r="AV23" s="98">
        <f t="array" ref="AV23">_xlfn.IFS(U23=0,AO23,U23&lt;0,AO23/-U23,U23&gt;0,AO23/U23)</f>
        <v>0</v>
      </c>
      <c r="AW23" s="234">
        <f t="shared" si="31"/>
        <v>0</v>
      </c>
      <c r="AX23" s="234">
        <f t="shared" si="32"/>
        <v>0</v>
      </c>
      <c r="AY23" s="99"/>
      <c r="AZ23" s="94">
        <f t="shared" si="11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9"/>
        <v>27</v>
      </c>
      <c r="F24" s="93">
        <v>1</v>
      </c>
      <c r="G24" s="93" t="s">
        <v>100</v>
      </c>
      <c r="H24" s="93">
        <v>25</v>
      </c>
      <c r="I24" s="93">
        <v>1</v>
      </c>
      <c r="J24" s="93">
        <v>0</v>
      </c>
      <c r="K24" s="93">
        <v>117.24</v>
      </c>
      <c r="L24" s="92">
        <f t="shared" si="33"/>
        <v>3165.48</v>
      </c>
      <c r="M24" s="89">
        <v>129</v>
      </c>
      <c r="N24" s="89">
        <v>2</v>
      </c>
      <c r="O24" s="89">
        <v>918</v>
      </c>
      <c r="P24" s="89">
        <v>0</v>
      </c>
      <c r="Q24" s="233">
        <f t="shared" si="12"/>
        <v>0.2857142857142857</v>
      </c>
      <c r="R24" s="92">
        <f t="shared" si="13"/>
        <v>0.14285714285714285</v>
      </c>
      <c r="S24" s="93">
        <v>1</v>
      </c>
      <c r="T24" s="93">
        <v>0</v>
      </c>
      <c r="U24" s="92">
        <f t="shared" si="14"/>
        <v>1</v>
      </c>
      <c r="V24" s="93">
        <v>615</v>
      </c>
      <c r="W24" s="93">
        <v>0</v>
      </c>
      <c r="X24" s="92">
        <f t="shared" si="15"/>
        <v>615</v>
      </c>
      <c r="Y24" s="93">
        <v>918</v>
      </c>
      <c r="Z24" s="93">
        <v>0</v>
      </c>
      <c r="AA24" s="92">
        <f t="shared" si="16"/>
        <v>918</v>
      </c>
      <c r="AB24" s="92">
        <f t="shared" si="17"/>
        <v>0</v>
      </c>
      <c r="AC24" s="234">
        <f t="shared" si="18"/>
        <v>3.1974052171977345E-4</v>
      </c>
      <c r="AD24" s="92">
        <f t="shared" si="19"/>
        <v>117.24</v>
      </c>
      <c r="AE24" s="93">
        <v>348.20000000000005</v>
      </c>
      <c r="AF24" s="234">
        <f t="shared" si="20"/>
        <v>0.37930283224400879</v>
      </c>
      <c r="AG24" s="93">
        <v>124.82</v>
      </c>
      <c r="AH24" s="93"/>
      <c r="AI24" s="93"/>
      <c r="AJ24" s="93"/>
      <c r="AK24" s="93"/>
      <c r="AL24" s="122">
        <f t="shared" si="21"/>
        <v>23.327412132477189</v>
      </c>
      <c r="AM24" s="93">
        <v>0</v>
      </c>
      <c r="AN24" s="94">
        <f t="shared" si="22"/>
        <v>35.116500000000002</v>
      </c>
      <c r="AO24" s="95">
        <f t="shared" si="24"/>
        <v>269.29608786752271</v>
      </c>
      <c r="AP24" s="96"/>
      <c r="AQ24" s="97">
        <f t="shared" si="5"/>
        <v>918</v>
      </c>
      <c r="AR24" s="98">
        <f t="shared" si="34"/>
        <v>117.24</v>
      </c>
      <c r="AS24" s="98">
        <f t="shared" si="7"/>
        <v>348.20000000000005</v>
      </c>
      <c r="AT24" s="98">
        <f t="shared" si="8"/>
        <v>124.82</v>
      </c>
      <c r="AU24" s="98">
        <f t="shared" si="23"/>
        <v>0</v>
      </c>
      <c r="AV24" s="98">
        <f t="array" ref="AV24">_xlfn.IFS(U24=0,AO24,U24&lt;0,AO24/-U24,U24&gt;0,AO24/U24)</f>
        <v>269.29608786752271</v>
      </c>
      <c r="AW24" s="234">
        <f t="shared" si="31"/>
        <v>0.29335085824348878</v>
      </c>
      <c r="AX24" s="234">
        <f t="shared" si="32"/>
        <v>2.2969642431552604</v>
      </c>
      <c r="AY24" s="99"/>
      <c r="AZ24" s="94">
        <f t="shared" si="11"/>
        <v>7270.9943724231134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9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3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2"/>
        <v>0</v>
      </c>
      <c r="R25" s="92">
        <f t="shared" si="13"/>
        <v>0</v>
      </c>
      <c r="S25" s="93">
        <v>0</v>
      </c>
      <c r="T25" s="93">
        <v>0</v>
      </c>
      <c r="U25" s="92">
        <f t="shared" si="14"/>
        <v>0</v>
      </c>
      <c r="V25" s="93">
        <v>0</v>
      </c>
      <c r="W25" s="93">
        <v>0</v>
      </c>
      <c r="X25" s="92">
        <f t="shared" si="15"/>
        <v>0</v>
      </c>
      <c r="Y25" s="93">
        <v>0</v>
      </c>
      <c r="Z25" s="93">
        <v>0</v>
      </c>
      <c r="AA25" s="92">
        <f t="shared" si="16"/>
        <v>0</v>
      </c>
      <c r="AB25" s="92">
        <f t="shared" si="17"/>
        <v>0</v>
      </c>
      <c r="AC25" s="234">
        <f t="shared" si="18"/>
        <v>0</v>
      </c>
      <c r="AD25" s="92">
        <f t="shared" si="19"/>
        <v>0</v>
      </c>
      <c r="AE25" s="93">
        <v>0</v>
      </c>
      <c r="AF25" s="234">
        <f t="shared" si="20"/>
        <v>0</v>
      </c>
      <c r="AG25" s="93">
        <v>0</v>
      </c>
      <c r="AH25" s="93"/>
      <c r="AI25" s="93"/>
      <c r="AJ25" s="93"/>
      <c r="AK25" s="93"/>
      <c r="AL25" s="122">
        <f t="shared" si="21"/>
        <v>0</v>
      </c>
      <c r="AM25" s="93">
        <v>0</v>
      </c>
      <c r="AN25" s="94">
        <f t="shared" si="22"/>
        <v>0</v>
      </c>
      <c r="AO25" s="95">
        <f t="shared" si="24"/>
        <v>0</v>
      </c>
      <c r="AP25" s="96"/>
      <c r="AQ25" s="97">
        <f t="shared" si="5"/>
        <v>0</v>
      </c>
      <c r="AR25" s="98">
        <f t="shared" si="34"/>
        <v>117.24</v>
      </c>
      <c r="AS25" s="98">
        <f t="shared" si="7"/>
        <v>0</v>
      </c>
      <c r="AT25" s="98">
        <f t="shared" si="8"/>
        <v>0</v>
      </c>
      <c r="AU25" s="98">
        <f t="shared" si="23"/>
        <v>0</v>
      </c>
      <c r="AV25" s="98">
        <f t="array" ref="AV25">_xlfn.IFS(U25=0,AO25,U25&lt;0,AO25/-U25,U25&gt;0,AO25/U25)</f>
        <v>0</v>
      </c>
      <c r="AW25" s="234">
        <f t="shared" si="31"/>
        <v>0</v>
      </c>
      <c r="AX25" s="234">
        <f t="shared" si="32"/>
        <v>0</v>
      </c>
      <c r="AY25" s="99"/>
      <c r="AZ25" s="94">
        <f t="shared" si="11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9"/>
        <v>760</v>
      </c>
      <c r="F26" s="93">
        <v>5</v>
      </c>
      <c r="G26" s="93">
        <v>8</v>
      </c>
      <c r="H26" s="93">
        <v>359</v>
      </c>
      <c r="I26" s="93">
        <v>376</v>
      </c>
      <c r="J26" s="93">
        <v>12</v>
      </c>
      <c r="K26" s="93">
        <v>123.09</v>
      </c>
      <c r="L26" s="92">
        <f t="shared" si="33"/>
        <v>93548.400000000009</v>
      </c>
      <c r="M26" s="89">
        <v>999</v>
      </c>
      <c r="N26" s="89">
        <v>9</v>
      </c>
      <c r="O26" s="89">
        <v>1240</v>
      </c>
      <c r="P26" s="89">
        <v>17</v>
      </c>
      <c r="Q26" s="233">
        <f t="shared" si="12"/>
        <v>1.2857142857142858</v>
      </c>
      <c r="R26" s="92">
        <f t="shared" si="13"/>
        <v>0.7142857142857143</v>
      </c>
      <c r="S26" s="93">
        <v>5</v>
      </c>
      <c r="T26" s="93">
        <v>0</v>
      </c>
      <c r="U26" s="92">
        <f t="shared" si="14"/>
        <v>5</v>
      </c>
      <c r="V26" s="93">
        <v>3332</v>
      </c>
      <c r="W26" s="93">
        <v>0</v>
      </c>
      <c r="X26" s="92">
        <f t="shared" si="15"/>
        <v>3332</v>
      </c>
      <c r="Y26" s="93">
        <v>4960</v>
      </c>
      <c r="Z26" s="93">
        <v>0</v>
      </c>
      <c r="AA26" s="92">
        <f t="shared" si="16"/>
        <v>4960</v>
      </c>
      <c r="AB26" s="92">
        <f t="shared" si="17"/>
        <v>1897.2</v>
      </c>
      <c r="AC26" s="234">
        <f t="shared" si="18"/>
        <v>1.727574060708144E-3</v>
      </c>
      <c r="AD26" s="92">
        <f t="shared" si="19"/>
        <v>615.45000000000005</v>
      </c>
      <c r="AE26" s="93">
        <v>1538.4900000000002</v>
      </c>
      <c r="AF26" s="234">
        <f t="shared" si="20"/>
        <v>0.310179435483871</v>
      </c>
      <c r="AG26" s="93">
        <v>1332.0300000000002</v>
      </c>
      <c r="AH26" s="93">
        <v>53</v>
      </c>
      <c r="AI26" s="93">
        <v>379</v>
      </c>
      <c r="AJ26" s="93"/>
      <c r="AK26" s="93"/>
      <c r="AL26" s="122">
        <f t="shared" si="21"/>
        <v>334.9816382223724</v>
      </c>
      <c r="AM26" s="93">
        <v>0</v>
      </c>
      <c r="AN26" s="94">
        <f t="shared" si="22"/>
        <v>190.25719999999998</v>
      </c>
      <c r="AO26" s="95">
        <f t="shared" si="24"/>
        <v>516.79116177762739</v>
      </c>
      <c r="AP26" s="96"/>
      <c r="AQ26" s="97">
        <f t="shared" si="5"/>
        <v>992</v>
      </c>
      <c r="AR26" s="98">
        <f t="shared" si="34"/>
        <v>123.09</v>
      </c>
      <c r="AS26" s="98">
        <f t="shared" si="7"/>
        <v>307.69800000000004</v>
      </c>
      <c r="AT26" s="98">
        <f t="shared" si="8"/>
        <v>266.40600000000006</v>
      </c>
      <c r="AU26" s="98">
        <f t="shared" si="23"/>
        <v>86.4</v>
      </c>
      <c r="AV26" s="98">
        <f t="array" ref="AV26">_xlfn.IFS(U26=0,AO26,U26&lt;0,AO26/-U26,U26&gt;0,AO26/U26)</f>
        <v>103.35823235552547</v>
      </c>
      <c r="AW26" s="234">
        <f t="shared" si="31"/>
        <v>0.10419176648742487</v>
      </c>
      <c r="AX26" s="234">
        <f t="shared" si="32"/>
        <v>0.83969642014400414</v>
      </c>
      <c r="AY26" s="99"/>
      <c r="AZ26" s="94">
        <f t="shared" si="11"/>
        <v>78552.256590199366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9"/>
        <v>702</v>
      </c>
      <c r="F27" s="93">
        <v>3</v>
      </c>
      <c r="G27" s="93" t="s">
        <v>100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3"/>
        <v>127476.18000000001</v>
      </c>
      <c r="M27" s="89">
        <v>33</v>
      </c>
      <c r="N27" s="89">
        <v>5</v>
      </c>
      <c r="O27" s="89">
        <v>478</v>
      </c>
      <c r="P27" s="89">
        <v>100</v>
      </c>
      <c r="Q27" s="233">
        <f t="shared" si="12"/>
        <v>0.7142857142857143</v>
      </c>
      <c r="R27" s="92">
        <f t="shared" si="13"/>
        <v>0.2857142857142857</v>
      </c>
      <c r="S27" s="93">
        <v>2</v>
      </c>
      <c r="T27" s="93">
        <v>0</v>
      </c>
      <c r="U27" s="92">
        <f t="shared" si="14"/>
        <v>2</v>
      </c>
      <c r="V27" s="93">
        <v>651.91000000000008</v>
      </c>
      <c r="W27" s="93">
        <v>0</v>
      </c>
      <c r="X27" s="92">
        <f t="shared" si="15"/>
        <v>651.91000000000008</v>
      </c>
      <c r="Y27" s="93">
        <v>956.5</v>
      </c>
      <c r="Z27" s="93">
        <v>0</v>
      </c>
      <c r="AA27" s="92">
        <f t="shared" si="16"/>
        <v>956.5</v>
      </c>
      <c r="AB27" s="92">
        <f t="shared" si="17"/>
        <v>2390</v>
      </c>
      <c r="AC27" s="234">
        <f t="shared" si="18"/>
        <v>3.3315011876357655E-4</v>
      </c>
      <c r="AD27" s="92">
        <f t="shared" si="19"/>
        <v>363.18</v>
      </c>
      <c r="AE27" s="93">
        <v>360.34000000000003</v>
      </c>
      <c r="AF27" s="234">
        <f t="shared" si="20"/>
        <v>0.37672765290120236</v>
      </c>
      <c r="AG27" s="93">
        <v>163.30000000000001</v>
      </c>
      <c r="AH27" s="93"/>
      <c r="AI27" s="93"/>
      <c r="AJ27" s="93"/>
      <c r="AK27" s="93"/>
      <c r="AL27" s="122">
        <f t="shared" si="21"/>
        <v>0.93309648529908751</v>
      </c>
      <c r="AM27" s="93">
        <v>0</v>
      </c>
      <c r="AN27" s="94">
        <f t="shared" si="22"/>
        <v>37.224061000000006</v>
      </c>
      <c r="AO27" s="95">
        <f t="shared" si="24"/>
        <v>31.522842514700798</v>
      </c>
      <c r="AP27" s="96"/>
      <c r="AQ27" s="97">
        <f t="shared" si="5"/>
        <v>478.25</v>
      </c>
      <c r="AR27" s="98">
        <f t="shared" si="34"/>
        <v>181.59</v>
      </c>
      <c r="AS27" s="98">
        <f t="shared" si="7"/>
        <v>180.17000000000002</v>
      </c>
      <c r="AT27" s="98">
        <f t="shared" si="8"/>
        <v>81.650000000000006</v>
      </c>
      <c r="AU27" s="98">
        <f t="shared" si="23"/>
        <v>0</v>
      </c>
      <c r="AV27" s="98">
        <f t="array" ref="AV27">_xlfn.IFS(U27=0,AO27,U27&lt;0,AO27/-U27,U27&gt;0,AO27/U27)</f>
        <v>15.761421257350399</v>
      </c>
      <c r="AW27" s="234">
        <f t="shared" si="31"/>
        <v>3.2956448002823623E-2</v>
      </c>
      <c r="AX27" s="234">
        <f t="shared" si="32"/>
        <v>8.6796746832702235E-2</v>
      </c>
      <c r="AY27" s="99"/>
      <c r="AZ27" s="94">
        <f t="shared" si="11"/>
        <v>11064.517722659981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5">SUM(F28:J28)</f>
        <v>789</v>
      </c>
      <c r="F28" s="93">
        <v>73</v>
      </c>
      <c r="G28" s="93">
        <v>31</v>
      </c>
      <c r="H28" s="93">
        <v>685</v>
      </c>
      <c r="I28" s="93">
        <v>0</v>
      </c>
      <c r="J28" s="93">
        <v>0</v>
      </c>
      <c r="K28" s="93">
        <v>133.62</v>
      </c>
      <c r="L28" s="92">
        <f t="shared" si="33"/>
        <v>105426.18000000001</v>
      </c>
      <c r="M28" s="89">
        <v>227</v>
      </c>
      <c r="N28" s="89">
        <v>70</v>
      </c>
      <c r="O28" s="89">
        <v>1686</v>
      </c>
      <c r="P28" s="89">
        <v>34</v>
      </c>
      <c r="Q28" s="233">
        <f t="shared" si="12"/>
        <v>10</v>
      </c>
      <c r="R28" s="92">
        <f t="shared" si="13"/>
        <v>4.5714285714285712</v>
      </c>
      <c r="S28" s="93">
        <v>32</v>
      </c>
      <c r="T28" s="93">
        <v>0</v>
      </c>
      <c r="U28" s="92">
        <f t="shared" si="14"/>
        <v>32</v>
      </c>
      <c r="V28" s="93">
        <v>34996.699999999997</v>
      </c>
      <c r="W28" s="93">
        <v>0</v>
      </c>
      <c r="X28" s="92">
        <f t="shared" si="15"/>
        <v>34996.699999999997</v>
      </c>
      <c r="Y28" s="93">
        <v>52266.83</v>
      </c>
      <c r="Z28" s="93">
        <v>0</v>
      </c>
      <c r="AA28" s="92">
        <f t="shared" si="16"/>
        <v>52266.83</v>
      </c>
      <c r="AB28" s="92">
        <f t="shared" si="17"/>
        <v>40126.800000000003</v>
      </c>
      <c r="AC28" s="234">
        <f t="shared" si="18"/>
        <v>1.8204600754726259E-2</v>
      </c>
      <c r="AD28" s="92">
        <f t="shared" si="19"/>
        <v>4275.84</v>
      </c>
      <c r="AE28" s="93">
        <v>19419.840000000011</v>
      </c>
      <c r="AF28" s="234">
        <f t="shared" si="20"/>
        <v>0.3715519001248021</v>
      </c>
      <c r="AG28" s="93">
        <v>8129.1399999999521</v>
      </c>
      <c r="AH28" s="93">
        <v>1152</v>
      </c>
      <c r="AI28" s="93">
        <f>3648+920</f>
        <v>4568</v>
      </c>
      <c r="AJ28" s="93"/>
      <c r="AK28" s="93"/>
      <c r="AL28" s="122">
        <f t="shared" si="21"/>
        <v>639.17109242987499</v>
      </c>
      <c r="AM28" s="93">
        <v>0</v>
      </c>
      <c r="AN28" s="94">
        <f t="shared" si="22"/>
        <v>1998.3115699999998</v>
      </c>
      <c r="AO28" s="95">
        <f t="shared" si="24"/>
        <v>12084.527337570167</v>
      </c>
      <c r="AP28" s="96"/>
      <c r="AQ28" s="97">
        <f t="shared" si="5"/>
        <v>1633.3384375000001</v>
      </c>
      <c r="AR28" s="98">
        <f t="shared" si="34"/>
        <v>133.62</v>
      </c>
      <c r="AS28" s="98">
        <f t="shared" si="7"/>
        <v>606.87000000000035</v>
      </c>
      <c r="AT28" s="98">
        <f t="shared" si="8"/>
        <v>254.0356249999985</v>
      </c>
      <c r="AU28" s="98">
        <f t="shared" si="23"/>
        <v>178.75</v>
      </c>
      <c r="AV28" s="98">
        <f>_xlfn.IFS(U28=0,AO28,U28&lt;0,AO28/-U28,U28&gt;0,AO28/U28)</f>
        <v>377.64147929906773</v>
      </c>
      <c r="AW28" s="234">
        <f t="shared" si="31"/>
        <v>0.23120834643253027</v>
      </c>
      <c r="AX28" s="234">
        <f t="shared" si="32"/>
        <v>2.8262346901591657</v>
      </c>
      <c r="AY28" s="99"/>
      <c r="AZ28" s="94">
        <f t="shared" si="11"/>
        <v>297959.12716696446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2"/>
        <v>0</v>
      </c>
      <c r="R29" s="92">
        <f t="shared" si="13"/>
        <v>0</v>
      </c>
      <c r="S29" s="93">
        <v>0</v>
      </c>
      <c r="T29" s="93">
        <v>0</v>
      </c>
      <c r="U29" s="92">
        <f t="shared" si="14"/>
        <v>0</v>
      </c>
      <c r="V29" s="93">
        <v>0</v>
      </c>
      <c r="W29" s="93">
        <v>0</v>
      </c>
      <c r="X29" s="92">
        <f t="shared" si="15"/>
        <v>0</v>
      </c>
      <c r="Y29" s="93">
        <v>0</v>
      </c>
      <c r="Z29" s="93">
        <v>0</v>
      </c>
      <c r="AA29" s="92">
        <f t="shared" si="16"/>
        <v>0</v>
      </c>
      <c r="AB29" s="92">
        <f t="shared" si="17"/>
        <v>0</v>
      </c>
      <c r="AC29" s="234">
        <f t="shared" si="18"/>
        <v>0</v>
      </c>
      <c r="AD29" s="92">
        <f t="shared" si="19"/>
        <v>0</v>
      </c>
      <c r="AE29" s="93">
        <v>0</v>
      </c>
      <c r="AF29" s="234">
        <f t="shared" si="20"/>
        <v>0</v>
      </c>
      <c r="AG29" s="93">
        <v>0</v>
      </c>
      <c r="AH29" s="93"/>
      <c r="AI29" s="93"/>
      <c r="AJ29" s="93"/>
      <c r="AK29" s="93"/>
      <c r="AL29" s="122">
        <f t="shared" si="21"/>
        <v>0</v>
      </c>
      <c r="AM29" s="93">
        <v>0</v>
      </c>
      <c r="AN29" s="94">
        <f t="shared" si="22"/>
        <v>0</v>
      </c>
      <c r="AO29" s="95">
        <f t="shared" si="24"/>
        <v>0</v>
      </c>
      <c r="AP29" s="96"/>
      <c r="AQ29" s="97">
        <f t="shared" si="5"/>
        <v>0</v>
      </c>
      <c r="AR29" s="98">
        <f t="shared" si="34"/>
        <v>111.39</v>
      </c>
      <c r="AS29" s="98">
        <f t="shared" si="7"/>
        <v>0</v>
      </c>
      <c r="AT29" s="98">
        <f t="shared" si="8"/>
        <v>0</v>
      </c>
      <c r="AU29" s="98">
        <f t="shared" si="23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1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2"/>
        <v>0</v>
      </c>
      <c r="R30" s="92">
        <f t="shared" si="13"/>
        <v>0</v>
      </c>
      <c r="S30" s="93">
        <v>0</v>
      </c>
      <c r="T30" s="93">
        <v>0</v>
      </c>
      <c r="U30" s="92">
        <f t="shared" si="14"/>
        <v>0</v>
      </c>
      <c r="V30" s="93">
        <v>0</v>
      </c>
      <c r="W30" s="93">
        <v>0</v>
      </c>
      <c r="X30" s="92">
        <f t="shared" si="15"/>
        <v>0</v>
      </c>
      <c r="Y30" s="93">
        <v>0</v>
      </c>
      <c r="Z30" s="93">
        <v>0</v>
      </c>
      <c r="AA30" s="92">
        <f t="shared" si="16"/>
        <v>0</v>
      </c>
      <c r="AB30" s="92">
        <f t="shared" si="17"/>
        <v>0</v>
      </c>
      <c r="AC30" s="234">
        <f t="shared" si="18"/>
        <v>0</v>
      </c>
      <c r="AD30" s="92">
        <f t="shared" si="19"/>
        <v>0</v>
      </c>
      <c r="AE30" s="93">
        <v>0</v>
      </c>
      <c r="AF30" s="234">
        <f t="shared" si="20"/>
        <v>0</v>
      </c>
      <c r="AG30" s="93">
        <v>0</v>
      </c>
      <c r="AH30" s="93"/>
      <c r="AI30" s="93"/>
      <c r="AJ30" s="93"/>
      <c r="AK30" s="93"/>
      <c r="AL30" s="122">
        <f t="shared" si="21"/>
        <v>0</v>
      </c>
      <c r="AM30" s="93">
        <v>0</v>
      </c>
      <c r="AN30" s="94">
        <f t="shared" si="22"/>
        <v>0</v>
      </c>
      <c r="AO30" s="95">
        <f t="shared" si="24"/>
        <v>0</v>
      </c>
      <c r="AP30" s="96"/>
      <c r="AQ30" s="97">
        <f t="shared" si="5"/>
        <v>0</v>
      </c>
      <c r="AR30" s="98">
        <f t="shared" si="34"/>
        <v>111.39</v>
      </c>
      <c r="AS30" s="98">
        <f t="shared" si="7"/>
        <v>0</v>
      </c>
      <c r="AT30" s="98">
        <f t="shared" si="8"/>
        <v>0</v>
      </c>
      <c r="AU30" s="98">
        <f t="shared" si="23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1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2"/>
        <v>0</v>
      </c>
      <c r="R31" s="92">
        <f t="shared" si="13"/>
        <v>0</v>
      </c>
      <c r="S31" s="93">
        <v>0</v>
      </c>
      <c r="T31" s="93">
        <v>0</v>
      </c>
      <c r="U31" s="92">
        <f t="shared" si="14"/>
        <v>0</v>
      </c>
      <c r="V31" s="93">
        <v>0</v>
      </c>
      <c r="W31" s="93">
        <v>0</v>
      </c>
      <c r="X31" s="92">
        <f t="shared" si="15"/>
        <v>0</v>
      </c>
      <c r="Y31" s="93">
        <v>0</v>
      </c>
      <c r="Z31" s="93">
        <v>0</v>
      </c>
      <c r="AA31" s="92">
        <f t="shared" si="16"/>
        <v>0</v>
      </c>
      <c r="AB31" s="92">
        <f t="shared" si="17"/>
        <v>0</v>
      </c>
      <c r="AC31" s="234">
        <f t="shared" si="18"/>
        <v>0</v>
      </c>
      <c r="AD31" s="92">
        <f t="shared" si="19"/>
        <v>0</v>
      </c>
      <c r="AE31" s="93">
        <v>0</v>
      </c>
      <c r="AF31" s="234">
        <f t="shared" si="20"/>
        <v>0</v>
      </c>
      <c r="AG31" s="93">
        <v>0</v>
      </c>
      <c r="AH31" s="93"/>
      <c r="AI31" s="93"/>
      <c r="AJ31" s="93"/>
      <c r="AK31" s="93"/>
      <c r="AL31" s="122">
        <f t="shared" si="21"/>
        <v>0</v>
      </c>
      <c r="AM31" s="93">
        <v>0</v>
      </c>
      <c r="AN31" s="94">
        <f t="shared" si="22"/>
        <v>0</v>
      </c>
      <c r="AO31" s="95">
        <f t="shared" si="24"/>
        <v>0</v>
      </c>
      <c r="AP31" s="96"/>
      <c r="AQ31" s="97">
        <f t="shared" si="5"/>
        <v>0</v>
      </c>
      <c r="AR31" s="98">
        <f t="shared" si="34"/>
        <v>105.54</v>
      </c>
      <c r="AS31" s="98">
        <f t="shared" si="7"/>
        <v>0</v>
      </c>
      <c r="AT31" s="98">
        <f t="shared" si="8"/>
        <v>0</v>
      </c>
      <c r="AU31" s="98">
        <f t="shared" si="23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1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6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7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2"/>
        <v>0</v>
      </c>
      <c r="R32" s="92">
        <f t="shared" si="13"/>
        <v>0</v>
      </c>
      <c r="S32" s="93">
        <v>0</v>
      </c>
      <c r="T32" s="93">
        <v>0</v>
      </c>
      <c r="U32" s="92">
        <f t="shared" si="14"/>
        <v>0</v>
      </c>
      <c r="V32" s="93">
        <v>0</v>
      </c>
      <c r="W32" s="93">
        <v>0</v>
      </c>
      <c r="X32" s="92">
        <f t="shared" si="15"/>
        <v>0</v>
      </c>
      <c r="Y32" s="93">
        <v>0</v>
      </c>
      <c r="Z32" s="93">
        <v>0</v>
      </c>
      <c r="AA32" s="92">
        <f t="shared" si="16"/>
        <v>0</v>
      </c>
      <c r="AB32" s="92">
        <f t="shared" si="17"/>
        <v>0</v>
      </c>
      <c r="AC32" s="234">
        <f t="shared" si="18"/>
        <v>0</v>
      </c>
      <c r="AD32" s="92">
        <f t="shared" si="19"/>
        <v>0</v>
      </c>
      <c r="AE32" s="93">
        <v>0</v>
      </c>
      <c r="AF32" s="234">
        <f t="shared" si="20"/>
        <v>0</v>
      </c>
      <c r="AG32" s="93">
        <v>0</v>
      </c>
      <c r="AH32" s="93"/>
      <c r="AI32" s="93"/>
      <c r="AJ32" s="93"/>
      <c r="AK32" s="93"/>
      <c r="AL32" s="122">
        <f t="shared" si="21"/>
        <v>0</v>
      </c>
      <c r="AM32" s="93">
        <v>0</v>
      </c>
      <c r="AN32" s="94">
        <f t="shared" si="22"/>
        <v>0</v>
      </c>
      <c r="AO32" s="95">
        <f t="shared" si="24"/>
        <v>0</v>
      </c>
      <c r="AP32" s="96"/>
      <c r="AQ32" s="97">
        <f t="shared" si="5"/>
        <v>0</v>
      </c>
      <c r="AR32" s="98">
        <f t="shared" si="34"/>
        <v>140.63999999999999</v>
      </c>
      <c r="AS32" s="98">
        <f t="shared" si="7"/>
        <v>0</v>
      </c>
      <c r="AT32" s="98">
        <f t="shared" si="8"/>
        <v>0</v>
      </c>
      <c r="AU32" s="98">
        <f t="shared" si="23"/>
        <v>0</v>
      </c>
      <c r="AV32" s="98">
        <f t="array" ref="AV32">_xlfn.IFS(U32=0,AO32,U32&lt;0,AO32/-U32,U32&gt;0,AO32/U32)</f>
        <v>0</v>
      </c>
      <c r="AW32" s="234">
        <f t="shared" ref="AW32" si="38">IF(AQ32=0,0,AV32/AQ32)</f>
        <v>0</v>
      </c>
      <c r="AX32" s="234">
        <f t="shared" ref="AX32" si="39">IF(AR32=0,0,AV32/AR32)</f>
        <v>0</v>
      </c>
      <c r="AY32" s="99"/>
      <c r="AZ32" s="94">
        <f t="shared" si="11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258</v>
      </c>
      <c r="F33" s="93">
        <v>2</v>
      </c>
      <c r="G33" s="93">
        <v>1</v>
      </c>
      <c r="H33" s="93">
        <v>116</v>
      </c>
      <c r="I33" s="93">
        <v>20</v>
      </c>
      <c r="J33" s="93">
        <v>119</v>
      </c>
      <c r="K33" s="93">
        <v>123.09</v>
      </c>
      <c r="L33" s="92">
        <f>E33*K33</f>
        <v>31757.22</v>
      </c>
      <c r="M33" s="89">
        <v>430</v>
      </c>
      <c r="N33" s="89">
        <v>4</v>
      </c>
      <c r="O33" s="89">
        <v>1500</v>
      </c>
      <c r="P33" s="89">
        <v>50</v>
      </c>
      <c r="Q33" s="233">
        <f t="shared" si="12"/>
        <v>0.5714285714285714</v>
      </c>
      <c r="R33" s="92">
        <f t="shared" si="13"/>
        <v>0.14285714285714285</v>
      </c>
      <c r="S33" s="93">
        <v>1</v>
      </c>
      <c r="T33" s="93">
        <v>0</v>
      </c>
      <c r="U33" s="92">
        <f t="shared" si="14"/>
        <v>1</v>
      </c>
      <c r="V33" s="93">
        <v>968</v>
      </c>
      <c r="W33" s="93">
        <v>0</v>
      </c>
      <c r="X33" s="92">
        <f t="shared" si="15"/>
        <v>968</v>
      </c>
      <c r="Y33" s="93">
        <v>1500</v>
      </c>
      <c r="Z33" s="93">
        <v>0</v>
      </c>
      <c r="AA33" s="92">
        <f t="shared" si="16"/>
        <v>1500</v>
      </c>
      <c r="AB33" s="92">
        <f t="shared" si="17"/>
        <v>3000</v>
      </c>
      <c r="AC33" s="234">
        <f t="shared" si="18"/>
        <v>5.2245183287544684E-4</v>
      </c>
      <c r="AD33" s="92">
        <f t="shared" si="19"/>
        <v>123.09</v>
      </c>
      <c r="AE33" s="93">
        <v>567.47</v>
      </c>
      <c r="AF33" s="234">
        <f t="shared" si="20"/>
        <v>0.37831333333333333</v>
      </c>
      <c r="AG33" s="93">
        <v>435.87999999999988</v>
      </c>
      <c r="AH33" s="93">
        <v>72</v>
      </c>
      <c r="AI33" s="93">
        <v>976</v>
      </c>
      <c r="AJ33" s="93"/>
      <c r="AK33" s="93"/>
      <c r="AL33" s="122">
        <f t="shared" si="21"/>
        <v>108.23919229469413</v>
      </c>
      <c r="AM33" s="93">
        <v>0</v>
      </c>
      <c r="AN33" s="94">
        <f t="shared" si="22"/>
        <v>55.272799999999997</v>
      </c>
      <c r="AO33" s="95">
        <f t="shared" si="24"/>
        <v>-837.95199229469392</v>
      </c>
      <c r="AP33" s="96"/>
      <c r="AQ33" s="97">
        <f t="shared" si="5"/>
        <v>1500</v>
      </c>
      <c r="AR33" s="98">
        <f t="shared" si="34"/>
        <v>123.09</v>
      </c>
      <c r="AS33" s="98">
        <f t="shared" si="7"/>
        <v>567.47</v>
      </c>
      <c r="AT33" s="98">
        <f t="shared" si="8"/>
        <v>435.87999999999988</v>
      </c>
      <c r="AU33" s="98">
        <f t="shared" si="23"/>
        <v>1048</v>
      </c>
      <c r="AV33" s="98">
        <f t="array" ref="AV33">_xlfn.IFS(U33=0,AO33,U33&lt;0,AO33/-U33,U33&gt;0,AO33/U33)</f>
        <v>-837.95199229469392</v>
      </c>
      <c r="AW33" s="234">
        <f>IF(AQ33=0,0,AV33/AQ33)</f>
        <v>-0.55863466152979591</v>
      </c>
      <c r="AX33" s="234">
        <f>IF(AR33=0,0,AV33/AR33)</f>
        <v>-6.8076366260028749</v>
      </c>
      <c r="AY33" s="99"/>
      <c r="AZ33" s="94">
        <f t="shared" si="11"/>
        <v>-216191.61401203103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>
        <v>1</v>
      </c>
      <c r="G34" s="93" t="s">
        <v>100</v>
      </c>
      <c r="H34" s="93" t="s">
        <v>100</v>
      </c>
      <c r="I34" s="93">
        <v>1</v>
      </c>
      <c r="J34" s="93">
        <v>117</v>
      </c>
      <c r="K34" s="93">
        <v>117.24</v>
      </c>
      <c r="L34" s="92">
        <f>E34*K34</f>
        <v>13951.56</v>
      </c>
      <c r="M34" s="89">
        <v>999</v>
      </c>
      <c r="N34" s="89">
        <v>1</v>
      </c>
      <c r="O34" s="89">
        <v>439</v>
      </c>
      <c r="P34" s="89">
        <v>0</v>
      </c>
      <c r="Q34" s="233">
        <f t="shared" si="12"/>
        <v>0.14285714285714285</v>
      </c>
      <c r="R34" s="92">
        <f t="shared" si="13"/>
        <v>0</v>
      </c>
      <c r="S34" s="93">
        <v>0</v>
      </c>
      <c r="T34" s="93">
        <v>0</v>
      </c>
      <c r="U34" s="92">
        <f t="shared" si="14"/>
        <v>0</v>
      </c>
      <c r="V34" s="93">
        <v>0</v>
      </c>
      <c r="W34" s="93">
        <v>0</v>
      </c>
      <c r="X34" s="92">
        <f t="shared" si="15"/>
        <v>0</v>
      </c>
      <c r="Y34" s="93">
        <v>0</v>
      </c>
      <c r="Z34" s="93">
        <v>0</v>
      </c>
      <c r="AA34" s="92">
        <f t="shared" si="16"/>
        <v>0</v>
      </c>
      <c r="AB34" s="92">
        <f t="shared" si="17"/>
        <v>0</v>
      </c>
      <c r="AC34" s="234">
        <f t="shared" si="18"/>
        <v>0</v>
      </c>
      <c r="AD34" s="92">
        <f t="shared" si="19"/>
        <v>0</v>
      </c>
      <c r="AE34" s="93">
        <v>0</v>
      </c>
      <c r="AF34" s="234">
        <f t="shared" si="20"/>
        <v>0</v>
      </c>
      <c r="AG34" s="93">
        <v>94.37</v>
      </c>
      <c r="AH34" s="93"/>
      <c r="AI34" s="93"/>
      <c r="AJ34" s="93"/>
      <c r="AK34" s="93"/>
      <c r="AL34" s="122">
        <f t="shared" si="21"/>
        <v>0</v>
      </c>
      <c r="AM34" s="93">
        <v>0</v>
      </c>
      <c r="AN34" s="94">
        <f t="shared" si="22"/>
        <v>0</v>
      </c>
      <c r="AO34" s="95">
        <f t="shared" si="24"/>
        <v>-94.37</v>
      </c>
      <c r="AP34" s="96"/>
      <c r="AQ34" s="97">
        <f t="shared" si="5"/>
        <v>0</v>
      </c>
      <c r="AR34" s="98">
        <f t="shared" si="34"/>
        <v>117.24</v>
      </c>
      <c r="AS34" s="98">
        <f t="shared" si="7"/>
        <v>0</v>
      </c>
      <c r="AT34" s="98">
        <f t="shared" si="8"/>
        <v>94.37</v>
      </c>
      <c r="AU34" s="98">
        <f t="shared" si="23"/>
        <v>0</v>
      </c>
      <c r="AV34" s="98">
        <f t="array" ref="AV34">_xlfn.IFS(U34=0,AO34,U34&lt;0,AO34/-U34,U34&gt;0,AO34/U34)</f>
        <v>-94.37</v>
      </c>
      <c r="AW34" s="234">
        <f>IF(AQ34=0,0,AV34/AQ34)</f>
        <v>0</v>
      </c>
      <c r="AX34" s="234">
        <f>IF(AR34=0,0,AV34/AR34)</f>
        <v>-0.8049300580006824</v>
      </c>
      <c r="AY34" s="99"/>
      <c r="AZ34" s="94">
        <f t="shared" si="11"/>
        <v>-11230.03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0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1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2"/>
        <v>0</v>
      </c>
      <c r="R35" s="92">
        <f t="shared" si="13"/>
        <v>0</v>
      </c>
      <c r="S35" s="93">
        <v>0</v>
      </c>
      <c r="T35" s="93">
        <v>0</v>
      </c>
      <c r="U35" s="92">
        <f t="shared" si="14"/>
        <v>0</v>
      </c>
      <c r="V35" s="93">
        <v>0</v>
      </c>
      <c r="W35" s="93">
        <v>0</v>
      </c>
      <c r="X35" s="92">
        <f t="shared" si="15"/>
        <v>0</v>
      </c>
      <c r="Y35" s="93">
        <v>0</v>
      </c>
      <c r="Z35" s="93">
        <v>0</v>
      </c>
      <c r="AA35" s="92">
        <f t="shared" si="16"/>
        <v>0</v>
      </c>
      <c r="AB35" s="92">
        <f t="shared" si="17"/>
        <v>0</v>
      </c>
      <c r="AC35" s="234">
        <f t="shared" si="18"/>
        <v>0</v>
      </c>
      <c r="AD35" s="92">
        <f t="shared" si="19"/>
        <v>0</v>
      </c>
      <c r="AE35" s="93">
        <v>0</v>
      </c>
      <c r="AF35" s="234">
        <f t="shared" si="20"/>
        <v>0</v>
      </c>
      <c r="AG35" s="93">
        <v>0</v>
      </c>
      <c r="AH35" s="93"/>
      <c r="AI35" s="93"/>
      <c r="AJ35" s="93"/>
      <c r="AK35" s="93"/>
      <c r="AL35" s="122">
        <f t="shared" si="21"/>
        <v>0</v>
      </c>
      <c r="AM35" s="93">
        <v>0</v>
      </c>
      <c r="AN35" s="94">
        <f t="shared" si="22"/>
        <v>0</v>
      </c>
      <c r="AO35" s="95">
        <f t="shared" si="24"/>
        <v>0</v>
      </c>
      <c r="AP35" s="96"/>
      <c r="AQ35" s="97">
        <f t="shared" si="5"/>
        <v>0</v>
      </c>
      <c r="AR35" s="98">
        <f t="shared" si="34"/>
        <v>128.94</v>
      </c>
      <c r="AS35" s="98">
        <f t="shared" si="7"/>
        <v>0</v>
      </c>
      <c r="AT35" s="98">
        <f t="shared" si="8"/>
        <v>0</v>
      </c>
      <c r="AU35" s="98">
        <f t="shared" si="23"/>
        <v>0</v>
      </c>
      <c r="AV35" s="98">
        <f t="array" ref="AV35">_xlfn.IFS(U35=0,AO35,U35&lt;0,AO35/-U35,U35&gt;0,AO35/U35)</f>
        <v>0</v>
      </c>
      <c r="AW35" s="234">
        <f t="shared" ref="AW35:AW98" si="42">IF(AQ35=0,0,AV35/AQ35)</f>
        <v>0</v>
      </c>
      <c r="AX35" s="234">
        <f t="shared" ref="AX35:AX98" si="43">IF(AR35=0,0,AV35/AR35)</f>
        <v>0</v>
      </c>
      <c r="AY35" s="99"/>
      <c r="AZ35" s="94">
        <f t="shared" si="11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0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1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2"/>
        <v>0</v>
      </c>
      <c r="R36" s="92">
        <f t="shared" si="13"/>
        <v>0</v>
      </c>
      <c r="S36" s="93">
        <v>0</v>
      </c>
      <c r="T36" s="93">
        <v>0</v>
      </c>
      <c r="U36" s="92">
        <f t="shared" si="14"/>
        <v>0</v>
      </c>
      <c r="V36" s="93">
        <v>0</v>
      </c>
      <c r="W36" s="93">
        <v>0</v>
      </c>
      <c r="X36" s="92">
        <f t="shared" si="15"/>
        <v>0</v>
      </c>
      <c r="Y36" s="93">
        <v>0</v>
      </c>
      <c r="Z36" s="93">
        <v>0</v>
      </c>
      <c r="AA36" s="92">
        <f t="shared" si="16"/>
        <v>0</v>
      </c>
      <c r="AB36" s="92">
        <f t="shared" si="17"/>
        <v>0</v>
      </c>
      <c r="AC36" s="234">
        <f t="shared" si="18"/>
        <v>0</v>
      </c>
      <c r="AD36" s="92">
        <f t="shared" si="19"/>
        <v>0</v>
      </c>
      <c r="AE36" s="93">
        <v>0</v>
      </c>
      <c r="AF36" s="234">
        <f t="shared" si="20"/>
        <v>0</v>
      </c>
      <c r="AG36" s="93">
        <v>0</v>
      </c>
      <c r="AH36" s="93"/>
      <c r="AI36" s="93"/>
      <c r="AJ36" s="93"/>
      <c r="AK36" s="93"/>
      <c r="AL36" s="122">
        <f t="shared" si="21"/>
        <v>0</v>
      </c>
      <c r="AM36" s="93">
        <v>0</v>
      </c>
      <c r="AN36" s="94">
        <f t="shared" si="22"/>
        <v>0</v>
      </c>
      <c r="AO36" s="95">
        <f t="shared" si="24"/>
        <v>0</v>
      </c>
      <c r="AP36" s="96"/>
      <c r="AQ36" s="97">
        <f t="shared" si="5"/>
        <v>0</v>
      </c>
      <c r="AR36" s="98">
        <f t="shared" si="34"/>
        <v>169.89</v>
      </c>
      <c r="AS36" s="98">
        <f t="shared" si="7"/>
        <v>0</v>
      </c>
      <c r="AT36" s="98">
        <f t="shared" si="8"/>
        <v>0</v>
      </c>
      <c r="AU36" s="98">
        <f t="shared" si="23"/>
        <v>0</v>
      </c>
      <c r="AV36" s="98">
        <f t="array" ref="AV36">_xlfn.IFS(U36=0,AO36,U36&lt;0,AO36/-U36,U36&gt;0,AO36/U36)</f>
        <v>0</v>
      </c>
      <c r="AW36" s="234">
        <f t="shared" si="42"/>
        <v>0</v>
      </c>
      <c r="AX36" s="234">
        <f t="shared" si="43"/>
        <v>0</v>
      </c>
      <c r="AY36" s="99"/>
      <c r="AZ36" s="94">
        <f t="shared" si="11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0"/>
        <v>27</v>
      </c>
      <c r="F37" s="93" t="s">
        <v>100</v>
      </c>
      <c r="G37" s="93">
        <v>1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1"/>
        <v>4587.03</v>
      </c>
      <c r="M37" s="89">
        <v>999</v>
      </c>
      <c r="N37" s="89">
        <v>1</v>
      </c>
      <c r="O37" s="89">
        <v>998</v>
      </c>
      <c r="P37" s="89">
        <v>0</v>
      </c>
      <c r="Q37" s="233">
        <f t="shared" si="12"/>
        <v>0.14285714285714285</v>
      </c>
      <c r="R37" s="92">
        <f t="shared" si="13"/>
        <v>0</v>
      </c>
      <c r="S37" s="93">
        <v>0</v>
      </c>
      <c r="T37" s="93">
        <v>0</v>
      </c>
      <c r="U37" s="92">
        <f t="shared" si="14"/>
        <v>0</v>
      </c>
      <c r="V37" s="93">
        <v>0</v>
      </c>
      <c r="W37" s="93">
        <v>0</v>
      </c>
      <c r="X37" s="92">
        <f t="shared" si="15"/>
        <v>0</v>
      </c>
      <c r="Y37" s="93">
        <v>0</v>
      </c>
      <c r="Z37" s="93">
        <v>0</v>
      </c>
      <c r="AA37" s="92">
        <f t="shared" si="16"/>
        <v>0</v>
      </c>
      <c r="AB37" s="92">
        <f t="shared" si="17"/>
        <v>0</v>
      </c>
      <c r="AC37" s="234">
        <f t="shared" si="18"/>
        <v>0</v>
      </c>
      <c r="AD37" s="92">
        <f t="shared" si="19"/>
        <v>0</v>
      </c>
      <c r="AE37" s="93">
        <v>0</v>
      </c>
      <c r="AF37" s="234">
        <f t="shared" si="20"/>
        <v>0</v>
      </c>
      <c r="AG37" s="93">
        <v>91.89</v>
      </c>
      <c r="AH37" s="93"/>
      <c r="AI37" s="93"/>
      <c r="AJ37" s="93"/>
      <c r="AK37" s="93"/>
      <c r="AL37" s="122">
        <f t="shared" si="21"/>
        <v>0</v>
      </c>
      <c r="AM37" s="93">
        <v>0</v>
      </c>
      <c r="AN37" s="94">
        <f t="shared" si="22"/>
        <v>0</v>
      </c>
      <c r="AO37" s="95">
        <f t="shared" si="24"/>
        <v>-91.89</v>
      </c>
      <c r="AP37" s="96"/>
      <c r="AQ37" s="97">
        <f t="shared" si="5"/>
        <v>0</v>
      </c>
      <c r="AR37" s="98">
        <f t="shared" si="34"/>
        <v>169.89</v>
      </c>
      <c r="AS37" s="98">
        <f t="shared" si="7"/>
        <v>0</v>
      </c>
      <c r="AT37" s="98">
        <f t="shared" si="8"/>
        <v>91.89</v>
      </c>
      <c r="AU37" s="98">
        <f t="shared" si="23"/>
        <v>0</v>
      </c>
      <c r="AV37" s="98">
        <f t="array" ref="AV37">_xlfn.IFS(U37=0,AO37,U37&lt;0,AO37/-U37,U37&gt;0,AO37/U37)</f>
        <v>-91.89</v>
      </c>
      <c r="AW37" s="234">
        <f t="shared" si="42"/>
        <v>0</v>
      </c>
      <c r="AX37" s="234">
        <f t="shared" si="43"/>
        <v>-0.54087939254811945</v>
      </c>
      <c r="AY37" s="99"/>
      <c r="AZ37" s="94">
        <f t="shared" si="11"/>
        <v>-2481.0300000000002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0"/>
        <v>44</v>
      </c>
      <c r="F38" s="93">
        <v>1</v>
      </c>
      <c r="G38" s="93" t="s">
        <v>100</v>
      </c>
      <c r="H38" s="93">
        <v>42</v>
      </c>
      <c r="I38" s="93">
        <v>0</v>
      </c>
      <c r="J38" s="93">
        <v>1</v>
      </c>
      <c r="K38" s="92">
        <v>105.54</v>
      </c>
      <c r="L38" s="92">
        <f t="shared" si="41"/>
        <v>4643.76</v>
      </c>
      <c r="M38" s="89">
        <v>999</v>
      </c>
      <c r="N38" s="89">
        <v>2</v>
      </c>
      <c r="O38" s="89">
        <v>1197</v>
      </c>
      <c r="P38" s="89">
        <v>0</v>
      </c>
      <c r="Q38" s="233">
        <f t="shared" si="12"/>
        <v>0.2857142857142857</v>
      </c>
      <c r="R38" s="92">
        <f t="shared" si="13"/>
        <v>0</v>
      </c>
      <c r="S38" s="93">
        <v>0</v>
      </c>
      <c r="T38" s="93">
        <v>0</v>
      </c>
      <c r="U38" s="92">
        <f t="shared" si="14"/>
        <v>0</v>
      </c>
      <c r="V38" s="93">
        <v>0</v>
      </c>
      <c r="W38" s="93">
        <v>0</v>
      </c>
      <c r="X38" s="92">
        <f t="shared" si="15"/>
        <v>0</v>
      </c>
      <c r="Y38" s="93">
        <v>0</v>
      </c>
      <c r="Z38" s="93">
        <v>0</v>
      </c>
      <c r="AA38" s="92">
        <f t="shared" si="16"/>
        <v>0</v>
      </c>
      <c r="AB38" s="92">
        <f t="shared" si="17"/>
        <v>0</v>
      </c>
      <c r="AC38" s="234">
        <f t="shared" si="18"/>
        <v>0</v>
      </c>
      <c r="AD38" s="92">
        <f t="shared" si="19"/>
        <v>0</v>
      </c>
      <c r="AE38" s="93">
        <v>0</v>
      </c>
      <c r="AF38" s="234">
        <f t="shared" si="20"/>
        <v>0</v>
      </c>
      <c r="AG38" s="93">
        <v>78.789999999999992</v>
      </c>
      <c r="AH38" s="93"/>
      <c r="AI38" s="93"/>
      <c r="AJ38" s="93"/>
      <c r="AK38" s="93"/>
      <c r="AL38" s="122">
        <f t="shared" si="21"/>
        <v>39.190052382561674</v>
      </c>
      <c r="AM38" s="93">
        <v>0</v>
      </c>
      <c r="AN38" s="94">
        <f t="shared" si="22"/>
        <v>0</v>
      </c>
      <c r="AO38" s="95">
        <f t="shared" si="24"/>
        <v>-117.98005238256167</v>
      </c>
      <c r="AP38" s="96"/>
      <c r="AQ38" s="97">
        <f t="shared" si="5"/>
        <v>0</v>
      </c>
      <c r="AR38" s="98">
        <f t="shared" si="34"/>
        <v>105.54</v>
      </c>
      <c r="AS38" s="98">
        <f t="shared" si="7"/>
        <v>0</v>
      </c>
      <c r="AT38" s="98">
        <f t="shared" si="8"/>
        <v>78.789999999999992</v>
      </c>
      <c r="AU38" s="98">
        <f t="shared" si="23"/>
        <v>0</v>
      </c>
      <c r="AV38" s="98">
        <f t="array" ref="AV38">_xlfn.IFS(U38=0,AO38,U38&lt;0,AO38/-U38,U38&gt;0,AO38/U38)</f>
        <v>-117.98005238256167</v>
      </c>
      <c r="AW38" s="234">
        <f t="shared" si="42"/>
        <v>0</v>
      </c>
      <c r="AX38" s="234">
        <f t="shared" si="43"/>
        <v>-1.1178704982240066</v>
      </c>
      <c r="AY38" s="99"/>
      <c r="AZ38" s="94">
        <f t="shared" si="11"/>
        <v>-5191.1223048327138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0"/>
        <v>11</v>
      </c>
      <c r="F39" s="93">
        <v>1</v>
      </c>
      <c r="G39" s="93">
        <v>1</v>
      </c>
      <c r="H39" s="93">
        <v>8</v>
      </c>
      <c r="I39" s="93">
        <v>0</v>
      </c>
      <c r="J39" s="93">
        <v>1</v>
      </c>
      <c r="K39" s="92">
        <v>105.54</v>
      </c>
      <c r="L39" s="92">
        <f t="shared" si="41"/>
        <v>1160.94</v>
      </c>
      <c r="M39" s="89">
        <v>999</v>
      </c>
      <c r="N39" s="89">
        <v>2</v>
      </c>
      <c r="O39" s="89">
        <v>1077</v>
      </c>
      <c r="P39" s="89">
        <v>0</v>
      </c>
      <c r="Q39" s="233">
        <f t="shared" si="12"/>
        <v>0.2857142857142857</v>
      </c>
      <c r="R39" s="92">
        <f t="shared" si="13"/>
        <v>-0.14285714285714285</v>
      </c>
      <c r="S39" s="93">
        <v>0</v>
      </c>
      <c r="T39" s="93">
        <v>-1</v>
      </c>
      <c r="U39" s="92">
        <f t="shared" si="14"/>
        <v>-1</v>
      </c>
      <c r="V39" s="93">
        <v>0</v>
      </c>
      <c r="W39" s="93">
        <v>-756</v>
      </c>
      <c r="X39" s="92">
        <f t="shared" si="15"/>
        <v>-756</v>
      </c>
      <c r="Y39" s="93">
        <v>0</v>
      </c>
      <c r="Z39" s="93">
        <v>-1077</v>
      </c>
      <c r="AA39" s="92">
        <f t="shared" si="16"/>
        <v>-1077</v>
      </c>
      <c r="AB39" s="92">
        <f t="shared" si="17"/>
        <v>0</v>
      </c>
      <c r="AC39" s="234">
        <f t="shared" si="18"/>
        <v>-3.751204160045708E-4</v>
      </c>
      <c r="AD39" s="92">
        <f t="shared" si="19"/>
        <v>-105.54</v>
      </c>
      <c r="AE39" s="93">
        <v>-416.53</v>
      </c>
      <c r="AF39" s="234">
        <f t="shared" si="20"/>
        <v>0.38675023212627668</v>
      </c>
      <c r="AG39" s="93">
        <v>134.51999999999998</v>
      </c>
      <c r="AH39" s="93"/>
      <c r="AI39" s="93"/>
      <c r="AJ39" s="93"/>
      <c r="AK39" s="93"/>
      <c r="AL39" s="122">
        <f t="shared" si="21"/>
        <v>7.4647718823927001</v>
      </c>
      <c r="AM39" s="93">
        <v>0</v>
      </c>
      <c r="AN39" s="94">
        <f t="shared" si="22"/>
        <v>-43.1676</v>
      </c>
      <c r="AO39" s="95">
        <f t="shared" si="24"/>
        <v>-653.74717188239276</v>
      </c>
      <c r="AP39" s="96"/>
      <c r="AQ39" s="97">
        <f t="shared" si="5"/>
        <v>1077</v>
      </c>
      <c r="AR39" s="98">
        <f t="shared" si="34"/>
        <v>105.54</v>
      </c>
      <c r="AS39" s="98">
        <f t="shared" si="7"/>
        <v>416.53</v>
      </c>
      <c r="AT39" s="98">
        <f t="shared" si="8"/>
        <v>134.51999999999998</v>
      </c>
      <c r="AU39" s="98">
        <f t="shared" si="23"/>
        <v>0</v>
      </c>
      <c r="AV39" s="98">
        <f t="array" ref="AV39">_xlfn.IFS(U39=0,AO39,U39&lt;0,AO39/-U39,U39&gt;0,AO39/U39)</f>
        <v>-653.74717188239276</v>
      </c>
      <c r="AW39" s="234">
        <f t="shared" si="42"/>
        <v>-0.60700758763453366</v>
      </c>
      <c r="AX39" s="234">
        <f t="shared" si="43"/>
        <v>-6.1943071051960654</v>
      </c>
      <c r="AY39" s="99"/>
      <c r="AZ39" s="94">
        <f t="shared" si="11"/>
        <v>-7191.2188907063201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0"/>
        <v>29</v>
      </c>
      <c r="F40" s="93">
        <v>1</v>
      </c>
      <c r="G40" s="93" t="s">
        <v>100</v>
      </c>
      <c r="H40" s="93">
        <v>27</v>
      </c>
      <c r="I40" s="93">
        <v>0</v>
      </c>
      <c r="J40" s="93">
        <v>1</v>
      </c>
      <c r="K40" s="92">
        <v>105.54</v>
      </c>
      <c r="L40" s="92">
        <f t="shared" si="41"/>
        <v>3060.6600000000003</v>
      </c>
      <c r="M40" s="89">
        <v>162</v>
      </c>
      <c r="N40" s="89">
        <v>2</v>
      </c>
      <c r="O40" s="89">
        <v>1197</v>
      </c>
      <c r="P40" s="89">
        <v>0</v>
      </c>
      <c r="Q40" s="233">
        <f t="shared" si="12"/>
        <v>0.2857142857142857</v>
      </c>
      <c r="R40" s="92">
        <f t="shared" si="13"/>
        <v>0</v>
      </c>
      <c r="S40" s="93">
        <v>0</v>
      </c>
      <c r="T40" s="93">
        <v>0</v>
      </c>
      <c r="U40" s="92">
        <f t="shared" si="14"/>
        <v>0</v>
      </c>
      <c r="V40" s="93">
        <v>0</v>
      </c>
      <c r="W40" s="93">
        <v>0</v>
      </c>
      <c r="X40" s="92">
        <f t="shared" si="15"/>
        <v>0</v>
      </c>
      <c r="Y40" s="93">
        <v>0</v>
      </c>
      <c r="Z40" s="93">
        <v>0</v>
      </c>
      <c r="AA40" s="92">
        <f t="shared" si="16"/>
        <v>0</v>
      </c>
      <c r="AB40" s="92">
        <f t="shared" si="17"/>
        <v>0</v>
      </c>
      <c r="AC40" s="234">
        <f t="shared" si="18"/>
        <v>0</v>
      </c>
      <c r="AD40" s="92">
        <f t="shared" si="19"/>
        <v>0</v>
      </c>
      <c r="AE40" s="93">
        <v>0</v>
      </c>
      <c r="AF40" s="234">
        <f t="shared" si="20"/>
        <v>0</v>
      </c>
      <c r="AG40" s="93">
        <v>175.38000000000005</v>
      </c>
      <c r="AH40" s="93"/>
      <c r="AI40" s="93"/>
      <c r="AJ40" s="93"/>
      <c r="AK40" s="93"/>
      <c r="AL40" s="122">
        <f t="shared" si="21"/>
        <v>25.19360510307536</v>
      </c>
      <c r="AM40" s="93">
        <v>0</v>
      </c>
      <c r="AN40" s="94">
        <f t="shared" si="22"/>
        <v>0</v>
      </c>
      <c r="AO40" s="95">
        <f t="shared" si="24"/>
        <v>-200.57360510307541</v>
      </c>
      <c r="AP40" s="96"/>
      <c r="AQ40" s="97">
        <f t="shared" si="5"/>
        <v>0</v>
      </c>
      <c r="AR40" s="98">
        <f t="shared" si="34"/>
        <v>105.54</v>
      </c>
      <c r="AS40" s="98">
        <f t="shared" si="7"/>
        <v>0</v>
      </c>
      <c r="AT40" s="98">
        <f t="shared" si="8"/>
        <v>175.38000000000005</v>
      </c>
      <c r="AU40" s="98">
        <f t="shared" si="23"/>
        <v>0</v>
      </c>
      <c r="AV40" s="98">
        <f t="array" ref="AV40">_xlfn.IFS(U40=0,AO40,U40&lt;0,AO40/-U40,U40&gt;0,AO40/U40)</f>
        <v>-200.57360510307541</v>
      </c>
      <c r="AW40" s="234">
        <f t="shared" si="42"/>
        <v>0</v>
      </c>
      <c r="AX40" s="234">
        <f t="shared" si="43"/>
        <v>-1.9004510621856681</v>
      </c>
      <c r="AY40" s="99"/>
      <c r="AZ40" s="94">
        <f t="shared" si="11"/>
        <v>-5816.634547989187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0"/>
        <v>42</v>
      </c>
      <c r="F41" s="93">
        <v>1</v>
      </c>
      <c r="G41" s="93" t="s">
        <v>100</v>
      </c>
      <c r="H41" s="93">
        <v>40</v>
      </c>
      <c r="I41" s="93">
        <v>0</v>
      </c>
      <c r="J41" s="93">
        <v>1</v>
      </c>
      <c r="K41" s="92">
        <v>123.09</v>
      </c>
      <c r="L41" s="92">
        <f t="shared" si="41"/>
        <v>5169.78</v>
      </c>
      <c r="M41" s="89">
        <v>999</v>
      </c>
      <c r="N41" s="89">
        <v>1</v>
      </c>
      <c r="O41" s="89">
        <v>1218</v>
      </c>
      <c r="P41" s="89">
        <v>0</v>
      </c>
      <c r="Q41" s="233">
        <f t="shared" si="12"/>
        <v>0.14285714285714285</v>
      </c>
      <c r="R41" s="92">
        <f t="shared" si="13"/>
        <v>0</v>
      </c>
      <c r="S41" s="93">
        <v>0</v>
      </c>
      <c r="T41" s="93">
        <v>0</v>
      </c>
      <c r="U41" s="92">
        <f t="shared" si="14"/>
        <v>0</v>
      </c>
      <c r="V41" s="93">
        <v>0</v>
      </c>
      <c r="W41" s="93">
        <v>0</v>
      </c>
      <c r="X41" s="92">
        <f t="shared" si="15"/>
        <v>0</v>
      </c>
      <c r="Y41" s="93">
        <v>0</v>
      </c>
      <c r="Z41" s="93">
        <v>0</v>
      </c>
      <c r="AA41" s="92">
        <f t="shared" si="16"/>
        <v>0</v>
      </c>
      <c r="AB41" s="92">
        <f t="shared" si="17"/>
        <v>0</v>
      </c>
      <c r="AC41" s="234">
        <f t="shared" si="18"/>
        <v>0</v>
      </c>
      <c r="AD41" s="92">
        <f t="shared" si="19"/>
        <v>0</v>
      </c>
      <c r="AE41" s="93">
        <v>0</v>
      </c>
      <c r="AF41" s="234">
        <f t="shared" si="20"/>
        <v>0</v>
      </c>
      <c r="AG41" s="93">
        <v>0</v>
      </c>
      <c r="AH41" s="93"/>
      <c r="AI41" s="93"/>
      <c r="AJ41" s="93"/>
      <c r="AK41" s="93"/>
      <c r="AL41" s="122">
        <f t="shared" si="21"/>
        <v>37.323859411963497</v>
      </c>
      <c r="AM41" s="93">
        <v>0</v>
      </c>
      <c r="AN41" s="94">
        <f t="shared" si="22"/>
        <v>0</v>
      </c>
      <c r="AO41" s="95">
        <f t="shared" si="24"/>
        <v>-37.323859411963497</v>
      </c>
      <c r="AP41" s="96"/>
      <c r="AQ41" s="97">
        <f t="shared" si="5"/>
        <v>0</v>
      </c>
      <c r="AR41" s="98">
        <f t="shared" si="34"/>
        <v>123.09</v>
      </c>
      <c r="AS41" s="98">
        <f t="shared" si="7"/>
        <v>0</v>
      </c>
      <c r="AT41" s="98">
        <f t="shared" si="8"/>
        <v>0</v>
      </c>
      <c r="AU41" s="98">
        <f t="shared" si="23"/>
        <v>0</v>
      </c>
      <c r="AV41" s="98">
        <f t="array" ref="AV41">_xlfn.IFS(U41=0,AO41,U41&lt;0,AO41/-U41,U41&gt;0,AO41/U41)</f>
        <v>-37.323859411963497</v>
      </c>
      <c r="AW41" s="234">
        <f t="shared" si="42"/>
        <v>0</v>
      </c>
      <c r="AX41" s="234">
        <f t="shared" si="43"/>
        <v>-0.30322414015731169</v>
      </c>
      <c r="AY41" s="99"/>
      <c r="AZ41" s="94">
        <f t="shared" si="11"/>
        <v>-1567.6020953024668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0"/>
        <v>29</v>
      </c>
      <c r="F42" s="93">
        <v>1</v>
      </c>
      <c r="G42" s="93">
        <v>2</v>
      </c>
      <c r="H42" s="93">
        <v>25</v>
      </c>
      <c r="I42" s="93">
        <v>0</v>
      </c>
      <c r="J42" s="93">
        <v>1</v>
      </c>
      <c r="K42" s="92">
        <v>123.09</v>
      </c>
      <c r="L42" s="92">
        <f t="shared" si="41"/>
        <v>3569.61</v>
      </c>
      <c r="M42" s="89">
        <v>171</v>
      </c>
      <c r="N42" s="89">
        <v>3</v>
      </c>
      <c r="O42" s="89">
        <v>1176</v>
      </c>
      <c r="P42" s="89">
        <v>0</v>
      </c>
      <c r="Q42" s="233">
        <f t="shared" si="12"/>
        <v>0.42857142857142855</v>
      </c>
      <c r="R42" s="92">
        <f t="shared" si="13"/>
        <v>0.14285714285714285</v>
      </c>
      <c r="S42" s="93">
        <v>1</v>
      </c>
      <c r="T42" s="93">
        <v>0</v>
      </c>
      <c r="U42" s="92">
        <f t="shared" si="14"/>
        <v>1</v>
      </c>
      <c r="V42" s="93">
        <v>782</v>
      </c>
      <c r="W42" s="93">
        <v>0</v>
      </c>
      <c r="X42" s="92">
        <f t="shared" si="15"/>
        <v>782</v>
      </c>
      <c r="Y42" s="93">
        <v>1176</v>
      </c>
      <c r="Z42" s="93">
        <v>0</v>
      </c>
      <c r="AA42" s="92">
        <f t="shared" si="16"/>
        <v>1176</v>
      </c>
      <c r="AB42" s="92">
        <f t="shared" si="17"/>
        <v>0</v>
      </c>
      <c r="AC42" s="234">
        <f t="shared" si="18"/>
        <v>4.0960223697435031E-4</v>
      </c>
      <c r="AD42" s="92">
        <f t="shared" si="19"/>
        <v>123.09</v>
      </c>
      <c r="AE42" s="93">
        <v>445.82000000000005</v>
      </c>
      <c r="AF42" s="234">
        <f t="shared" si="20"/>
        <v>0.37909863945578237</v>
      </c>
      <c r="AG42" s="93">
        <v>331.47</v>
      </c>
      <c r="AH42" s="93"/>
      <c r="AI42" s="93"/>
      <c r="AJ42" s="93"/>
      <c r="AK42" s="93"/>
      <c r="AL42" s="122">
        <f t="shared" si="21"/>
        <v>23.327412132477189</v>
      </c>
      <c r="AM42" s="93">
        <v>0</v>
      </c>
      <c r="AN42" s="94">
        <f t="shared" si="22"/>
        <v>44.652200000000001</v>
      </c>
      <c r="AO42" s="95">
        <f t="shared" si="24"/>
        <v>207.64038786752283</v>
      </c>
      <c r="AP42" s="96"/>
      <c r="AQ42" s="97">
        <f t="shared" si="5"/>
        <v>1176</v>
      </c>
      <c r="AR42" s="98">
        <f t="shared" si="34"/>
        <v>123.09</v>
      </c>
      <c r="AS42" s="98">
        <f t="shared" si="7"/>
        <v>445.82000000000005</v>
      </c>
      <c r="AT42" s="98">
        <f t="shared" si="8"/>
        <v>331.47</v>
      </c>
      <c r="AU42" s="98">
        <f t="shared" si="23"/>
        <v>0</v>
      </c>
      <c r="AV42" s="98">
        <f t="array" ref="AV42">_xlfn.IFS(U42=0,AO42,U42&lt;0,AO42/-U42,U42&gt;0,AO42/U42)</f>
        <v>207.64038786752283</v>
      </c>
      <c r="AW42" s="234">
        <f t="shared" si="42"/>
        <v>0.17656495566966227</v>
      </c>
      <c r="AX42" s="234">
        <f t="shared" si="43"/>
        <v>1.6868989184135414</v>
      </c>
      <c r="AY42" s="99"/>
      <c r="AZ42" s="94">
        <f t="shared" si="11"/>
        <v>6021.5712481581622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0"/>
        <v>6</v>
      </c>
      <c r="F43" s="93">
        <v>3</v>
      </c>
      <c r="G43" s="93" t="s">
        <v>100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1"/>
        <v>738.54</v>
      </c>
      <c r="M43" s="89">
        <v>999</v>
      </c>
      <c r="N43" s="89">
        <v>5</v>
      </c>
      <c r="O43" s="89">
        <v>1102</v>
      </c>
      <c r="P43" s="89">
        <v>0</v>
      </c>
      <c r="Q43" s="233">
        <f t="shared" si="12"/>
        <v>0.7142857142857143</v>
      </c>
      <c r="R43" s="92">
        <f t="shared" si="13"/>
        <v>0.14285714285714285</v>
      </c>
      <c r="S43" s="93">
        <v>1</v>
      </c>
      <c r="T43" s="93">
        <v>0</v>
      </c>
      <c r="U43" s="92">
        <f t="shared" si="14"/>
        <v>1</v>
      </c>
      <c r="V43" s="93">
        <v>673</v>
      </c>
      <c r="W43" s="93">
        <v>0</v>
      </c>
      <c r="X43" s="92">
        <f t="shared" si="15"/>
        <v>673</v>
      </c>
      <c r="Y43" s="93">
        <v>1068.94</v>
      </c>
      <c r="Z43" s="93">
        <v>0</v>
      </c>
      <c r="AA43" s="92">
        <f t="shared" si="16"/>
        <v>1068.94</v>
      </c>
      <c r="AB43" s="92">
        <f t="shared" si="17"/>
        <v>0</v>
      </c>
      <c r="AC43" s="234">
        <f t="shared" si="18"/>
        <v>3.7231310815592008E-4</v>
      </c>
      <c r="AD43" s="92">
        <f t="shared" si="19"/>
        <v>123.09</v>
      </c>
      <c r="AE43" s="93">
        <v>403.72</v>
      </c>
      <c r="AF43" s="234">
        <f t="shared" si="20"/>
        <v>0.37768256403539957</v>
      </c>
      <c r="AG43" s="93">
        <v>393.39</v>
      </c>
      <c r="AH43" s="93"/>
      <c r="AI43" s="93"/>
      <c r="AJ43" s="93"/>
      <c r="AK43" s="93"/>
      <c r="AL43" s="122">
        <f t="shared" si="21"/>
        <v>1.866192970598175</v>
      </c>
      <c r="AM43" s="93">
        <v>0</v>
      </c>
      <c r="AN43" s="94">
        <f t="shared" si="22"/>
        <v>38.4283</v>
      </c>
      <c r="AO43" s="95">
        <f t="shared" si="24"/>
        <v>108.44550702940182</v>
      </c>
      <c r="AP43" s="96"/>
      <c r="AQ43" s="97">
        <f t="shared" si="5"/>
        <v>1068.94</v>
      </c>
      <c r="AR43" s="98">
        <f t="shared" si="34"/>
        <v>123.09</v>
      </c>
      <c r="AS43" s="98">
        <f t="shared" si="7"/>
        <v>403.72</v>
      </c>
      <c r="AT43" s="98">
        <f t="shared" si="8"/>
        <v>393.39</v>
      </c>
      <c r="AU43" s="98">
        <f t="shared" si="23"/>
        <v>0</v>
      </c>
      <c r="AV43" s="98">
        <f t="array" ref="AV43">_xlfn.IFS(U43=0,AO43,U43&lt;0,AO43/-U43,U43&gt;0,AO43/U43)</f>
        <v>108.44550702940182</v>
      </c>
      <c r="AW43" s="234">
        <f t="shared" si="42"/>
        <v>0.10145144444908209</v>
      </c>
      <c r="AX43" s="234">
        <f t="shared" si="43"/>
        <v>0.88102613558698373</v>
      </c>
      <c r="AY43" s="99"/>
      <c r="AZ43" s="94">
        <f t="shared" si="11"/>
        <v>650.67304217641095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0"/>
        <v>243</v>
      </c>
      <c r="F44" s="93">
        <v>25</v>
      </c>
      <c r="G44" s="93">
        <v>13</v>
      </c>
      <c r="H44" s="93">
        <v>98</v>
      </c>
      <c r="I44" s="93">
        <v>0</v>
      </c>
      <c r="J44" s="93">
        <v>107</v>
      </c>
      <c r="K44" s="92">
        <v>111.39</v>
      </c>
      <c r="L44" s="92">
        <f t="shared" si="41"/>
        <v>27067.77</v>
      </c>
      <c r="M44" s="89">
        <v>25</v>
      </c>
      <c r="N44" s="89">
        <v>49</v>
      </c>
      <c r="O44" s="89">
        <v>1260</v>
      </c>
      <c r="P44" s="89">
        <v>33</v>
      </c>
      <c r="Q44" s="233">
        <f t="shared" si="12"/>
        <v>7</v>
      </c>
      <c r="R44" s="92">
        <f t="shared" si="13"/>
        <v>2.5714285714285716</v>
      </c>
      <c r="S44" s="93">
        <v>19</v>
      </c>
      <c r="T44" s="93">
        <v>-1</v>
      </c>
      <c r="U44" s="92">
        <f t="shared" si="14"/>
        <v>18</v>
      </c>
      <c r="V44" s="93">
        <v>15808.44</v>
      </c>
      <c r="W44" s="93">
        <v>-827</v>
      </c>
      <c r="X44" s="92">
        <f t="shared" si="15"/>
        <v>14981.44</v>
      </c>
      <c r="Y44" s="93">
        <v>23812.510000000002</v>
      </c>
      <c r="Z44" s="93">
        <v>-1260</v>
      </c>
      <c r="AA44" s="92">
        <f t="shared" si="16"/>
        <v>22552.510000000002</v>
      </c>
      <c r="AB44" s="92">
        <f t="shared" si="17"/>
        <v>20374.2</v>
      </c>
      <c r="AC44" s="234">
        <f t="shared" si="18"/>
        <v>7.8550667902945633E-3</v>
      </c>
      <c r="AD44" s="92">
        <f t="shared" si="19"/>
        <v>2005.02</v>
      </c>
      <c r="AE44" s="93">
        <v>8598.2600000000039</v>
      </c>
      <c r="AF44" s="234">
        <f t="shared" si="20"/>
        <v>0.38125512415247809</v>
      </c>
      <c r="AG44" s="93">
        <v>4187.7000000000025</v>
      </c>
      <c r="AH44" s="93">
        <v>260</v>
      </c>
      <c r="AI44" s="93">
        <v>1575</v>
      </c>
      <c r="AJ44" s="93"/>
      <c r="AK44" s="93"/>
      <c r="AL44" s="122">
        <f t="shared" si="21"/>
        <v>91.443455559310578</v>
      </c>
      <c r="AM44" s="93">
        <v>841</v>
      </c>
      <c r="AN44" s="94">
        <f t="shared" si="22"/>
        <v>855.44022399999994</v>
      </c>
      <c r="AO44" s="95">
        <f t="shared" si="24"/>
        <v>4138.6463204406846</v>
      </c>
      <c r="AP44" s="96"/>
      <c r="AQ44" s="97">
        <f t="shared" si="5"/>
        <v>1252.9172222222223</v>
      </c>
      <c r="AR44" s="98">
        <f t="shared" si="34"/>
        <v>111.39</v>
      </c>
      <c r="AS44" s="98">
        <f t="shared" si="7"/>
        <v>477.68111111111131</v>
      </c>
      <c r="AT44" s="98">
        <f t="shared" si="8"/>
        <v>220.40526315789486</v>
      </c>
      <c r="AU44" s="98">
        <f t="shared" si="23"/>
        <v>96.578947368421055</v>
      </c>
      <c r="AV44" s="98">
        <f t="array" ref="AV44">_xlfn.IFS(U44=0,AO44,U44&lt;0,AO44/-U44,U44&gt;0,AO44/U44)</f>
        <v>229.92479558003802</v>
      </c>
      <c r="AW44" s="234">
        <f t="shared" si="42"/>
        <v>0.18351156126039558</v>
      </c>
      <c r="AX44" s="234">
        <f t="shared" si="43"/>
        <v>2.0641421633902328</v>
      </c>
      <c r="AY44" s="99"/>
      <c r="AZ44" s="94">
        <f t="shared" si="11"/>
        <v>55871.725325949243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0"/>
        <v>151</v>
      </c>
      <c r="F45" s="93">
        <v>44</v>
      </c>
      <c r="G45" s="93">
        <v>13</v>
      </c>
      <c r="H45" s="93">
        <v>93</v>
      </c>
      <c r="I45" s="93">
        <v>0</v>
      </c>
      <c r="J45" s="93">
        <v>1</v>
      </c>
      <c r="K45" s="92">
        <v>107.88</v>
      </c>
      <c r="L45" s="92">
        <f t="shared" si="41"/>
        <v>16289.88</v>
      </c>
      <c r="M45" s="89">
        <v>999</v>
      </c>
      <c r="N45" s="89">
        <v>59</v>
      </c>
      <c r="O45" s="89">
        <v>1913</v>
      </c>
      <c r="P45" s="89">
        <v>48</v>
      </c>
      <c r="Q45" s="233">
        <f t="shared" si="12"/>
        <v>8.4285714285714288</v>
      </c>
      <c r="R45" s="92">
        <f t="shared" si="13"/>
        <v>2.8571428571428572</v>
      </c>
      <c r="S45" s="93">
        <v>22</v>
      </c>
      <c r="T45" s="93">
        <v>-2</v>
      </c>
      <c r="U45" s="92">
        <f t="shared" si="14"/>
        <v>20</v>
      </c>
      <c r="V45" s="93">
        <v>28322.639999999999</v>
      </c>
      <c r="W45" s="93">
        <v>-2557</v>
      </c>
      <c r="X45" s="92">
        <f t="shared" si="15"/>
        <v>25765.64</v>
      </c>
      <c r="Y45" s="93">
        <v>41910.400000000001</v>
      </c>
      <c r="Z45" s="93">
        <v>-3784</v>
      </c>
      <c r="AA45" s="92">
        <f t="shared" si="16"/>
        <v>38126.400000000001</v>
      </c>
      <c r="AB45" s="92">
        <f t="shared" si="17"/>
        <v>54176.160000000003</v>
      </c>
      <c r="AC45" s="234">
        <f t="shared" si="18"/>
        <v>1.3279471707294956E-2</v>
      </c>
      <c r="AD45" s="92">
        <f t="shared" si="19"/>
        <v>2157.6</v>
      </c>
      <c r="AE45" s="93">
        <v>14479.710000000003</v>
      </c>
      <c r="AF45" s="234">
        <f t="shared" si="20"/>
        <v>0.37978172604809274</v>
      </c>
      <c r="AG45" s="93">
        <v>4148.1399999999994</v>
      </c>
      <c r="AH45" s="93">
        <v>3225</v>
      </c>
      <c r="AI45" s="93">
        <v>2108</v>
      </c>
      <c r="AJ45" s="93"/>
      <c r="AK45" s="93"/>
      <c r="AL45" s="122">
        <f t="shared" si="21"/>
        <v>86.777973132815134</v>
      </c>
      <c r="AM45" s="93">
        <v>0</v>
      </c>
      <c r="AN45" s="94">
        <f t="shared" si="22"/>
        <v>1471.218044</v>
      </c>
      <c r="AO45" s="95">
        <f t="shared" si="24"/>
        <v>10449.953982867186</v>
      </c>
      <c r="AP45" s="96"/>
      <c r="AQ45" s="97">
        <f t="shared" si="5"/>
        <v>1906.3200000000002</v>
      </c>
      <c r="AR45" s="98">
        <f t="shared" si="34"/>
        <v>107.88</v>
      </c>
      <c r="AS45" s="98">
        <f t="shared" si="7"/>
        <v>723.98550000000012</v>
      </c>
      <c r="AT45" s="98">
        <f t="shared" si="8"/>
        <v>188.55181818181816</v>
      </c>
      <c r="AU45" s="98">
        <f t="shared" si="23"/>
        <v>242.40909090909091</v>
      </c>
      <c r="AV45" s="98">
        <f t="array" ref="AV45">_xlfn.IFS(U45=0,AO45,U45&lt;0,AO45/-U45,U45&gt;0,AO45/U45)</f>
        <v>522.49769914335934</v>
      </c>
      <c r="AW45" s="234">
        <f t="shared" si="42"/>
        <v>0.27408708881161575</v>
      </c>
      <c r="AX45" s="234">
        <f t="shared" si="43"/>
        <v>4.8433231288780068</v>
      </c>
      <c r="AY45" s="99"/>
      <c r="AZ45" s="94">
        <f t="shared" si="11"/>
        <v>78897.15257064726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0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1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2"/>
        <v>0</v>
      </c>
      <c r="R46" s="92">
        <f t="shared" si="13"/>
        <v>0</v>
      </c>
      <c r="S46" s="93">
        <v>0</v>
      </c>
      <c r="T46" s="93">
        <v>0</v>
      </c>
      <c r="U46" s="92">
        <f t="shared" si="14"/>
        <v>0</v>
      </c>
      <c r="V46" s="93">
        <v>0</v>
      </c>
      <c r="W46" s="93">
        <v>0</v>
      </c>
      <c r="X46" s="92">
        <f t="shared" si="15"/>
        <v>0</v>
      </c>
      <c r="Y46" s="93">
        <v>0</v>
      </c>
      <c r="Z46" s="93">
        <v>0</v>
      </c>
      <c r="AA46" s="92">
        <f t="shared" si="16"/>
        <v>0</v>
      </c>
      <c r="AB46" s="92">
        <f t="shared" si="17"/>
        <v>0</v>
      </c>
      <c r="AC46" s="234">
        <f t="shared" si="18"/>
        <v>0</v>
      </c>
      <c r="AD46" s="92">
        <f t="shared" si="19"/>
        <v>0</v>
      </c>
      <c r="AE46" s="93">
        <v>0</v>
      </c>
      <c r="AF46" s="234">
        <f t="shared" si="20"/>
        <v>0</v>
      </c>
      <c r="AG46" s="93">
        <v>0</v>
      </c>
      <c r="AH46" s="93"/>
      <c r="AI46" s="93"/>
      <c r="AJ46" s="93"/>
      <c r="AK46" s="93"/>
      <c r="AL46" s="122">
        <f t="shared" si="21"/>
        <v>0</v>
      </c>
      <c r="AM46" s="93">
        <v>0</v>
      </c>
      <c r="AN46" s="94">
        <f t="shared" si="22"/>
        <v>0</v>
      </c>
      <c r="AO46" s="95">
        <f t="shared" si="24"/>
        <v>0</v>
      </c>
      <c r="AP46" s="96"/>
      <c r="AQ46" s="97">
        <f t="shared" si="5"/>
        <v>0</v>
      </c>
      <c r="AR46" s="98">
        <f t="shared" si="34"/>
        <v>107.88</v>
      </c>
      <c r="AS46" s="98">
        <f t="shared" si="7"/>
        <v>0</v>
      </c>
      <c r="AT46" s="98">
        <f t="shared" si="8"/>
        <v>0</v>
      </c>
      <c r="AU46" s="98">
        <f t="shared" si="23"/>
        <v>0</v>
      </c>
      <c r="AV46" s="98">
        <f t="array" ref="AV46">_xlfn.IFS(U46=0,AO46,U46&lt;0,AO46/-U46,U46&gt;0,AO46/U46)</f>
        <v>0</v>
      </c>
      <c r="AW46" s="234">
        <f t="shared" si="42"/>
        <v>0</v>
      </c>
      <c r="AX46" s="234">
        <f t="shared" si="43"/>
        <v>0</v>
      </c>
      <c r="AY46" s="99"/>
      <c r="AZ46" s="94">
        <f t="shared" si="11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0"/>
        <v>54</v>
      </c>
      <c r="F47" s="93">
        <v>2</v>
      </c>
      <c r="G47" s="93">
        <v>4</v>
      </c>
      <c r="H47" s="93">
        <v>38</v>
      </c>
      <c r="I47" s="93">
        <v>0</v>
      </c>
      <c r="J47" s="93">
        <v>10</v>
      </c>
      <c r="K47" s="92">
        <v>123.09</v>
      </c>
      <c r="L47" s="92">
        <f t="shared" si="41"/>
        <v>6646.8600000000006</v>
      </c>
      <c r="M47" s="89">
        <v>90</v>
      </c>
      <c r="N47" s="89">
        <v>6</v>
      </c>
      <c r="O47" s="89">
        <v>1404</v>
      </c>
      <c r="P47" s="89">
        <v>50</v>
      </c>
      <c r="Q47" s="233">
        <f t="shared" si="12"/>
        <v>0.8571428571428571</v>
      </c>
      <c r="R47" s="92">
        <f t="shared" si="13"/>
        <v>0.8571428571428571</v>
      </c>
      <c r="S47" s="93">
        <v>7</v>
      </c>
      <c r="T47" s="93">
        <v>-1</v>
      </c>
      <c r="U47" s="92">
        <f t="shared" si="14"/>
        <v>6</v>
      </c>
      <c r="V47" s="93">
        <v>6480</v>
      </c>
      <c r="W47" s="93">
        <v>-859</v>
      </c>
      <c r="X47" s="92">
        <f t="shared" si="15"/>
        <v>5621</v>
      </c>
      <c r="Y47" s="93">
        <v>9741</v>
      </c>
      <c r="Z47" s="93">
        <v>-1375</v>
      </c>
      <c r="AA47" s="92">
        <f t="shared" si="16"/>
        <v>8366</v>
      </c>
      <c r="AB47" s="92">
        <f t="shared" si="17"/>
        <v>4212</v>
      </c>
      <c r="AC47" s="234">
        <f t="shared" si="18"/>
        <v>2.9138880225573253E-3</v>
      </c>
      <c r="AD47" s="92">
        <f t="shared" si="19"/>
        <v>738.54</v>
      </c>
      <c r="AE47" s="93">
        <v>3190.05</v>
      </c>
      <c r="AF47" s="234">
        <f t="shared" si="20"/>
        <v>0.38131125986134357</v>
      </c>
      <c r="AG47" s="93">
        <v>779.38999999999987</v>
      </c>
      <c r="AH47" s="93"/>
      <c r="AI47" s="93"/>
      <c r="AJ47" s="93"/>
      <c r="AK47" s="93"/>
      <c r="AL47" s="122">
        <f t="shared" si="21"/>
        <v>35.457666441365319</v>
      </c>
      <c r="AM47" s="93">
        <v>0</v>
      </c>
      <c r="AN47" s="94">
        <f t="shared" si="22"/>
        <v>320.95909999999998</v>
      </c>
      <c r="AO47" s="95">
        <f t="shared" si="24"/>
        <v>3301.6032335586347</v>
      </c>
      <c r="AP47" s="96"/>
      <c r="AQ47" s="97">
        <f t="shared" si="5"/>
        <v>1394.3333333333333</v>
      </c>
      <c r="AR47" s="98">
        <f t="shared" si="34"/>
        <v>123.09</v>
      </c>
      <c r="AS47" s="98">
        <f t="shared" si="7"/>
        <v>531.67500000000007</v>
      </c>
      <c r="AT47" s="98">
        <f t="shared" si="8"/>
        <v>111.34142857142855</v>
      </c>
      <c r="AU47" s="98">
        <f t="shared" si="23"/>
        <v>0</v>
      </c>
      <c r="AV47" s="98">
        <f t="array" ref="AV47">_xlfn.IFS(U47=0,AO47,U47&lt;0,AO47/-U47,U47&gt;0,AO47/U47)</f>
        <v>550.26720559310581</v>
      </c>
      <c r="AW47" s="234">
        <f t="shared" si="42"/>
        <v>0.39464537814470896</v>
      </c>
      <c r="AX47" s="234">
        <f t="shared" si="43"/>
        <v>4.4704460605500511</v>
      </c>
      <c r="AY47" s="99"/>
      <c r="AZ47" s="94">
        <f t="shared" si="11"/>
        <v>29714.429102027712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0"/>
        <v>285</v>
      </c>
      <c r="F48" s="93">
        <v>50</v>
      </c>
      <c r="G48" s="93">
        <v>19</v>
      </c>
      <c r="H48" s="93">
        <v>215</v>
      </c>
      <c r="I48" s="93">
        <v>0</v>
      </c>
      <c r="J48" s="93">
        <v>1</v>
      </c>
      <c r="K48" s="92">
        <v>107.88</v>
      </c>
      <c r="L48" s="92">
        <f t="shared" si="41"/>
        <v>30745.8</v>
      </c>
      <c r="M48" s="89">
        <v>25</v>
      </c>
      <c r="N48" s="89">
        <v>84</v>
      </c>
      <c r="O48" s="89">
        <v>1412</v>
      </c>
      <c r="P48" s="89">
        <v>47</v>
      </c>
      <c r="Q48" s="233">
        <f t="shared" si="12"/>
        <v>12</v>
      </c>
      <c r="R48" s="92">
        <f t="shared" si="13"/>
        <v>5.8571428571428568</v>
      </c>
      <c r="S48" s="93">
        <v>43</v>
      </c>
      <c r="T48" s="93">
        <v>-2</v>
      </c>
      <c r="U48" s="92">
        <f t="shared" si="14"/>
        <v>41</v>
      </c>
      <c r="V48" s="93">
        <v>40872.720000000001</v>
      </c>
      <c r="W48" s="93">
        <v>-1797</v>
      </c>
      <c r="X48" s="92">
        <f t="shared" si="15"/>
        <v>39075.72</v>
      </c>
      <c r="Y48" s="93">
        <v>60353.29</v>
      </c>
      <c r="Z48" s="93">
        <v>-2765</v>
      </c>
      <c r="AA48" s="92">
        <f t="shared" si="16"/>
        <v>57588.29</v>
      </c>
      <c r="AB48" s="92">
        <f t="shared" si="17"/>
        <v>55745.760000000002</v>
      </c>
      <c r="AC48" s="234">
        <f t="shared" si="18"/>
        <v>2.0058071775108509E-2</v>
      </c>
      <c r="AD48" s="92">
        <f t="shared" si="19"/>
        <v>4423.08</v>
      </c>
      <c r="AE48" s="93">
        <v>21856.580000000009</v>
      </c>
      <c r="AF48" s="234">
        <f t="shared" si="20"/>
        <v>0.37953167215070993</v>
      </c>
      <c r="AG48" s="93">
        <v>6435.8099999999831</v>
      </c>
      <c r="AH48" s="93"/>
      <c r="AI48" s="93">
        <v>2728</v>
      </c>
      <c r="AJ48" s="93"/>
      <c r="AK48" s="93"/>
      <c r="AL48" s="122">
        <f t="shared" si="21"/>
        <v>200.6157443393038</v>
      </c>
      <c r="AM48" s="93">
        <v>0</v>
      </c>
      <c r="AN48" s="94">
        <f t="shared" si="22"/>
        <v>2231.2236119999998</v>
      </c>
      <c r="AO48" s="95">
        <f t="shared" si="24"/>
        <v>19712.980643660703</v>
      </c>
      <c r="AP48" s="96"/>
      <c r="AQ48" s="97">
        <f t="shared" si="5"/>
        <v>1404.5924390243902</v>
      </c>
      <c r="AR48" s="98">
        <f t="shared" si="34"/>
        <v>107.88</v>
      </c>
      <c r="AS48" s="98">
        <f t="shared" si="7"/>
        <v>533.08731707317099</v>
      </c>
      <c r="AT48" s="98">
        <f t="shared" si="8"/>
        <v>149.66999999999962</v>
      </c>
      <c r="AU48" s="98">
        <f t="shared" si="23"/>
        <v>63.441860465116278</v>
      </c>
      <c r="AV48" s="98">
        <f t="array" ref="AV48">_xlfn.IFS(U48=0,AO48,U48&lt;0,AO48/-U48,U48&gt;0,AO48/U48)</f>
        <v>480.80440594294396</v>
      </c>
      <c r="AW48" s="234">
        <f t="shared" si="42"/>
        <v>0.34230883819715263</v>
      </c>
      <c r="AX48" s="234">
        <f t="shared" si="43"/>
        <v>4.4568446972834996</v>
      </c>
      <c r="AY48" s="99"/>
      <c r="AZ48" s="94">
        <f t="shared" si="11"/>
        <v>137029.25569373902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0"/>
        <v>231</v>
      </c>
      <c r="F49" s="93">
        <v>55</v>
      </c>
      <c r="G49" s="93">
        <v>30</v>
      </c>
      <c r="H49" s="93">
        <v>114</v>
      </c>
      <c r="I49" s="93">
        <v>0</v>
      </c>
      <c r="J49" s="93">
        <v>32</v>
      </c>
      <c r="K49" s="92">
        <v>123.09</v>
      </c>
      <c r="L49" s="92">
        <f t="shared" si="41"/>
        <v>28433.79</v>
      </c>
      <c r="M49" s="89">
        <v>22</v>
      </c>
      <c r="N49" s="89">
        <v>82</v>
      </c>
      <c r="O49" s="89">
        <v>1762</v>
      </c>
      <c r="P49" s="89">
        <v>35</v>
      </c>
      <c r="Q49" s="233">
        <f t="shared" si="12"/>
        <v>11.714285714285714</v>
      </c>
      <c r="R49" s="92">
        <f t="shared" si="13"/>
        <v>3.5714285714285716</v>
      </c>
      <c r="S49" s="93">
        <v>25</v>
      </c>
      <c r="T49" s="93">
        <v>0</v>
      </c>
      <c r="U49" s="92">
        <f t="shared" si="14"/>
        <v>25</v>
      </c>
      <c r="V49" s="93">
        <v>31461.39</v>
      </c>
      <c r="W49" s="93">
        <v>0</v>
      </c>
      <c r="X49" s="92">
        <f t="shared" si="15"/>
        <v>31461.39</v>
      </c>
      <c r="Y49" s="93">
        <v>46156.73</v>
      </c>
      <c r="Z49" s="93">
        <v>0</v>
      </c>
      <c r="AA49" s="92">
        <f t="shared" si="16"/>
        <v>46156.73</v>
      </c>
      <c r="AB49" s="92">
        <f t="shared" si="17"/>
        <v>50569.4</v>
      </c>
      <c r="AC49" s="234">
        <f t="shared" si="18"/>
        <v>1.6076445458691416E-2</v>
      </c>
      <c r="AD49" s="92">
        <f t="shared" si="19"/>
        <v>3077.25</v>
      </c>
      <c r="AE49" s="93">
        <v>17181.920000000006</v>
      </c>
      <c r="AF49" s="234">
        <f t="shared" si="20"/>
        <v>0.37225167380791502</v>
      </c>
      <c r="AG49" s="93">
        <v>7297.1000000000122</v>
      </c>
      <c r="AH49" s="93">
        <v>1000</v>
      </c>
      <c r="AI49" s="93">
        <v>7257</v>
      </c>
      <c r="AJ49" s="93"/>
      <c r="AK49" s="93"/>
      <c r="AL49" s="122">
        <f t="shared" si="21"/>
        <v>106.37299932409596</v>
      </c>
      <c r="AM49" s="93">
        <v>0</v>
      </c>
      <c r="AN49" s="94">
        <f t="shared" si="22"/>
        <v>1796.4453689999998</v>
      </c>
      <c r="AO49" s="95">
        <f t="shared" si="24"/>
        <v>8440.6416316758896</v>
      </c>
      <c r="AP49" s="96"/>
      <c r="AQ49" s="97">
        <f t="shared" si="5"/>
        <v>1846.2692000000002</v>
      </c>
      <c r="AR49" s="98">
        <f t="shared" si="34"/>
        <v>123.09</v>
      </c>
      <c r="AS49" s="98">
        <f t="shared" si="7"/>
        <v>687.27680000000021</v>
      </c>
      <c r="AT49" s="98">
        <f t="shared" si="8"/>
        <v>291.88400000000047</v>
      </c>
      <c r="AU49" s="98">
        <f t="shared" si="23"/>
        <v>330.28</v>
      </c>
      <c r="AV49" s="98">
        <f t="array" ref="AV49">_xlfn.IFS(U49=0,AO49,U49&lt;0,AO49/-U49,U49&gt;0,AO49/U49)</f>
        <v>337.62566526703557</v>
      </c>
      <c r="AW49" s="234">
        <f t="shared" si="42"/>
        <v>0.18286914241272917</v>
      </c>
      <c r="AX49" s="234">
        <f t="shared" si="43"/>
        <v>2.7429170953532829</v>
      </c>
      <c r="AY49" s="99"/>
      <c r="AZ49" s="94">
        <f t="shared" si="11"/>
        <v>77991.528676685222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0"/>
        <v>451</v>
      </c>
      <c r="F50" s="93">
        <v>27</v>
      </c>
      <c r="G50" s="93">
        <v>9</v>
      </c>
      <c r="H50" s="93">
        <v>109</v>
      </c>
      <c r="I50" s="93">
        <v>0</v>
      </c>
      <c r="J50" s="93">
        <v>306</v>
      </c>
      <c r="K50" s="92">
        <v>134.79</v>
      </c>
      <c r="L50" s="92">
        <f t="shared" si="41"/>
        <v>60790.289999999994</v>
      </c>
      <c r="M50" s="89">
        <v>14</v>
      </c>
      <c r="N50" s="89">
        <v>48</v>
      </c>
      <c r="O50" s="89">
        <v>1501</v>
      </c>
      <c r="P50" s="89">
        <v>66</v>
      </c>
      <c r="Q50" s="233">
        <f t="shared" si="12"/>
        <v>6.8571428571428568</v>
      </c>
      <c r="R50" s="92">
        <f t="shared" si="13"/>
        <v>4.5714285714285712</v>
      </c>
      <c r="S50" s="93">
        <v>32</v>
      </c>
      <c r="T50" s="93">
        <v>0</v>
      </c>
      <c r="U50" s="92">
        <f t="shared" si="14"/>
        <v>32</v>
      </c>
      <c r="V50" s="93">
        <v>32054.7</v>
      </c>
      <c r="W50" s="93">
        <v>0</v>
      </c>
      <c r="X50" s="92">
        <f t="shared" si="15"/>
        <v>32054.7</v>
      </c>
      <c r="Y50" s="93">
        <v>47676.65</v>
      </c>
      <c r="Z50" s="93">
        <v>0</v>
      </c>
      <c r="AA50" s="92">
        <f t="shared" si="16"/>
        <v>47676.65</v>
      </c>
      <c r="AB50" s="92">
        <f t="shared" si="17"/>
        <v>47551.68</v>
      </c>
      <c r="AC50" s="234">
        <f t="shared" si="18"/>
        <v>1.6605835451907448E-2</v>
      </c>
      <c r="AD50" s="92">
        <f t="shared" si="19"/>
        <v>4313.28</v>
      </c>
      <c r="AE50" s="93">
        <v>18143.02</v>
      </c>
      <c r="AF50" s="234">
        <f t="shared" si="20"/>
        <v>0.38054309604387054</v>
      </c>
      <c r="AG50" s="93">
        <v>3443.1400000000003</v>
      </c>
      <c r="AH50" s="93"/>
      <c r="AI50" s="93">
        <v>3142</v>
      </c>
      <c r="AJ50" s="93"/>
      <c r="AK50" s="93"/>
      <c r="AL50" s="122">
        <f t="shared" si="21"/>
        <v>101.70751689760054</v>
      </c>
      <c r="AM50" s="93">
        <v>0</v>
      </c>
      <c r="AN50" s="94">
        <f t="shared" si="22"/>
        <v>1830.3233700000001</v>
      </c>
      <c r="AO50" s="95">
        <f t="shared" si="24"/>
        <v>16703.1791131024</v>
      </c>
      <c r="AP50" s="96"/>
      <c r="AQ50" s="97">
        <f t="shared" si="5"/>
        <v>1489.8953125</v>
      </c>
      <c r="AR50" s="98">
        <f t="shared" si="34"/>
        <v>134.79</v>
      </c>
      <c r="AS50" s="98">
        <f t="shared" si="7"/>
        <v>566.96937500000001</v>
      </c>
      <c r="AT50" s="98">
        <f t="shared" si="8"/>
        <v>107.59812500000001</v>
      </c>
      <c r="AU50" s="98">
        <f t="shared" si="23"/>
        <v>98.1875</v>
      </c>
      <c r="AV50" s="98">
        <f t="array" ref="AV50">_xlfn.IFS(U50=0,AO50,U50&lt;0,AO50/-U50,U50&gt;0,AO50/U50)</f>
        <v>521.97434728445</v>
      </c>
      <c r="AW50" s="234">
        <f t="shared" si="42"/>
        <v>0.35034296900269629</v>
      </c>
      <c r="AX50" s="234">
        <f t="shared" si="43"/>
        <v>3.8725005362745755</v>
      </c>
      <c r="AY50" s="99"/>
      <c r="AZ50" s="94">
        <f t="shared" si="11"/>
        <v>235410.43062528694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0"/>
        <v>146</v>
      </c>
      <c r="F51" s="93" t="s">
        <v>100</v>
      </c>
      <c r="G51" s="93" t="s">
        <v>100</v>
      </c>
      <c r="H51" s="93">
        <v>1</v>
      </c>
      <c r="I51" s="93">
        <v>0</v>
      </c>
      <c r="J51" s="93">
        <v>145</v>
      </c>
      <c r="K51" s="92">
        <v>144.15</v>
      </c>
      <c r="L51" s="92">
        <f t="shared" si="41"/>
        <v>21045.9</v>
      </c>
      <c r="M51" s="89">
        <v>999</v>
      </c>
      <c r="N51" s="89">
        <v>0</v>
      </c>
      <c r="O51" s="89">
        <v>0</v>
      </c>
      <c r="P51" s="89">
        <v>0</v>
      </c>
      <c r="Q51" s="233">
        <f t="shared" si="12"/>
        <v>0</v>
      </c>
      <c r="R51" s="92">
        <f t="shared" si="13"/>
        <v>0</v>
      </c>
      <c r="S51" s="93">
        <v>0</v>
      </c>
      <c r="T51" s="93">
        <v>0</v>
      </c>
      <c r="U51" s="92">
        <f t="shared" si="14"/>
        <v>0</v>
      </c>
      <c r="V51" s="93">
        <v>0</v>
      </c>
      <c r="W51" s="93">
        <v>0</v>
      </c>
      <c r="X51" s="92">
        <f t="shared" si="15"/>
        <v>0</v>
      </c>
      <c r="Y51" s="93">
        <v>0</v>
      </c>
      <c r="Z51" s="93">
        <v>0</v>
      </c>
      <c r="AA51" s="92">
        <f t="shared" si="16"/>
        <v>0</v>
      </c>
      <c r="AB51" s="92">
        <f t="shared" si="17"/>
        <v>0</v>
      </c>
      <c r="AC51" s="234">
        <f t="shared" si="18"/>
        <v>0</v>
      </c>
      <c r="AD51" s="92">
        <f t="shared" si="19"/>
        <v>0</v>
      </c>
      <c r="AE51" s="93">
        <v>0</v>
      </c>
      <c r="AF51" s="234">
        <f t="shared" si="20"/>
        <v>0</v>
      </c>
      <c r="AG51" s="93">
        <v>0</v>
      </c>
      <c r="AH51" s="93"/>
      <c r="AI51" s="93"/>
      <c r="AJ51" s="93"/>
      <c r="AK51" s="93"/>
      <c r="AL51" s="122">
        <f t="shared" si="21"/>
        <v>0.93309648529908751</v>
      </c>
      <c r="AM51" s="93">
        <v>0</v>
      </c>
      <c r="AN51" s="94">
        <f t="shared" si="22"/>
        <v>0</v>
      </c>
      <c r="AO51" s="95">
        <f t="shared" si="24"/>
        <v>-0.93309648529908751</v>
      </c>
      <c r="AP51" s="96"/>
      <c r="AQ51" s="97">
        <f t="shared" si="5"/>
        <v>0</v>
      </c>
      <c r="AR51" s="98">
        <f t="shared" si="34"/>
        <v>144.15</v>
      </c>
      <c r="AS51" s="98">
        <f t="shared" si="7"/>
        <v>0</v>
      </c>
      <c r="AT51" s="98">
        <f t="shared" si="8"/>
        <v>0</v>
      </c>
      <c r="AU51" s="98">
        <f t="shared" si="23"/>
        <v>0</v>
      </c>
      <c r="AV51" s="98">
        <f t="array" ref="AV51">_xlfn.IFS(U51=0,AO51,U51&lt;0,AO51/-U51,U51&gt;0,AO51/U51)</f>
        <v>-0.93309648529908751</v>
      </c>
      <c r="AW51" s="234">
        <f t="shared" si="42"/>
        <v>0</v>
      </c>
      <c r="AX51" s="234">
        <f t="shared" si="43"/>
        <v>-6.4730938973228402E-3</v>
      </c>
      <c r="AY51" s="99"/>
      <c r="AZ51" s="94">
        <f t="shared" si="11"/>
        <v>-136.23208685366677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0"/>
        <v>27</v>
      </c>
      <c r="F52" s="93">
        <v>5</v>
      </c>
      <c r="G52" s="93" t="s">
        <v>100</v>
      </c>
      <c r="H52" s="93">
        <v>21</v>
      </c>
      <c r="I52" s="93">
        <v>0</v>
      </c>
      <c r="J52" s="93">
        <v>1</v>
      </c>
      <c r="K52" s="92">
        <v>96.18</v>
      </c>
      <c r="L52" s="92">
        <f t="shared" si="41"/>
        <v>2596.86</v>
      </c>
      <c r="M52" s="89">
        <v>999</v>
      </c>
      <c r="N52" s="89">
        <v>6</v>
      </c>
      <c r="O52" s="89">
        <v>1302</v>
      </c>
      <c r="P52" s="89">
        <v>100</v>
      </c>
      <c r="Q52" s="233">
        <f t="shared" si="12"/>
        <v>0.8571428571428571</v>
      </c>
      <c r="R52" s="92">
        <f t="shared" si="13"/>
        <v>0.2857142857142857</v>
      </c>
      <c r="S52" s="93">
        <v>2</v>
      </c>
      <c r="T52" s="93">
        <v>0</v>
      </c>
      <c r="U52" s="92">
        <f t="shared" si="14"/>
        <v>2</v>
      </c>
      <c r="V52" s="93">
        <v>1784</v>
      </c>
      <c r="W52" s="93">
        <v>0</v>
      </c>
      <c r="X52" s="92">
        <f t="shared" si="15"/>
        <v>1784</v>
      </c>
      <c r="Y52" s="93">
        <v>2535.94</v>
      </c>
      <c r="Z52" s="93">
        <v>0</v>
      </c>
      <c r="AA52" s="92">
        <f t="shared" si="16"/>
        <v>2535.94</v>
      </c>
      <c r="AB52" s="92">
        <f t="shared" si="17"/>
        <v>7812</v>
      </c>
      <c r="AC52" s="234">
        <f t="shared" si="18"/>
        <v>8.83271000708107E-4</v>
      </c>
      <c r="AD52" s="92">
        <f t="shared" si="19"/>
        <v>192.36</v>
      </c>
      <c r="AE52" s="93">
        <v>901.05000000000018</v>
      </c>
      <c r="AF52" s="234">
        <f t="shared" si="20"/>
        <v>0.35531203419639273</v>
      </c>
      <c r="AG52" s="93">
        <v>132.92000000000002</v>
      </c>
      <c r="AH52" s="93"/>
      <c r="AI52" s="93">
        <v>512</v>
      </c>
      <c r="AJ52" s="93"/>
      <c r="AK52" s="93"/>
      <c r="AL52" s="122">
        <f t="shared" si="21"/>
        <v>19.595026191280837</v>
      </c>
      <c r="AM52" s="93">
        <v>0</v>
      </c>
      <c r="AN52" s="94">
        <f t="shared" si="22"/>
        <v>101.8664</v>
      </c>
      <c r="AO52" s="95">
        <f t="shared" si="24"/>
        <v>676.14857380871888</v>
      </c>
      <c r="AP52" s="96"/>
      <c r="AQ52" s="97">
        <f t="shared" si="5"/>
        <v>1267.97</v>
      </c>
      <c r="AR52" s="98">
        <f t="shared" si="34"/>
        <v>96.18</v>
      </c>
      <c r="AS52" s="98">
        <f t="shared" si="7"/>
        <v>450.52500000000009</v>
      </c>
      <c r="AT52" s="98">
        <f t="shared" si="8"/>
        <v>66.460000000000008</v>
      </c>
      <c r="AU52" s="98">
        <f t="shared" si="23"/>
        <v>256</v>
      </c>
      <c r="AV52" s="98">
        <f t="array" ref="AV52">_xlfn.IFS(U52=0,AO52,U52&lt;0,AO52/-U52,U52&gt;0,AO52/U52)</f>
        <v>338.07428690435944</v>
      </c>
      <c r="AW52" s="234">
        <f t="shared" si="42"/>
        <v>0.26662640827808182</v>
      </c>
      <c r="AX52" s="234">
        <f t="shared" si="43"/>
        <v>3.5150164993175235</v>
      </c>
      <c r="AY52" s="99"/>
      <c r="AZ52" s="94">
        <f t="shared" si="11"/>
        <v>9128.0057464177044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0"/>
        <v>36</v>
      </c>
      <c r="F53" s="93">
        <v>7</v>
      </c>
      <c r="G53" s="93">
        <v>1</v>
      </c>
      <c r="H53" s="93">
        <v>27</v>
      </c>
      <c r="I53" s="93">
        <v>0</v>
      </c>
      <c r="J53" s="93">
        <v>1</v>
      </c>
      <c r="K53" s="92">
        <v>96.18</v>
      </c>
      <c r="L53" s="92">
        <f t="shared" si="41"/>
        <v>3462.4800000000005</v>
      </c>
      <c r="M53" s="89">
        <v>64</v>
      </c>
      <c r="N53" s="89">
        <v>6</v>
      </c>
      <c r="O53" s="89">
        <v>1106</v>
      </c>
      <c r="P53" s="89">
        <v>0</v>
      </c>
      <c r="Q53" s="233">
        <f t="shared" si="12"/>
        <v>0.8571428571428571</v>
      </c>
      <c r="R53" s="92">
        <f t="shared" si="13"/>
        <v>-0.14285714285714285</v>
      </c>
      <c r="S53" s="93">
        <v>0</v>
      </c>
      <c r="T53" s="93">
        <v>-1</v>
      </c>
      <c r="U53" s="92">
        <f t="shared" si="14"/>
        <v>-1</v>
      </c>
      <c r="V53" s="93">
        <v>0</v>
      </c>
      <c r="W53" s="93">
        <v>-725</v>
      </c>
      <c r="X53" s="92">
        <f t="shared" si="15"/>
        <v>-725</v>
      </c>
      <c r="Y53" s="93">
        <v>0</v>
      </c>
      <c r="Z53" s="93">
        <v>-1106</v>
      </c>
      <c r="AA53" s="92">
        <f t="shared" si="16"/>
        <v>-1106</v>
      </c>
      <c r="AB53" s="92">
        <f t="shared" si="17"/>
        <v>0</v>
      </c>
      <c r="AC53" s="234">
        <f t="shared" si="18"/>
        <v>-3.8522115144016275E-4</v>
      </c>
      <c r="AD53" s="92">
        <f t="shared" si="19"/>
        <v>-96.18</v>
      </c>
      <c r="AE53" s="93">
        <v>-418.87</v>
      </c>
      <c r="AF53" s="234">
        <f t="shared" si="20"/>
        <v>0.37872513562386978</v>
      </c>
      <c r="AG53" s="93">
        <v>791.04999999999961</v>
      </c>
      <c r="AH53" s="93"/>
      <c r="AI53" s="93">
        <v>574</v>
      </c>
      <c r="AJ53" s="93"/>
      <c r="AK53" s="93"/>
      <c r="AL53" s="122">
        <f t="shared" si="21"/>
        <v>25.19360510307536</v>
      </c>
      <c r="AM53" s="93">
        <v>0</v>
      </c>
      <c r="AN53" s="94">
        <f t="shared" si="22"/>
        <v>-41.397500000000001</v>
      </c>
      <c r="AO53" s="95">
        <f t="shared" si="24"/>
        <v>-1939.796105103075</v>
      </c>
      <c r="AP53" s="96"/>
      <c r="AQ53" s="97">
        <f t="shared" si="5"/>
        <v>1106</v>
      </c>
      <c r="AR53" s="98">
        <f t="shared" si="34"/>
        <v>96.18</v>
      </c>
      <c r="AS53" s="98">
        <f t="shared" si="7"/>
        <v>418.87</v>
      </c>
      <c r="AT53" s="98">
        <f t="shared" si="8"/>
        <v>791.04999999999961</v>
      </c>
      <c r="AU53" s="98">
        <f t="shared" si="23"/>
        <v>0</v>
      </c>
      <c r="AV53" s="98">
        <f t="array" ref="AV53">_xlfn.IFS(U53=0,AO53,U53&lt;0,AO53/-U53,U53&gt;0,AO53/U53)</f>
        <v>-1939.796105103075</v>
      </c>
      <c r="AW53" s="234">
        <f t="shared" si="42"/>
        <v>-1.7538843626610081</v>
      </c>
      <c r="AX53" s="234">
        <f t="shared" si="43"/>
        <v>-20.168393689988303</v>
      </c>
      <c r="AY53" s="99"/>
      <c r="AZ53" s="94">
        <f t="shared" si="11"/>
        <v>-69832.659783710697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44">SUM(F54:J54)</f>
        <v>25</v>
      </c>
      <c r="F54" s="93">
        <v>3</v>
      </c>
      <c r="G54" s="93">
        <v>1</v>
      </c>
      <c r="H54" s="93">
        <v>20</v>
      </c>
      <c r="I54" s="93">
        <v>0</v>
      </c>
      <c r="J54" s="93">
        <v>1</v>
      </c>
      <c r="K54" s="93">
        <v>123.09</v>
      </c>
      <c r="L54" s="92">
        <f t="shared" si="41"/>
        <v>3077.25</v>
      </c>
      <c r="M54" s="89">
        <v>92</v>
      </c>
      <c r="N54" s="89">
        <v>3</v>
      </c>
      <c r="O54" s="89">
        <v>998</v>
      </c>
      <c r="P54" s="89">
        <v>0</v>
      </c>
      <c r="Q54" s="233">
        <f t="shared" si="12"/>
        <v>0.42857142857142855</v>
      </c>
      <c r="R54" s="92">
        <f t="shared" si="13"/>
        <v>0</v>
      </c>
      <c r="S54" s="93">
        <v>0</v>
      </c>
      <c r="T54" s="93">
        <v>0</v>
      </c>
      <c r="U54" s="92">
        <f t="shared" si="14"/>
        <v>0</v>
      </c>
      <c r="V54" s="93">
        <v>0</v>
      </c>
      <c r="W54" s="93">
        <v>0</v>
      </c>
      <c r="X54" s="92">
        <f t="shared" si="15"/>
        <v>0</v>
      </c>
      <c r="Y54" s="93">
        <v>0</v>
      </c>
      <c r="Z54" s="93">
        <v>0</v>
      </c>
      <c r="AA54" s="92">
        <f t="shared" si="16"/>
        <v>0</v>
      </c>
      <c r="AB54" s="92">
        <f t="shared" si="17"/>
        <v>0</v>
      </c>
      <c r="AC54" s="234">
        <f t="shared" si="18"/>
        <v>0</v>
      </c>
      <c r="AD54" s="92">
        <f t="shared" si="19"/>
        <v>0</v>
      </c>
      <c r="AE54" s="93">
        <v>0</v>
      </c>
      <c r="AF54" s="234">
        <f t="shared" si="20"/>
        <v>0</v>
      </c>
      <c r="AG54" s="93">
        <v>140.45000000000002</v>
      </c>
      <c r="AH54" s="93"/>
      <c r="AI54" s="93"/>
      <c r="AJ54" s="93"/>
      <c r="AK54" s="93"/>
      <c r="AL54" s="122">
        <f t="shared" si="21"/>
        <v>18.661929705981748</v>
      </c>
      <c r="AM54" s="93">
        <v>0</v>
      </c>
      <c r="AN54" s="94">
        <f t="shared" si="22"/>
        <v>0</v>
      </c>
      <c r="AO54" s="95">
        <f t="shared" si="24"/>
        <v>-159.11192970598177</v>
      </c>
      <c r="AP54" s="96"/>
      <c r="AQ54" s="97">
        <f t="shared" si="5"/>
        <v>0</v>
      </c>
      <c r="AR54" s="98">
        <f t="shared" si="34"/>
        <v>123.09</v>
      </c>
      <c r="AS54" s="98">
        <f t="shared" si="7"/>
        <v>0</v>
      </c>
      <c r="AT54" s="98">
        <f t="shared" si="8"/>
        <v>140.45000000000002</v>
      </c>
      <c r="AU54" s="98">
        <f t="shared" si="23"/>
        <v>0</v>
      </c>
      <c r="AV54" s="98">
        <f t="array" ref="AV54">_xlfn.IFS(U54=0,AO54,U54&lt;0,AO54/-U54,U54&gt;0,AO54/U54)</f>
        <v>-159.11192970598177</v>
      </c>
      <c r="AW54" s="234">
        <f t="shared" si="42"/>
        <v>0</v>
      </c>
      <c r="AX54" s="234">
        <f t="shared" si="43"/>
        <v>-1.2926470851083089</v>
      </c>
      <c r="AY54" s="99"/>
      <c r="AZ54" s="94">
        <f t="shared" si="11"/>
        <v>-3977.7982426495441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4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1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2"/>
        <v>0</v>
      </c>
      <c r="R55" s="92">
        <f t="shared" si="13"/>
        <v>0</v>
      </c>
      <c r="S55" s="93">
        <v>0</v>
      </c>
      <c r="T55" s="93">
        <v>0</v>
      </c>
      <c r="U55" s="92">
        <f t="shared" si="14"/>
        <v>0</v>
      </c>
      <c r="V55" s="93">
        <v>0</v>
      </c>
      <c r="W55" s="93">
        <v>0</v>
      </c>
      <c r="X55" s="92">
        <f t="shared" si="15"/>
        <v>0</v>
      </c>
      <c r="Y55" s="93">
        <v>0</v>
      </c>
      <c r="Z55" s="93">
        <v>0</v>
      </c>
      <c r="AA55" s="92">
        <f t="shared" si="16"/>
        <v>0</v>
      </c>
      <c r="AB55" s="92">
        <f t="shared" si="17"/>
        <v>0</v>
      </c>
      <c r="AC55" s="234">
        <f t="shared" si="18"/>
        <v>0</v>
      </c>
      <c r="AD55" s="92">
        <f t="shared" si="19"/>
        <v>0</v>
      </c>
      <c r="AE55" s="93">
        <v>0</v>
      </c>
      <c r="AF55" s="234">
        <f t="shared" si="20"/>
        <v>0</v>
      </c>
      <c r="AG55" s="93">
        <v>0</v>
      </c>
      <c r="AH55" s="93"/>
      <c r="AI55" s="93"/>
      <c r="AJ55" s="93"/>
      <c r="AK55" s="93"/>
      <c r="AL55" s="122">
        <f t="shared" si="21"/>
        <v>0.93309648529908751</v>
      </c>
      <c r="AM55" s="93">
        <v>0</v>
      </c>
      <c r="AN55" s="94">
        <f t="shared" si="22"/>
        <v>0</v>
      </c>
      <c r="AO55" s="95">
        <f t="shared" si="24"/>
        <v>-0.93309648529908751</v>
      </c>
      <c r="AP55" s="96"/>
      <c r="AQ55" s="97">
        <f t="shared" si="5"/>
        <v>0</v>
      </c>
      <c r="AR55" s="98">
        <f t="shared" si="34"/>
        <v>158.19</v>
      </c>
      <c r="AS55" s="98">
        <f t="shared" si="7"/>
        <v>0</v>
      </c>
      <c r="AT55" s="98">
        <f t="shared" si="8"/>
        <v>0</v>
      </c>
      <c r="AU55" s="98">
        <f t="shared" si="23"/>
        <v>0</v>
      </c>
      <c r="AV55" s="98">
        <f t="array" ref="AV55">_xlfn.IFS(U55=0,AO55,U55&lt;0,AO55/-U55,U55&gt;0,AO55/U55)</f>
        <v>-0.93309648529908751</v>
      </c>
      <c r="AW55" s="234">
        <f t="shared" si="42"/>
        <v>0</v>
      </c>
      <c r="AX55" s="234">
        <f t="shared" si="43"/>
        <v>-5.8985807276002748E-3</v>
      </c>
      <c r="AY55" s="99"/>
      <c r="AZ55" s="94">
        <f t="shared" si="11"/>
        <v>-1.866192970598175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4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1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2"/>
        <v>0</v>
      </c>
      <c r="R56" s="92">
        <f t="shared" si="13"/>
        <v>0</v>
      </c>
      <c r="S56" s="93">
        <v>0</v>
      </c>
      <c r="T56" s="93">
        <v>0</v>
      </c>
      <c r="U56" s="92">
        <f t="shared" si="14"/>
        <v>0</v>
      </c>
      <c r="V56" s="93">
        <v>0</v>
      </c>
      <c r="W56" s="93">
        <v>0</v>
      </c>
      <c r="X56" s="92">
        <f t="shared" si="15"/>
        <v>0</v>
      </c>
      <c r="Y56" s="93">
        <v>0</v>
      </c>
      <c r="Z56" s="93">
        <v>0</v>
      </c>
      <c r="AA56" s="92">
        <f t="shared" si="16"/>
        <v>0</v>
      </c>
      <c r="AB56" s="92">
        <f t="shared" si="17"/>
        <v>0</v>
      </c>
      <c r="AC56" s="234">
        <f t="shared" si="18"/>
        <v>0</v>
      </c>
      <c r="AD56" s="92">
        <f t="shared" si="19"/>
        <v>0</v>
      </c>
      <c r="AE56" s="93">
        <v>0</v>
      </c>
      <c r="AF56" s="234">
        <f t="shared" si="20"/>
        <v>0</v>
      </c>
      <c r="AG56" s="93">
        <v>0</v>
      </c>
      <c r="AH56" s="93"/>
      <c r="AI56" s="93"/>
      <c r="AJ56" s="93"/>
      <c r="AK56" s="93"/>
      <c r="AL56" s="122">
        <f t="shared" si="21"/>
        <v>0</v>
      </c>
      <c r="AM56" s="93">
        <v>0</v>
      </c>
      <c r="AN56" s="94">
        <f t="shared" si="22"/>
        <v>0</v>
      </c>
      <c r="AO56" s="95">
        <f t="shared" si="24"/>
        <v>0</v>
      </c>
      <c r="AP56" s="96"/>
      <c r="AQ56" s="97">
        <f t="shared" si="5"/>
        <v>0</v>
      </c>
      <c r="AR56" s="98">
        <f t="shared" si="34"/>
        <v>152.34</v>
      </c>
      <c r="AS56" s="98">
        <f t="shared" si="7"/>
        <v>0</v>
      </c>
      <c r="AT56" s="98">
        <f t="shared" si="8"/>
        <v>0</v>
      </c>
      <c r="AU56" s="98">
        <f t="shared" si="23"/>
        <v>0</v>
      </c>
      <c r="AV56" s="98">
        <f t="array" ref="AV56">_xlfn.IFS(U56=0,AO56,U56&lt;0,AO56/-U56,U56&gt;0,AO56/U56)</f>
        <v>0</v>
      </c>
      <c r="AW56" s="234">
        <f t="shared" si="42"/>
        <v>0</v>
      </c>
      <c r="AX56" s="234">
        <f t="shared" si="43"/>
        <v>0</v>
      </c>
      <c r="AY56" s="99"/>
      <c r="AZ56" s="94">
        <f t="shared" si="11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4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1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2"/>
        <v>0</v>
      </c>
      <c r="R57" s="92">
        <f t="shared" si="13"/>
        <v>0</v>
      </c>
      <c r="S57" s="93">
        <v>0</v>
      </c>
      <c r="T57" s="93">
        <v>0</v>
      </c>
      <c r="U57" s="92">
        <f t="shared" si="14"/>
        <v>0</v>
      </c>
      <c r="V57" s="93">
        <v>0</v>
      </c>
      <c r="W57" s="93">
        <v>0</v>
      </c>
      <c r="X57" s="92">
        <f t="shared" si="15"/>
        <v>0</v>
      </c>
      <c r="Y57" s="93">
        <v>0</v>
      </c>
      <c r="Z57" s="93">
        <v>0</v>
      </c>
      <c r="AA57" s="92">
        <f t="shared" si="16"/>
        <v>0</v>
      </c>
      <c r="AB57" s="92">
        <f t="shared" si="17"/>
        <v>0</v>
      </c>
      <c r="AC57" s="234">
        <f t="shared" si="18"/>
        <v>0</v>
      </c>
      <c r="AD57" s="92">
        <f t="shared" si="19"/>
        <v>0</v>
      </c>
      <c r="AE57" s="93">
        <v>0</v>
      </c>
      <c r="AF57" s="234">
        <f t="shared" si="20"/>
        <v>0</v>
      </c>
      <c r="AG57" s="93">
        <v>0</v>
      </c>
      <c r="AH57" s="93"/>
      <c r="AI57" s="93"/>
      <c r="AJ57" s="93"/>
      <c r="AK57" s="93"/>
      <c r="AL57" s="122">
        <f t="shared" si="21"/>
        <v>0</v>
      </c>
      <c r="AM57" s="93">
        <v>0</v>
      </c>
      <c r="AN57" s="94">
        <f t="shared" si="22"/>
        <v>0</v>
      </c>
      <c r="AO57" s="95">
        <f t="shared" si="24"/>
        <v>0</v>
      </c>
      <c r="AP57" s="96"/>
      <c r="AQ57" s="97">
        <f t="shared" si="5"/>
        <v>0</v>
      </c>
      <c r="AR57" s="98">
        <f t="shared" si="34"/>
        <v>93.84</v>
      </c>
      <c r="AS57" s="98">
        <f t="shared" si="7"/>
        <v>0</v>
      </c>
      <c r="AT57" s="98">
        <f t="shared" si="8"/>
        <v>0</v>
      </c>
      <c r="AU57" s="98">
        <f t="shared" si="23"/>
        <v>0</v>
      </c>
      <c r="AV57" s="98">
        <f t="array" ref="AV57">_xlfn.IFS(U57=0,AO57,U57&lt;0,AO57/-U57,U57&gt;0,AO57/U57)</f>
        <v>0</v>
      </c>
      <c r="AW57" s="234">
        <f t="shared" si="42"/>
        <v>0</v>
      </c>
      <c r="AX57" s="234">
        <f t="shared" si="43"/>
        <v>0</v>
      </c>
      <c r="AY57" s="99"/>
      <c r="AZ57" s="94">
        <f t="shared" si="11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4"/>
        <v>23</v>
      </c>
      <c r="F58" s="93">
        <v>1</v>
      </c>
      <c r="G58" s="93">
        <v>2</v>
      </c>
      <c r="H58" s="93">
        <v>19</v>
      </c>
      <c r="I58" s="93">
        <v>0</v>
      </c>
      <c r="J58" s="93">
        <v>1</v>
      </c>
      <c r="K58" s="93">
        <v>169.89</v>
      </c>
      <c r="L58" s="92">
        <f t="shared" si="41"/>
        <v>3907.47</v>
      </c>
      <c r="M58" s="89">
        <v>999</v>
      </c>
      <c r="N58" s="89">
        <v>2</v>
      </c>
      <c r="O58" s="89">
        <v>1039</v>
      </c>
      <c r="P58" s="89">
        <v>0</v>
      </c>
      <c r="Q58" s="233">
        <f t="shared" si="12"/>
        <v>0.2857142857142857</v>
      </c>
      <c r="R58" s="92">
        <f t="shared" si="13"/>
        <v>0.14285714285714285</v>
      </c>
      <c r="S58" s="93">
        <v>1</v>
      </c>
      <c r="T58" s="93">
        <v>0</v>
      </c>
      <c r="U58" s="92">
        <f t="shared" si="14"/>
        <v>1</v>
      </c>
      <c r="V58" s="93">
        <v>734</v>
      </c>
      <c r="W58" s="93">
        <v>0</v>
      </c>
      <c r="X58" s="92">
        <f t="shared" si="15"/>
        <v>734</v>
      </c>
      <c r="Y58" s="93">
        <v>1039</v>
      </c>
      <c r="Z58" s="93">
        <v>0</v>
      </c>
      <c r="AA58" s="92">
        <f t="shared" si="16"/>
        <v>1039</v>
      </c>
      <c r="AB58" s="92">
        <f t="shared" si="17"/>
        <v>0</v>
      </c>
      <c r="AC58" s="234">
        <f t="shared" si="18"/>
        <v>3.6188496957172616E-4</v>
      </c>
      <c r="AD58" s="92">
        <f t="shared" si="19"/>
        <v>169.89</v>
      </c>
      <c r="AE58" s="93">
        <v>402.05999999999995</v>
      </c>
      <c r="AF58" s="234">
        <f t="shared" si="20"/>
        <v>0.38696823869104902</v>
      </c>
      <c r="AG58" s="93">
        <v>269.15999999999997</v>
      </c>
      <c r="AH58" s="93"/>
      <c r="AI58" s="93">
        <v>572</v>
      </c>
      <c r="AJ58" s="93"/>
      <c r="AK58" s="93"/>
      <c r="AL58" s="122">
        <f t="shared" si="21"/>
        <v>17.72883322068266</v>
      </c>
      <c r="AM58" s="93">
        <v>0</v>
      </c>
      <c r="AN58" s="94">
        <f t="shared" si="22"/>
        <v>41.9114</v>
      </c>
      <c r="AO58" s="95">
        <f t="shared" si="24"/>
        <v>-433.75023322068256</v>
      </c>
      <c r="AP58" s="96"/>
      <c r="AQ58" s="97">
        <f t="shared" si="5"/>
        <v>1039</v>
      </c>
      <c r="AR58" s="98">
        <f t="shared" si="34"/>
        <v>169.89</v>
      </c>
      <c r="AS58" s="98">
        <f t="shared" si="7"/>
        <v>402.05999999999995</v>
      </c>
      <c r="AT58" s="98">
        <f t="shared" si="8"/>
        <v>269.15999999999997</v>
      </c>
      <c r="AU58" s="98">
        <f t="shared" si="23"/>
        <v>572</v>
      </c>
      <c r="AV58" s="98">
        <f t="array" ref="AV58">_xlfn.IFS(U58=0,AO58,U58&lt;0,AO58/-U58,U58&gt;0,AO58/U58)</f>
        <v>-433.75023322068256</v>
      </c>
      <c r="AW58" s="234">
        <f t="shared" si="42"/>
        <v>-0.41746894438949234</v>
      </c>
      <c r="AX58" s="234">
        <f t="shared" si="43"/>
        <v>-2.5531239815214701</v>
      </c>
      <c r="AY58" s="99"/>
      <c r="AZ58" s="94">
        <f t="shared" si="11"/>
        <v>-9976.2553640756996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4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1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2"/>
        <v>0</v>
      </c>
      <c r="R59" s="92">
        <f t="shared" si="13"/>
        <v>0</v>
      </c>
      <c r="S59" s="93">
        <v>0</v>
      </c>
      <c r="T59" s="93">
        <v>0</v>
      </c>
      <c r="U59" s="92">
        <f t="shared" si="14"/>
        <v>0</v>
      </c>
      <c r="V59" s="93">
        <v>0</v>
      </c>
      <c r="W59" s="93">
        <v>0</v>
      </c>
      <c r="X59" s="92">
        <f t="shared" si="15"/>
        <v>0</v>
      </c>
      <c r="Y59" s="93">
        <v>0</v>
      </c>
      <c r="Z59" s="93">
        <v>0</v>
      </c>
      <c r="AA59" s="92">
        <f t="shared" si="16"/>
        <v>0</v>
      </c>
      <c r="AB59" s="92">
        <f t="shared" si="17"/>
        <v>0</v>
      </c>
      <c r="AC59" s="234">
        <f t="shared" si="18"/>
        <v>0</v>
      </c>
      <c r="AD59" s="92">
        <f t="shared" si="19"/>
        <v>0</v>
      </c>
      <c r="AE59" s="93">
        <v>0</v>
      </c>
      <c r="AF59" s="234">
        <f t="shared" si="20"/>
        <v>0</v>
      </c>
      <c r="AG59" s="93">
        <v>0</v>
      </c>
      <c r="AH59" s="93"/>
      <c r="AI59" s="93"/>
      <c r="AJ59" s="93"/>
      <c r="AK59" s="93"/>
      <c r="AL59" s="122">
        <f t="shared" si="21"/>
        <v>0</v>
      </c>
      <c r="AM59" s="93">
        <v>0</v>
      </c>
      <c r="AN59" s="94">
        <f t="shared" si="22"/>
        <v>0</v>
      </c>
      <c r="AO59" s="95">
        <f t="shared" si="24"/>
        <v>0</v>
      </c>
      <c r="AP59" s="96"/>
      <c r="AQ59" s="97">
        <f t="shared" si="5"/>
        <v>0</v>
      </c>
      <c r="AR59" s="98">
        <f t="shared" si="34"/>
        <v>158.19</v>
      </c>
      <c r="AS59" s="98">
        <f t="shared" si="7"/>
        <v>0</v>
      </c>
      <c r="AT59" s="98">
        <f t="shared" si="8"/>
        <v>0</v>
      </c>
      <c r="AU59" s="98">
        <f t="shared" si="23"/>
        <v>0</v>
      </c>
      <c r="AV59" s="98">
        <f t="array" ref="AV59">_xlfn.IFS(U59=0,AO59,U59&lt;0,AO59/-U59,U59&gt;0,AO59/U59)</f>
        <v>0</v>
      </c>
      <c r="AW59" s="234">
        <f t="shared" si="42"/>
        <v>0</v>
      </c>
      <c r="AX59" s="234">
        <f t="shared" si="43"/>
        <v>0</v>
      </c>
      <c r="AY59" s="99"/>
      <c r="AZ59" s="94">
        <f t="shared" si="11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4"/>
        <v>62</v>
      </c>
      <c r="F60" s="93">
        <v>2</v>
      </c>
      <c r="G60" s="93" t="s">
        <v>100</v>
      </c>
      <c r="H60" s="93">
        <v>19</v>
      </c>
      <c r="I60" s="93">
        <v>0</v>
      </c>
      <c r="J60" s="93">
        <v>41</v>
      </c>
      <c r="K60" s="93">
        <v>158.19</v>
      </c>
      <c r="L60" s="92">
        <f t="shared" si="41"/>
        <v>9807.7800000000007</v>
      </c>
      <c r="M60" s="89">
        <v>999</v>
      </c>
      <c r="N60" s="89">
        <v>2</v>
      </c>
      <c r="O60" s="89">
        <v>1049</v>
      </c>
      <c r="P60" s="89">
        <v>0</v>
      </c>
      <c r="Q60" s="233">
        <f t="shared" si="12"/>
        <v>0.2857142857142857</v>
      </c>
      <c r="R60" s="92">
        <f t="shared" si="13"/>
        <v>0.14285714285714285</v>
      </c>
      <c r="S60" s="93">
        <v>1</v>
      </c>
      <c r="T60" s="93">
        <v>0</v>
      </c>
      <c r="U60" s="92">
        <f t="shared" si="14"/>
        <v>1</v>
      </c>
      <c r="V60" s="93">
        <v>730</v>
      </c>
      <c r="W60" s="93">
        <v>0</v>
      </c>
      <c r="X60" s="92">
        <f t="shared" si="15"/>
        <v>730</v>
      </c>
      <c r="Y60" s="93">
        <v>1049</v>
      </c>
      <c r="Z60" s="93">
        <v>0</v>
      </c>
      <c r="AA60" s="92">
        <f t="shared" si="16"/>
        <v>1049</v>
      </c>
      <c r="AB60" s="92">
        <f t="shared" si="17"/>
        <v>0</v>
      </c>
      <c r="AC60" s="234">
        <f t="shared" si="18"/>
        <v>3.6536798179089577E-4</v>
      </c>
      <c r="AD60" s="92">
        <f t="shared" si="19"/>
        <v>158.19</v>
      </c>
      <c r="AE60" s="93">
        <v>405.39</v>
      </c>
      <c r="AF60" s="234">
        <f t="shared" si="20"/>
        <v>0.38645376549094373</v>
      </c>
      <c r="AG60" s="93">
        <v>46.510000000000005</v>
      </c>
      <c r="AH60" s="93"/>
      <c r="AI60" s="93"/>
      <c r="AJ60" s="93"/>
      <c r="AK60" s="93"/>
      <c r="AL60" s="122">
        <f t="shared" si="21"/>
        <v>17.72883322068266</v>
      </c>
      <c r="AM60" s="93">
        <v>0</v>
      </c>
      <c r="AN60" s="94">
        <f t="shared" si="22"/>
        <v>41.683</v>
      </c>
      <c r="AO60" s="95">
        <f t="shared" si="24"/>
        <v>379.49816677931733</v>
      </c>
      <c r="AP60" s="96"/>
      <c r="AQ60" s="97">
        <f t="shared" si="5"/>
        <v>1049</v>
      </c>
      <c r="AR60" s="98">
        <f t="shared" si="34"/>
        <v>158.19</v>
      </c>
      <c r="AS60" s="98">
        <f t="shared" si="7"/>
        <v>405.39</v>
      </c>
      <c r="AT60" s="98">
        <f t="shared" si="8"/>
        <v>46.510000000000005</v>
      </c>
      <c r="AU60" s="98">
        <f t="shared" si="23"/>
        <v>0</v>
      </c>
      <c r="AV60" s="98">
        <f t="array" ref="AV60">_xlfn.IFS(U60=0,AO60,U60&lt;0,AO60/-U60,U60&gt;0,AO60/U60)</f>
        <v>379.49816677931733</v>
      </c>
      <c r="AW60" s="234">
        <f t="shared" si="42"/>
        <v>0.36177136966569812</v>
      </c>
      <c r="AX60" s="234">
        <f t="shared" si="43"/>
        <v>2.3990022553847736</v>
      </c>
      <c r="AY60" s="99"/>
      <c r="AZ60" s="94">
        <f t="shared" si="11"/>
        <v>23528.886340317673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4"/>
        <v>477</v>
      </c>
      <c r="F61" s="93" t="s">
        <v>100</v>
      </c>
      <c r="G61" s="93" t="s">
        <v>100</v>
      </c>
      <c r="H61" s="93">
        <v>156</v>
      </c>
      <c r="I61" s="93">
        <v>0</v>
      </c>
      <c r="J61" s="93">
        <v>321</v>
      </c>
      <c r="K61" s="93">
        <v>128.94</v>
      </c>
      <c r="L61" s="92">
        <f t="shared" si="41"/>
        <v>61504.38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2"/>
        <v>0</v>
      </c>
      <c r="R61" s="92">
        <f t="shared" si="13"/>
        <v>0.14285714285714285</v>
      </c>
      <c r="S61" s="93">
        <v>1</v>
      </c>
      <c r="T61" s="93">
        <v>0</v>
      </c>
      <c r="U61" s="92">
        <f t="shared" si="14"/>
        <v>1</v>
      </c>
      <c r="V61" s="93">
        <v>799.11</v>
      </c>
      <c r="W61" s="93">
        <v>0</v>
      </c>
      <c r="X61" s="92">
        <f t="shared" si="15"/>
        <v>799.11</v>
      </c>
      <c r="Y61" s="93">
        <v>948.11</v>
      </c>
      <c r="Z61" s="93">
        <v>0</v>
      </c>
      <c r="AA61" s="92">
        <f t="shared" si="16"/>
        <v>948.11</v>
      </c>
      <c r="AB61" s="92">
        <f t="shared" si="17"/>
        <v>0</v>
      </c>
      <c r="AC61" s="234">
        <f t="shared" si="18"/>
        <v>3.3022787151169326E-4</v>
      </c>
      <c r="AD61" s="92">
        <f t="shared" si="19"/>
        <v>128.94</v>
      </c>
      <c r="AE61" s="93">
        <v>354.15999999999997</v>
      </c>
      <c r="AF61" s="234">
        <f t="shared" si="20"/>
        <v>0.37354315427534773</v>
      </c>
      <c r="AG61" s="93">
        <v>48.94</v>
      </c>
      <c r="AH61" s="93"/>
      <c r="AI61" s="93"/>
      <c r="AJ61" s="93"/>
      <c r="AK61" s="93"/>
      <c r="AL61" s="122">
        <f t="shared" si="21"/>
        <v>145.56305170665763</v>
      </c>
      <c r="AM61" s="93">
        <v>0</v>
      </c>
      <c r="AN61" s="94">
        <f t="shared" si="22"/>
        <v>45.629181000000003</v>
      </c>
      <c r="AO61" s="95">
        <f t="shared" si="24"/>
        <v>224.87776729334246</v>
      </c>
      <c r="AP61" s="96"/>
      <c r="AQ61" s="97">
        <f t="shared" si="5"/>
        <v>948.11</v>
      </c>
      <c r="AR61" s="98">
        <f t="shared" si="34"/>
        <v>128.94</v>
      </c>
      <c r="AS61" s="98">
        <f t="shared" si="7"/>
        <v>354.15999999999997</v>
      </c>
      <c r="AT61" s="98">
        <f t="shared" si="8"/>
        <v>48.94</v>
      </c>
      <c r="AU61" s="98">
        <f t="shared" si="23"/>
        <v>0</v>
      </c>
      <c r="AV61" s="98">
        <f t="array" ref="AV61">_xlfn.IFS(U61=0,AO61,U61&lt;0,AO61/-U61,U61&gt;0,AO61/U61)</f>
        <v>224.87776729334246</v>
      </c>
      <c r="AW61" s="234">
        <f t="shared" si="42"/>
        <v>0.23718531319503269</v>
      </c>
      <c r="AX61" s="234">
        <f t="shared" si="43"/>
        <v>1.7440496920532222</v>
      </c>
      <c r="AY61" s="99"/>
      <c r="AZ61" s="94">
        <f t="shared" si="11"/>
        <v>107266.69499892436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4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1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2"/>
        <v>0</v>
      </c>
      <c r="R62" s="92">
        <f t="shared" si="13"/>
        <v>0</v>
      </c>
      <c r="S62" s="93">
        <v>0</v>
      </c>
      <c r="T62" s="93">
        <v>0</v>
      </c>
      <c r="U62" s="92">
        <f t="shared" si="14"/>
        <v>0</v>
      </c>
      <c r="V62" s="93">
        <v>0</v>
      </c>
      <c r="W62" s="93">
        <v>0</v>
      </c>
      <c r="X62" s="92">
        <f t="shared" si="15"/>
        <v>0</v>
      </c>
      <c r="Y62" s="93">
        <v>0</v>
      </c>
      <c r="Z62" s="93">
        <v>0</v>
      </c>
      <c r="AA62" s="92">
        <f t="shared" si="16"/>
        <v>0</v>
      </c>
      <c r="AB62" s="92">
        <f t="shared" si="17"/>
        <v>0</v>
      </c>
      <c r="AC62" s="234">
        <f t="shared" si="18"/>
        <v>0</v>
      </c>
      <c r="AD62" s="92">
        <f t="shared" si="19"/>
        <v>0</v>
      </c>
      <c r="AE62" s="93">
        <v>0</v>
      </c>
      <c r="AF62" s="234">
        <f t="shared" si="20"/>
        <v>0</v>
      </c>
      <c r="AG62" s="93">
        <v>0</v>
      </c>
      <c r="AH62" s="93"/>
      <c r="AI62" s="93"/>
      <c r="AJ62" s="93"/>
      <c r="AK62" s="93"/>
      <c r="AL62" s="122">
        <f t="shared" si="21"/>
        <v>0</v>
      </c>
      <c r="AM62" s="93">
        <v>0</v>
      </c>
      <c r="AN62" s="94">
        <f t="shared" si="22"/>
        <v>0</v>
      </c>
      <c r="AO62" s="95">
        <f t="shared" si="24"/>
        <v>0</v>
      </c>
      <c r="AP62" s="96"/>
      <c r="AQ62" s="97">
        <f t="shared" si="5"/>
        <v>0</v>
      </c>
      <c r="AR62" s="98">
        <f t="shared" si="34"/>
        <v>175.74</v>
      </c>
      <c r="AS62" s="98">
        <f t="shared" si="7"/>
        <v>0</v>
      </c>
      <c r="AT62" s="98">
        <f t="shared" si="8"/>
        <v>0</v>
      </c>
      <c r="AU62" s="98">
        <f t="shared" si="23"/>
        <v>0</v>
      </c>
      <c r="AV62" s="98">
        <f t="array" ref="AV62">_xlfn.IFS(U62=0,AO62,U62&lt;0,AO62/-U62,U62&gt;0,AO62/U62)</f>
        <v>0</v>
      </c>
      <c r="AW62" s="234">
        <f t="shared" si="42"/>
        <v>0</v>
      </c>
      <c r="AX62" s="234">
        <f t="shared" si="43"/>
        <v>0</v>
      </c>
      <c r="AY62" s="99"/>
      <c r="AZ62" s="94">
        <f t="shared" si="11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4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1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2"/>
        <v>0</v>
      </c>
      <c r="R63" s="92">
        <f t="shared" si="13"/>
        <v>0</v>
      </c>
      <c r="S63" s="93">
        <v>0</v>
      </c>
      <c r="T63" s="93">
        <v>0</v>
      </c>
      <c r="U63" s="92">
        <f t="shared" si="14"/>
        <v>0</v>
      </c>
      <c r="V63" s="93">
        <v>0</v>
      </c>
      <c r="W63" s="93">
        <v>0</v>
      </c>
      <c r="X63" s="92">
        <f t="shared" si="15"/>
        <v>0</v>
      </c>
      <c r="Y63" s="93">
        <v>0</v>
      </c>
      <c r="Z63" s="93">
        <v>0</v>
      </c>
      <c r="AA63" s="92">
        <f t="shared" si="16"/>
        <v>0</v>
      </c>
      <c r="AB63" s="92">
        <f t="shared" si="17"/>
        <v>0</v>
      </c>
      <c r="AC63" s="234">
        <f t="shared" si="18"/>
        <v>0</v>
      </c>
      <c r="AD63" s="92">
        <f t="shared" si="19"/>
        <v>0</v>
      </c>
      <c r="AE63" s="93">
        <v>0</v>
      </c>
      <c r="AF63" s="234">
        <f t="shared" si="20"/>
        <v>0</v>
      </c>
      <c r="AG63" s="93">
        <v>0</v>
      </c>
      <c r="AH63" s="93"/>
      <c r="AI63" s="93"/>
      <c r="AJ63" s="93"/>
      <c r="AK63" s="93"/>
      <c r="AL63" s="122">
        <f t="shared" si="21"/>
        <v>0</v>
      </c>
      <c r="AM63" s="93">
        <v>0</v>
      </c>
      <c r="AN63" s="94">
        <f t="shared" si="22"/>
        <v>0</v>
      </c>
      <c r="AO63" s="95">
        <f t="shared" si="24"/>
        <v>0</v>
      </c>
      <c r="AP63" s="96"/>
      <c r="AQ63" s="97">
        <f t="shared" si="5"/>
        <v>0</v>
      </c>
      <c r="AR63" s="98">
        <f t="shared" si="34"/>
        <v>140.63999999999999</v>
      </c>
      <c r="AS63" s="98">
        <f t="shared" si="7"/>
        <v>0</v>
      </c>
      <c r="AT63" s="98">
        <f t="shared" si="8"/>
        <v>0</v>
      </c>
      <c r="AU63" s="98">
        <f t="shared" si="23"/>
        <v>0</v>
      </c>
      <c r="AV63" s="98">
        <f t="array" ref="AV63">_xlfn.IFS(U63=0,AO63,U63&lt;0,AO63/-U63,U63&gt;0,AO63/U63)</f>
        <v>0</v>
      </c>
      <c r="AW63" s="234">
        <f t="shared" si="42"/>
        <v>0</v>
      </c>
      <c r="AX63" s="234">
        <f t="shared" si="43"/>
        <v>0</v>
      </c>
      <c r="AY63" s="99"/>
      <c r="AZ63" s="94">
        <f t="shared" si="11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4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1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2"/>
        <v>0</v>
      </c>
      <c r="R64" s="92">
        <f t="shared" si="13"/>
        <v>0</v>
      </c>
      <c r="S64" s="93">
        <v>0</v>
      </c>
      <c r="T64" s="93">
        <v>0</v>
      </c>
      <c r="U64" s="92">
        <f t="shared" si="14"/>
        <v>0</v>
      </c>
      <c r="V64" s="93">
        <v>0</v>
      </c>
      <c r="W64" s="93">
        <v>0</v>
      </c>
      <c r="X64" s="92">
        <f t="shared" si="15"/>
        <v>0</v>
      </c>
      <c r="Y64" s="93">
        <v>0</v>
      </c>
      <c r="Z64" s="93">
        <v>0</v>
      </c>
      <c r="AA64" s="92">
        <f t="shared" si="16"/>
        <v>0</v>
      </c>
      <c r="AB64" s="92">
        <f t="shared" si="17"/>
        <v>0</v>
      </c>
      <c r="AC64" s="234">
        <f t="shared" si="18"/>
        <v>0</v>
      </c>
      <c r="AD64" s="92">
        <f t="shared" si="19"/>
        <v>0</v>
      </c>
      <c r="AE64" s="93">
        <v>0</v>
      </c>
      <c r="AF64" s="234">
        <f t="shared" si="20"/>
        <v>0</v>
      </c>
      <c r="AG64" s="93">
        <v>0</v>
      </c>
      <c r="AH64" s="93"/>
      <c r="AI64" s="93"/>
      <c r="AJ64" s="93"/>
      <c r="AK64" s="93"/>
      <c r="AL64" s="122">
        <f t="shared" si="21"/>
        <v>0</v>
      </c>
      <c r="AM64" s="93">
        <v>0</v>
      </c>
      <c r="AN64" s="94">
        <f t="shared" si="22"/>
        <v>0</v>
      </c>
      <c r="AO64" s="95">
        <f t="shared" si="24"/>
        <v>0</v>
      </c>
      <c r="AP64" s="96"/>
      <c r="AQ64" s="97">
        <f t="shared" si="5"/>
        <v>0</v>
      </c>
      <c r="AR64" s="98">
        <f t="shared" si="34"/>
        <v>99.69</v>
      </c>
      <c r="AS64" s="98">
        <f t="shared" si="7"/>
        <v>0</v>
      </c>
      <c r="AT64" s="98">
        <f t="shared" si="8"/>
        <v>0</v>
      </c>
      <c r="AU64" s="98">
        <f t="shared" si="23"/>
        <v>0</v>
      </c>
      <c r="AV64" s="98">
        <f t="array" ref="AV64">_xlfn.IFS(U64=0,AO64,U64&lt;0,AO64/-U64,U64&gt;0,AO64/U64)</f>
        <v>0</v>
      </c>
      <c r="AW64" s="234">
        <f t="shared" si="42"/>
        <v>0</v>
      </c>
      <c r="AX64" s="234">
        <f t="shared" si="43"/>
        <v>0</v>
      </c>
      <c r="AY64" s="99"/>
      <c r="AZ64" s="94">
        <f t="shared" si="11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4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1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2"/>
        <v>0</v>
      </c>
      <c r="R65" s="92">
        <f t="shared" si="13"/>
        <v>0</v>
      </c>
      <c r="S65" s="93">
        <v>0</v>
      </c>
      <c r="T65" s="93">
        <v>0</v>
      </c>
      <c r="U65" s="92">
        <f t="shared" si="14"/>
        <v>0</v>
      </c>
      <c r="V65" s="93">
        <v>0</v>
      </c>
      <c r="W65" s="93">
        <v>0</v>
      </c>
      <c r="X65" s="92">
        <f t="shared" si="15"/>
        <v>0</v>
      </c>
      <c r="Y65" s="93">
        <v>0</v>
      </c>
      <c r="Z65" s="93">
        <v>0</v>
      </c>
      <c r="AA65" s="92">
        <f t="shared" si="16"/>
        <v>0</v>
      </c>
      <c r="AB65" s="92">
        <f t="shared" si="17"/>
        <v>0</v>
      </c>
      <c r="AC65" s="234">
        <f t="shared" si="18"/>
        <v>0</v>
      </c>
      <c r="AD65" s="92">
        <f t="shared" si="19"/>
        <v>0</v>
      </c>
      <c r="AE65" s="93">
        <v>0</v>
      </c>
      <c r="AF65" s="234">
        <f t="shared" si="20"/>
        <v>0</v>
      </c>
      <c r="AG65" s="93">
        <v>1.25</v>
      </c>
      <c r="AH65" s="93"/>
      <c r="AI65" s="93"/>
      <c r="AJ65" s="93"/>
      <c r="AK65" s="93"/>
      <c r="AL65" s="122">
        <f t="shared" si="21"/>
        <v>0.93309648529908751</v>
      </c>
      <c r="AM65" s="93">
        <v>0</v>
      </c>
      <c r="AN65" s="94">
        <f t="shared" si="22"/>
        <v>0</v>
      </c>
      <c r="AO65" s="95">
        <f t="shared" si="24"/>
        <v>-2.1830964852990875</v>
      </c>
      <c r="AP65" s="96"/>
      <c r="AQ65" s="97">
        <f t="shared" si="5"/>
        <v>0</v>
      </c>
      <c r="AR65" s="98">
        <f t="shared" si="34"/>
        <v>99.69</v>
      </c>
      <c r="AS65" s="98">
        <f t="shared" si="7"/>
        <v>0</v>
      </c>
      <c r="AT65" s="98">
        <f t="shared" si="8"/>
        <v>1.25</v>
      </c>
      <c r="AU65" s="98">
        <f t="shared" si="23"/>
        <v>0</v>
      </c>
      <c r="AV65" s="98">
        <f t="array" ref="AV65">_xlfn.IFS(U65=0,AO65,U65&lt;0,AO65/-U65,U65&gt;0,AO65/U65)</f>
        <v>-2.1830964852990875</v>
      </c>
      <c r="AW65" s="234">
        <f t="shared" si="42"/>
        <v>0</v>
      </c>
      <c r="AX65" s="234">
        <f t="shared" si="43"/>
        <v>-2.1898851291996063E-2</v>
      </c>
      <c r="AY65" s="99"/>
      <c r="AZ65" s="94">
        <f t="shared" si="11"/>
        <v>-207.39416610341331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4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1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2"/>
        <v>0</v>
      </c>
      <c r="R66" s="92">
        <f t="shared" si="13"/>
        <v>0</v>
      </c>
      <c r="S66" s="93">
        <v>0</v>
      </c>
      <c r="T66" s="93">
        <v>0</v>
      </c>
      <c r="U66" s="92">
        <f t="shared" si="14"/>
        <v>0</v>
      </c>
      <c r="V66" s="93">
        <v>0</v>
      </c>
      <c r="W66" s="93">
        <v>0</v>
      </c>
      <c r="X66" s="92">
        <f t="shared" si="15"/>
        <v>0</v>
      </c>
      <c r="Y66" s="93">
        <v>0</v>
      </c>
      <c r="Z66" s="93">
        <v>0</v>
      </c>
      <c r="AA66" s="92">
        <f t="shared" si="16"/>
        <v>0</v>
      </c>
      <c r="AB66" s="92">
        <f t="shared" si="17"/>
        <v>0</v>
      </c>
      <c r="AC66" s="234">
        <f t="shared" si="18"/>
        <v>0</v>
      </c>
      <c r="AD66" s="92">
        <f t="shared" si="19"/>
        <v>0</v>
      </c>
      <c r="AE66" s="93">
        <v>0</v>
      </c>
      <c r="AF66" s="234">
        <f t="shared" si="20"/>
        <v>0</v>
      </c>
      <c r="AG66" s="93">
        <v>0</v>
      </c>
      <c r="AH66" s="93"/>
      <c r="AI66" s="93"/>
      <c r="AJ66" s="93"/>
      <c r="AK66" s="93"/>
      <c r="AL66" s="122">
        <f t="shared" si="21"/>
        <v>1.866192970598175</v>
      </c>
      <c r="AM66" s="93">
        <v>0</v>
      </c>
      <c r="AN66" s="94">
        <f t="shared" si="22"/>
        <v>0</v>
      </c>
      <c r="AO66" s="95">
        <f t="shared" si="24"/>
        <v>-1.866192970598175</v>
      </c>
      <c r="AP66" s="96"/>
      <c r="AQ66" s="97">
        <f t="shared" si="5"/>
        <v>0</v>
      </c>
      <c r="AR66" s="98">
        <f t="shared" si="34"/>
        <v>97.35</v>
      </c>
      <c r="AS66" s="98">
        <f t="shared" si="7"/>
        <v>0</v>
      </c>
      <c r="AT66" s="98">
        <f t="shared" si="8"/>
        <v>0</v>
      </c>
      <c r="AU66" s="98">
        <f t="shared" si="23"/>
        <v>0</v>
      </c>
      <c r="AV66" s="98">
        <f t="array" ref="AV66">_xlfn.IFS(U66=0,AO66,U66&lt;0,AO66/-U66,U66&gt;0,AO66/U66)</f>
        <v>-1.866192970598175</v>
      </c>
      <c r="AW66" s="234">
        <f t="shared" si="42"/>
        <v>0</v>
      </c>
      <c r="AX66" s="234">
        <f t="shared" si="43"/>
        <v>-1.9169932928589369E-2</v>
      </c>
      <c r="AY66" s="99"/>
      <c r="AZ66" s="94">
        <f t="shared" si="11"/>
        <v>-177.28833220682662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4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1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2"/>
        <v>0</v>
      </c>
      <c r="R67" s="92">
        <f t="shared" si="13"/>
        <v>0</v>
      </c>
      <c r="S67" s="93">
        <v>0</v>
      </c>
      <c r="T67" s="93">
        <v>0</v>
      </c>
      <c r="U67" s="92">
        <f t="shared" si="14"/>
        <v>0</v>
      </c>
      <c r="V67" s="93">
        <v>0</v>
      </c>
      <c r="W67" s="93">
        <v>0</v>
      </c>
      <c r="X67" s="92">
        <f t="shared" si="15"/>
        <v>0</v>
      </c>
      <c r="Y67" s="93">
        <v>0</v>
      </c>
      <c r="Z67" s="93">
        <v>0</v>
      </c>
      <c r="AA67" s="92">
        <f t="shared" si="16"/>
        <v>0</v>
      </c>
      <c r="AB67" s="92">
        <f t="shared" si="17"/>
        <v>0</v>
      </c>
      <c r="AC67" s="234">
        <f t="shared" si="18"/>
        <v>0</v>
      </c>
      <c r="AD67" s="92">
        <f t="shared" si="19"/>
        <v>0</v>
      </c>
      <c r="AE67" s="93">
        <v>0</v>
      </c>
      <c r="AF67" s="234">
        <f t="shared" si="20"/>
        <v>0</v>
      </c>
      <c r="AG67" s="93">
        <v>0</v>
      </c>
      <c r="AH67" s="93"/>
      <c r="AI67" s="93"/>
      <c r="AJ67" s="93"/>
      <c r="AK67" s="93"/>
      <c r="AL67" s="122">
        <f t="shared" si="21"/>
        <v>0</v>
      </c>
      <c r="AM67" s="93">
        <v>0</v>
      </c>
      <c r="AN67" s="94">
        <f t="shared" si="22"/>
        <v>0</v>
      </c>
      <c r="AO67" s="95">
        <f t="shared" si="24"/>
        <v>0</v>
      </c>
      <c r="AP67" s="96"/>
      <c r="AQ67" s="97">
        <f t="shared" si="5"/>
        <v>0</v>
      </c>
      <c r="AR67" s="98">
        <f t="shared" si="34"/>
        <v>161.69999999999999</v>
      </c>
      <c r="AS67" s="98">
        <f t="shared" si="7"/>
        <v>0</v>
      </c>
      <c r="AT67" s="98">
        <f t="shared" si="8"/>
        <v>0</v>
      </c>
      <c r="AU67" s="98">
        <f t="shared" si="23"/>
        <v>0</v>
      </c>
      <c r="AV67" s="98">
        <f t="array" ref="AV67">_xlfn.IFS(U67=0,AO67,U67&lt;0,AO67/-U67,U67&gt;0,AO67/U67)</f>
        <v>0</v>
      </c>
      <c r="AW67" s="234">
        <f t="shared" si="42"/>
        <v>0</v>
      </c>
      <c r="AX67" s="234">
        <f t="shared" si="43"/>
        <v>0</v>
      </c>
      <c r="AY67" s="99"/>
      <c r="AZ67" s="94">
        <f t="shared" si="11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4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1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5">N68/7</f>
        <v>0</v>
      </c>
      <c r="R68" s="92">
        <f t="shared" ref="R68:R103" si="46">U68/7</f>
        <v>0</v>
      </c>
      <c r="S68" s="93">
        <v>0</v>
      </c>
      <c r="T68" s="93">
        <v>0</v>
      </c>
      <c r="U68" s="92">
        <f t="shared" ref="U68:U104" si="47">S68+T68</f>
        <v>0</v>
      </c>
      <c r="V68" s="93">
        <v>0</v>
      </c>
      <c r="W68" s="93">
        <v>0</v>
      </c>
      <c r="X68" s="92">
        <f t="shared" ref="X68:X104" si="48">V68+W68</f>
        <v>0</v>
      </c>
      <c r="Y68" s="93">
        <v>0</v>
      </c>
      <c r="Z68" s="93">
        <v>0</v>
      </c>
      <c r="AA68" s="92">
        <f t="shared" ref="AA68:AA104" si="49">Y68+Z68</f>
        <v>0</v>
      </c>
      <c r="AB68" s="92">
        <f t="shared" ref="AB68:AB104" si="50">N68*O68*P68/100</f>
        <v>0</v>
      </c>
      <c r="AC68" s="234">
        <f t="shared" ref="AC68:AC104" si="51">AA68/$AA$127</f>
        <v>0</v>
      </c>
      <c r="AD68" s="92">
        <f t="shared" ref="AD68:AD104" si="52">U68*K68</f>
        <v>0</v>
      </c>
      <c r="AE68" s="93">
        <v>0</v>
      </c>
      <c r="AF68" s="234">
        <f t="shared" ref="AF68:AF104" si="53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4" si="54">IFERROR($AL$127*H68/$H$127,0)</f>
        <v>0</v>
      </c>
      <c r="AM68" s="93">
        <v>0</v>
      </c>
      <c r="AN68" s="94">
        <f t="shared" ref="AN68:AN103" si="55">X68*5.71%</f>
        <v>0</v>
      </c>
      <c r="AO68" s="95">
        <f t="shared" si="24"/>
        <v>0</v>
      </c>
      <c r="AP68" s="96"/>
      <c r="AQ68" s="97">
        <f t="shared" si="5"/>
        <v>0</v>
      </c>
      <c r="AR68" s="98">
        <f t="shared" si="34"/>
        <v>161.69999999999999</v>
      </c>
      <c r="AS68" s="98">
        <f t="shared" si="7"/>
        <v>0</v>
      </c>
      <c r="AT68" s="98">
        <f t="shared" si="8"/>
        <v>0</v>
      </c>
      <c r="AU68" s="98">
        <f t="shared" si="23"/>
        <v>0</v>
      </c>
      <c r="AV68" s="98">
        <f t="array" ref="AV68">_xlfn.IFS(U68=0,AO68,U68&lt;0,AO68/-U68,U68&gt;0,AO68/U68)</f>
        <v>0</v>
      </c>
      <c r="AW68" s="234">
        <f t="shared" si="42"/>
        <v>0</v>
      </c>
      <c r="AX68" s="234">
        <f t="shared" si="43"/>
        <v>0</v>
      </c>
      <c r="AY68" s="99"/>
      <c r="AZ68" s="94">
        <f t="shared" si="11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4"/>
        <v>5</v>
      </c>
      <c r="F69" s="93">
        <v>3</v>
      </c>
      <c r="G69" s="93" t="s">
        <v>100</v>
      </c>
      <c r="H69" s="93">
        <v>1</v>
      </c>
      <c r="I69" s="93">
        <v>0</v>
      </c>
      <c r="J69" s="93">
        <v>1</v>
      </c>
      <c r="K69" s="93">
        <v>140.63999999999999</v>
      </c>
      <c r="L69" s="92">
        <f t="shared" si="41"/>
        <v>703.19999999999993</v>
      </c>
      <c r="M69" s="89">
        <v>16</v>
      </c>
      <c r="N69" s="89">
        <v>4</v>
      </c>
      <c r="O69" s="89">
        <v>998</v>
      </c>
      <c r="P69" s="89">
        <v>100</v>
      </c>
      <c r="Q69" s="233">
        <f t="shared" si="45"/>
        <v>0.5714285714285714</v>
      </c>
      <c r="R69" s="92">
        <f t="shared" si="46"/>
        <v>0.14285714285714285</v>
      </c>
      <c r="S69" s="93">
        <v>1</v>
      </c>
      <c r="T69" s="93">
        <v>0</v>
      </c>
      <c r="U69" s="92">
        <f t="shared" si="47"/>
        <v>1</v>
      </c>
      <c r="V69" s="93">
        <v>703</v>
      </c>
      <c r="W69" s="93">
        <v>0</v>
      </c>
      <c r="X69" s="92">
        <f t="shared" si="48"/>
        <v>703</v>
      </c>
      <c r="Y69" s="93">
        <v>998</v>
      </c>
      <c r="Z69" s="93">
        <v>0</v>
      </c>
      <c r="AA69" s="92">
        <f t="shared" si="49"/>
        <v>998</v>
      </c>
      <c r="AB69" s="92">
        <f t="shared" si="50"/>
        <v>3992</v>
      </c>
      <c r="AC69" s="234">
        <f t="shared" si="51"/>
        <v>3.4760461947313062E-4</v>
      </c>
      <c r="AD69" s="92">
        <f t="shared" si="52"/>
        <v>140.63999999999999</v>
      </c>
      <c r="AE69" s="93">
        <v>386.11</v>
      </c>
      <c r="AF69" s="234">
        <f t="shared" si="53"/>
        <v>0.38688376753507014</v>
      </c>
      <c r="AG69" s="93">
        <v>142.47</v>
      </c>
      <c r="AH69" s="93"/>
      <c r="AI69" s="93"/>
      <c r="AJ69" s="93"/>
      <c r="AK69" s="93"/>
      <c r="AL69" s="122">
        <f t="shared" si="54"/>
        <v>0.93309648529908751</v>
      </c>
      <c r="AM69" s="93">
        <v>0</v>
      </c>
      <c r="AN69" s="94">
        <f t="shared" si="55"/>
        <v>40.141300000000001</v>
      </c>
      <c r="AO69" s="95">
        <f t="shared" ref="AO69:AO103" si="56">AA69-AD69-AE69-AG69-AH69-AI69-AK69-AL69-AN69-AM69</f>
        <v>287.7056035147009</v>
      </c>
      <c r="AP69" s="96"/>
      <c r="AQ69" s="97">
        <f t="shared" si="5"/>
        <v>998</v>
      </c>
      <c r="AR69" s="98">
        <f t="shared" si="34"/>
        <v>140.63999999999999</v>
      </c>
      <c r="AS69" s="98">
        <f t="shared" si="7"/>
        <v>386.11</v>
      </c>
      <c r="AT69" s="98">
        <f t="shared" si="8"/>
        <v>142.47</v>
      </c>
      <c r="AU69" s="98">
        <f t="shared" si="23"/>
        <v>0</v>
      </c>
      <c r="AV69" s="98">
        <f t="array" ref="AV69">_xlfn.IFS(U69=0,AO69,U69&lt;0,AO69/-U69,U69&gt;0,AO69/U69)</f>
        <v>287.7056035147009</v>
      </c>
      <c r="AW69" s="234">
        <f t="shared" si="42"/>
        <v>0.28828216785040173</v>
      </c>
      <c r="AX69" s="234">
        <f t="shared" si="43"/>
        <v>2.0456883071295571</v>
      </c>
      <c r="AY69" s="99"/>
      <c r="AZ69" s="94">
        <f t="shared" si="11"/>
        <v>1438.5280175735045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4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1"/>
        <v>117.24</v>
      </c>
      <c r="M70" s="89">
        <v>999</v>
      </c>
      <c r="N70" s="89">
        <v>0</v>
      </c>
      <c r="O70" s="89">
        <v>0</v>
      </c>
      <c r="P70" s="89">
        <v>0</v>
      </c>
      <c r="Q70" s="233">
        <f t="shared" si="45"/>
        <v>0</v>
      </c>
      <c r="R70" s="92">
        <f t="shared" si="46"/>
        <v>0</v>
      </c>
      <c r="S70" s="93">
        <v>0</v>
      </c>
      <c r="T70" s="93">
        <v>0</v>
      </c>
      <c r="U70" s="92">
        <f t="shared" si="47"/>
        <v>0</v>
      </c>
      <c r="V70" s="93">
        <v>0</v>
      </c>
      <c r="W70" s="93">
        <v>0</v>
      </c>
      <c r="X70" s="92">
        <f t="shared" si="48"/>
        <v>0</v>
      </c>
      <c r="Y70" s="93">
        <v>0</v>
      </c>
      <c r="Z70" s="93">
        <v>0</v>
      </c>
      <c r="AA70" s="92">
        <f t="shared" si="49"/>
        <v>0</v>
      </c>
      <c r="AB70" s="92">
        <f t="shared" si="50"/>
        <v>0</v>
      </c>
      <c r="AC70" s="234">
        <f t="shared" si="51"/>
        <v>0</v>
      </c>
      <c r="AD70" s="92">
        <f t="shared" si="52"/>
        <v>0</v>
      </c>
      <c r="AE70" s="93">
        <v>0</v>
      </c>
      <c r="AF70" s="234">
        <f t="shared" si="53"/>
        <v>0</v>
      </c>
      <c r="AG70" s="93">
        <v>0</v>
      </c>
      <c r="AH70" s="93"/>
      <c r="AI70" s="93"/>
      <c r="AJ70" s="93"/>
      <c r="AK70" s="93"/>
      <c r="AL70" s="122">
        <f t="shared" si="54"/>
        <v>0</v>
      </c>
      <c r="AM70" s="93">
        <v>0</v>
      </c>
      <c r="AN70" s="94">
        <f t="shared" si="55"/>
        <v>0</v>
      </c>
      <c r="AO70" s="95">
        <f t="shared" si="56"/>
        <v>0</v>
      </c>
      <c r="AP70" s="96"/>
      <c r="AQ70" s="97">
        <f t="shared" si="5"/>
        <v>0</v>
      </c>
      <c r="AR70" s="98">
        <f t="shared" si="34"/>
        <v>117.24</v>
      </c>
      <c r="AS70" s="98">
        <f t="shared" si="7"/>
        <v>0</v>
      </c>
      <c r="AT70" s="98">
        <f t="shared" si="8"/>
        <v>0</v>
      </c>
      <c r="AU70" s="98">
        <f t="shared" si="23"/>
        <v>0</v>
      </c>
      <c r="AV70" s="98">
        <f t="array" ref="AV70">_xlfn.IFS(U70=0,AO70,U70&lt;0,AO70/-U70,U70&gt;0,AO70/U70)</f>
        <v>0</v>
      </c>
      <c r="AW70" s="234">
        <f t="shared" si="42"/>
        <v>0</v>
      </c>
      <c r="AX70" s="234">
        <f t="shared" si="43"/>
        <v>0</v>
      </c>
      <c r="AY70" s="99"/>
      <c r="AZ70" s="94">
        <f t="shared" si="11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4"/>
        <v>27</v>
      </c>
      <c r="F71" s="93">
        <v>1</v>
      </c>
      <c r="G71" s="93" t="s">
        <v>100</v>
      </c>
      <c r="H71" s="93">
        <v>2</v>
      </c>
      <c r="I71" s="93">
        <v>0</v>
      </c>
      <c r="J71" s="93">
        <v>24</v>
      </c>
      <c r="K71" s="93">
        <v>123.09</v>
      </c>
      <c r="L71" s="92">
        <f t="shared" si="41"/>
        <v>3323.4300000000003</v>
      </c>
      <c r="M71" s="89">
        <v>999</v>
      </c>
      <c r="N71" s="89">
        <v>1</v>
      </c>
      <c r="O71" s="89">
        <v>702</v>
      </c>
      <c r="P71" s="89">
        <v>0</v>
      </c>
      <c r="Q71" s="233">
        <f t="shared" si="45"/>
        <v>0.14285714285714285</v>
      </c>
      <c r="R71" s="92">
        <f t="shared" si="46"/>
        <v>0</v>
      </c>
      <c r="S71" s="93">
        <v>0</v>
      </c>
      <c r="T71" s="93">
        <v>0</v>
      </c>
      <c r="U71" s="92">
        <f t="shared" si="47"/>
        <v>0</v>
      </c>
      <c r="V71" s="93">
        <v>0</v>
      </c>
      <c r="W71" s="93">
        <v>0</v>
      </c>
      <c r="X71" s="92">
        <f t="shared" si="48"/>
        <v>0</v>
      </c>
      <c r="Y71" s="93">
        <v>0</v>
      </c>
      <c r="Z71" s="93">
        <v>0</v>
      </c>
      <c r="AA71" s="92">
        <f t="shared" si="49"/>
        <v>0</v>
      </c>
      <c r="AB71" s="92">
        <f t="shared" si="50"/>
        <v>0</v>
      </c>
      <c r="AC71" s="234">
        <f t="shared" si="51"/>
        <v>0</v>
      </c>
      <c r="AD71" s="92">
        <f t="shared" si="52"/>
        <v>0</v>
      </c>
      <c r="AE71" s="93">
        <v>0</v>
      </c>
      <c r="AF71" s="234">
        <f t="shared" si="53"/>
        <v>0</v>
      </c>
      <c r="AG71" s="93">
        <v>2.73</v>
      </c>
      <c r="AH71" s="93"/>
      <c r="AI71" s="93"/>
      <c r="AJ71" s="93"/>
      <c r="AK71" s="93"/>
      <c r="AL71" s="122">
        <f t="shared" si="54"/>
        <v>1.866192970598175</v>
      </c>
      <c r="AM71" s="93">
        <v>0</v>
      </c>
      <c r="AN71" s="94">
        <f t="shared" si="55"/>
        <v>0</v>
      </c>
      <c r="AO71" s="95">
        <f t="shared" si="56"/>
        <v>-4.5961929705981746</v>
      </c>
      <c r="AP71" s="96"/>
      <c r="AQ71" s="97">
        <f t="shared" si="5"/>
        <v>0</v>
      </c>
      <c r="AR71" s="98">
        <f t="shared" si="34"/>
        <v>123.09</v>
      </c>
      <c r="AS71" s="98">
        <f t="shared" si="7"/>
        <v>0</v>
      </c>
      <c r="AT71" s="98">
        <f t="shared" si="8"/>
        <v>2.73</v>
      </c>
      <c r="AU71" s="98">
        <f t="shared" ref="AU71:AU103" si="57">IF(S71=0,0,(AH71+AI71+AJ71)/S71)</f>
        <v>0</v>
      </c>
      <c r="AV71" s="98">
        <f t="array" ref="AV71">_xlfn.IFS(U71=0,AO71,U71&lt;0,AO71/-U71,U71&gt;0,AO71/U71)</f>
        <v>-4.5961929705981746</v>
      </c>
      <c r="AW71" s="234">
        <f t="shared" si="42"/>
        <v>0</v>
      </c>
      <c r="AX71" s="234">
        <f t="shared" si="43"/>
        <v>-3.7340100500431996E-2</v>
      </c>
      <c r="AY71" s="99"/>
      <c r="AZ71" s="94">
        <f t="shared" si="11"/>
        <v>-124.09721020615072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4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1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5"/>
        <v>0</v>
      </c>
      <c r="R72" s="92">
        <f t="shared" si="46"/>
        <v>0</v>
      </c>
      <c r="S72" s="93">
        <v>0</v>
      </c>
      <c r="T72" s="93">
        <v>0</v>
      </c>
      <c r="U72" s="92">
        <f t="shared" si="47"/>
        <v>0</v>
      </c>
      <c r="V72" s="93">
        <v>0</v>
      </c>
      <c r="W72" s="93">
        <v>0</v>
      </c>
      <c r="X72" s="92">
        <f t="shared" si="48"/>
        <v>0</v>
      </c>
      <c r="Y72" s="93">
        <v>0</v>
      </c>
      <c r="Z72" s="93">
        <v>0</v>
      </c>
      <c r="AA72" s="92">
        <f t="shared" si="49"/>
        <v>0</v>
      </c>
      <c r="AB72" s="92">
        <f t="shared" si="50"/>
        <v>0</v>
      </c>
      <c r="AC72" s="234">
        <f t="shared" si="51"/>
        <v>0</v>
      </c>
      <c r="AD72" s="92">
        <f t="shared" si="52"/>
        <v>0</v>
      </c>
      <c r="AE72" s="93">
        <v>0</v>
      </c>
      <c r="AF72" s="234">
        <f t="shared" si="53"/>
        <v>0</v>
      </c>
      <c r="AG72" s="93">
        <v>0</v>
      </c>
      <c r="AH72" s="93"/>
      <c r="AI72" s="93"/>
      <c r="AJ72" s="93"/>
      <c r="AK72" s="93"/>
      <c r="AL72" s="122">
        <f t="shared" si="54"/>
        <v>0</v>
      </c>
      <c r="AM72" s="93">
        <v>0</v>
      </c>
      <c r="AN72" s="94">
        <f t="shared" si="55"/>
        <v>0</v>
      </c>
      <c r="AO72" s="95">
        <f t="shared" si="56"/>
        <v>0</v>
      </c>
      <c r="AP72" s="96"/>
      <c r="AQ72" s="97">
        <f t="shared" si="5"/>
        <v>0</v>
      </c>
      <c r="AR72" s="98">
        <f t="shared" si="34"/>
        <v>123.09</v>
      </c>
      <c r="AS72" s="98">
        <f t="shared" si="7"/>
        <v>0</v>
      </c>
      <c r="AT72" s="98">
        <f t="shared" si="8"/>
        <v>0</v>
      </c>
      <c r="AU72" s="98">
        <f t="shared" si="57"/>
        <v>0</v>
      </c>
      <c r="AV72" s="98">
        <f t="array" ref="AV72">_xlfn.IFS(U72=0,AO72,U72&lt;0,AO72/-U72,U72&gt;0,AO72/U72)</f>
        <v>0</v>
      </c>
      <c r="AW72" s="234">
        <f t="shared" si="42"/>
        <v>0</v>
      </c>
      <c r="AX72" s="234">
        <f t="shared" si="43"/>
        <v>0</v>
      </c>
      <c r="AY72" s="99"/>
      <c r="AZ72" s="94">
        <f t="shared" si="11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4"/>
        <v>3</v>
      </c>
      <c r="F73" s="93" t="s">
        <v>100</v>
      </c>
      <c r="G73" s="93" t="s">
        <v>100</v>
      </c>
      <c r="H73" s="93">
        <v>2</v>
      </c>
      <c r="I73" s="93">
        <v>0</v>
      </c>
      <c r="J73" s="93">
        <v>1</v>
      </c>
      <c r="K73" s="93">
        <v>123.09</v>
      </c>
      <c r="L73" s="92">
        <f t="shared" si="41"/>
        <v>369.27</v>
      </c>
      <c r="M73" s="89">
        <v>999</v>
      </c>
      <c r="N73" s="89">
        <v>1</v>
      </c>
      <c r="O73" s="89">
        <v>807</v>
      </c>
      <c r="P73" s="89">
        <v>100</v>
      </c>
      <c r="Q73" s="233">
        <f t="shared" si="45"/>
        <v>0.14285714285714285</v>
      </c>
      <c r="R73" s="92">
        <f t="shared" si="46"/>
        <v>0.14285714285714285</v>
      </c>
      <c r="S73" s="93">
        <v>1</v>
      </c>
      <c r="T73" s="93">
        <v>0</v>
      </c>
      <c r="U73" s="92">
        <f t="shared" si="47"/>
        <v>1</v>
      </c>
      <c r="V73" s="93">
        <v>541</v>
      </c>
      <c r="W73" s="93">
        <v>0</v>
      </c>
      <c r="X73" s="92">
        <f t="shared" si="48"/>
        <v>541</v>
      </c>
      <c r="Y73" s="93">
        <v>807</v>
      </c>
      <c r="Z73" s="93">
        <v>0</v>
      </c>
      <c r="AA73" s="92">
        <f t="shared" si="49"/>
        <v>807</v>
      </c>
      <c r="AB73" s="92">
        <f t="shared" si="50"/>
        <v>807</v>
      </c>
      <c r="AC73" s="234">
        <f t="shared" si="51"/>
        <v>2.810790860869904E-4</v>
      </c>
      <c r="AD73" s="92">
        <f t="shared" si="52"/>
        <v>123.09</v>
      </c>
      <c r="AE73" s="93">
        <v>306.10000000000002</v>
      </c>
      <c r="AF73" s="234">
        <f t="shared" si="53"/>
        <v>0.37930607187112764</v>
      </c>
      <c r="AG73" s="93">
        <v>200.86999999999998</v>
      </c>
      <c r="AH73" s="93"/>
      <c r="AI73" s="93"/>
      <c r="AJ73" s="93"/>
      <c r="AK73" s="93"/>
      <c r="AL73" s="122">
        <f t="shared" si="54"/>
        <v>1.866192970598175</v>
      </c>
      <c r="AM73" s="93">
        <v>0</v>
      </c>
      <c r="AN73" s="94">
        <f t="shared" si="55"/>
        <v>30.891099999999998</v>
      </c>
      <c r="AO73" s="95">
        <f t="shared" si="56"/>
        <v>144.1827070294018</v>
      </c>
      <c r="AP73" s="96"/>
      <c r="AQ73" s="97">
        <f t="shared" si="5"/>
        <v>807</v>
      </c>
      <c r="AR73" s="98">
        <f t="shared" si="34"/>
        <v>123.09</v>
      </c>
      <c r="AS73" s="98">
        <f t="shared" si="7"/>
        <v>306.10000000000002</v>
      </c>
      <c r="AT73" s="98">
        <f t="shared" si="8"/>
        <v>200.86999999999998</v>
      </c>
      <c r="AU73" s="98">
        <f t="shared" si="57"/>
        <v>0</v>
      </c>
      <c r="AV73" s="98">
        <f t="array" ref="AV73">_xlfn.IFS(U73=0,AO73,U73&lt;0,AO73/-U73,U73&gt;0,AO73/U73)</f>
        <v>144.1827070294018</v>
      </c>
      <c r="AW73" s="234">
        <f t="shared" si="42"/>
        <v>0.17866506447261685</v>
      </c>
      <c r="AX73" s="234">
        <f t="shared" si="43"/>
        <v>1.1713600376098936</v>
      </c>
      <c r="AY73" s="99"/>
      <c r="AZ73" s="94">
        <f t="shared" si="11"/>
        <v>432.54812108820539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4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1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5"/>
        <v>0</v>
      </c>
      <c r="R74" s="92">
        <f t="shared" si="46"/>
        <v>0</v>
      </c>
      <c r="S74" s="93">
        <v>0</v>
      </c>
      <c r="T74" s="93">
        <v>0</v>
      </c>
      <c r="U74" s="92">
        <f t="shared" si="47"/>
        <v>0</v>
      </c>
      <c r="V74" s="93">
        <v>0</v>
      </c>
      <c r="W74" s="93">
        <v>0</v>
      </c>
      <c r="X74" s="92">
        <f t="shared" si="48"/>
        <v>0</v>
      </c>
      <c r="Y74" s="93">
        <v>0</v>
      </c>
      <c r="Z74" s="93">
        <v>0</v>
      </c>
      <c r="AA74" s="92">
        <f t="shared" si="49"/>
        <v>0</v>
      </c>
      <c r="AB74" s="92">
        <f t="shared" si="50"/>
        <v>0</v>
      </c>
      <c r="AC74" s="234">
        <f t="shared" si="51"/>
        <v>0</v>
      </c>
      <c r="AD74" s="92">
        <f t="shared" si="52"/>
        <v>0</v>
      </c>
      <c r="AE74" s="93">
        <v>0</v>
      </c>
      <c r="AF74" s="234">
        <f t="shared" si="53"/>
        <v>0</v>
      </c>
      <c r="AG74" s="93">
        <v>0</v>
      </c>
      <c r="AH74" s="93"/>
      <c r="AI74" s="93"/>
      <c r="AJ74" s="93"/>
      <c r="AK74" s="93"/>
      <c r="AL74" s="122">
        <f t="shared" si="54"/>
        <v>0</v>
      </c>
      <c r="AM74" s="93">
        <v>0</v>
      </c>
      <c r="AN74" s="94">
        <f t="shared" si="55"/>
        <v>0</v>
      </c>
      <c r="AO74" s="95">
        <f t="shared" si="56"/>
        <v>0</v>
      </c>
      <c r="AP74" s="96"/>
      <c r="AQ74" s="97">
        <f t="shared" si="5"/>
        <v>0</v>
      </c>
      <c r="AR74" s="98">
        <f t="shared" si="34"/>
        <v>134.79</v>
      </c>
      <c r="AS74" s="98">
        <f t="shared" si="7"/>
        <v>0</v>
      </c>
      <c r="AT74" s="98">
        <f t="shared" si="8"/>
        <v>0</v>
      </c>
      <c r="AU74" s="98">
        <f t="shared" si="57"/>
        <v>0</v>
      </c>
      <c r="AV74" s="98">
        <f t="array" ref="AV74">_xlfn.IFS(U74=0,AO74,U74&lt;0,AO74/-U74,U74&gt;0,AO74/U74)</f>
        <v>0</v>
      </c>
      <c r="AW74" s="234">
        <f t="shared" si="42"/>
        <v>0</v>
      </c>
      <c r="AX74" s="234">
        <f t="shared" si="43"/>
        <v>0</v>
      </c>
      <c r="AY74" s="99"/>
      <c r="AZ74" s="94">
        <f t="shared" si="11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4"/>
        <v>10</v>
      </c>
      <c r="F75" s="93">
        <v>7</v>
      </c>
      <c r="G75" s="93">
        <v>2</v>
      </c>
      <c r="H75" s="93" t="s">
        <v>100</v>
      </c>
      <c r="I75" s="93">
        <v>0</v>
      </c>
      <c r="J75" s="93">
        <v>1</v>
      </c>
      <c r="K75" s="93">
        <v>134.79</v>
      </c>
      <c r="L75" s="92">
        <f t="shared" si="41"/>
        <v>1347.8999999999999</v>
      </c>
      <c r="M75" s="89">
        <v>55</v>
      </c>
      <c r="N75" s="89">
        <v>11</v>
      </c>
      <c r="O75" s="89">
        <v>763</v>
      </c>
      <c r="P75" s="89">
        <v>0</v>
      </c>
      <c r="Q75" s="233">
        <f t="shared" si="45"/>
        <v>1.5714285714285714</v>
      </c>
      <c r="R75" s="92">
        <f t="shared" si="46"/>
        <v>0.2857142857142857</v>
      </c>
      <c r="S75" s="93">
        <v>2</v>
      </c>
      <c r="T75" s="93">
        <v>0</v>
      </c>
      <c r="U75" s="92">
        <f t="shared" si="47"/>
        <v>2</v>
      </c>
      <c r="V75" s="93">
        <v>1082</v>
      </c>
      <c r="W75" s="93">
        <v>0</v>
      </c>
      <c r="X75" s="92">
        <f t="shared" si="48"/>
        <v>1082</v>
      </c>
      <c r="Y75" s="93">
        <v>1526</v>
      </c>
      <c r="Z75" s="93">
        <v>0</v>
      </c>
      <c r="AA75" s="92">
        <f t="shared" si="49"/>
        <v>1526</v>
      </c>
      <c r="AB75" s="92">
        <f t="shared" si="50"/>
        <v>0</v>
      </c>
      <c r="AC75" s="234">
        <f t="shared" si="51"/>
        <v>5.3150766464528788E-4</v>
      </c>
      <c r="AD75" s="92">
        <f t="shared" si="52"/>
        <v>269.58</v>
      </c>
      <c r="AE75" s="93">
        <v>581.18000000000006</v>
      </c>
      <c r="AF75" s="234">
        <f t="shared" si="53"/>
        <v>0.38085190039318484</v>
      </c>
      <c r="AG75" s="93">
        <v>486.90000000000003</v>
      </c>
      <c r="AH75" s="93"/>
      <c r="AI75" s="93"/>
      <c r="AJ75" s="93"/>
      <c r="AK75" s="93"/>
      <c r="AL75" s="122">
        <f t="shared" si="54"/>
        <v>0</v>
      </c>
      <c r="AM75" s="93">
        <v>0</v>
      </c>
      <c r="AN75" s="94">
        <f t="shared" si="55"/>
        <v>61.782199999999996</v>
      </c>
      <c r="AO75" s="95">
        <f t="shared" si="56"/>
        <v>126.55779999999999</v>
      </c>
      <c r="AP75" s="96"/>
      <c r="AQ75" s="97">
        <f t="shared" si="5"/>
        <v>763</v>
      </c>
      <c r="AR75" s="98">
        <f t="shared" si="34"/>
        <v>134.79</v>
      </c>
      <c r="AS75" s="98">
        <f t="shared" si="7"/>
        <v>290.59000000000003</v>
      </c>
      <c r="AT75" s="98">
        <f t="shared" si="8"/>
        <v>243.45000000000002</v>
      </c>
      <c r="AU75" s="98">
        <f t="shared" si="57"/>
        <v>0</v>
      </c>
      <c r="AV75" s="98">
        <f t="array" ref="AV75">_xlfn.IFS(U75=0,AO75,U75&lt;0,AO75/-U75,U75&gt;0,AO75/U75)</f>
        <v>63.278899999999993</v>
      </c>
      <c r="AW75" s="234">
        <f t="shared" si="42"/>
        <v>8.2934338138925284E-2</v>
      </c>
      <c r="AX75" s="234">
        <f t="shared" si="43"/>
        <v>0.46946286816529414</v>
      </c>
      <c r="AY75" s="99"/>
      <c r="AZ75" s="94">
        <f t="shared" si="11"/>
        <v>632.78899999999999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4"/>
        <v>39</v>
      </c>
      <c r="F76" s="93">
        <v>3</v>
      </c>
      <c r="G76" s="93">
        <v>2</v>
      </c>
      <c r="H76" s="93">
        <v>33</v>
      </c>
      <c r="I76" s="93">
        <v>0</v>
      </c>
      <c r="J76" s="93">
        <v>1</v>
      </c>
      <c r="K76" s="93">
        <v>123.09</v>
      </c>
      <c r="L76" s="92">
        <f t="shared" si="41"/>
        <v>4800.51</v>
      </c>
      <c r="M76" s="89">
        <v>92</v>
      </c>
      <c r="N76" s="89">
        <v>6</v>
      </c>
      <c r="O76" s="89">
        <v>1050</v>
      </c>
      <c r="P76" s="89">
        <v>0</v>
      </c>
      <c r="Q76" s="233">
        <f t="shared" si="45"/>
        <v>0.8571428571428571</v>
      </c>
      <c r="R76" s="92">
        <f t="shared" si="46"/>
        <v>0</v>
      </c>
      <c r="S76" s="93">
        <v>0</v>
      </c>
      <c r="T76" s="93">
        <v>0</v>
      </c>
      <c r="U76" s="92">
        <f t="shared" si="47"/>
        <v>0</v>
      </c>
      <c r="V76" s="93">
        <v>0</v>
      </c>
      <c r="W76" s="93">
        <v>0</v>
      </c>
      <c r="X76" s="92">
        <f t="shared" si="48"/>
        <v>0</v>
      </c>
      <c r="Y76" s="93">
        <v>0</v>
      </c>
      <c r="Z76" s="93">
        <v>0</v>
      </c>
      <c r="AA76" s="92">
        <f t="shared" si="49"/>
        <v>0</v>
      </c>
      <c r="AB76" s="92">
        <f t="shared" si="50"/>
        <v>0</v>
      </c>
      <c r="AC76" s="234">
        <f t="shared" si="51"/>
        <v>0</v>
      </c>
      <c r="AD76" s="92">
        <f t="shared" si="52"/>
        <v>0</v>
      </c>
      <c r="AE76" s="93">
        <v>0</v>
      </c>
      <c r="AF76" s="234">
        <f t="shared" si="53"/>
        <v>0</v>
      </c>
      <c r="AG76" s="93">
        <v>494.14000000000027</v>
      </c>
      <c r="AH76" s="93"/>
      <c r="AI76" s="93"/>
      <c r="AJ76" s="93"/>
      <c r="AK76" s="93"/>
      <c r="AL76" s="122">
        <f t="shared" si="54"/>
        <v>30.792184014869886</v>
      </c>
      <c r="AM76" s="93">
        <v>0</v>
      </c>
      <c r="AN76" s="94">
        <f t="shared" si="55"/>
        <v>0</v>
      </c>
      <c r="AO76" s="95">
        <f t="shared" si="56"/>
        <v>-524.93218401487013</v>
      </c>
      <c r="AP76" s="96"/>
      <c r="AQ76" s="97">
        <f t="shared" si="5"/>
        <v>0</v>
      </c>
      <c r="AR76" s="98">
        <f t="shared" si="34"/>
        <v>123.09</v>
      </c>
      <c r="AS76" s="98">
        <f t="shared" si="7"/>
        <v>0</v>
      </c>
      <c r="AT76" s="98">
        <f t="shared" si="8"/>
        <v>494.14000000000027</v>
      </c>
      <c r="AU76" s="98">
        <f t="shared" si="57"/>
        <v>0</v>
      </c>
      <c r="AV76" s="98">
        <f t="array" ref="AV76">_xlfn.IFS(U76=0,AO76,U76&lt;0,AO76/-U76,U76&gt;0,AO76/U76)</f>
        <v>-524.93218401487013</v>
      </c>
      <c r="AW76" s="234">
        <f t="shared" si="42"/>
        <v>0</v>
      </c>
      <c r="AX76" s="234">
        <f t="shared" si="43"/>
        <v>-4.2646208791524094</v>
      </c>
      <c r="AY76" s="99"/>
      <c r="AZ76" s="94">
        <f t="shared" si="11"/>
        <v>-20472.355176579935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4"/>
        <v>30</v>
      </c>
      <c r="F77" s="93">
        <v>4</v>
      </c>
      <c r="G77" s="93" t="s">
        <v>100</v>
      </c>
      <c r="H77" s="93">
        <v>22</v>
      </c>
      <c r="I77" s="93">
        <v>0</v>
      </c>
      <c r="J77" s="93">
        <v>4</v>
      </c>
      <c r="K77" s="93">
        <v>123.09</v>
      </c>
      <c r="L77" s="92">
        <f t="shared" si="41"/>
        <v>3692.7000000000003</v>
      </c>
      <c r="M77" s="89">
        <v>72</v>
      </c>
      <c r="N77" s="89">
        <v>4</v>
      </c>
      <c r="O77" s="89">
        <v>1150</v>
      </c>
      <c r="P77" s="89">
        <v>0</v>
      </c>
      <c r="Q77" s="233">
        <f t="shared" si="45"/>
        <v>0.5714285714285714</v>
      </c>
      <c r="R77" s="92">
        <f t="shared" si="46"/>
        <v>0.14285714285714285</v>
      </c>
      <c r="S77" s="93">
        <v>1</v>
      </c>
      <c r="T77" s="93">
        <v>0</v>
      </c>
      <c r="U77" s="92">
        <f t="shared" si="47"/>
        <v>1</v>
      </c>
      <c r="V77" s="93">
        <v>809</v>
      </c>
      <c r="W77" s="93">
        <v>0</v>
      </c>
      <c r="X77" s="92">
        <f t="shared" si="48"/>
        <v>809</v>
      </c>
      <c r="Y77" s="93">
        <v>1150</v>
      </c>
      <c r="Z77" s="93">
        <v>0</v>
      </c>
      <c r="AA77" s="92">
        <f t="shared" si="49"/>
        <v>1150</v>
      </c>
      <c r="AB77" s="92">
        <f t="shared" si="50"/>
        <v>0</v>
      </c>
      <c r="AC77" s="234">
        <f t="shared" si="51"/>
        <v>4.0054640520450921E-4</v>
      </c>
      <c r="AD77" s="92">
        <f t="shared" si="52"/>
        <v>123.09</v>
      </c>
      <c r="AE77" s="93">
        <v>437.74</v>
      </c>
      <c r="AF77" s="234">
        <f t="shared" si="53"/>
        <v>0.38064347826086958</v>
      </c>
      <c r="AG77" s="93">
        <v>144.69000000000008</v>
      </c>
      <c r="AH77" s="93"/>
      <c r="AI77" s="93">
        <v>230</v>
      </c>
      <c r="AJ77" s="93"/>
      <c r="AK77" s="93"/>
      <c r="AL77" s="122">
        <f t="shared" si="54"/>
        <v>20.528122676579926</v>
      </c>
      <c r="AM77" s="93">
        <v>0</v>
      </c>
      <c r="AN77" s="94">
        <f t="shared" si="55"/>
        <v>46.193899999999999</v>
      </c>
      <c r="AO77" s="95">
        <f t="shared" si="56"/>
        <v>147.75797732342011</v>
      </c>
      <c r="AP77" s="96"/>
      <c r="AQ77" s="97">
        <f t="shared" si="5"/>
        <v>1150</v>
      </c>
      <c r="AR77" s="98">
        <f t="shared" si="34"/>
        <v>123.09</v>
      </c>
      <c r="AS77" s="98">
        <f t="shared" si="7"/>
        <v>437.74</v>
      </c>
      <c r="AT77" s="98">
        <f t="shared" si="8"/>
        <v>144.69000000000008</v>
      </c>
      <c r="AU77" s="98">
        <f t="shared" si="57"/>
        <v>230</v>
      </c>
      <c r="AV77" s="98">
        <f t="array" ref="AV77">_xlfn.IFS(U77=0,AO77,U77&lt;0,AO77/-U77,U77&gt;0,AO77/U77)</f>
        <v>147.75797732342011</v>
      </c>
      <c r="AW77" s="234">
        <f t="shared" si="42"/>
        <v>0.12848519767253921</v>
      </c>
      <c r="AX77" s="234">
        <f t="shared" si="43"/>
        <v>1.2004060226128856</v>
      </c>
      <c r="AY77" s="99"/>
      <c r="AZ77" s="94">
        <f t="shared" si="11"/>
        <v>4432.7393197026031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4"/>
        <v>16</v>
      </c>
      <c r="F78" s="93">
        <v>2</v>
      </c>
      <c r="G78" s="93">
        <v>5</v>
      </c>
      <c r="H78" s="93">
        <v>8</v>
      </c>
      <c r="I78" s="93">
        <v>0</v>
      </c>
      <c r="J78" s="93">
        <v>1</v>
      </c>
      <c r="K78" s="93">
        <v>123.09</v>
      </c>
      <c r="L78" s="92">
        <f t="shared" si="41"/>
        <v>1969.44</v>
      </c>
      <c r="M78" s="89">
        <v>69</v>
      </c>
      <c r="N78" s="89">
        <v>11</v>
      </c>
      <c r="O78" s="89">
        <v>1000</v>
      </c>
      <c r="P78" s="89">
        <v>33</v>
      </c>
      <c r="Q78" s="233">
        <f t="shared" si="45"/>
        <v>1.5714285714285714</v>
      </c>
      <c r="R78" s="92">
        <f t="shared" si="46"/>
        <v>0.2857142857142857</v>
      </c>
      <c r="S78" s="93">
        <v>2</v>
      </c>
      <c r="T78" s="93">
        <v>0</v>
      </c>
      <c r="U78" s="92">
        <f t="shared" si="47"/>
        <v>2</v>
      </c>
      <c r="V78" s="93">
        <v>1348</v>
      </c>
      <c r="W78" s="93">
        <v>0</v>
      </c>
      <c r="X78" s="92">
        <f t="shared" si="48"/>
        <v>1348</v>
      </c>
      <c r="Y78" s="93">
        <v>2000</v>
      </c>
      <c r="Z78" s="93">
        <v>0</v>
      </c>
      <c r="AA78" s="92">
        <f t="shared" si="49"/>
        <v>2000</v>
      </c>
      <c r="AB78" s="92">
        <f t="shared" si="50"/>
        <v>3630</v>
      </c>
      <c r="AC78" s="234">
        <f t="shared" si="51"/>
        <v>6.9660244383392908E-4</v>
      </c>
      <c r="AD78" s="92">
        <f t="shared" si="52"/>
        <v>246.18</v>
      </c>
      <c r="AE78" s="93">
        <v>764.65000000000009</v>
      </c>
      <c r="AF78" s="234">
        <f t="shared" si="53"/>
        <v>0.38232500000000003</v>
      </c>
      <c r="AG78" s="93">
        <v>545.92000000000007</v>
      </c>
      <c r="AH78" s="93"/>
      <c r="AI78" s="93">
        <v>1144</v>
      </c>
      <c r="AJ78" s="93"/>
      <c r="AK78" s="93"/>
      <c r="AL78" s="122">
        <f t="shared" si="54"/>
        <v>7.4647718823927001</v>
      </c>
      <c r="AM78" s="93">
        <v>0</v>
      </c>
      <c r="AN78" s="94">
        <f t="shared" si="55"/>
        <v>76.970799999999997</v>
      </c>
      <c r="AO78" s="95">
        <f t="shared" si="56"/>
        <v>-785.18557188239288</v>
      </c>
      <c r="AP78" s="96"/>
      <c r="AQ78" s="97">
        <f t="shared" si="5"/>
        <v>1000</v>
      </c>
      <c r="AR78" s="98">
        <f t="shared" si="34"/>
        <v>123.09</v>
      </c>
      <c r="AS78" s="98">
        <f t="shared" si="7"/>
        <v>382.32500000000005</v>
      </c>
      <c r="AT78" s="98">
        <f t="shared" si="8"/>
        <v>272.96000000000004</v>
      </c>
      <c r="AU78" s="98">
        <f t="shared" si="57"/>
        <v>572</v>
      </c>
      <c r="AV78" s="98">
        <f t="array" ref="AV78">_xlfn.IFS(U78=0,AO78,U78&lt;0,AO78/-U78,U78&gt;0,AO78/U78)</f>
        <v>-392.59278594119644</v>
      </c>
      <c r="AW78" s="234">
        <f t="shared" si="42"/>
        <v>-0.39259278594119645</v>
      </c>
      <c r="AX78" s="234">
        <f t="shared" si="43"/>
        <v>-3.1894775037874434</v>
      </c>
      <c r="AY78" s="99"/>
      <c r="AZ78" s="94">
        <f t="shared" si="11"/>
        <v>-6281.484575059143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4"/>
        <v>40</v>
      </c>
      <c r="F79" s="93">
        <v>7</v>
      </c>
      <c r="G79" s="93">
        <v>6</v>
      </c>
      <c r="H79" s="93">
        <v>26</v>
      </c>
      <c r="I79" s="93">
        <v>0</v>
      </c>
      <c r="J79" s="93">
        <v>1</v>
      </c>
      <c r="K79" s="93">
        <v>164.04</v>
      </c>
      <c r="L79" s="92">
        <f t="shared" si="41"/>
        <v>6561.5999999999995</v>
      </c>
      <c r="M79" s="89">
        <v>50</v>
      </c>
      <c r="N79" s="89">
        <v>15</v>
      </c>
      <c r="O79" s="89">
        <v>1300</v>
      </c>
      <c r="P79" s="89">
        <v>29</v>
      </c>
      <c r="Q79" s="233">
        <f t="shared" si="45"/>
        <v>2.1428571428571428</v>
      </c>
      <c r="R79" s="92">
        <f t="shared" si="46"/>
        <v>0.2857142857142857</v>
      </c>
      <c r="S79" s="93">
        <v>2</v>
      </c>
      <c r="T79" s="93">
        <v>0</v>
      </c>
      <c r="U79" s="92">
        <f t="shared" si="47"/>
        <v>2</v>
      </c>
      <c r="V79" s="93">
        <v>1674</v>
      </c>
      <c r="W79" s="93">
        <v>0</v>
      </c>
      <c r="X79" s="92">
        <f t="shared" si="48"/>
        <v>1674</v>
      </c>
      <c r="Y79" s="93">
        <v>2600</v>
      </c>
      <c r="Z79" s="93">
        <v>0</v>
      </c>
      <c r="AA79" s="92">
        <f t="shared" si="49"/>
        <v>2600</v>
      </c>
      <c r="AB79" s="92">
        <f t="shared" si="50"/>
        <v>5655</v>
      </c>
      <c r="AC79" s="234">
        <f t="shared" si="51"/>
        <v>9.0558317698410777E-4</v>
      </c>
      <c r="AD79" s="92">
        <f t="shared" si="52"/>
        <v>328.08</v>
      </c>
      <c r="AE79" s="93">
        <v>990.97</v>
      </c>
      <c r="AF79" s="234">
        <f t="shared" si="53"/>
        <v>0.38114230769230772</v>
      </c>
      <c r="AG79" s="93">
        <v>873.55</v>
      </c>
      <c r="AH79" s="93"/>
      <c r="AI79" s="93">
        <v>1008</v>
      </c>
      <c r="AJ79" s="93"/>
      <c r="AK79" s="93"/>
      <c r="AL79" s="122">
        <f t="shared" si="54"/>
        <v>24.260508617776278</v>
      </c>
      <c r="AM79" s="93">
        <v>0</v>
      </c>
      <c r="AN79" s="94">
        <f t="shared" si="55"/>
        <v>95.585399999999993</v>
      </c>
      <c r="AO79" s="95">
        <f t="shared" si="56"/>
        <v>-720.44590861777624</v>
      </c>
      <c r="AP79" s="96"/>
      <c r="AQ79" s="97">
        <f t="shared" si="5"/>
        <v>1300</v>
      </c>
      <c r="AR79" s="98">
        <f t="shared" si="34"/>
        <v>164.04</v>
      </c>
      <c r="AS79" s="98">
        <f t="shared" si="7"/>
        <v>495.48500000000001</v>
      </c>
      <c r="AT79" s="98">
        <f t="shared" si="8"/>
        <v>436.77499999999998</v>
      </c>
      <c r="AU79" s="98">
        <f t="shared" si="57"/>
        <v>504</v>
      </c>
      <c r="AV79" s="98">
        <f t="array" ref="AV79">_xlfn.IFS(U79=0,AO79,U79&lt;0,AO79/-U79,U79&gt;0,AO79/U79)</f>
        <v>-360.22295430888812</v>
      </c>
      <c r="AW79" s="234">
        <f t="shared" si="42"/>
        <v>-0.27709458023760625</v>
      </c>
      <c r="AX79" s="234">
        <f t="shared" si="43"/>
        <v>-2.1959458321683014</v>
      </c>
      <c r="AY79" s="99"/>
      <c r="AZ79" s="94">
        <f t="shared" si="11"/>
        <v>-14408.918172355525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4"/>
        <v>25</v>
      </c>
      <c r="F80" s="93">
        <v>7</v>
      </c>
      <c r="G80" s="93">
        <v>3</v>
      </c>
      <c r="H80" s="93">
        <v>14</v>
      </c>
      <c r="I80" s="93">
        <v>0</v>
      </c>
      <c r="J80" s="93">
        <v>1</v>
      </c>
      <c r="K80" s="93">
        <v>164.04</v>
      </c>
      <c r="L80" s="92">
        <f t="shared" si="41"/>
        <v>4101</v>
      </c>
      <c r="M80" s="89">
        <v>75</v>
      </c>
      <c r="N80" s="89">
        <v>11</v>
      </c>
      <c r="O80" s="89">
        <v>987</v>
      </c>
      <c r="P80" s="89">
        <v>0</v>
      </c>
      <c r="Q80" s="233">
        <f t="shared" si="45"/>
        <v>1.5714285714285714</v>
      </c>
      <c r="R80" s="92">
        <f t="shared" si="46"/>
        <v>0.2857142857142857</v>
      </c>
      <c r="S80" s="93">
        <v>2</v>
      </c>
      <c r="T80" s="93">
        <v>0</v>
      </c>
      <c r="U80" s="92">
        <f t="shared" si="47"/>
        <v>2</v>
      </c>
      <c r="V80" s="93">
        <v>1363</v>
      </c>
      <c r="W80" s="93">
        <v>0</v>
      </c>
      <c r="X80" s="92">
        <f t="shared" si="48"/>
        <v>1363</v>
      </c>
      <c r="Y80" s="93">
        <v>1974</v>
      </c>
      <c r="Z80" s="93">
        <v>0</v>
      </c>
      <c r="AA80" s="92">
        <f t="shared" si="49"/>
        <v>1974</v>
      </c>
      <c r="AB80" s="92">
        <f t="shared" si="50"/>
        <v>0</v>
      </c>
      <c r="AC80" s="234">
        <f t="shared" si="51"/>
        <v>6.8754661206408803E-4</v>
      </c>
      <c r="AD80" s="92">
        <f t="shared" si="52"/>
        <v>328.08</v>
      </c>
      <c r="AE80" s="93">
        <v>756.34999999999991</v>
      </c>
      <c r="AF80" s="234">
        <f t="shared" si="53"/>
        <v>0.38315602836879425</v>
      </c>
      <c r="AG80" s="93">
        <v>527.89999999999986</v>
      </c>
      <c r="AH80" s="93">
        <v>588</v>
      </c>
      <c r="AI80" s="93">
        <v>325</v>
      </c>
      <c r="AJ80" s="93"/>
      <c r="AK80" s="93"/>
      <c r="AL80" s="122">
        <f t="shared" si="54"/>
        <v>13.063350794187224</v>
      </c>
      <c r="AM80" s="93">
        <v>0</v>
      </c>
      <c r="AN80" s="94">
        <f t="shared" si="55"/>
        <v>77.827299999999994</v>
      </c>
      <c r="AO80" s="95">
        <f t="shared" si="56"/>
        <v>-642.22065079418701</v>
      </c>
      <c r="AP80" s="96"/>
      <c r="AQ80" s="97">
        <f t="shared" si="5"/>
        <v>987</v>
      </c>
      <c r="AR80" s="98">
        <f t="shared" si="34"/>
        <v>164.04</v>
      </c>
      <c r="AS80" s="98">
        <f t="shared" si="7"/>
        <v>378.17499999999995</v>
      </c>
      <c r="AT80" s="98">
        <f t="shared" si="8"/>
        <v>263.94999999999993</v>
      </c>
      <c r="AU80" s="98">
        <f t="shared" si="57"/>
        <v>456.5</v>
      </c>
      <c r="AV80" s="98">
        <f t="array" ref="AV80">_xlfn.IFS(U80=0,AO80,U80&lt;0,AO80/-U80,U80&gt;0,AO80/U80)</f>
        <v>-321.1103253970935</v>
      </c>
      <c r="AW80" s="234">
        <f t="shared" si="42"/>
        <v>-0.32533974204366112</v>
      </c>
      <c r="AX80" s="234">
        <f t="shared" si="43"/>
        <v>-1.9575123469708213</v>
      </c>
      <c r="AY80" s="99"/>
      <c r="AZ80" s="94">
        <f t="shared" si="11"/>
        <v>-8027.7581349273378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4"/>
        <v>14</v>
      </c>
      <c r="F81" s="93" t="s">
        <v>100</v>
      </c>
      <c r="G81" s="93" t="s">
        <v>100</v>
      </c>
      <c r="H81" s="93">
        <v>13</v>
      </c>
      <c r="I81" s="93">
        <v>0</v>
      </c>
      <c r="J81" s="93">
        <v>1</v>
      </c>
      <c r="K81" s="93">
        <v>128.94</v>
      </c>
      <c r="L81" s="92">
        <f t="shared" si="41"/>
        <v>1805.1599999999999</v>
      </c>
      <c r="M81" s="89">
        <v>999</v>
      </c>
      <c r="N81" s="89">
        <v>0</v>
      </c>
      <c r="O81" s="89">
        <v>0</v>
      </c>
      <c r="P81" s="89">
        <v>0</v>
      </c>
      <c r="Q81" s="233">
        <f t="shared" si="45"/>
        <v>0</v>
      </c>
      <c r="R81" s="92">
        <f t="shared" si="46"/>
        <v>0.14285714285714285</v>
      </c>
      <c r="S81" s="93">
        <v>1</v>
      </c>
      <c r="T81" s="93">
        <v>0</v>
      </c>
      <c r="U81" s="92">
        <f t="shared" si="47"/>
        <v>1</v>
      </c>
      <c r="V81" s="93">
        <v>788</v>
      </c>
      <c r="W81" s="93">
        <v>0</v>
      </c>
      <c r="X81" s="92">
        <f t="shared" si="48"/>
        <v>788</v>
      </c>
      <c r="Y81" s="93">
        <v>1167</v>
      </c>
      <c r="Z81" s="93">
        <v>0</v>
      </c>
      <c r="AA81" s="92">
        <f t="shared" si="49"/>
        <v>1167</v>
      </c>
      <c r="AB81" s="92">
        <f t="shared" si="50"/>
        <v>0</v>
      </c>
      <c r="AC81" s="234">
        <f t="shared" si="51"/>
        <v>4.0646752597709758E-4</v>
      </c>
      <c r="AD81" s="92">
        <f t="shared" si="52"/>
        <v>128.94</v>
      </c>
      <c r="AE81" s="93">
        <v>442.88</v>
      </c>
      <c r="AF81" s="234">
        <f t="shared" si="53"/>
        <v>0.37950299914310198</v>
      </c>
      <c r="AG81" s="93">
        <v>159.80000000000001</v>
      </c>
      <c r="AH81" s="93"/>
      <c r="AI81" s="93"/>
      <c r="AJ81" s="93"/>
      <c r="AK81" s="93"/>
      <c r="AL81" s="122">
        <f t="shared" si="54"/>
        <v>12.130254308888139</v>
      </c>
      <c r="AM81" s="93">
        <v>0</v>
      </c>
      <c r="AN81" s="94">
        <f t="shared" si="55"/>
        <v>44.994799999999998</v>
      </c>
      <c r="AO81" s="95">
        <f t="shared" si="56"/>
        <v>378.2549456911118</v>
      </c>
      <c r="AP81" s="96"/>
      <c r="AQ81" s="97">
        <f t="shared" si="5"/>
        <v>1167</v>
      </c>
      <c r="AR81" s="98">
        <f t="shared" si="34"/>
        <v>128.94</v>
      </c>
      <c r="AS81" s="98">
        <f t="shared" si="7"/>
        <v>442.88</v>
      </c>
      <c r="AT81" s="98">
        <f t="shared" si="8"/>
        <v>159.80000000000001</v>
      </c>
      <c r="AU81" s="98">
        <f t="shared" si="57"/>
        <v>0</v>
      </c>
      <c r="AV81" s="98">
        <f t="array" ref="AV81">_xlfn.IFS(U81=0,AO81,U81&lt;0,AO81/-U81,U81&gt;0,AO81/U81)</f>
        <v>378.2549456911118</v>
      </c>
      <c r="AW81" s="234">
        <f t="shared" si="42"/>
        <v>0.32412591747310349</v>
      </c>
      <c r="AX81" s="234">
        <f t="shared" si="43"/>
        <v>2.9335733340399552</v>
      </c>
      <c r="AY81" s="99"/>
      <c r="AZ81" s="94">
        <f t="shared" si="11"/>
        <v>5295.5692396755649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4"/>
        <v>43</v>
      </c>
      <c r="F82" s="93" t="s">
        <v>100</v>
      </c>
      <c r="G82" s="93" t="s">
        <v>100</v>
      </c>
      <c r="H82" s="93">
        <v>42</v>
      </c>
      <c r="I82" s="93">
        <v>0</v>
      </c>
      <c r="J82" s="93">
        <v>1</v>
      </c>
      <c r="K82" s="93">
        <v>128.94</v>
      </c>
      <c r="L82" s="92">
        <f t="shared" si="41"/>
        <v>5544.42</v>
      </c>
      <c r="M82" s="89">
        <v>321</v>
      </c>
      <c r="N82" s="89">
        <v>1</v>
      </c>
      <c r="O82" s="89">
        <v>1174</v>
      </c>
      <c r="P82" s="89">
        <v>0</v>
      </c>
      <c r="Q82" s="233">
        <f t="shared" si="45"/>
        <v>0.14285714285714285</v>
      </c>
      <c r="R82" s="92">
        <f t="shared" si="46"/>
        <v>0</v>
      </c>
      <c r="S82" s="93">
        <v>0</v>
      </c>
      <c r="T82" s="93">
        <v>0</v>
      </c>
      <c r="U82" s="92">
        <f t="shared" si="47"/>
        <v>0</v>
      </c>
      <c r="V82" s="93">
        <v>0</v>
      </c>
      <c r="W82" s="93">
        <v>0</v>
      </c>
      <c r="X82" s="92">
        <f t="shared" si="48"/>
        <v>0</v>
      </c>
      <c r="Y82" s="93">
        <v>0</v>
      </c>
      <c r="Z82" s="93">
        <v>0</v>
      </c>
      <c r="AA82" s="92">
        <f t="shared" si="49"/>
        <v>0</v>
      </c>
      <c r="AB82" s="92">
        <f t="shared" si="50"/>
        <v>0</v>
      </c>
      <c r="AC82" s="234">
        <f t="shared" si="51"/>
        <v>0</v>
      </c>
      <c r="AD82" s="92">
        <f t="shared" si="52"/>
        <v>0</v>
      </c>
      <c r="AE82" s="93">
        <v>0</v>
      </c>
      <c r="AF82" s="234">
        <f t="shared" si="53"/>
        <v>0</v>
      </c>
      <c r="AG82" s="93">
        <v>93.199999999999989</v>
      </c>
      <c r="AH82" s="93"/>
      <c r="AI82" s="93">
        <v>208</v>
      </c>
      <c r="AJ82" s="93"/>
      <c r="AK82" s="93"/>
      <c r="AL82" s="122">
        <f t="shared" si="54"/>
        <v>39.190052382561674</v>
      </c>
      <c r="AM82" s="93">
        <v>0</v>
      </c>
      <c r="AN82" s="94">
        <f t="shared" si="55"/>
        <v>0</v>
      </c>
      <c r="AO82" s="95">
        <f t="shared" si="56"/>
        <v>-340.39005238256163</v>
      </c>
      <c r="AP82" s="96"/>
      <c r="AQ82" s="97">
        <f t="shared" si="5"/>
        <v>0</v>
      </c>
      <c r="AR82" s="98">
        <f t="shared" si="34"/>
        <v>128.94</v>
      </c>
      <c r="AS82" s="98">
        <f t="shared" si="7"/>
        <v>0</v>
      </c>
      <c r="AT82" s="98">
        <f t="shared" si="8"/>
        <v>93.199999999999989</v>
      </c>
      <c r="AU82" s="98">
        <f t="shared" si="57"/>
        <v>0</v>
      </c>
      <c r="AV82" s="98">
        <f t="array" ref="AV82">_xlfn.IFS(U82=0,AO82,U82&lt;0,AO82/-U82,U82&gt;0,AO82/U82)</f>
        <v>-340.39005238256163</v>
      </c>
      <c r="AW82" s="234">
        <f t="shared" si="42"/>
        <v>0</v>
      </c>
      <c r="AX82" s="234">
        <f t="shared" si="43"/>
        <v>-2.6399104419308332</v>
      </c>
      <c r="AY82" s="99"/>
      <c r="AZ82" s="94">
        <f t="shared" si="11"/>
        <v>-14636.77225245015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4"/>
        <v>43</v>
      </c>
      <c r="F83" s="93">
        <v>2</v>
      </c>
      <c r="G83" s="93" t="s">
        <v>100</v>
      </c>
      <c r="H83" s="93">
        <v>40</v>
      </c>
      <c r="I83" s="93">
        <v>0</v>
      </c>
      <c r="J83" s="93">
        <v>1</v>
      </c>
      <c r="K83" s="93">
        <v>123.09</v>
      </c>
      <c r="L83" s="92">
        <f t="shared" si="41"/>
        <v>5292.87</v>
      </c>
      <c r="M83" s="89">
        <v>304</v>
      </c>
      <c r="N83" s="89">
        <v>4</v>
      </c>
      <c r="O83" s="89">
        <v>1375</v>
      </c>
      <c r="P83" s="89">
        <v>33</v>
      </c>
      <c r="Q83" s="233">
        <f t="shared" si="45"/>
        <v>0.5714285714285714</v>
      </c>
      <c r="R83" s="92">
        <f t="shared" si="46"/>
        <v>0.14285714285714285</v>
      </c>
      <c r="S83" s="93">
        <v>1</v>
      </c>
      <c r="T83" s="93">
        <v>0</v>
      </c>
      <c r="U83" s="92">
        <f t="shared" si="47"/>
        <v>1</v>
      </c>
      <c r="V83" s="93">
        <v>929</v>
      </c>
      <c r="W83" s="93">
        <v>0</v>
      </c>
      <c r="X83" s="92">
        <f t="shared" si="48"/>
        <v>929</v>
      </c>
      <c r="Y83" s="93">
        <v>1375</v>
      </c>
      <c r="Z83" s="93">
        <v>0</v>
      </c>
      <c r="AA83" s="92">
        <f t="shared" si="49"/>
        <v>1375</v>
      </c>
      <c r="AB83" s="92">
        <f t="shared" si="50"/>
        <v>1815</v>
      </c>
      <c r="AC83" s="234">
        <f t="shared" si="51"/>
        <v>4.7891418013582622E-4</v>
      </c>
      <c r="AD83" s="92">
        <f t="shared" si="52"/>
        <v>123.09</v>
      </c>
      <c r="AE83" s="93">
        <v>521.84</v>
      </c>
      <c r="AF83" s="234">
        <f t="shared" si="53"/>
        <v>0.37952000000000002</v>
      </c>
      <c r="AG83" s="93">
        <v>336.45999999999987</v>
      </c>
      <c r="AH83" s="93"/>
      <c r="AI83" s="93"/>
      <c r="AJ83" s="93"/>
      <c r="AK83" s="93"/>
      <c r="AL83" s="122">
        <f t="shared" si="54"/>
        <v>37.323859411963497</v>
      </c>
      <c r="AM83" s="93">
        <v>0</v>
      </c>
      <c r="AN83" s="94">
        <f t="shared" si="55"/>
        <v>53.045899999999996</v>
      </c>
      <c r="AO83" s="95">
        <f t="shared" si="56"/>
        <v>303.24024058803667</v>
      </c>
      <c r="AP83" s="96"/>
      <c r="AQ83" s="97">
        <f t="shared" si="5"/>
        <v>1375</v>
      </c>
      <c r="AR83" s="98">
        <f t="shared" si="34"/>
        <v>123.09</v>
      </c>
      <c r="AS83" s="98">
        <f t="shared" si="7"/>
        <v>521.84</v>
      </c>
      <c r="AT83" s="98">
        <f t="shared" si="8"/>
        <v>336.45999999999987</v>
      </c>
      <c r="AU83" s="98">
        <f t="shared" si="57"/>
        <v>0</v>
      </c>
      <c r="AV83" s="98">
        <f t="array" ref="AV83">_xlfn.IFS(U83=0,AO83,U83&lt;0,AO83/-U83,U83&gt;0,AO83/U83)</f>
        <v>303.24024058803667</v>
      </c>
      <c r="AW83" s="234">
        <f t="shared" si="42"/>
        <v>0.22053835679129941</v>
      </c>
      <c r="AX83" s="234">
        <f t="shared" si="43"/>
        <v>2.4635652009751943</v>
      </c>
      <c r="AY83" s="99"/>
      <c r="AZ83" s="94">
        <f t="shared" si="11"/>
        <v>13039.330345285576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4"/>
        <v>42</v>
      </c>
      <c r="F84" s="93">
        <v>5</v>
      </c>
      <c r="G84" s="93" t="s">
        <v>100</v>
      </c>
      <c r="H84" s="93">
        <v>36</v>
      </c>
      <c r="I84" s="93">
        <v>0</v>
      </c>
      <c r="J84" s="93">
        <v>1</v>
      </c>
      <c r="K84" s="93">
        <v>146.49</v>
      </c>
      <c r="L84" s="92">
        <f t="shared" si="41"/>
        <v>6152.58</v>
      </c>
      <c r="M84" s="89">
        <v>159</v>
      </c>
      <c r="N84" s="89">
        <v>4</v>
      </c>
      <c r="O84" s="89">
        <v>1438</v>
      </c>
      <c r="P84" s="89">
        <v>0</v>
      </c>
      <c r="Q84" s="233">
        <f t="shared" si="45"/>
        <v>0.5714285714285714</v>
      </c>
      <c r="R84" s="92">
        <f t="shared" si="46"/>
        <v>0</v>
      </c>
      <c r="S84" s="93">
        <v>0</v>
      </c>
      <c r="T84" s="93">
        <v>0</v>
      </c>
      <c r="U84" s="92">
        <f t="shared" si="47"/>
        <v>0</v>
      </c>
      <c r="V84" s="93">
        <v>0</v>
      </c>
      <c r="W84" s="93">
        <v>0</v>
      </c>
      <c r="X84" s="92">
        <f t="shared" si="48"/>
        <v>0</v>
      </c>
      <c r="Y84" s="93">
        <v>0</v>
      </c>
      <c r="Z84" s="93">
        <v>0</v>
      </c>
      <c r="AA84" s="92">
        <f t="shared" si="49"/>
        <v>0</v>
      </c>
      <c r="AB84" s="92">
        <f t="shared" si="50"/>
        <v>0</v>
      </c>
      <c r="AC84" s="234">
        <f t="shared" si="51"/>
        <v>0</v>
      </c>
      <c r="AD84" s="92">
        <f t="shared" si="52"/>
        <v>0</v>
      </c>
      <c r="AE84" s="93">
        <v>0</v>
      </c>
      <c r="AF84" s="234">
        <f t="shared" si="53"/>
        <v>0</v>
      </c>
      <c r="AG84" s="93">
        <v>241.0500000000001</v>
      </c>
      <c r="AH84" s="93"/>
      <c r="AI84" s="93"/>
      <c r="AJ84" s="93"/>
      <c r="AK84" s="93"/>
      <c r="AL84" s="122">
        <f t="shared" si="54"/>
        <v>33.591473470767149</v>
      </c>
      <c r="AM84" s="93">
        <v>0</v>
      </c>
      <c r="AN84" s="94">
        <f t="shared" si="55"/>
        <v>0</v>
      </c>
      <c r="AO84" s="95">
        <f t="shared" si="56"/>
        <v>-274.64147347076727</v>
      </c>
      <c r="AP84" s="96"/>
      <c r="AQ84" s="97">
        <f t="shared" si="5"/>
        <v>0</v>
      </c>
      <c r="AR84" s="98">
        <f t="shared" si="34"/>
        <v>146.49</v>
      </c>
      <c r="AS84" s="98">
        <f t="shared" si="7"/>
        <v>0</v>
      </c>
      <c r="AT84" s="98">
        <f t="shared" si="8"/>
        <v>241.0500000000001</v>
      </c>
      <c r="AU84" s="98">
        <f t="shared" si="57"/>
        <v>0</v>
      </c>
      <c r="AV84" s="98">
        <f t="array" ref="AV84">_xlfn.IFS(U84=0,AO84,U84&lt;0,AO84/-U84,U84&gt;0,AO84/U84)</f>
        <v>-274.64147347076727</v>
      </c>
      <c r="AW84" s="234">
        <f t="shared" si="42"/>
        <v>0</v>
      </c>
      <c r="AX84" s="234">
        <f t="shared" si="43"/>
        <v>-1.8748137993772083</v>
      </c>
      <c r="AY84" s="99"/>
      <c r="AZ84" s="94">
        <f t="shared" si="11"/>
        <v>-11534.941885772225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4"/>
        <v>36</v>
      </c>
      <c r="F85" s="93">
        <v>2</v>
      </c>
      <c r="G85" s="93">
        <v>1</v>
      </c>
      <c r="H85" s="93">
        <v>32</v>
      </c>
      <c r="I85" s="93">
        <v>0</v>
      </c>
      <c r="J85" s="93">
        <v>1</v>
      </c>
      <c r="K85" s="93">
        <v>103.2</v>
      </c>
      <c r="L85" s="92">
        <f t="shared" si="41"/>
        <v>3715.2000000000003</v>
      </c>
      <c r="M85" s="89">
        <v>999</v>
      </c>
      <c r="N85" s="89">
        <v>3</v>
      </c>
      <c r="O85" s="89">
        <v>900</v>
      </c>
      <c r="P85" s="89">
        <v>0</v>
      </c>
      <c r="Q85" s="233">
        <f t="shared" si="45"/>
        <v>0.42857142857142855</v>
      </c>
      <c r="R85" s="92">
        <f t="shared" si="46"/>
        <v>0</v>
      </c>
      <c r="S85" s="93">
        <v>0</v>
      </c>
      <c r="T85" s="93">
        <v>0</v>
      </c>
      <c r="U85" s="92">
        <f t="shared" si="47"/>
        <v>0</v>
      </c>
      <c r="V85" s="93">
        <v>0</v>
      </c>
      <c r="W85" s="93">
        <v>0</v>
      </c>
      <c r="X85" s="92">
        <f t="shared" si="48"/>
        <v>0</v>
      </c>
      <c r="Y85" s="93">
        <v>0</v>
      </c>
      <c r="Z85" s="93">
        <v>0</v>
      </c>
      <c r="AA85" s="92">
        <f t="shared" si="49"/>
        <v>0</v>
      </c>
      <c r="AB85" s="92">
        <f t="shared" si="50"/>
        <v>0</v>
      </c>
      <c r="AC85" s="234">
        <f t="shared" si="51"/>
        <v>0</v>
      </c>
      <c r="AD85" s="92">
        <f t="shared" si="52"/>
        <v>0</v>
      </c>
      <c r="AE85" s="93">
        <v>0</v>
      </c>
      <c r="AF85" s="234">
        <f t="shared" si="53"/>
        <v>0</v>
      </c>
      <c r="AG85" s="93">
        <v>84.46</v>
      </c>
      <c r="AH85" s="93"/>
      <c r="AI85" s="93">
        <v>544</v>
      </c>
      <c r="AJ85" s="93"/>
      <c r="AK85" s="93"/>
      <c r="AL85" s="122">
        <f t="shared" si="54"/>
        <v>29.8590875295708</v>
      </c>
      <c r="AM85" s="93">
        <v>0</v>
      </c>
      <c r="AN85" s="94">
        <f t="shared" si="55"/>
        <v>0</v>
      </c>
      <c r="AO85" s="95">
        <f t="shared" si="56"/>
        <v>-658.31908752957088</v>
      </c>
      <c r="AP85" s="96"/>
      <c r="AQ85" s="97">
        <f t="shared" si="5"/>
        <v>0</v>
      </c>
      <c r="AR85" s="98">
        <f t="shared" si="34"/>
        <v>103.2</v>
      </c>
      <c r="AS85" s="98">
        <f t="shared" si="7"/>
        <v>0</v>
      </c>
      <c r="AT85" s="98">
        <f t="shared" si="8"/>
        <v>84.46</v>
      </c>
      <c r="AU85" s="98">
        <f t="shared" si="57"/>
        <v>0</v>
      </c>
      <c r="AV85" s="98">
        <f t="array" ref="AV85">_xlfn.IFS(U85=0,AO85,U85&lt;0,AO85/-U85,U85&gt;0,AO85/U85)</f>
        <v>-658.31908752957088</v>
      </c>
      <c r="AW85" s="234">
        <f t="shared" si="42"/>
        <v>0</v>
      </c>
      <c r="AX85" s="234">
        <f t="shared" si="43"/>
        <v>-6.3790609256741364</v>
      </c>
      <c r="AY85" s="99"/>
      <c r="AZ85" s="94">
        <f t="shared" si="11"/>
        <v>-23699.487151064553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4"/>
        <v>43</v>
      </c>
      <c r="F86" s="93" t="s">
        <v>100</v>
      </c>
      <c r="G86" s="93" t="s">
        <v>100</v>
      </c>
      <c r="H86" s="93">
        <v>42</v>
      </c>
      <c r="I86" s="93">
        <v>0</v>
      </c>
      <c r="J86" s="93">
        <v>1</v>
      </c>
      <c r="K86" s="93">
        <v>150</v>
      </c>
      <c r="L86" s="92">
        <f t="shared" si="41"/>
        <v>6450</v>
      </c>
      <c r="M86" s="89">
        <v>999</v>
      </c>
      <c r="N86" s="89">
        <v>0</v>
      </c>
      <c r="O86" s="89">
        <v>0</v>
      </c>
      <c r="P86" s="89">
        <v>0</v>
      </c>
      <c r="Q86" s="233">
        <f t="shared" si="45"/>
        <v>0</v>
      </c>
      <c r="R86" s="92">
        <f t="shared" si="46"/>
        <v>0</v>
      </c>
      <c r="S86" s="93">
        <v>0</v>
      </c>
      <c r="T86" s="93">
        <v>0</v>
      </c>
      <c r="U86" s="92">
        <f t="shared" si="47"/>
        <v>0</v>
      </c>
      <c r="V86" s="93">
        <v>0</v>
      </c>
      <c r="W86" s="93">
        <v>0</v>
      </c>
      <c r="X86" s="92">
        <f t="shared" si="48"/>
        <v>0</v>
      </c>
      <c r="Y86" s="93">
        <v>0</v>
      </c>
      <c r="Z86" s="93">
        <v>0</v>
      </c>
      <c r="AA86" s="92">
        <f t="shared" si="49"/>
        <v>0</v>
      </c>
      <c r="AB86" s="92">
        <f t="shared" si="50"/>
        <v>0</v>
      </c>
      <c r="AC86" s="234">
        <f t="shared" si="51"/>
        <v>0</v>
      </c>
      <c r="AD86" s="92">
        <f t="shared" si="52"/>
        <v>0</v>
      </c>
      <c r="AE86" s="93">
        <v>0</v>
      </c>
      <c r="AF86" s="234">
        <f t="shared" si="53"/>
        <v>0</v>
      </c>
      <c r="AG86" s="93">
        <v>165.88</v>
      </c>
      <c r="AH86" s="93"/>
      <c r="AI86" s="93">
        <v>905</v>
      </c>
      <c r="AJ86" s="93"/>
      <c r="AK86" s="93"/>
      <c r="AL86" s="122">
        <f t="shared" si="54"/>
        <v>39.190052382561674</v>
      </c>
      <c r="AM86" s="93">
        <v>0</v>
      </c>
      <c r="AN86" s="94">
        <f t="shared" si="55"/>
        <v>0</v>
      </c>
      <c r="AO86" s="95">
        <f t="shared" si="56"/>
        <v>-1110.0700523825617</v>
      </c>
      <c r="AP86" s="96"/>
      <c r="AQ86" s="97">
        <f t="shared" si="5"/>
        <v>0</v>
      </c>
      <c r="AR86" s="98">
        <f t="shared" si="34"/>
        <v>150</v>
      </c>
      <c r="AS86" s="98">
        <f t="shared" si="7"/>
        <v>0</v>
      </c>
      <c r="AT86" s="98">
        <f t="shared" si="8"/>
        <v>165.88</v>
      </c>
      <c r="AU86" s="98">
        <f t="shared" si="57"/>
        <v>0</v>
      </c>
      <c r="AV86" s="98">
        <f t="array" ref="AV86">_xlfn.IFS(U86=0,AO86,U86&lt;0,AO86/-U86,U86&gt;0,AO86/U86)</f>
        <v>-1110.0700523825617</v>
      </c>
      <c r="AW86" s="234">
        <f t="shared" si="42"/>
        <v>0</v>
      </c>
      <c r="AX86" s="234">
        <f t="shared" si="43"/>
        <v>-7.4004670158837449</v>
      </c>
      <c r="AY86" s="99"/>
      <c r="AZ86" s="94">
        <f t="shared" si="11"/>
        <v>-47733.012252450149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4"/>
        <v>11</v>
      </c>
      <c r="F87" s="93">
        <v>4</v>
      </c>
      <c r="G87" s="93">
        <v>3</v>
      </c>
      <c r="H87" s="93">
        <v>3</v>
      </c>
      <c r="I87" s="93">
        <v>0</v>
      </c>
      <c r="J87" s="93">
        <v>1</v>
      </c>
      <c r="K87" s="93">
        <v>150</v>
      </c>
      <c r="L87" s="92">
        <f t="shared" si="41"/>
        <v>1650</v>
      </c>
      <c r="M87" s="89">
        <v>999</v>
      </c>
      <c r="N87" s="89">
        <v>9</v>
      </c>
      <c r="O87" s="89">
        <v>1056</v>
      </c>
      <c r="P87" s="89">
        <v>40</v>
      </c>
      <c r="Q87" s="233">
        <f t="shared" si="45"/>
        <v>1.2857142857142858</v>
      </c>
      <c r="R87" s="92">
        <f t="shared" si="46"/>
        <v>0.2857142857142857</v>
      </c>
      <c r="S87" s="93">
        <v>2</v>
      </c>
      <c r="T87" s="93">
        <v>0</v>
      </c>
      <c r="U87" s="92">
        <f t="shared" si="47"/>
        <v>2</v>
      </c>
      <c r="V87" s="93">
        <v>1488.53</v>
      </c>
      <c r="W87" s="93">
        <v>0</v>
      </c>
      <c r="X87" s="92">
        <f t="shared" si="48"/>
        <v>1488.53</v>
      </c>
      <c r="Y87" s="93">
        <v>2112.75</v>
      </c>
      <c r="Z87" s="93">
        <v>0</v>
      </c>
      <c r="AA87" s="92">
        <f t="shared" si="49"/>
        <v>2112.75</v>
      </c>
      <c r="AB87" s="92">
        <f t="shared" si="50"/>
        <v>3801.6</v>
      </c>
      <c r="AC87" s="234">
        <f t="shared" si="51"/>
        <v>7.3587340660506684E-4</v>
      </c>
      <c r="AD87" s="92">
        <f t="shared" si="52"/>
        <v>300</v>
      </c>
      <c r="AE87" s="93">
        <v>786.13999999999987</v>
      </c>
      <c r="AF87" s="234">
        <f t="shared" si="53"/>
        <v>0.37209324340314748</v>
      </c>
      <c r="AG87" s="93">
        <v>649.50999999999988</v>
      </c>
      <c r="AH87" s="93"/>
      <c r="AI87" s="93"/>
      <c r="AJ87" s="93"/>
      <c r="AK87" s="93"/>
      <c r="AL87" s="122">
        <f t="shared" si="54"/>
        <v>2.7992894558972625</v>
      </c>
      <c r="AM87" s="93">
        <v>0</v>
      </c>
      <c r="AN87" s="94">
        <f t="shared" si="55"/>
        <v>84.995063000000002</v>
      </c>
      <c r="AO87" s="95">
        <f t="shared" si="56"/>
        <v>289.30564754410295</v>
      </c>
      <c r="AP87" s="96"/>
      <c r="AQ87" s="97">
        <f t="shared" si="5"/>
        <v>1056.375</v>
      </c>
      <c r="AR87" s="98">
        <f t="shared" si="34"/>
        <v>150</v>
      </c>
      <c r="AS87" s="98">
        <f t="shared" si="7"/>
        <v>393.06999999999994</v>
      </c>
      <c r="AT87" s="98">
        <f t="shared" si="8"/>
        <v>324.75499999999994</v>
      </c>
      <c r="AU87" s="98">
        <f t="shared" si="57"/>
        <v>0</v>
      </c>
      <c r="AV87" s="98">
        <f t="array" ref="AV87">_xlfn.IFS(U87=0,AO87,U87&lt;0,AO87/-U87,U87&gt;0,AO87/U87)</f>
        <v>144.65282377205148</v>
      </c>
      <c r="AW87" s="234">
        <f t="shared" si="42"/>
        <v>0.13693321384172427</v>
      </c>
      <c r="AX87" s="234">
        <f t="shared" si="43"/>
        <v>0.96435215848034317</v>
      </c>
      <c r="AY87" s="99"/>
      <c r="AZ87" s="94">
        <f t="shared" si="11"/>
        <v>1591.1810614925662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4"/>
        <v>3</v>
      </c>
      <c r="F88" s="93">
        <v>2</v>
      </c>
      <c r="G88" s="93" t="s">
        <v>100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1"/>
        <v>450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5"/>
        <v>0.14285714285714285</v>
      </c>
      <c r="R88" s="92">
        <f t="shared" si="46"/>
        <v>0</v>
      </c>
      <c r="S88" s="93">
        <v>0</v>
      </c>
      <c r="T88" s="93">
        <v>0</v>
      </c>
      <c r="U88" s="92">
        <f t="shared" si="47"/>
        <v>0</v>
      </c>
      <c r="V88" s="93">
        <v>0</v>
      </c>
      <c r="W88" s="93">
        <v>0</v>
      </c>
      <c r="X88" s="92">
        <f t="shared" si="48"/>
        <v>0</v>
      </c>
      <c r="Y88" s="93">
        <v>0</v>
      </c>
      <c r="Z88" s="93">
        <v>0</v>
      </c>
      <c r="AA88" s="92">
        <f t="shared" si="49"/>
        <v>0</v>
      </c>
      <c r="AB88" s="92">
        <f t="shared" si="50"/>
        <v>0</v>
      </c>
      <c r="AC88" s="234">
        <f t="shared" si="51"/>
        <v>0</v>
      </c>
      <c r="AD88" s="92">
        <f t="shared" si="52"/>
        <v>0</v>
      </c>
      <c r="AE88" s="93">
        <v>0</v>
      </c>
      <c r="AF88" s="234">
        <f t="shared" si="53"/>
        <v>0</v>
      </c>
      <c r="AG88" s="93">
        <v>1.63</v>
      </c>
      <c r="AH88" s="93"/>
      <c r="AI88" s="93"/>
      <c r="AJ88" s="93"/>
      <c r="AK88" s="93"/>
      <c r="AL88" s="122">
        <f t="shared" si="54"/>
        <v>0</v>
      </c>
      <c r="AM88" s="93">
        <v>0</v>
      </c>
      <c r="AN88" s="94">
        <f t="shared" si="55"/>
        <v>0</v>
      </c>
      <c r="AO88" s="95">
        <f t="shared" si="56"/>
        <v>-1.63</v>
      </c>
      <c r="AP88" s="96"/>
      <c r="AQ88" s="97">
        <f t="shared" si="5"/>
        <v>0</v>
      </c>
      <c r="AR88" s="98">
        <f t="shared" si="34"/>
        <v>150</v>
      </c>
      <c r="AS88" s="98">
        <f t="shared" si="7"/>
        <v>0</v>
      </c>
      <c r="AT88" s="98">
        <f t="shared" si="8"/>
        <v>1.63</v>
      </c>
      <c r="AU88" s="98">
        <f t="shared" si="57"/>
        <v>0</v>
      </c>
      <c r="AV88" s="98">
        <f t="array" ref="AV88">_xlfn.IFS(U88=0,AO88,U88&lt;0,AO88/-U88,U88&gt;0,AO88/U88)</f>
        <v>-1.63</v>
      </c>
      <c r="AW88" s="234">
        <f t="shared" si="42"/>
        <v>0</v>
      </c>
      <c r="AX88" s="234">
        <f t="shared" si="43"/>
        <v>-1.0866666666666665E-2</v>
      </c>
      <c r="AY88" s="99"/>
      <c r="AZ88" s="94">
        <f t="shared" si="11"/>
        <v>-4.8899999999999997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4"/>
        <v>8</v>
      </c>
      <c r="F89" s="93">
        <v>1</v>
      </c>
      <c r="G89" s="93">
        <v>3</v>
      </c>
      <c r="H89" s="93">
        <v>3</v>
      </c>
      <c r="I89" s="93">
        <v>0</v>
      </c>
      <c r="J89" s="93">
        <v>1</v>
      </c>
      <c r="K89" s="93">
        <v>169.89</v>
      </c>
      <c r="L89" s="92">
        <f t="shared" si="41"/>
        <v>1359.12</v>
      </c>
      <c r="M89" s="89">
        <v>12</v>
      </c>
      <c r="N89" s="89">
        <v>8</v>
      </c>
      <c r="O89" s="89">
        <v>1504</v>
      </c>
      <c r="P89" s="89">
        <v>57</v>
      </c>
      <c r="Q89" s="233">
        <f t="shared" si="45"/>
        <v>1.1428571428571428</v>
      </c>
      <c r="R89" s="92">
        <f t="shared" si="46"/>
        <v>0.8571428571428571</v>
      </c>
      <c r="S89" s="93">
        <v>6</v>
      </c>
      <c r="T89" s="93">
        <v>0</v>
      </c>
      <c r="U89" s="92">
        <f t="shared" si="47"/>
        <v>6</v>
      </c>
      <c r="V89" s="93">
        <v>5902</v>
      </c>
      <c r="W89" s="93">
        <v>0</v>
      </c>
      <c r="X89" s="92">
        <f t="shared" si="48"/>
        <v>5902</v>
      </c>
      <c r="Y89" s="93">
        <v>8961</v>
      </c>
      <c r="Z89" s="93">
        <v>0</v>
      </c>
      <c r="AA89" s="92">
        <f t="shared" si="49"/>
        <v>8961</v>
      </c>
      <c r="AB89" s="92">
        <f t="shared" si="50"/>
        <v>6858.24</v>
      </c>
      <c r="AC89" s="234">
        <f t="shared" si="51"/>
        <v>3.1211272495979192E-3</v>
      </c>
      <c r="AD89" s="92">
        <f t="shared" si="52"/>
        <v>1019.3399999999999</v>
      </c>
      <c r="AE89" s="93">
        <v>3403.7199999999993</v>
      </c>
      <c r="AF89" s="234">
        <f t="shared" si="53"/>
        <v>0.37983707175538439</v>
      </c>
      <c r="AG89" s="93">
        <v>751.06999999999994</v>
      </c>
      <c r="AH89" s="93"/>
      <c r="AI89" s="93"/>
      <c r="AJ89" s="93"/>
      <c r="AK89" s="93"/>
      <c r="AL89" s="122">
        <f t="shared" si="54"/>
        <v>2.7992894558972625</v>
      </c>
      <c r="AM89" s="93">
        <v>0</v>
      </c>
      <c r="AN89" s="94">
        <f t="shared" si="55"/>
        <v>337.00419999999997</v>
      </c>
      <c r="AO89" s="95">
        <f t="shared" si="56"/>
        <v>3447.0665105441035</v>
      </c>
      <c r="AP89" s="96"/>
      <c r="AQ89" s="97">
        <f t="shared" si="5"/>
        <v>1493.5</v>
      </c>
      <c r="AR89" s="98">
        <f t="shared" si="34"/>
        <v>169.89</v>
      </c>
      <c r="AS89" s="98">
        <f t="shared" si="7"/>
        <v>567.28666666666652</v>
      </c>
      <c r="AT89" s="98">
        <f t="shared" si="8"/>
        <v>125.17833333333333</v>
      </c>
      <c r="AU89" s="98">
        <f t="shared" si="57"/>
        <v>0</v>
      </c>
      <c r="AV89" s="98">
        <f t="array" ref="AV89">_xlfn.IFS(U89=0,AO89,U89&lt;0,AO89/-U89,U89&gt;0,AO89/U89)</f>
        <v>574.51108509068388</v>
      </c>
      <c r="AW89" s="234">
        <f t="shared" si="42"/>
        <v>0.38467431207946695</v>
      </c>
      <c r="AX89" s="234">
        <f t="shared" si="43"/>
        <v>3.3816651073676138</v>
      </c>
      <c r="AY89" s="99"/>
      <c r="AZ89" s="94">
        <f t="shared" si="11"/>
        <v>4596.088680725471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4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1"/>
        <v>5286.12</v>
      </c>
      <c r="M90" s="89">
        <v>731</v>
      </c>
      <c r="N90" s="89">
        <v>0</v>
      </c>
      <c r="O90" s="89">
        <v>0</v>
      </c>
      <c r="P90" s="89">
        <v>0</v>
      </c>
      <c r="Q90" s="233">
        <f t="shared" si="45"/>
        <v>0</v>
      </c>
      <c r="R90" s="92">
        <f t="shared" si="46"/>
        <v>0</v>
      </c>
      <c r="S90" s="93">
        <v>0</v>
      </c>
      <c r="T90" s="93">
        <v>0</v>
      </c>
      <c r="U90" s="92">
        <f t="shared" si="47"/>
        <v>0</v>
      </c>
      <c r="V90" s="93">
        <v>0</v>
      </c>
      <c r="W90" s="93">
        <v>0</v>
      </c>
      <c r="X90" s="92">
        <f t="shared" si="48"/>
        <v>0</v>
      </c>
      <c r="Y90" s="93">
        <v>0</v>
      </c>
      <c r="Z90" s="93">
        <v>0</v>
      </c>
      <c r="AA90" s="92">
        <f t="shared" si="49"/>
        <v>0</v>
      </c>
      <c r="AB90" s="92">
        <f t="shared" si="50"/>
        <v>0</v>
      </c>
      <c r="AC90" s="234">
        <f t="shared" si="51"/>
        <v>0</v>
      </c>
      <c r="AD90" s="92">
        <f t="shared" si="52"/>
        <v>0</v>
      </c>
      <c r="AE90" s="93">
        <v>0</v>
      </c>
      <c r="AF90" s="234">
        <f t="shared" si="53"/>
        <v>0</v>
      </c>
      <c r="AG90" s="93">
        <v>0</v>
      </c>
      <c r="AH90" s="93"/>
      <c r="AI90" s="93"/>
      <c r="AJ90" s="93"/>
      <c r="AK90" s="93"/>
      <c r="AL90" s="122">
        <f t="shared" si="54"/>
        <v>44.7886312943562</v>
      </c>
      <c r="AM90" s="93">
        <v>0</v>
      </c>
      <c r="AN90" s="94">
        <f t="shared" si="55"/>
        <v>0</v>
      </c>
      <c r="AO90" s="95">
        <f t="shared" si="56"/>
        <v>-44.7886312943562</v>
      </c>
      <c r="AP90" s="96"/>
      <c r="AQ90" s="97">
        <f t="shared" si="5"/>
        <v>0</v>
      </c>
      <c r="AR90" s="98">
        <f t="shared" si="34"/>
        <v>107.88</v>
      </c>
      <c r="AS90" s="98">
        <f t="shared" si="7"/>
        <v>0</v>
      </c>
      <c r="AT90" s="98">
        <f t="shared" si="8"/>
        <v>0</v>
      </c>
      <c r="AU90" s="98">
        <f t="shared" si="57"/>
        <v>0</v>
      </c>
      <c r="AV90" s="98">
        <f t="array" ref="AV90">_xlfn.IFS(U90=0,AO90,U90&lt;0,AO90/-U90,U90&gt;0,AO90/U90)</f>
        <v>-44.7886312943562</v>
      </c>
      <c r="AW90" s="234">
        <f t="shared" si="42"/>
        <v>0</v>
      </c>
      <c r="AX90" s="234">
        <f t="shared" si="43"/>
        <v>-0.41517084996622361</v>
      </c>
      <c r="AY90" s="99"/>
      <c r="AZ90" s="94">
        <f t="shared" si="11"/>
        <v>-2194.642933423454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4"/>
        <v>35</v>
      </c>
      <c r="F91" s="93">
        <v>7</v>
      </c>
      <c r="G91" s="93">
        <v>3</v>
      </c>
      <c r="H91" s="93">
        <v>19</v>
      </c>
      <c r="I91" s="93">
        <v>0</v>
      </c>
      <c r="J91" s="93">
        <v>6</v>
      </c>
      <c r="K91" s="93">
        <v>93.84</v>
      </c>
      <c r="L91" s="92">
        <f t="shared" si="41"/>
        <v>3284.4</v>
      </c>
      <c r="M91" s="89">
        <v>112</v>
      </c>
      <c r="N91" s="89">
        <v>9</v>
      </c>
      <c r="O91" s="89">
        <v>1075</v>
      </c>
      <c r="P91" s="89">
        <v>0</v>
      </c>
      <c r="Q91" s="233">
        <f t="shared" si="45"/>
        <v>1.2857142857142858</v>
      </c>
      <c r="R91" s="92">
        <f t="shared" si="46"/>
        <v>0</v>
      </c>
      <c r="S91" s="93">
        <v>0</v>
      </c>
      <c r="T91" s="93">
        <v>0</v>
      </c>
      <c r="U91" s="92">
        <f t="shared" si="47"/>
        <v>0</v>
      </c>
      <c r="V91" s="93">
        <v>0</v>
      </c>
      <c r="W91" s="93">
        <v>0</v>
      </c>
      <c r="X91" s="92">
        <f t="shared" si="48"/>
        <v>0</v>
      </c>
      <c r="Y91" s="93">
        <v>0</v>
      </c>
      <c r="Z91" s="93">
        <v>0</v>
      </c>
      <c r="AA91" s="92">
        <f t="shared" si="49"/>
        <v>0</v>
      </c>
      <c r="AB91" s="92">
        <f t="shared" si="50"/>
        <v>0</v>
      </c>
      <c r="AC91" s="234">
        <f t="shared" si="51"/>
        <v>0</v>
      </c>
      <c r="AD91" s="92">
        <f t="shared" si="52"/>
        <v>0</v>
      </c>
      <c r="AE91" s="93">
        <v>0</v>
      </c>
      <c r="AF91" s="234">
        <f t="shared" si="53"/>
        <v>0</v>
      </c>
      <c r="AG91" s="93">
        <v>163.34000000000003</v>
      </c>
      <c r="AH91" s="93"/>
      <c r="AI91" s="93">
        <v>624</v>
      </c>
      <c r="AJ91" s="93"/>
      <c r="AK91" s="93"/>
      <c r="AL91" s="122">
        <f t="shared" si="54"/>
        <v>17.72883322068266</v>
      </c>
      <c r="AM91" s="93">
        <v>0</v>
      </c>
      <c r="AN91" s="94">
        <f t="shared" si="55"/>
        <v>0</v>
      </c>
      <c r="AO91" s="95">
        <f t="shared" si="56"/>
        <v>-805.06883322068268</v>
      </c>
      <c r="AP91" s="96"/>
      <c r="AQ91" s="97">
        <f t="shared" si="5"/>
        <v>0</v>
      </c>
      <c r="AR91" s="98">
        <f t="shared" si="34"/>
        <v>93.84</v>
      </c>
      <c r="AS91" s="98">
        <f t="shared" si="7"/>
        <v>0</v>
      </c>
      <c r="AT91" s="98">
        <f t="shared" si="8"/>
        <v>163.34000000000003</v>
      </c>
      <c r="AU91" s="98">
        <f t="shared" si="57"/>
        <v>0</v>
      </c>
      <c r="AV91" s="98">
        <f t="array" ref="AV91">_xlfn.IFS(U91=0,AO91,U91&lt;0,AO91/-U91,U91&gt;0,AO91/U91)</f>
        <v>-805.06883322068268</v>
      </c>
      <c r="AW91" s="234">
        <f t="shared" si="42"/>
        <v>0</v>
      </c>
      <c r="AX91" s="234">
        <f t="shared" si="43"/>
        <v>-8.5791648893934642</v>
      </c>
      <c r="AY91" s="99"/>
      <c r="AZ91" s="94">
        <f t="shared" si="11"/>
        <v>-28177.409162723892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4"/>
        <v>49</v>
      </c>
      <c r="F92" s="93">
        <v>4</v>
      </c>
      <c r="G92" s="93">
        <v>1</v>
      </c>
      <c r="H92" s="93">
        <v>43</v>
      </c>
      <c r="I92" s="93">
        <v>0</v>
      </c>
      <c r="J92" s="93">
        <v>1</v>
      </c>
      <c r="K92" s="93">
        <v>139.47</v>
      </c>
      <c r="L92" s="92">
        <f t="shared" si="41"/>
        <v>6834.03</v>
      </c>
      <c r="M92" s="89">
        <v>217</v>
      </c>
      <c r="N92" s="89">
        <v>3</v>
      </c>
      <c r="O92" s="89">
        <v>1250</v>
      </c>
      <c r="P92" s="89">
        <v>0</v>
      </c>
      <c r="Q92" s="233">
        <f t="shared" si="45"/>
        <v>0.42857142857142855</v>
      </c>
      <c r="R92" s="92">
        <f t="shared" si="46"/>
        <v>0</v>
      </c>
      <c r="S92" s="93">
        <v>0</v>
      </c>
      <c r="T92" s="93">
        <v>0</v>
      </c>
      <c r="U92" s="92">
        <f t="shared" si="47"/>
        <v>0</v>
      </c>
      <c r="V92" s="93">
        <v>0</v>
      </c>
      <c r="W92" s="93">
        <v>0</v>
      </c>
      <c r="X92" s="92">
        <f t="shared" si="48"/>
        <v>0</v>
      </c>
      <c r="Y92" s="93">
        <v>0</v>
      </c>
      <c r="Z92" s="93">
        <v>0</v>
      </c>
      <c r="AA92" s="92">
        <f t="shared" si="49"/>
        <v>0</v>
      </c>
      <c r="AB92" s="92">
        <f t="shared" si="50"/>
        <v>0</v>
      </c>
      <c r="AC92" s="234">
        <f t="shared" si="51"/>
        <v>0</v>
      </c>
      <c r="AD92" s="92">
        <f t="shared" si="52"/>
        <v>0</v>
      </c>
      <c r="AE92" s="93">
        <v>0</v>
      </c>
      <c r="AF92" s="234">
        <f t="shared" si="53"/>
        <v>0</v>
      </c>
      <c r="AG92" s="93">
        <v>266.36</v>
      </c>
      <c r="AH92" s="93"/>
      <c r="AI92" s="93"/>
      <c r="AJ92" s="93"/>
      <c r="AK92" s="93"/>
      <c r="AL92" s="122">
        <f t="shared" si="54"/>
        <v>40.123148867860763</v>
      </c>
      <c r="AM92" s="93">
        <v>0</v>
      </c>
      <c r="AN92" s="94">
        <f t="shared" si="55"/>
        <v>0</v>
      </c>
      <c r="AO92" s="95">
        <f t="shared" si="56"/>
        <v>-306.48314886786079</v>
      </c>
      <c r="AP92" s="96"/>
      <c r="AQ92" s="97">
        <f t="shared" si="5"/>
        <v>0</v>
      </c>
      <c r="AR92" s="98">
        <f t="shared" si="34"/>
        <v>139.47</v>
      </c>
      <c r="AS92" s="98">
        <f t="shared" si="7"/>
        <v>0</v>
      </c>
      <c r="AT92" s="98">
        <f t="shared" si="8"/>
        <v>266.36</v>
      </c>
      <c r="AU92" s="98">
        <f t="shared" si="57"/>
        <v>0</v>
      </c>
      <c r="AV92" s="98">
        <f t="array" ref="AV92">_xlfn.IFS(U92=0,AO92,U92&lt;0,AO92/-U92,U92&gt;0,AO92/U92)</f>
        <v>-306.48314886786079</v>
      </c>
      <c r="AW92" s="234">
        <f t="shared" si="42"/>
        <v>0</v>
      </c>
      <c r="AX92" s="234">
        <f t="shared" si="43"/>
        <v>-2.1974843971310016</v>
      </c>
      <c r="AY92" s="99"/>
      <c r="AZ92" s="94">
        <f t="shared" si="11"/>
        <v>-15017.674294525179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4"/>
        <v>40</v>
      </c>
      <c r="F93" s="93" t="s">
        <v>100</v>
      </c>
      <c r="G93" s="93" t="s">
        <v>100</v>
      </c>
      <c r="H93" s="93">
        <v>39</v>
      </c>
      <c r="I93" s="93">
        <v>0</v>
      </c>
      <c r="J93" s="93">
        <v>1</v>
      </c>
      <c r="K93" s="93">
        <v>139.47</v>
      </c>
      <c r="L93" s="92">
        <f t="shared" si="41"/>
        <v>5578.8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45"/>
        <v>0</v>
      </c>
      <c r="R93" s="92">
        <f t="shared" si="46"/>
        <v>0</v>
      </c>
      <c r="S93" s="93">
        <v>0</v>
      </c>
      <c r="T93" s="93">
        <v>0</v>
      </c>
      <c r="U93" s="92">
        <f t="shared" si="47"/>
        <v>0</v>
      </c>
      <c r="V93" s="93">
        <v>0</v>
      </c>
      <c r="W93" s="93">
        <v>0</v>
      </c>
      <c r="X93" s="92">
        <f t="shared" si="48"/>
        <v>0</v>
      </c>
      <c r="Y93" s="93">
        <v>0</v>
      </c>
      <c r="Z93" s="93">
        <v>0</v>
      </c>
      <c r="AA93" s="92">
        <f t="shared" si="49"/>
        <v>0</v>
      </c>
      <c r="AB93" s="92">
        <f t="shared" si="50"/>
        <v>0</v>
      </c>
      <c r="AC93" s="234">
        <f t="shared" si="51"/>
        <v>0</v>
      </c>
      <c r="AD93" s="92">
        <f t="shared" si="52"/>
        <v>0</v>
      </c>
      <c r="AE93" s="93">
        <v>0</v>
      </c>
      <c r="AF93" s="234">
        <f t="shared" si="53"/>
        <v>0</v>
      </c>
      <c r="AG93" s="93">
        <v>6.72</v>
      </c>
      <c r="AH93" s="93"/>
      <c r="AI93" s="93"/>
      <c r="AJ93" s="93"/>
      <c r="AK93" s="93"/>
      <c r="AL93" s="122">
        <f t="shared" si="54"/>
        <v>36.390762926664408</v>
      </c>
      <c r="AM93" s="93">
        <v>0</v>
      </c>
      <c r="AN93" s="94">
        <f t="shared" si="55"/>
        <v>0</v>
      </c>
      <c r="AO93" s="95">
        <f t="shared" si="56"/>
        <v>-43.110762926664407</v>
      </c>
      <c r="AP93" s="96"/>
      <c r="AQ93" s="97">
        <f t="shared" si="5"/>
        <v>0</v>
      </c>
      <c r="AR93" s="98">
        <f t="shared" si="34"/>
        <v>139.47</v>
      </c>
      <c r="AS93" s="98">
        <f t="shared" si="7"/>
        <v>0</v>
      </c>
      <c r="AT93" s="98">
        <f t="shared" si="8"/>
        <v>6.72</v>
      </c>
      <c r="AU93" s="98">
        <f t="shared" si="57"/>
        <v>0</v>
      </c>
      <c r="AV93" s="98">
        <f t="array" ref="AV93">_xlfn.IFS(U93=0,AO93,U93&lt;0,AO93/-U93,U93&gt;0,AO93/U93)</f>
        <v>-43.110762926664407</v>
      </c>
      <c r="AW93" s="234">
        <f t="shared" si="42"/>
        <v>0</v>
      </c>
      <c r="AX93" s="234">
        <f t="shared" si="43"/>
        <v>-0.3091042010946039</v>
      </c>
      <c r="AY93" s="99"/>
      <c r="AZ93" s="94">
        <f t="shared" si="11"/>
        <v>-1724.4305170665762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4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1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5"/>
        <v>0</v>
      </c>
      <c r="R94" s="92">
        <f t="shared" si="46"/>
        <v>0</v>
      </c>
      <c r="S94" s="93">
        <v>0</v>
      </c>
      <c r="T94" s="93">
        <v>0</v>
      </c>
      <c r="U94" s="92">
        <f t="shared" si="47"/>
        <v>0</v>
      </c>
      <c r="V94" s="93">
        <v>0</v>
      </c>
      <c r="W94" s="93">
        <v>0</v>
      </c>
      <c r="X94" s="92">
        <f t="shared" si="48"/>
        <v>0</v>
      </c>
      <c r="Y94" s="93">
        <v>0</v>
      </c>
      <c r="Z94" s="93">
        <v>0</v>
      </c>
      <c r="AA94" s="92">
        <f t="shared" si="49"/>
        <v>0</v>
      </c>
      <c r="AB94" s="92">
        <f t="shared" si="50"/>
        <v>0</v>
      </c>
      <c r="AC94" s="234">
        <f t="shared" si="51"/>
        <v>0</v>
      </c>
      <c r="AD94" s="92">
        <f t="shared" si="52"/>
        <v>0</v>
      </c>
      <c r="AE94" s="93">
        <v>0</v>
      </c>
      <c r="AF94" s="234">
        <f t="shared" si="53"/>
        <v>0</v>
      </c>
      <c r="AG94" s="93">
        <v>0</v>
      </c>
      <c r="AH94" s="93"/>
      <c r="AI94" s="93"/>
      <c r="AJ94" s="93"/>
      <c r="AK94" s="93"/>
      <c r="AL94" s="122">
        <f t="shared" si="54"/>
        <v>0</v>
      </c>
      <c r="AM94" s="93">
        <v>0</v>
      </c>
      <c r="AN94" s="94">
        <f t="shared" si="55"/>
        <v>0</v>
      </c>
      <c r="AO94" s="95">
        <f t="shared" si="56"/>
        <v>0</v>
      </c>
      <c r="AP94" s="96"/>
      <c r="AQ94" s="97">
        <f t="shared" si="5"/>
        <v>0</v>
      </c>
      <c r="AR94" s="98">
        <f t="shared" si="34"/>
        <v>400.08</v>
      </c>
      <c r="AS94" s="98">
        <f t="shared" si="7"/>
        <v>0</v>
      </c>
      <c r="AT94" s="98">
        <f t="shared" si="8"/>
        <v>0</v>
      </c>
      <c r="AU94" s="98">
        <f t="shared" si="57"/>
        <v>0</v>
      </c>
      <c r="AV94" s="98">
        <f t="array" ref="AV94">_xlfn.IFS(U94=0,AO94,U94&lt;0,AO94/-U94,U94&gt;0,AO94/U94)</f>
        <v>0</v>
      </c>
      <c r="AW94" s="234">
        <f t="shared" si="42"/>
        <v>0</v>
      </c>
      <c r="AX94" s="234">
        <f t="shared" si="43"/>
        <v>0</v>
      </c>
      <c r="AY94" s="99"/>
      <c r="AZ94" s="94">
        <f t="shared" si="11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4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1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5"/>
        <v>0</v>
      </c>
      <c r="R95" s="92">
        <f t="shared" si="46"/>
        <v>0</v>
      </c>
      <c r="S95" s="93">
        <v>0</v>
      </c>
      <c r="T95" s="93">
        <v>0</v>
      </c>
      <c r="U95" s="92">
        <f t="shared" si="47"/>
        <v>0</v>
      </c>
      <c r="V95" s="93">
        <v>0</v>
      </c>
      <c r="W95" s="93">
        <v>0</v>
      </c>
      <c r="X95" s="92">
        <f t="shared" si="48"/>
        <v>0</v>
      </c>
      <c r="Y95" s="93">
        <v>0</v>
      </c>
      <c r="Z95" s="93">
        <v>0</v>
      </c>
      <c r="AA95" s="92">
        <f t="shared" si="49"/>
        <v>0</v>
      </c>
      <c r="AB95" s="92">
        <f t="shared" si="50"/>
        <v>0</v>
      </c>
      <c r="AC95" s="234">
        <f t="shared" si="51"/>
        <v>0</v>
      </c>
      <c r="AD95" s="92">
        <f t="shared" si="52"/>
        <v>0</v>
      </c>
      <c r="AE95" s="93">
        <v>0</v>
      </c>
      <c r="AF95" s="234">
        <f t="shared" si="53"/>
        <v>0</v>
      </c>
      <c r="AG95" s="93">
        <v>0</v>
      </c>
      <c r="AH95" s="93"/>
      <c r="AI95" s="93"/>
      <c r="AJ95" s="93"/>
      <c r="AK95" s="93"/>
      <c r="AL95" s="122">
        <f t="shared" si="54"/>
        <v>0</v>
      </c>
      <c r="AM95" s="93">
        <v>0</v>
      </c>
      <c r="AN95" s="94">
        <f t="shared" si="55"/>
        <v>0</v>
      </c>
      <c r="AO95" s="95">
        <f t="shared" si="56"/>
        <v>0</v>
      </c>
      <c r="AP95" s="96"/>
      <c r="AQ95" s="97">
        <f t="shared" si="5"/>
        <v>0</v>
      </c>
      <c r="AR95" s="98">
        <f t="shared" si="34"/>
        <v>400.08</v>
      </c>
      <c r="AS95" s="98">
        <f t="shared" si="7"/>
        <v>0</v>
      </c>
      <c r="AT95" s="98">
        <f t="shared" si="8"/>
        <v>0</v>
      </c>
      <c r="AU95" s="98">
        <f t="shared" si="57"/>
        <v>0</v>
      </c>
      <c r="AV95" s="98">
        <f t="array" ref="AV95">_xlfn.IFS(U95=0,AO95,U95&lt;0,AO95/-U95,U95&gt;0,AO95/U95)</f>
        <v>0</v>
      </c>
      <c r="AW95" s="234">
        <f t="shared" si="42"/>
        <v>0</v>
      </c>
      <c r="AX95" s="234">
        <f t="shared" si="43"/>
        <v>0</v>
      </c>
      <c r="AY95" s="99"/>
      <c r="AZ95" s="94">
        <f t="shared" si="11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4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1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5"/>
        <v>0</v>
      </c>
      <c r="R96" s="92">
        <f t="shared" si="46"/>
        <v>0</v>
      </c>
      <c r="S96" s="93">
        <v>0</v>
      </c>
      <c r="T96" s="93">
        <v>0</v>
      </c>
      <c r="U96" s="92">
        <f t="shared" si="47"/>
        <v>0</v>
      </c>
      <c r="V96" s="93">
        <v>0</v>
      </c>
      <c r="W96" s="93">
        <v>0</v>
      </c>
      <c r="X96" s="92">
        <f t="shared" si="48"/>
        <v>0</v>
      </c>
      <c r="Y96" s="93">
        <v>0</v>
      </c>
      <c r="Z96" s="93">
        <v>0</v>
      </c>
      <c r="AA96" s="92">
        <f t="shared" si="49"/>
        <v>0</v>
      </c>
      <c r="AB96" s="92">
        <f t="shared" si="50"/>
        <v>0</v>
      </c>
      <c r="AC96" s="234">
        <f t="shared" si="51"/>
        <v>0</v>
      </c>
      <c r="AD96" s="92">
        <f t="shared" si="52"/>
        <v>0</v>
      </c>
      <c r="AE96" s="93">
        <v>0</v>
      </c>
      <c r="AF96" s="234">
        <f t="shared" si="53"/>
        <v>0</v>
      </c>
      <c r="AG96" s="93">
        <v>0</v>
      </c>
      <c r="AH96" s="93"/>
      <c r="AI96" s="93"/>
      <c r="AJ96" s="93"/>
      <c r="AK96" s="93"/>
      <c r="AL96" s="122">
        <f t="shared" si="54"/>
        <v>0</v>
      </c>
      <c r="AM96" s="93">
        <v>0</v>
      </c>
      <c r="AN96" s="94">
        <f t="shared" si="55"/>
        <v>0</v>
      </c>
      <c r="AO96" s="95">
        <f t="shared" si="56"/>
        <v>0</v>
      </c>
      <c r="AP96" s="96"/>
      <c r="AQ96" s="97">
        <f t="shared" si="5"/>
        <v>0</v>
      </c>
      <c r="AR96" s="98">
        <f t="shared" si="34"/>
        <v>300.08</v>
      </c>
      <c r="AS96" s="98">
        <f t="shared" si="7"/>
        <v>0</v>
      </c>
      <c r="AT96" s="98">
        <f t="shared" si="8"/>
        <v>0</v>
      </c>
      <c r="AU96" s="98">
        <f t="shared" si="57"/>
        <v>0</v>
      </c>
      <c r="AV96" s="98">
        <f t="array" ref="AV96">_xlfn.IFS(U96=0,AO96,U96&lt;0,AO96/-U96,U96&gt;0,AO96/U96)</f>
        <v>0</v>
      </c>
      <c r="AW96" s="234">
        <f t="shared" si="42"/>
        <v>0</v>
      </c>
      <c r="AX96" s="234">
        <f t="shared" si="43"/>
        <v>0</v>
      </c>
      <c r="AY96" s="99"/>
      <c r="AZ96" s="94">
        <f t="shared" si="11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4"/>
        <v>2</v>
      </c>
      <c r="F97" s="93" t="s">
        <v>100</v>
      </c>
      <c r="G97" s="93">
        <v>1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1"/>
        <v>800.16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5"/>
        <v>0</v>
      </c>
      <c r="R97" s="92">
        <f t="shared" si="46"/>
        <v>0</v>
      </c>
      <c r="S97" s="93">
        <v>0</v>
      </c>
      <c r="T97" s="93">
        <v>0</v>
      </c>
      <c r="U97" s="92">
        <f t="shared" si="47"/>
        <v>0</v>
      </c>
      <c r="V97" s="93">
        <v>0</v>
      </c>
      <c r="W97" s="93">
        <v>0</v>
      </c>
      <c r="X97" s="92">
        <f t="shared" si="48"/>
        <v>0</v>
      </c>
      <c r="Y97" s="93">
        <v>0</v>
      </c>
      <c r="Z97" s="93">
        <v>0</v>
      </c>
      <c r="AA97" s="92">
        <f t="shared" si="49"/>
        <v>0</v>
      </c>
      <c r="AB97" s="92">
        <f t="shared" si="50"/>
        <v>0</v>
      </c>
      <c r="AC97" s="234">
        <f t="shared" si="51"/>
        <v>0</v>
      </c>
      <c r="AD97" s="92">
        <f t="shared" si="52"/>
        <v>0</v>
      </c>
      <c r="AE97" s="93">
        <v>0</v>
      </c>
      <c r="AF97" s="234">
        <f t="shared" si="53"/>
        <v>0</v>
      </c>
      <c r="AG97" s="93">
        <v>66.25</v>
      </c>
      <c r="AH97" s="93"/>
      <c r="AI97" s="93"/>
      <c r="AJ97" s="93"/>
      <c r="AK97" s="93"/>
      <c r="AL97" s="122">
        <f t="shared" si="54"/>
        <v>0.93309648529908751</v>
      </c>
      <c r="AM97" s="93">
        <v>0</v>
      </c>
      <c r="AN97" s="94">
        <f t="shared" si="55"/>
        <v>0</v>
      </c>
      <c r="AO97" s="95">
        <f t="shared" si="56"/>
        <v>-67.183096485299089</v>
      </c>
      <c r="AP97" s="96"/>
      <c r="AQ97" s="97">
        <f t="shared" si="5"/>
        <v>0</v>
      </c>
      <c r="AR97" s="98">
        <f t="shared" si="34"/>
        <v>400.08</v>
      </c>
      <c r="AS97" s="98">
        <f t="shared" si="7"/>
        <v>0</v>
      </c>
      <c r="AT97" s="98">
        <f t="shared" si="8"/>
        <v>66.25</v>
      </c>
      <c r="AU97" s="98">
        <f t="shared" si="57"/>
        <v>0</v>
      </c>
      <c r="AV97" s="98">
        <f t="array" ref="AV97">_xlfn.IFS(U97=0,AO97,U97&lt;0,AO97/-U97,U97&gt;0,AO97/U97)</f>
        <v>-67.183096485299089</v>
      </c>
      <c r="AW97" s="234">
        <f t="shared" si="42"/>
        <v>0</v>
      </c>
      <c r="AX97" s="234">
        <f t="shared" si="43"/>
        <v>-0.16792415638197133</v>
      </c>
      <c r="AY97" s="99"/>
      <c r="AZ97" s="94">
        <f t="shared" si="11"/>
        <v>-134.36619297059818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4"/>
        <v>9</v>
      </c>
      <c r="F98" s="93">
        <v>2</v>
      </c>
      <c r="G98" s="93" t="s">
        <v>100</v>
      </c>
      <c r="H98" s="93">
        <v>7</v>
      </c>
      <c r="I98" s="93">
        <v>0</v>
      </c>
      <c r="J98" s="93">
        <v>0</v>
      </c>
      <c r="K98" s="93">
        <v>300.08</v>
      </c>
      <c r="L98" s="92">
        <f t="shared" si="41"/>
        <v>2700.72</v>
      </c>
      <c r="M98" s="89">
        <v>59</v>
      </c>
      <c r="N98" s="89">
        <v>2</v>
      </c>
      <c r="O98" s="89">
        <v>878</v>
      </c>
      <c r="P98" s="89">
        <v>0</v>
      </c>
      <c r="Q98" s="233">
        <f t="shared" si="45"/>
        <v>0.2857142857142857</v>
      </c>
      <c r="R98" s="92">
        <f t="shared" si="46"/>
        <v>0.14285714285714285</v>
      </c>
      <c r="S98" s="93">
        <v>1</v>
      </c>
      <c r="T98" s="93">
        <v>0</v>
      </c>
      <c r="U98" s="92">
        <f t="shared" si="47"/>
        <v>1</v>
      </c>
      <c r="V98" s="93">
        <v>681.43</v>
      </c>
      <c r="W98" s="93">
        <v>0</v>
      </c>
      <c r="X98" s="92">
        <f t="shared" si="48"/>
        <v>681.43</v>
      </c>
      <c r="Y98" s="93">
        <v>877.57</v>
      </c>
      <c r="Z98" s="93">
        <v>0</v>
      </c>
      <c r="AA98" s="92">
        <f t="shared" si="49"/>
        <v>877.57</v>
      </c>
      <c r="AB98" s="92">
        <f t="shared" si="50"/>
        <v>0</v>
      </c>
      <c r="AC98" s="234">
        <f t="shared" si="51"/>
        <v>3.0565870331767059E-4</v>
      </c>
      <c r="AD98" s="92">
        <f t="shared" si="52"/>
        <v>300.08</v>
      </c>
      <c r="AE98" s="93">
        <v>325.0100000000001</v>
      </c>
      <c r="AF98" s="234">
        <f t="shared" si="53"/>
        <v>0.37035222261472028</v>
      </c>
      <c r="AG98" s="93">
        <v>43.33</v>
      </c>
      <c r="AH98" s="93"/>
      <c r="AI98" s="93"/>
      <c r="AJ98" s="93"/>
      <c r="AK98" s="93"/>
      <c r="AL98" s="122">
        <f t="shared" si="54"/>
        <v>6.5316753970936121</v>
      </c>
      <c r="AM98" s="93">
        <v>0</v>
      </c>
      <c r="AN98" s="94">
        <f t="shared" si="55"/>
        <v>38.909652999999999</v>
      </c>
      <c r="AO98" s="95">
        <f t="shared" si="56"/>
        <v>163.70867160290632</v>
      </c>
      <c r="AP98" s="96"/>
      <c r="AQ98" s="97">
        <f t="shared" ref="AQ98:AQ103" si="58">IF(U98=0,0,AA98/U98)</f>
        <v>877.57</v>
      </c>
      <c r="AR98" s="98">
        <f t="shared" si="34"/>
        <v>300.08</v>
      </c>
      <c r="AS98" s="98">
        <f t="shared" ref="AS98:AS103" si="59">IF(U98=0,0,AE98/U98)</f>
        <v>325.0100000000001</v>
      </c>
      <c r="AT98" s="98">
        <f t="shared" ref="AT98:AT103" si="60">IF(S98=0,AG98/1,AG98/S98)</f>
        <v>43.33</v>
      </c>
      <c r="AU98" s="98">
        <f t="shared" si="57"/>
        <v>0</v>
      </c>
      <c r="AV98" s="98">
        <f t="array" ref="AV98">_xlfn.IFS(U98=0,AO98,U98&lt;0,AO98/-U98,U98&gt;0,AO98/U98)</f>
        <v>163.70867160290632</v>
      </c>
      <c r="AW98" s="234">
        <f t="shared" si="42"/>
        <v>0.18654770742266294</v>
      </c>
      <c r="AX98" s="234">
        <f t="shared" si="43"/>
        <v>0.54555009198515836</v>
      </c>
      <c r="AY98" s="99"/>
      <c r="AZ98" s="94">
        <f t="shared" ref="AZ98:AZ103" si="61">AV98*E98</f>
        <v>1473.378044426157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4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2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5"/>
        <v>0</v>
      </c>
      <c r="R99" s="92">
        <f t="shared" si="46"/>
        <v>0</v>
      </c>
      <c r="S99" s="93">
        <v>0</v>
      </c>
      <c r="T99" s="93">
        <v>0</v>
      </c>
      <c r="U99" s="92">
        <f t="shared" si="47"/>
        <v>0</v>
      </c>
      <c r="V99" s="93">
        <v>0</v>
      </c>
      <c r="W99" s="93">
        <v>0</v>
      </c>
      <c r="X99" s="92">
        <f t="shared" si="48"/>
        <v>0</v>
      </c>
      <c r="Y99" s="93">
        <v>0</v>
      </c>
      <c r="Z99" s="93">
        <v>0</v>
      </c>
      <c r="AA99" s="92">
        <f t="shared" si="49"/>
        <v>0</v>
      </c>
      <c r="AB99" s="92">
        <f t="shared" si="50"/>
        <v>0</v>
      </c>
      <c r="AC99" s="234">
        <f t="shared" si="51"/>
        <v>0</v>
      </c>
      <c r="AD99" s="92">
        <f t="shared" si="52"/>
        <v>0</v>
      </c>
      <c r="AE99" s="93">
        <v>0</v>
      </c>
      <c r="AF99" s="234">
        <f t="shared" si="53"/>
        <v>0</v>
      </c>
      <c r="AG99" s="93">
        <v>0</v>
      </c>
      <c r="AH99" s="93"/>
      <c r="AI99" s="93"/>
      <c r="AJ99" s="93"/>
      <c r="AK99" s="93"/>
      <c r="AL99" s="122">
        <f t="shared" si="54"/>
        <v>0</v>
      </c>
      <c r="AM99" s="93">
        <v>0</v>
      </c>
      <c r="AN99" s="94">
        <f t="shared" si="55"/>
        <v>0</v>
      </c>
      <c r="AO99" s="95">
        <f t="shared" si="56"/>
        <v>0</v>
      </c>
      <c r="AP99" s="96"/>
      <c r="AQ99" s="97">
        <f t="shared" si="58"/>
        <v>0</v>
      </c>
      <c r="AR99" s="98">
        <f t="shared" ref="AR99:AR103" si="63">K99</f>
        <v>142.97999999999999</v>
      </c>
      <c r="AS99" s="98">
        <f t="shared" si="59"/>
        <v>0</v>
      </c>
      <c r="AT99" s="98">
        <f t="shared" si="60"/>
        <v>0</v>
      </c>
      <c r="AU99" s="98">
        <f t="shared" si="57"/>
        <v>0</v>
      </c>
      <c r="AV99" s="98">
        <f t="array" ref="AV99">_xlfn.IFS(U99=0,AO99,U99&lt;0,AO99/-U99,U99&gt;0,AO99/U99)</f>
        <v>0</v>
      </c>
      <c r="AW99" s="234">
        <f t="shared" ref="AW99:AW103" si="64">IF(AQ99=0,0,AV99/AQ99)</f>
        <v>0</v>
      </c>
      <c r="AX99" s="234">
        <f t="shared" ref="AX99:AX103" si="65">IF(AR99=0,0,AV99/AR99)</f>
        <v>0</v>
      </c>
      <c r="AY99" s="99"/>
      <c r="AZ99" s="94">
        <f t="shared" si="61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4"/>
        <v>34</v>
      </c>
      <c r="F100" s="93">
        <v>3</v>
      </c>
      <c r="G100" s="93">
        <v>1</v>
      </c>
      <c r="H100" s="93">
        <v>30</v>
      </c>
      <c r="I100" s="93">
        <v>0</v>
      </c>
      <c r="J100" s="93">
        <v>0</v>
      </c>
      <c r="K100" s="93">
        <v>142.97999999999999</v>
      </c>
      <c r="L100" s="92">
        <f t="shared" si="62"/>
        <v>4861.32</v>
      </c>
      <c r="M100" s="89">
        <v>97</v>
      </c>
      <c r="N100" s="89">
        <v>5</v>
      </c>
      <c r="O100" s="89">
        <v>1300</v>
      </c>
      <c r="P100" s="89">
        <v>67</v>
      </c>
      <c r="Q100" s="233">
        <f t="shared" si="45"/>
        <v>0.7142857142857143</v>
      </c>
      <c r="R100" s="92">
        <f t="shared" si="46"/>
        <v>0.2857142857142857</v>
      </c>
      <c r="S100" s="93">
        <v>2</v>
      </c>
      <c r="T100" s="93">
        <v>0</v>
      </c>
      <c r="U100" s="92">
        <f t="shared" si="47"/>
        <v>2</v>
      </c>
      <c r="V100" s="93">
        <v>1725</v>
      </c>
      <c r="W100" s="93">
        <v>0</v>
      </c>
      <c r="X100" s="92">
        <f t="shared" si="48"/>
        <v>1725</v>
      </c>
      <c r="Y100" s="93">
        <v>2600</v>
      </c>
      <c r="Z100" s="93">
        <v>0</v>
      </c>
      <c r="AA100" s="92">
        <f t="shared" si="49"/>
        <v>2600</v>
      </c>
      <c r="AB100" s="92">
        <f t="shared" si="50"/>
        <v>4355</v>
      </c>
      <c r="AC100" s="234">
        <f t="shared" si="51"/>
        <v>9.0558317698410777E-4</v>
      </c>
      <c r="AD100" s="92">
        <f t="shared" si="52"/>
        <v>285.95999999999998</v>
      </c>
      <c r="AE100" s="93">
        <v>973.40000000000009</v>
      </c>
      <c r="AF100" s="234">
        <f t="shared" si="53"/>
        <v>0.37438461538461543</v>
      </c>
      <c r="AG100" s="93">
        <v>256.40999999999997</v>
      </c>
      <c r="AH100" s="93"/>
      <c r="AI100" s="93"/>
      <c r="AJ100" s="93"/>
      <c r="AK100" s="93"/>
      <c r="AL100" s="122">
        <f t="shared" si="54"/>
        <v>27.992894558972623</v>
      </c>
      <c r="AM100" s="93">
        <v>0</v>
      </c>
      <c r="AN100" s="94">
        <f t="shared" si="55"/>
        <v>98.497500000000002</v>
      </c>
      <c r="AO100" s="95">
        <f t="shared" si="56"/>
        <v>957.73960544102738</v>
      </c>
      <c r="AP100" s="96"/>
      <c r="AQ100" s="97">
        <f t="shared" si="58"/>
        <v>1300</v>
      </c>
      <c r="AR100" s="98">
        <f t="shared" si="63"/>
        <v>142.97999999999999</v>
      </c>
      <c r="AS100" s="98">
        <f t="shared" si="59"/>
        <v>486.70000000000005</v>
      </c>
      <c r="AT100" s="98">
        <f t="shared" si="60"/>
        <v>128.20499999999998</v>
      </c>
      <c r="AU100" s="98">
        <f t="shared" si="57"/>
        <v>0</v>
      </c>
      <c r="AV100" s="98">
        <f t="array" ref="AV100">_xlfn.IFS(U100=0,AO100,U100&lt;0,AO100/-U100,U100&gt;0,AO100/U100)</f>
        <v>478.86980272051369</v>
      </c>
      <c r="AW100" s="234">
        <f t="shared" si="64"/>
        <v>0.36836138670808743</v>
      </c>
      <c r="AX100" s="234">
        <f t="shared" si="65"/>
        <v>3.3492082999056771</v>
      </c>
      <c r="AY100" s="99"/>
      <c r="AZ100" s="94">
        <f t="shared" si="61"/>
        <v>16281.573292497465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4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2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5"/>
        <v>0</v>
      </c>
      <c r="R101" s="92">
        <f t="shared" si="46"/>
        <v>0</v>
      </c>
      <c r="S101" s="93">
        <v>0</v>
      </c>
      <c r="T101" s="93">
        <v>0</v>
      </c>
      <c r="U101" s="92">
        <f t="shared" si="47"/>
        <v>0</v>
      </c>
      <c r="V101" s="93">
        <v>0</v>
      </c>
      <c r="W101" s="93">
        <v>0</v>
      </c>
      <c r="X101" s="92">
        <f t="shared" si="48"/>
        <v>0</v>
      </c>
      <c r="Y101" s="93">
        <v>0</v>
      </c>
      <c r="Z101" s="93">
        <v>0</v>
      </c>
      <c r="AA101" s="92">
        <f t="shared" si="49"/>
        <v>0</v>
      </c>
      <c r="AB101" s="92">
        <f t="shared" si="50"/>
        <v>0</v>
      </c>
      <c r="AC101" s="234">
        <f t="shared" si="51"/>
        <v>0</v>
      </c>
      <c r="AD101" s="92">
        <f t="shared" si="52"/>
        <v>0</v>
      </c>
      <c r="AE101" s="93">
        <v>0</v>
      </c>
      <c r="AF101" s="234">
        <f t="shared" si="53"/>
        <v>0</v>
      </c>
      <c r="AG101" s="93">
        <v>0</v>
      </c>
      <c r="AH101" s="93"/>
      <c r="AI101" s="93"/>
      <c r="AJ101" s="93"/>
      <c r="AK101" s="93"/>
      <c r="AL101" s="122">
        <f t="shared" si="54"/>
        <v>0</v>
      </c>
      <c r="AM101" s="93">
        <v>0</v>
      </c>
      <c r="AN101" s="94">
        <f t="shared" si="55"/>
        <v>0</v>
      </c>
      <c r="AO101" s="95">
        <f t="shared" si="56"/>
        <v>0</v>
      </c>
      <c r="AP101" s="96"/>
      <c r="AQ101" s="97">
        <f t="shared" si="58"/>
        <v>0</v>
      </c>
      <c r="AR101" s="98">
        <f t="shared" si="63"/>
        <v>123.09</v>
      </c>
      <c r="AS101" s="98">
        <f t="shared" si="59"/>
        <v>0</v>
      </c>
      <c r="AT101" s="98">
        <f t="shared" si="60"/>
        <v>0</v>
      </c>
      <c r="AU101" s="98">
        <f t="shared" si="57"/>
        <v>0</v>
      </c>
      <c r="AV101" s="98">
        <f t="array" ref="AV101">_xlfn.IFS(U101=0,AO101,U101&lt;0,AO101/-U101,U101&gt;0,AO101/U101)</f>
        <v>0</v>
      </c>
      <c r="AW101" s="234">
        <f t="shared" si="64"/>
        <v>0</v>
      </c>
      <c r="AX101" s="234">
        <f t="shared" si="65"/>
        <v>0</v>
      </c>
      <c r="AY101" s="99"/>
      <c r="AZ101" s="94">
        <f t="shared" si="61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4"/>
        <v>125</v>
      </c>
      <c r="F102" s="93">
        <v>9</v>
      </c>
      <c r="G102" s="93">
        <v>2</v>
      </c>
      <c r="H102" s="93">
        <v>114</v>
      </c>
      <c r="I102" s="93">
        <v>0</v>
      </c>
      <c r="J102" s="93">
        <v>0</v>
      </c>
      <c r="K102" s="92">
        <v>123.09</v>
      </c>
      <c r="L102" s="92">
        <f t="shared" si="62"/>
        <v>15386.25</v>
      </c>
      <c r="M102" s="89">
        <v>118</v>
      </c>
      <c r="N102" s="89">
        <v>12</v>
      </c>
      <c r="O102" s="89">
        <v>1300</v>
      </c>
      <c r="P102" s="89">
        <v>60</v>
      </c>
      <c r="Q102" s="233">
        <f t="shared" si="45"/>
        <v>1.7142857142857142</v>
      </c>
      <c r="R102" s="92">
        <f t="shared" si="46"/>
        <v>0.7142857142857143</v>
      </c>
      <c r="S102" s="93">
        <v>6</v>
      </c>
      <c r="T102" s="93">
        <v>-1</v>
      </c>
      <c r="U102" s="92">
        <f t="shared" si="47"/>
        <v>5</v>
      </c>
      <c r="V102" s="93">
        <v>5220.57</v>
      </c>
      <c r="W102" s="93">
        <v>-846</v>
      </c>
      <c r="X102" s="92">
        <f t="shared" si="48"/>
        <v>4374.57</v>
      </c>
      <c r="Y102" s="93">
        <v>7800.9</v>
      </c>
      <c r="Z102" s="93">
        <v>-1300</v>
      </c>
      <c r="AA102" s="92">
        <f t="shared" si="49"/>
        <v>6500.9</v>
      </c>
      <c r="AB102" s="92">
        <f t="shared" si="50"/>
        <v>9360</v>
      </c>
      <c r="AC102" s="234">
        <f t="shared" si="51"/>
        <v>2.2642714135599944E-3</v>
      </c>
      <c r="AD102" s="92">
        <f t="shared" si="52"/>
        <v>615.45000000000005</v>
      </c>
      <c r="AE102" s="93">
        <v>2430.4599999999991</v>
      </c>
      <c r="AF102" s="234">
        <f t="shared" si="53"/>
        <v>0.37386515713208929</v>
      </c>
      <c r="AG102" s="93">
        <v>1197.0800000000013</v>
      </c>
      <c r="AH102" s="93"/>
      <c r="AI102" s="93"/>
      <c r="AJ102" s="93"/>
      <c r="AK102" s="93"/>
      <c r="AL102" s="122">
        <f t="shared" si="54"/>
        <v>106.37299932409596</v>
      </c>
      <c r="AM102" s="93">
        <v>0</v>
      </c>
      <c r="AN102" s="94">
        <f t="shared" si="55"/>
        <v>249.78794699999997</v>
      </c>
      <c r="AO102" s="95">
        <f t="shared" si="56"/>
        <v>1901.7490536759035</v>
      </c>
      <c r="AP102" s="96"/>
      <c r="AQ102" s="97">
        <f t="shared" si="58"/>
        <v>1300.1799999999998</v>
      </c>
      <c r="AR102" s="98">
        <f t="shared" si="63"/>
        <v>123.09</v>
      </c>
      <c r="AS102" s="98">
        <f t="shared" si="59"/>
        <v>486.09199999999981</v>
      </c>
      <c r="AT102" s="98">
        <f t="shared" si="60"/>
        <v>199.51333333333355</v>
      </c>
      <c r="AU102" s="98">
        <f t="shared" si="57"/>
        <v>0</v>
      </c>
      <c r="AV102" s="98">
        <f t="array" ref="AV102">_xlfn.IFS(U102=0,AO102,U102&lt;0,AO102/-U102,U102&gt;0,AO102/U102)</f>
        <v>380.34981073518071</v>
      </c>
      <c r="AW102" s="234">
        <f t="shared" si="64"/>
        <v>0.29253627246625913</v>
      </c>
      <c r="AX102" s="234">
        <f t="shared" si="65"/>
        <v>3.0900138982466543</v>
      </c>
      <c r="AY102" s="99"/>
      <c r="AZ102" s="94">
        <f t="shared" si="61"/>
        <v>47543.726341897585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4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2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5"/>
        <v>0</v>
      </c>
      <c r="R103" s="92">
        <f t="shared" si="46"/>
        <v>0</v>
      </c>
      <c r="S103" s="93">
        <v>0</v>
      </c>
      <c r="T103" s="93">
        <v>0</v>
      </c>
      <c r="U103" s="92">
        <f t="shared" si="47"/>
        <v>0</v>
      </c>
      <c r="V103" s="93">
        <v>0</v>
      </c>
      <c r="W103" s="93">
        <v>0</v>
      </c>
      <c r="X103" s="92">
        <f t="shared" si="48"/>
        <v>0</v>
      </c>
      <c r="Y103" s="93">
        <v>0</v>
      </c>
      <c r="Z103" s="93">
        <v>0</v>
      </c>
      <c r="AA103" s="92">
        <f t="shared" si="49"/>
        <v>0</v>
      </c>
      <c r="AB103" s="92">
        <f t="shared" si="50"/>
        <v>0</v>
      </c>
      <c r="AC103" s="234">
        <f t="shared" si="51"/>
        <v>0</v>
      </c>
      <c r="AD103" s="92">
        <f t="shared" si="52"/>
        <v>0</v>
      </c>
      <c r="AE103" s="93">
        <v>0</v>
      </c>
      <c r="AF103" s="234">
        <f t="shared" si="53"/>
        <v>0</v>
      </c>
      <c r="AG103" s="93">
        <v>0</v>
      </c>
      <c r="AH103" s="93"/>
      <c r="AI103" s="93"/>
      <c r="AJ103" s="93"/>
      <c r="AK103" s="93"/>
      <c r="AL103" s="122">
        <f t="shared" si="54"/>
        <v>0</v>
      </c>
      <c r="AM103" s="93">
        <v>0</v>
      </c>
      <c r="AN103" s="94">
        <f t="shared" si="55"/>
        <v>0</v>
      </c>
      <c r="AO103" s="95">
        <f t="shared" si="56"/>
        <v>0</v>
      </c>
      <c r="AP103" s="96"/>
      <c r="AQ103" s="97">
        <f t="shared" si="58"/>
        <v>0</v>
      </c>
      <c r="AR103" s="98">
        <f t="shared" si="63"/>
        <v>107.88</v>
      </c>
      <c r="AS103" s="98">
        <f t="shared" si="59"/>
        <v>0</v>
      </c>
      <c r="AT103" s="98">
        <f t="shared" si="60"/>
        <v>0</v>
      </c>
      <c r="AU103" s="98">
        <f t="shared" si="57"/>
        <v>0</v>
      </c>
      <c r="AV103" s="98">
        <f t="array" ref="AV103">_xlfn.IFS(U103=0,AO103,U103&lt;0,AO103/-U103,U103&gt;0,AO103/U103)</f>
        <v>0</v>
      </c>
      <c r="AW103" s="234">
        <f t="shared" si="64"/>
        <v>0</v>
      </c>
      <c r="AX103" s="234">
        <f t="shared" si="65"/>
        <v>0</v>
      </c>
      <c r="AY103" s="99"/>
      <c r="AZ103" s="94">
        <f t="shared" si="61"/>
        <v>0</v>
      </c>
    </row>
    <row r="104" spans="1:52" s="464" customFormat="1" outlineLevel="1">
      <c r="A104" s="451" t="s">
        <v>121</v>
      </c>
      <c r="B104" s="452">
        <v>926559395</v>
      </c>
      <c r="C104" s="452" t="s">
        <v>338</v>
      </c>
      <c r="D104" s="453" t="s">
        <v>84</v>
      </c>
      <c r="E104" s="454">
        <f t="shared" si="44"/>
        <v>300</v>
      </c>
      <c r="F104" s="455">
        <v>4</v>
      </c>
      <c r="G104" s="455" t="s">
        <v>100</v>
      </c>
      <c r="H104" s="455">
        <v>96</v>
      </c>
      <c r="I104" s="455">
        <v>0</v>
      </c>
      <c r="J104" s="455">
        <v>200</v>
      </c>
      <c r="K104" s="455">
        <v>142.97999999999999</v>
      </c>
      <c r="L104" s="455">
        <f t="shared" ref="L104" si="66">E104*K104</f>
        <v>42894</v>
      </c>
      <c r="M104" s="89">
        <v>146</v>
      </c>
      <c r="N104" s="89">
        <v>5</v>
      </c>
      <c r="O104" s="89">
        <v>1990</v>
      </c>
      <c r="P104" s="89">
        <v>0</v>
      </c>
      <c r="Q104" s="456">
        <f t="shared" ref="Q104" si="67">N104/7</f>
        <v>0.7142857142857143</v>
      </c>
      <c r="R104" s="455">
        <f t="shared" ref="R104" si="68">U104/7</f>
        <v>0</v>
      </c>
      <c r="S104" s="93">
        <v>0</v>
      </c>
      <c r="T104" s="93">
        <v>0</v>
      </c>
      <c r="U104" s="92">
        <f t="shared" si="47"/>
        <v>0</v>
      </c>
      <c r="V104" s="93">
        <v>0</v>
      </c>
      <c r="W104" s="93">
        <v>0</v>
      </c>
      <c r="X104" s="92">
        <f t="shared" si="48"/>
        <v>0</v>
      </c>
      <c r="Y104" s="93">
        <v>0</v>
      </c>
      <c r="Z104" s="93">
        <v>0</v>
      </c>
      <c r="AA104" s="92">
        <f t="shared" si="49"/>
        <v>0</v>
      </c>
      <c r="AB104" s="92">
        <f t="shared" si="50"/>
        <v>0</v>
      </c>
      <c r="AC104" s="234">
        <f t="shared" si="51"/>
        <v>0</v>
      </c>
      <c r="AD104" s="92">
        <f t="shared" si="52"/>
        <v>0</v>
      </c>
      <c r="AE104" s="93">
        <v>0</v>
      </c>
      <c r="AF104" s="234">
        <f t="shared" si="53"/>
        <v>0</v>
      </c>
      <c r="AG104" s="93">
        <v>78.180000000000007</v>
      </c>
      <c r="AH104" s="93"/>
      <c r="AI104" s="93"/>
      <c r="AJ104" s="93"/>
      <c r="AK104" s="93"/>
      <c r="AL104" s="122">
        <f t="shared" si="54"/>
        <v>89.577262588712401</v>
      </c>
      <c r="AM104" s="93">
        <v>0</v>
      </c>
      <c r="AN104" s="459">
        <f t="shared" ref="AN104" si="69">X104*5.71%</f>
        <v>0</v>
      </c>
      <c r="AO104" s="460">
        <f t="shared" ref="AO104" si="70">AA104-AD104-AE104-AG104-AH104-AI104-AK104-AL104-AN104-AM104</f>
        <v>-167.75726258871242</v>
      </c>
      <c r="AP104" s="459"/>
      <c r="AQ104" s="461">
        <f t="shared" ref="AQ104" si="71">IF(U104=0,0,AA104/U104)</f>
        <v>0</v>
      </c>
      <c r="AR104" s="462">
        <f t="shared" ref="AR104" si="72">K104</f>
        <v>142.97999999999999</v>
      </c>
      <c r="AS104" s="462">
        <f t="shared" ref="AS104" si="73">IF(U104=0,0,AE104/U104)</f>
        <v>0</v>
      </c>
      <c r="AT104" s="462">
        <f t="shared" ref="AT104" si="74">IF(S104=0,AG104/1,AG104/S104)</f>
        <v>78.180000000000007</v>
      </c>
      <c r="AU104" s="462">
        <f t="shared" ref="AU104" si="75">IF(S104=0,0,(AH104+AI104+AJ104)/S104)</f>
        <v>0</v>
      </c>
      <c r="AV104" s="462">
        <f t="array" ref="AV104">_xlfn.IFS(U104=0,AO104,U104&lt;0,AO104/-U104,U104&gt;0,AO104/U104)</f>
        <v>-167.75726258871242</v>
      </c>
      <c r="AW104" s="457">
        <f t="shared" ref="AW104" si="76">IF(AQ104=0,0,AV104/AQ104)</f>
        <v>0</v>
      </c>
      <c r="AX104" s="457">
        <f t="shared" ref="AX104" si="77">IF(AR104=0,0,AV104/AR104)</f>
        <v>-1.1732918071668235</v>
      </c>
      <c r="AY104" s="463"/>
      <c r="AZ104" s="459">
        <f t="shared" ref="AZ104" si="78">AV104*E104</f>
        <v>-50327.178776613728</v>
      </c>
    </row>
    <row r="105" spans="1:52" s="113" customFormat="1" outlineLevel="1">
      <c r="A105" s="101"/>
      <c r="B105" s="102"/>
      <c r="C105" s="103" t="s">
        <v>218</v>
      </c>
      <c r="D105" s="104"/>
      <c r="E105" s="235"/>
      <c r="F105" s="105"/>
      <c r="G105" s="105"/>
      <c r="H105" s="106"/>
      <c r="I105" s="106"/>
      <c r="J105" s="106"/>
      <c r="K105" s="105"/>
      <c r="L105" s="105"/>
      <c r="M105" s="103"/>
      <c r="N105" s="103"/>
      <c r="O105" s="103"/>
      <c r="P105" s="103"/>
      <c r="Q105" s="236"/>
      <c r="R105" s="105"/>
      <c r="S105" s="106"/>
      <c r="T105" s="106"/>
      <c r="U105" s="105"/>
      <c r="V105" s="106"/>
      <c r="W105" s="106"/>
      <c r="X105" s="105"/>
      <c r="Y105" s="106"/>
      <c r="Z105" s="106"/>
      <c r="AA105" s="105"/>
      <c r="AB105" s="105"/>
      <c r="AC105" s="237"/>
      <c r="AD105" s="105"/>
      <c r="AE105" s="106"/>
      <c r="AF105" s="237"/>
      <c r="AG105" s="106"/>
      <c r="AH105" s="106"/>
      <c r="AI105" s="106"/>
      <c r="AJ105" s="106"/>
      <c r="AK105" s="106"/>
      <c r="AL105" s="107"/>
      <c r="AM105" s="106"/>
      <c r="AN105" s="108"/>
      <c r="AO105" s="109"/>
      <c r="AP105" s="110"/>
      <c r="AQ105" s="111">
        <f t="shared" ref="AQ105:AX105" si="79">AVERAGE(AQ7:AQ98)</f>
        <v>627.61200378254421</v>
      </c>
      <c r="AR105" s="111">
        <f t="shared" si="79"/>
        <v>141.22217391304349</v>
      </c>
      <c r="AS105" s="111">
        <f t="shared" si="79"/>
        <v>236.23677835032152</v>
      </c>
      <c r="AT105" s="111">
        <f t="shared" si="79"/>
        <v>119.66697733150231</v>
      </c>
      <c r="AU105" s="111">
        <f t="shared" si="79"/>
        <v>83.857569245298336</v>
      </c>
      <c r="AV105" s="111">
        <f t="shared" si="79"/>
        <v>22.806347238367902</v>
      </c>
      <c r="AW105" s="112">
        <f t="shared" si="79"/>
        <v>5.0251841722238691E-2</v>
      </c>
      <c r="AX105" s="112">
        <f t="shared" si="79"/>
        <v>0.12085862737984419</v>
      </c>
      <c r="AY105" s="99"/>
      <c r="AZ105" s="108"/>
    </row>
    <row r="106" spans="1:52" s="120" customFormat="1">
      <c r="A106" s="114" t="s">
        <v>85</v>
      </c>
      <c r="B106" s="115"/>
      <c r="C106" s="116"/>
      <c r="D106" s="116"/>
      <c r="E106" s="238">
        <f t="shared" ref="E106:J106" si="80">SUM(E3:E104)</f>
        <v>63973</v>
      </c>
      <c r="F106" s="116">
        <f t="shared" si="80"/>
        <v>2241</v>
      </c>
      <c r="G106" s="116">
        <f t="shared" si="80"/>
        <v>718</v>
      </c>
      <c r="H106" s="116">
        <f t="shared" si="80"/>
        <v>11836</v>
      </c>
      <c r="I106" s="116">
        <f t="shared" si="80"/>
        <v>1461</v>
      </c>
      <c r="J106" s="116">
        <f t="shared" si="80"/>
        <v>47717</v>
      </c>
      <c r="K106" s="116"/>
      <c r="L106" s="116">
        <f>SUM(L3:L104)</f>
        <v>7932281.3100000033</v>
      </c>
      <c r="M106" s="116"/>
      <c r="N106" s="116">
        <f>SUM(N3:N104)</f>
        <v>3479</v>
      </c>
      <c r="O106" s="116"/>
      <c r="P106" s="116"/>
      <c r="Q106" s="294">
        <f>SUM(Q3:Q104)</f>
        <v>497.00000000000006</v>
      </c>
      <c r="R106" s="294">
        <f t="shared" ref="R106" si="81">SUM(R3:R104)</f>
        <v>275.00000000000006</v>
      </c>
      <c r="S106" s="116">
        <f t="shared" ref="S106:AE106" si="82">SUM(S3:S104)</f>
        <v>1972</v>
      </c>
      <c r="T106" s="116">
        <f t="shared" si="82"/>
        <v>-47</v>
      </c>
      <c r="U106" s="116">
        <f t="shared" si="82"/>
        <v>1925</v>
      </c>
      <c r="V106" s="116">
        <f t="shared" si="82"/>
        <v>1966605.1999999995</v>
      </c>
      <c r="W106" s="116">
        <f t="shared" si="82"/>
        <v>-45569.59</v>
      </c>
      <c r="X106" s="116">
        <f t="shared" si="82"/>
        <v>1921035.6099999996</v>
      </c>
      <c r="Y106" s="116">
        <f t="shared" si="82"/>
        <v>2939167.3999999994</v>
      </c>
      <c r="Z106" s="116">
        <f t="shared" si="82"/>
        <v>-68089.33</v>
      </c>
      <c r="AA106" s="116">
        <f t="shared" si="82"/>
        <v>2871078.0699999994</v>
      </c>
      <c r="AB106" s="116">
        <f t="shared" si="82"/>
        <v>2987098.31</v>
      </c>
      <c r="AC106" s="239">
        <f t="shared" si="82"/>
        <v>0.99999999999999989</v>
      </c>
      <c r="AD106" s="117">
        <f t="shared" si="82"/>
        <v>238729.30999999994</v>
      </c>
      <c r="AE106" s="116">
        <f t="shared" si="82"/>
        <v>1082608.5099999991</v>
      </c>
      <c r="AF106" s="239">
        <f>AE106/AA106</f>
        <v>0.37707386689070399</v>
      </c>
      <c r="AG106" s="116">
        <f t="shared" ref="AG106:AO106" si="83">SUM(AG3:AG104)</f>
        <v>252691.82000000015</v>
      </c>
      <c r="AH106" s="117">
        <f t="shared" si="83"/>
        <v>43580</v>
      </c>
      <c r="AI106" s="117">
        <f t="shared" si="83"/>
        <v>287584</v>
      </c>
      <c r="AJ106" s="117">
        <f t="shared" si="83"/>
        <v>0</v>
      </c>
      <c r="AK106" s="117">
        <f t="shared" si="83"/>
        <v>0</v>
      </c>
      <c r="AL106" s="117">
        <f t="shared" si="83"/>
        <v>11044.130000000003</v>
      </c>
      <c r="AM106" s="116">
        <f t="shared" si="83"/>
        <v>3110</v>
      </c>
      <c r="AN106" s="117">
        <f t="shared" si="83"/>
        <v>109691.13333099996</v>
      </c>
      <c r="AO106" s="117">
        <f t="shared" si="83"/>
        <v>842039.16666900052</v>
      </c>
      <c r="AP106" s="118"/>
      <c r="AQ106" s="116"/>
      <c r="AR106" s="116"/>
      <c r="AS106" s="116"/>
      <c r="AT106" s="116"/>
      <c r="AU106" s="240">
        <f>(AH106+AI106+AJ106)/S106</f>
        <v>167.93306288032454</v>
      </c>
      <c r="AV106" s="116"/>
      <c r="AW106" s="116"/>
      <c r="AX106" s="116"/>
      <c r="AY106" s="119"/>
      <c r="AZ106" s="116">
        <f>SUM(AZ3:AZ104)</f>
        <v>23435618.038513385</v>
      </c>
    </row>
    <row r="107" spans="1:52" hidden="1" outlineLevel="1">
      <c r="A107" s="89"/>
      <c r="B107" s="90"/>
      <c r="C107" s="90"/>
      <c r="D107" s="121"/>
      <c r="E107" s="241"/>
      <c r="F107" s="93"/>
      <c r="G107" s="93"/>
      <c r="H107" s="93"/>
      <c r="I107" s="93"/>
      <c r="J107" s="93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39" t="e">
        <f t="shared" ref="AF107:AF126" si="84">AE107/AA107</f>
        <v>#DIV/0!</v>
      </c>
      <c r="AG107" s="93"/>
      <c r="AH107" s="545"/>
      <c r="AI107" s="545"/>
      <c r="AJ107" s="417"/>
      <c r="AK107" s="417"/>
      <c r="AL107" s="122"/>
      <c r="AM107" s="93"/>
      <c r="AN107" s="123"/>
      <c r="AO107" s="124"/>
      <c r="AP107" s="96"/>
      <c r="AQ107" s="125"/>
      <c r="AR107" s="126"/>
      <c r="AS107" s="126"/>
      <c r="AT107" s="126"/>
      <c r="AU107" s="126"/>
      <c r="AV107" s="126"/>
      <c r="AW107" s="244"/>
      <c r="AX107" s="244"/>
      <c r="AY107" s="99"/>
      <c r="AZ107" s="123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9" t="e">
        <f t="shared" si="84"/>
        <v>#DIV/0!</v>
      </c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9" t="e">
        <f t="shared" si="84"/>
        <v>#DIV/0!</v>
      </c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9" t="e">
        <f t="shared" si="84"/>
        <v>#DIV/0!</v>
      </c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9" t="e">
        <f t="shared" si="84"/>
        <v>#DIV/0!</v>
      </c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92"/>
      <c r="AB112" s="92"/>
      <c r="AC112" s="234"/>
      <c r="AD112" s="92"/>
      <c r="AE112" s="93"/>
      <c r="AF112" s="239" t="e">
        <f t="shared" si="84"/>
        <v>#DIV/0!</v>
      </c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100"/>
      <c r="C113" s="100"/>
      <c r="D113" s="100"/>
      <c r="E113" s="100"/>
      <c r="H113" s="270"/>
      <c r="K113" s="93"/>
      <c r="L113" s="93"/>
      <c r="M113" s="89"/>
      <c r="N113" s="89"/>
      <c r="O113" s="89"/>
      <c r="P113" s="89"/>
      <c r="Q113" s="242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243"/>
      <c r="AD113" s="93"/>
      <c r="AE113" s="93"/>
      <c r="AF113" s="239" t="e">
        <f t="shared" si="84"/>
        <v>#DIV/0!</v>
      </c>
      <c r="AG113" s="93"/>
      <c r="AH113" s="417"/>
      <c r="AI113" s="417"/>
      <c r="AJ113" s="417"/>
      <c r="AK113" s="417"/>
      <c r="AL113" s="122"/>
      <c r="AM113" s="93"/>
      <c r="AN113" s="123"/>
      <c r="AO113" s="124"/>
      <c r="AP113" s="96"/>
      <c r="AQ113" s="245" t="e">
        <f>AVERAGE(AQ108:AQ112)</f>
        <v>#DIV/0!</v>
      </c>
      <c r="AR113" s="245" t="e">
        <f>AVERAGE(AR108:AR112)</f>
        <v>#DIV/0!</v>
      </c>
      <c r="AS113" s="245" t="e">
        <f t="shared" ref="AS113:AX113" si="85">AVERAGE(AS108:AS112)</f>
        <v>#DIV/0!</v>
      </c>
      <c r="AT113" s="245" t="e">
        <f t="shared" si="85"/>
        <v>#DIV/0!</v>
      </c>
      <c r="AU113" s="245" t="e">
        <f t="shared" si="85"/>
        <v>#DIV/0!</v>
      </c>
      <c r="AV113" s="245" t="e">
        <f t="shared" si="85"/>
        <v>#DIV/0!</v>
      </c>
      <c r="AW113" s="246" t="e">
        <f t="shared" si="85"/>
        <v>#DIV/0!</v>
      </c>
      <c r="AX113" s="246" t="e">
        <f t="shared" si="85"/>
        <v>#DIV/0!</v>
      </c>
      <c r="AY113" s="99"/>
      <c r="AZ113" s="123"/>
    </row>
    <row r="114" spans="1:52" s="120" customFormat="1" hidden="1" outlineLevel="1">
      <c r="A114" s="247" t="s">
        <v>226</v>
      </c>
      <c r="B114" s="248"/>
      <c r="C114" s="249"/>
      <c r="D114" s="249"/>
      <c r="E114" s="250">
        <f t="shared" ref="E114:J114" si="86">SUM(E108:E112)</f>
        <v>0</v>
      </c>
      <c r="F114" s="249">
        <f t="shared" si="86"/>
        <v>0</v>
      </c>
      <c r="G114" s="249">
        <f t="shared" si="86"/>
        <v>0</v>
      </c>
      <c r="H114" s="249">
        <f t="shared" si="86"/>
        <v>0</v>
      </c>
      <c r="I114" s="249">
        <f t="shared" si="86"/>
        <v>0</v>
      </c>
      <c r="J114" s="249">
        <f t="shared" si="86"/>
        <v>0</v>
      </c>
      <c r="K114" s="249"/>
      <c r="L114" s="249">
        <f>SUM(L108:L112)</f>
        <v>0</v>
      </c>
      <c r="M114" s="249"/>
      <c r="N114" s="249">
        <f>SUM(N108:N112)</f>
        <v>0</v>
      </c>
      <c r="O114" s="249"/>
      <c r="P114" s="249"/>
      <c r="Q114" s="251"/>
      <c r="R114" s="249"/>
      <c r="S114" s="249">
        <f t="shared" ref="S114:AE114" si="87">SUM(S108:S112)</f>
        <v>0</v>
      </c>
      <c r="T114" s="249">
        <f t="shared" si="87"/>
        <v>0</v>
      </c>
      <c r="U114" s="249">
        <f t="shared" si="87"/>
        <v>0</v>
      </c>
      <c r="V114" s="249">
        <f t="shared" si="87"/>
        <v>0</v>
      </c>
      <c r="W114" s="249">
        <f t="shared" si="87"/>
        <v>0</v>
      </c>
      <c r="X114" s="249">
        <f t="shared" si="87"/>
        <v>0</v>
      </c>
      <c r="Y114" s="249">
        <f t="shared" si="87"/>
        <v>0</v>
      </c>
      <c r="Z114" s="249">
        <f t="shared" si="87"/>
        <v>0</v>
      </c>
      <c r="AA114" s="249">
        <f t="shared" si="87"/>
        <v>0</v>
      </c>
      <c r="AB114" s="249">
        <f t="shared" si="87"/>
        <v>0</v>
      </c>
      <c r="AC114" s="252">
        <f t="shared" si="87"/>
        <v>0</v>
      </c>
      <c r="AD114" s="253">
        <f t="shared" si="87"/>
        <v>0</v>
      </c>
      <c r="AE114" s="249">
        <f t="shared" si="87"/>
        <v>0</v>
      </c>
      <c r="AF114" s="239" t="e">
        <f t="shared" si="84"/>
        <v>#DIV/0!</v>
      </c>
      <c r="AG114" s="249">
        <f t="shared" ref="AG114:AO114" si="88">SUM(AG108:AG112)</f>
        <v>0</v>
      </c>
      <c r="AH114" s="253">
        <f t="shared" si="88"/>
        <v>0</v>
      </c>
      <c r="AI114" s="253">
        <f t="shared" si="88"/>
        <v>0</v>
      </c>
      <c r="AJ114" s="253">
        <f t="shared" si="88"/>
        <v>0</v>
      </c>
      <c r="AK114" s="253">
        <f t="shared" si="88"/>
        <v>0</v>
      </c>
      <c r="AL114" s="253">
        <f t="shared" si="88"/>
        <v>0</v>
      </c>
      <c r="AM114" s="249">
        <f t="shared" si="88"/>
        <v>0</v>
      </c>
      <c r="AN114" s="253">
        <f t="shared" si="88"/>
        <v>0</v>
      </c>
      <c r="AO114" s="253">
        <f t="shared" si="88"/>
        <v>0</v>
      </c>
      <c r="AP114" s="254"/>
      <c r="AQ114" s="249"/>
      <c r="AR114" s="249"/>
      <c r="AS114" s="249"/>
      <c r="AT114" s="249"/>
      <c r="AU114" s="255" t="e">
        <f>(AH114+AI114+AJ114)/S114</f>
        <v>#DIV/0!</v>
      </c>
      <c r="AV114" s="249"/>
      <c r="AW114" s="249"/>
      <c r="AX114" s="249"/>
      <c r="AY114" s="256"/>
      <c r="AZ114" s="249">
        <f>SUM(AZ108:AZ112)</f>
        <v>0</v>
      </c>
    </row>
    <row r="115" spans="1:52" s="120" customFormat="1" hidden="1" outlineLevel="1">
      <c r="A115" s="257"/>
      <c r="B115" s="258"/>
      <c r="C115" s="139"/>
      <c r="D115" s="139"/>
      <c r="E115" s="25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260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261"/>
      <c r="AD115" s="262"/>
      <c r="AE115" s="139"/>
      <c r="AF115" s="239" t="e">
        <f t="shared" si="84"/>
        <v>#DIV/0!</v>
      </c>
      <c r="AG115" s="139"/>
      <c r="AH115" s="546"/>
      <c r="AI115" s="547"/>
      <c r="AJ115" s="418"/>
      <c r="AK115" s="262"/>
      <c r="AL115" s="262"/>
      <c r="AM115" s="139"/>
      <c r="AN115" s="262"/>
      <c r="AO115" s="262"/>
      <c r="AP115" s="96"/>
      <c r="AQ115" s="139"/>
      <c r="AR115" s="139"/>
      <c r="AS115" s="139"/>
      <c r="AT115" s="139"/>
      <c r="AU115" s="139"/>
      <c r="AV115" s="139"/>
      <c r="AW115" s="139"/>
      <c r="AX115" s="139"/>
      <c r="AY115" s="96"/>
      <c r="AZ115" s="139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9" t="e">
        <f t="shared" si="84"/>
        <v>#DIV/0!</v>
      </c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9" t="e">
        <f t="shared" si="84"/>
        <v>#DIV/0!</v>
      </c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9" t="e">
        <f t="shared" si="84"/>
        <v>#DIV/0!</v>
      </c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9" t="e">
        <f t="shared" si="84"/>
        <v>#DIV/0!</v>
      </c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9" t="e">
        <f t="shared" si="84"/>
        <v>#DIV/0!</v>
      </c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9" t="e">
        <f t="shared" si="84"/>
        <v>#DIV/0!</v>
      </c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9" t="e">
        <f t="shared" si="84"/>
        <v>#DIV/0!</v>
      </c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121"/>
      <c r="E123" s="241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92"/>
      <c r="AB123" s="92"/>
      <c r="AC123" s="234"/>
      <c r="AD123" s="92"/>
      <c r="AE123" s="93"/>
      <c r="AF123" s="239" t="e">
        <f t="shared" si="84"/>
        <v>#DIV/0!</v>
      </c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127"/>
      <c r="B124" s="100"/>
      <c r="C124" s="89"/>
      <c r="D124" s="127"/>
      <c r="E124" s="232"/>
      <c r="F124" s="92"/>
      <c r="G124" s="92"/>
      <c r="H124" s="93"/>
      <c r="I124" s="92"/>
      <c r="J124" s="93"/>
      <c r="K124" s="92"/>
      <c r="L124" s="92"/>
      <c r="M124" s="89"/>
      <c r="N124" s="129"/>
      <c r="O124" s="129"/>
      <c r="P124" s="129"/>
      <c r="Q124" s="233"/>
      <c r="R124" s="128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234"/>
      <c r="AD124" s="92"/>
      <c r="AE124" s="92"/>
      <c r="AF124" s="239" t="e">
        <f t="shared" si="84"/>
        <v>#DIV/0!</v>
      </c>
      <c r="AG124" s="92"/>
      <c r="AH124" s="93"/>
      <c r="AI124" s="93"/>
      <c r="AJ124" s="93"/>
      <c r="AK124" s="93"/>
      <c r="AL124" s="122"/>
      <c r="AN124" s="94"/>
      <c r="AO124" s="95"/>
      <c r="AP124" s="96"/>
      <c r="AQ124" s="130" t="e">
        <f t="shared" ref="AQ124:AX124" si="89">AVERAGE(AQ116:AQ123)</f>
        <v>#DIV/0!</v>
      </c>
      <c r="AR124" s="130" t="e">
        <f t="shared" si="89"/>
        <v>#DIV/0!</v>
      </c>
      <c r="AS124" s="130" t="e">
        <f t="shared" si="89"/>
        <v>#DIV/0!</v>
      </c>
      <c r="AT124" s="130" t="e">
        <f t="shared" si="89"/>
        <v>#DIV/0!</v>
      </c>
      <c r="AU124" s="130" t="e">
        <f t="shared" si="89"/>
        <v>#DIV/0!</v>
      </c>
      <c r="AV124" s="130" t="e">
        <f t="shared" si="89"/>
        <v>#DIV/0!</v>
      </c>
      <c r="AW124" s="131" t="e">
        <f t="shared" si="89"/>
        <v>#DIV/0!</v>
      </c>
      <c r="AX124" s="131" t="e">
        <f t="shared" si="89"/>
        <v>#DIV/0!</v>
      </c>
      <c r="AY124" s="99"/>
      <c r="AZ124" s="94"/>
    </row>
    <row r="125" spans="1:52" s="139" customFormat="1" ht="15" hidden="1" customHeight="1" outlineLevel="1">
      <c r="A125" s="132" t="s">
        <v>235</v>
      </c>
      <c r="B125" s="133"/>
      <c r="C125" s="134"/>
      <c r="D125" s="134"/>
      <c r="E125" s="264">
        <f t="shared" ref="E125:J125" si="90">SUM(E116:E123)</f>
        <v>0</v>
      </c>
      <c r="F125" s="134">
        <f t="shared" si="90"/>
        <v>0</v>
      </c>
      <c r="G125" s="134">
        <f t="shared" si="90"/>
        <v>0</v>
      </c>
      <c r="H125" s="134">
        <f t="shared" si="90"/>
        <v>0</v>
      </c>
      <c r="I125" s="134">
        <f t="shared" si="90"/>
        <v>0</v>
      </c>
      <c r="J125" s="134">
        <f t="shared" si="90"/>
        <v>0</v>
      </c>
      <c r="K125" s="134"/>
      <c r="L125" s="134">
        <f>SUM(L116:L123)</f>
        <v>0</v>
      </c>
      <c r="M125" s="134"/>
      <c r="N125" s="134">
        <f>SUM(N116:N123)</f>
        <v>0</v>
      </c>
      <c r="O125" s="134"/>
      <c r="P125" s="134"/>
      <c r="Q125" s="213"/>
      <c r="R125" s="134"/>
      <c r="S125" s="134">
        <f t="shared" ref="S125:AE125" si="91">SUM(S116:S123)</f>
        <v>0</v>
      </c>
      <c r="T125" s="134">
        <f t="shared" si="91"/>
        <v>0</v>
      </c>
      <c r="U125" s="134">
        <f t="shared" si="91"/>
        <v>0</v>
      </c>
      <c r="V125" s="134">
        <f t="shared" si="91"/>
        <v>0</v>
      </c>
      <c r="W125" s="134">
        <f t="shared" si="91"/>
        <v>0</v>
      </c>
      <c r="X125" s="134">
        <f t="shared" si="91"/>
        <v>0</v>
      </c>
      <c r="Y125" s="134">
        <f t="shared" si="91"/>
        <v>0</v>
      </c>
      <c r="Z125" s="134">
        <f t="shared" si="91"/>
        <v>0</v>
      </c>
      <c r="AA125" s="134">
        <f t="shared" si="91"/>
        <v>0</v>
      </c>
      <c r="AB125" s="134">
        <f t="shared" si="91"/>
        <v>0</v>
      </c>
      <c r="AC125" s="265">
        <f t="shared" si="91"/>
        <v>0</v>
      </c>
      <c r="AD125" s="135">
        <f t="shared" si="91"/>
        <v>0</v>
      </c>
      <c r="AE125" s="134">
        <f t="shared" si="91"/>
        <v>0</v>
      </c>
      <c r="AF125" s="239" t="e">
        <f t="shared" si="84"/>
        <v>#DIV/0!</v>
      </c>
      <c r="AG125" s="134">
        <f t="shared" ref="AG125:AO125" si="92">SUM(AG116:AG123)</f>
        <v>0</v>
      </c>
      <c r="AH125" s="134">
        <f t="shared" si="92"/>
        <v>0</v>
      </c>
      <c r="AI125" s="134">
        <f t="shared" si="92"/>
        <v>0</v>
      </c>
      <c r="AJ125" s="134">
        <f t="shared" si="92"/>
        <v>0</v>
      </c>
      <c r="AK125" s="134">
        <f t="shared" si="92"/>
        <v>0</v>
      </c>
      <c r="AL125" s="136">
        <f t="shared" si="92"/>
        <v>0</v>
      </c>
      <c r="AM125" s="134">
        <f t="shared" si="92"/>
        <v>0</v>
      </c>
      <c r="AN125" s="134">
        <f t="shared" si="92"/>
        <v>0</v>
      </c>
      <c r="AO125" s="134">
        <f t="shared" si="92"/>
        <v>0</v>
      </c>
      <c r="AP125" s="137"/>
      <c r="AQ125" s="134"/>
      <c r="AR125" s="134"/>
      <c r="AS125" s="134"/>
      <c r="AT125" s="134"/>
      <c r="AU125" s="134" t="e">
        <f>(AH125+AI125+AJ125)/S125</f>
        <v>#DIV/0!</v>
      </c>
      <c r="AV125" s="134"/>
      <c r="AW125" s="134"/>
      <c r="AX125" s="134"/>
      <c r="AY125" s="138"/>
      <c r="AZ125" s="134">
        <f>SUM(AZ116:AZ123)</f>
        <v>0</v>
      </c>
    </row>
    <row r="126" spans="1:52" s="120" customFormat="1" collapsed="1">
      <c r="A126" s="429" t="s">
        <v>333</v>
      </c>
      <c r="B126" s="430"/>
      <c r="C126" s="431"/>
      <c r="D126" s="431"/>
      <c r="E126" s="432">
        <f>SUM(E3:E18)+E28+E45+E47+E48+E49+E50</f>
        <v>57256</v>
      </c>
      <c r="F126" s="431">
        <f>SUM(F3:F18)+F28+F45+F47+F48+F49+F50</f>
        <v>2090</v>
      </c>
      <c r="G126" s="431">
        <f t="shared" ref="G126:AO126" si="93">SUM(G3:G18)+G28+G45+G47+G48+G49+G50</f>
        <v>654</v>
      </c>
      <c r="H126" s="431">
        <f t="shared" si="93"/>
        <v>9655</v>
      </c>
      <c r="I126" s="431">
        <f t="shared" si="93"/>
        <v>13</v>
      </c>
      <c r="J126" s="431">
        <f t="shared" si="93"/>
        <v>44844</v>
      </c>
      <c r="K126" s="431"/>
      <c r="L126" s="431">
        <f t="shared" si="93"/>
        <v>7061718.4799999995</v>
      </c>
      <c r="M126" s="431">
        <f t="shared" si="93"/>
        <v>1918</v>
      </c>
      <c r="N126" s="431">
        <f t="shared" si="93"/>
        <v>3224</v>
      </c>
      <c r="O126" s="431"/>
      <c r="P126" s="431"/>
      <c r="Q126" s="486">
        <f t="shared" si="93"/>
        <v>460.57142857142856</v>
      </c>
      <c r="R126" s="486">
        <f t="shared" si="93"/>
        <v>264.42857142857139</v>
      </c>
      <c r="S126" s="431">
        <f t="shared" si="93"/>
        <v>1892</v>
      </c>
      <c r="T126" s="431">
        <f>SUM(T3:T18)+T28+T45+T47+T48+T49+T50</f>
        <v>-41</v>
      </c>
      <c r="U126" s="431">
        <f t="shared" si="93"/>
        <v>1851</v>
      </c>
      <c r="V126" s="431">
        <f t="shared" si="93"/>
        <v>1903067.2599999995</v>
      </c>
      <c r="W126" s="431">
        <f t="shared" si="93"/>
        <v>-40767.589999999997</v>
      </c>
      <c r="X126" s="431">
        <f t="shared" si="93"/>
        <v>1862299.6699999997</v>
      </c>
      <c r="Y126" s="431">
        <f t="shared" si="93"/>
        <v>2844861.52</v>
      </c>
      <c r="Z126" s="431">
        <f t="shared" si="93"/>
        <v>-60944.33</v>
      </c>
      <c r="AA126" s="431">
        <f t="shared" si="93"/>
        <v>2783917.19</v>
      </c>
      <c r="AB126" s="431">
        <f t="shared" si="93"/>
        <v>2896987.1099999994</v>
      </c>
      <c r="AC126" s="434">
        <f t="shared" si="93"/>
        <v>0.96964175899264216</v>
      </c>
      <c r="AD126" s="435">
        <f t="shared" si="93"/>
        <v>228955.77000000002</v>
      </c>
      <c r="AE126" s="431">
        <f t="shared" si="93"/>
        <v>1050005.7799999996</v>
      </c>
      <c r="AF126" s="434">
        <f t="shared" si="84"/>
        <v>0.37716846742844373</v>
      </c>
      <c r="AG126" s="431">
        <f t="shared" si="93"/>
        <v>234083.09000000011</v>
      </c>
      <c r="AH126" s="435">
        <f t="shared" si="93"/>
        <v>41816</v>
      </c>
      <c r="AI126" s="435">
        <f t="shared" si="93"/>
        <v>275395</v>
      </c>
      <c r="AJ126" s="435">
        <f t="shared" si="93"/>
        <v>0</v>
      </c>
      <c r="AK126" s="435">
        <f t="shared" si="93"/>
        <v>0</v>
      </c>
      <c r="AL126" s="435">
        <f t="shared" si="93"/>
        <v>9009.0465655626886</v>
      </c>
      <c r="AM126" s="431">
        <f t="shared" si="93"/>
        <v>2269</v>
      </c>
      <c r="AN126" s="435">
        <f t="shared" si="93"/>
        <v>106337.31115699999</v>
      </c>
      <c r="AO126" s="435">
        <f t="shared" si="93"/>
        <v>836046.19227743777</v>
      </c>
      <c r="AP126" s="436"/>
      <c r="AQ126" s="431"/>
      <c r="AR126" s="431"/>
      <c r="AS126" s="431"/>
      <c r="AT126" s="431"/>
      <c r="AU126" s="437"/>
      <c r="AV126" s="431"/>
      <c r="AW126" s="431"/>
      <c r="AX126" s="431"/>
      <c r="AY126" s="438"/>
      <c r="AZ126" s="431"/>
    </row>
    <row r="127" spans="1:52" s="158" customFormat="1">
      <c r="A127" s="153" t="s">
        <v>6</v>
      </c>
      <c r="B127" s="154"/>
      <c r="C127" s="155"/>
      <c r="D127" s="155"/>
      <c r="E127" s="267">
        <f t="shared" ref="E127:AE127" si="94">E106+E114+E125</f>
        <v>63973</v>
      </c>
      <c r="F127" s="267">
        <f>F106+F114+F125</f>
        <v>2241</v>
      </c>
      <c r="G127" s="267">
        <f t="shared" si="94"/>
        <v>718</v>
      </c>
      <c r="H127" s="267">
        <f t="shared" si="94"/>
        <v>11836</v>
      </c>
      <c r="I127" s="267">
        <f t="shared" si="94"/>
        <v>1461</v>
      </c>
      <c r="J127" s="267">
        <f t="shared" si="94"/>
        <v>47717</v>
      </c>
      <c r="K127" s="267">
        <f t="shared" si="94"/>
        <v>0</v>
      </c>
      <c r="L127" s="267">
        <f t="shared" si="94"/>
        <v>7932281.3100000033</v>
      </c>
      <c r="M127" s="267">
        <f t="shared" si="94"/>
        <v>0</v>
      </c>
      <c r="N127" s="267">
        <f t="shared" si="94"/>
        <v>3479</v>
      </c>
      <c r="O127" s="267">
        <f t="shared" si="94"/>
        <v>0</v>
      </c>
      <c r="P127" s="267">
        <f t="shared" si="94"/>
        <v>0</v>
      </c>
      <c r="Q127" s="215">
        <f t="shared" si="94"/>
        <v>497.00000000000006</v>
      </c>
      <c r="R127" s="267">
        <f t="shared" si="94"/>
        <v>275.00000000000006</v>
      </c>
      <c r="S127" s="267">
        <f t="shared" si="94"/>
        <v>1972</v>
      </c>
      <c r="T127" s="267">
        <f t="shared" si="94"/>
        <v>-47</v>
      </c>
      <c r="U127" s="267">
        <f t="shared" si="94"/>
        <v>1925</v>
      </c>
      <c r="V127" s="267">
        <f t="shared" si="94"/>
        <v>1966605.1999999995</v>
      </c>
      <c r="W127" s="267">
        <f t="shared" si="94"/>
        <v>-45569.59</v>
      </c>
      <c r="X127" s="267">
        <f t="shared" si="94"/>
        <v>1921035.6099999996</v>
      </c>
      <c r="Y127" s="267">
        <f t="shared" si="94"/>
        <v>2939167.3999999994</v>
      </c>
      <c r="Z127" s="267">
        <f t="shared" si="94"/>
        <v>-68089.33</v>
      </c>
      <c r="AA127" s="267">
        <f t="shared" si="94"/>
        <v>2871078.0699999994</v>
      </c>
      <c r="AB127" s="267">
        <f t="shared" si="94"/>
        <v>2987098.31</v>
      </c>
      <c r="AC127" s="267">
        <f t="shared" si="94"/>
        <v>0.99999999999999989</v>
      </c>
      <c r="AD127" s="267">
        <f t="shared" si="94"/>
        <v>238729.30999999994</v>
      </c>
      <c r="AE127" s="267">
        <f t="shared" si="94"/>
        <v>1082608.5099999991</v>
      </c>
      <c r="AF127" s="268">
        <f>AE127/AA127</f>
        <v>0.37707386689070399</v>
      </c>
      <c r="AG127" s="267">
        <f>AG106+AG114+AG125+AG126</f>
        <v>486774.91000000027</v>
      </c>
      <c r="AH127" s="267">
        <f>AH106+AH114+AH125</f>
        <v>43580</v>
      </c>
      <c r="AI127" s="267">
        <f>AI106+AI114+AI125</f>
        <v>287584</v>
      </c>
      <c r="AJ127" s="267">
        <f>AJ106+AJ114+AJ125</f>
        <v>0</v>
      </c>
      <c r="AK127" s="267">
        <f>AK106+AK114+AK125</f>
        <v>0</v>
      </c>
      <c r="AL127" s="156">
        <v>11044.13</v>
      </c>
      <c r="AM127" s="267">
        <f>AM106+AM114+AM125</f>
        <v>3110</v>
      </c>
      <c r="AN127" s="267">
        <f>AN106+AN114+AN125</f>
        <v>109691.13333099996</v>
      </c>
      <c r="AO127" s="267">
        <f>AO106+AO114+AO125</f>
        <v>842039.16666900052</v>
      </c>
      <c r="AP127" s="155"/>
      <c r="AQ127" s="155"/>
      <c r="AR127" s="155"/>
      <c r="AS127" s="155"/>
      <c r="AT127" s="155"/>
      <c r="AU127" s="155">
        <f>(AH127+AI127)/S127</f>
        <v>167.93306288032454</v>
      </c>
      <c r="AV127" s="155"/>
      <c r="AW127" s="155"/>
      <c r="AX127" s="155"/>
      <c r="AY127" s="157"/>
      <c r="AZ127" s="155">
        <f>AZ106+AZ125</f>
        <v>23435618.038513385</v>
      </c>
    </row>
    <row r="128" spans="1:52" s="143" customFormat="1">
      <c r="A128" s="142"/>
      <c r="B128" s="141"/>
      <c r="C128" s="159"/>
      <c r="D128" s="142"/>
      <c r="E128" s="266"/>
      <c r="N128" s="144"/>
      <c r="O128" s="144"/>
      <c r="P128" s="144"/>
      <c r="R128" s="145"/>
      <c r="S128" s="146"/>
      <c r="T128" s="146"/>
      <c r="U128" s="147"/>
      <c r="V128" s="147"/>
      <c r="W128" s="147"/>
      <c r="X128" s="147"/>
      <c r="Y128" s="146"/>
      <c r="Z128" s="147"/>
      <c r="AA128" s="147"/>
      <c r="AB128" s="147"/>
      <c r="AE128" s="148"/>
      <c r="AG128" s="160"/>
      <c r="AH128" s="338"/>
      <c r="AI128" s="338"/>
      <c r="AJ128" s="419"/>
      <c r="AK128" s="419"/>
      <c r="AL128" s="149"/>
      <c r="AM128" s="150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2"/>
    </row>
    <row r="129" spans="3:4">
      <c r="C129" s="162"/>
      <c r="D129" s="162"/>
    </row>
    <row r="130" spans="3:4">
      <c r="C130" s="162"/>
      <c r="D130" s="162"/>
    </row>
  </sheetData>
  <mergeCells count="10">
    <mergeCell ref="AH1:AI1"/>
    <mergeCell ref="AQ1:AX1"/>
    <mergeCell ref="AH107:AI107"/>
    <mergeCell ref="AH115:AI115"/>
    <mergeCell ref="F1:H1"/>
    <mergeCell ref="I1:J1"/>
    <mergeCell ref="N1:P1"/>
    <mergeCell ref="S1:T1"/>
    <mergeCell ref="V1:W1"/>
    <mergeCell ref="Y1:Z1"/>
  </mergeCells>
  <conditionalFormatting sqref="AC129:AC1048576">
    <cfRule type="cellIs" dxfId="100" priority="15" operator="greaterThan">
      <formula>0.23</formula>
    </cfRule>
  </conditionalFormatting>
  <conditionalFormatting sqref="M124:O124 M107:M113 M3:M105">
    <cfRule type="cellIs" dxfId="99" priority="26" operator="greaterThan">
      <formula>120</formula>
    </cfRule>
  </conditionalFormatting>
  <conditionalFormatting sqref="AC128">
    <cfRule type="cellIs" dxfId="98" priority="27" operator="greaterThan">
      <formula>0.23</formula>
    </cfRule>
  </conditionalFormatting>
  <conditionalFormatting sqref="AA124:AC124 AA107:AC107 AA113:AC113 AA105:AC105 AB3:AC10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{12BA81DA-12E7-4966-BA48-DA1ABCF2B7B8}</x14:id>
        </ext>
      </extLst>
    </cfRule>
  </conditionalFormatting>
  <conditionalFormatting sqref="AC113 AC107 AC3:AC10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{6DDE009F-2CA4-45B5-885C-B9E7BFA49822}</x14:id>
        </ext>
      </extLst>
    </cfRule>
  </conditionalFormatting>
  <conditionalFormatting sqref="AC1">
    <cfRule type="cellIs" dxfId="97" priority="25" operator="greaterThan">
      <formula>0.23</formula>
    </cfRule>
  </conditionalFormatting>
  <conditionalFormatting sqref="AV108:AV11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{BDF7FA37-03E1-4396-B12F-11DCD8C099A7}</x14:id>
        </ext>
      </extLst>
    </cfRule>
  </conditionalFormatting>
  <conditionalFormatting sqref="AW108:AX1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{6906E943-F890-4190-956A-5809E2D66925}</x14:id>
        </ext>
      </extLst>
    </cfRule>
  </conditionalFormatting>
  <conditionalFormatting sqref="AZ108:AZ11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{ECA35532-EC05-4B13-AE7E-BECCAB599CE3}</x14:id>
        </ext>
      </extLst>
    </cfRule>
  </conditionalFormatting>
  <conditionalFormatting sqref="AZ108:AZ11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{39F60C5A-27E6-4078-A64B-7AE0CB31BCA5}</x14:id>
        </ext>
      </extLst>
    </cfRule>
  </conditionalFormatting>
  <conditionalFormatting sqref="Q124">
    <cfRule type="cellIs" dxfId="96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{AA9E26B4-CC66-4967-9D38-BB10F3F4C38F}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{59A9EE8C-3459-44DB-9B50-3DF352817AF9}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{BCBC4BB4-3A62-4863-8550-08FC1E27A509}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{617F64D7-1CB3-4D4A-818B-29810F5675C9}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{35AAF4B1-672E-43F6-82E9-041250C0720C}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{DE6B2792-5789-462D-BFBB-F4B206D81644}</x14:id>
        </ext>
      </extLst>
    </cfRule>
  </conditionalFormatting>
  <conditionalFormatting sqref="AZ3:AZ16 AZ107 AZ124 AZ113 AZ26:AZ43 AZ94:AZ10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{36776A2C-8824-42FB-8875-F8B637E72C86}</x14:id>
        </ext>
      </extLst>
    </cfRule>
  </conditionalFormatting>
  <conditionalFormatting sqref="AZ116:AZ1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{4164841C-9D49-4F26-8C01-3719B599DCF5}</x14:id>
        </ext>
      </extLst>
    </cfRule>
  </conditionalFormatting>
  <conditionalFormatting sqref="AV3:AV16 AV107 AV26:AV43 AV94:AV10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{EF83BC57-8F26-471B-BF5D-5B6AF747B95E}</x14:id>
        </ext>
      </extLst>
    </cfRule>
  </conditionalFormatting>
  <conditionalFormatting sqref="AW107:AX107 AW3:AX16 AW26:AX43 AW94:AX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{C240F40D-0D66-4CDF-9770-7D23126E332A}</x14:id>
        </ext>
      </extLst>
    </cfRule>
  </conditionalFormatting>
  <conditionalFormatting sqref="AZ3:AZ16 AZ107 AZ113 AZ26:AZ43 AZ94:AZ10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{0BA0EE7A-AF4B-4A4D-AB64-010E74879765}</x14:id>
        </ext>
      </extLst>
    </cfRule>
  </conditionalFormatting>
  <conditionalFormatting sqref="AZ116:AZ1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{9E216365-B76B-4C52-8473-838B8248DA70}</x14:id>
        </ext>
      </extLst>
    </cfRule>
  </conditionalFormatting>
  <conditionalFormatting sqref="AV116:AV1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{63D8F4A1-6970-4720-8A1A-318F8FE1B3C1}</x14:id>
        </ext>
      </extLst>
    </cfRule>
  </conditionalFormatting>
  <conditionalFormatting sqref="AW116:AX12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{0306D7C7-2883-47C8-8C44-4D6A8E012F0C}</x14:id>
        </ext>
      </extLst>
    </cfRule>
  </conditionalFormatting>
  <conditionalFormatting sqref="AO107 AO124 AO113 AO3:AO10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{86FCCFDF-E5B5-4FC8-8B74-C7422BF0BFD2}</x14:id>
        </ext>
      </extLst>
    </cfRule>
  </conditionalFormatting>
  <conditionalFormatting sqref="AO107 AO113 AO3:AO10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{F125A6DE-FC92-4950-A7FC-40F4A69DF884}</x14:id>
        </ext>
      </extLst>
    </cfRule>
  </conditionalFormatting>
  <conditionalFormatting sqref="AO108:AO11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{E4617397-6A73-4A49-B541-F812A056B98C}</x14:id>
        </ext>
      </extLst>
    </cfRule>
  </conditionalFormatting>
  <conditionalFormatting sqref="AO108:AO11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{5940CEBB-01D5-40E1-97AB-EEB2EBCDFB91}</x14:id>
        </ext>
      </extLst>
    </cfRule>
  </conditionalFormatting>
  <conditionalFormatting sqref="AO116:AO12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{284C2049-8C2C-45EF-BAE5-60E4B35D2AAA}</x14:id>
        </ext>
      </extLst>
    </cfRule>
  </conditionalFormatting>
  <conditionalFormatting sqref="AO116:AO1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{E5AD8029-58B4-4B4C-A670-725EA5E95091}</x14:id>
        </ext>
      </extLst>
    </cfRule>
  </conditionalFormatting>
  <conditionalFormatting sqref="AA3:AA10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{571C5678-2167-4F7E-8D12-535B4B0E6D7D}</x14:id>
        </ext>
      </extLst>
    </cfRule>
  </conditionalFormatting>
  <conditionalFormatting sqref="M116:M123">
    <cfRule type="cellIs" dxfId="95" priority="7" operator="greaterThan">
      <formula>120</formula>
    </cfRule>
  </conditionalFormatting>
  <conditionalFormatting sqref="AB108:AC11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{9EB55F81-9C69-44F4-BA15-4D973142FDA0}</x14:id>
        </ext>
      </extLst>
    </cfRule>
  </conditionalFormatting>
  <conditionalFormatting sqref="AC108:AC11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{6D6D1C67-FB58-45DF-82D3-AD8C79956EC9}</x14:id>
        </ext>
      </extLst>
    </cfRule>
  </conditionalFormatting>
  <conditionalFormatting sqref="AA108:AA11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{06662AC2-0468-45AB-8A4B-792B64D6F398}</x14:id>
        </ext>
      </extLst>
    </cfRule>
  </conditionalFormatting>
  <conditionalFormatting sqref="AB116:AC12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{4DD6719E-2B1B-4B82-B41A-2EEAFFF82173}</x14:id>
        </ext>
      </extLst>
    </cfRule>
  </conditionalFormatting>
  <conditionalFormatting sqref="AC116:AC1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{6C9DED05-FCEC-4D71-9ABA-38F72B0043F3}</x14:id>
        </ext>
      </extLst>
    </cfRule>
  </conditionalFormatting>
  <conditionalFormatting sqref="AA116:AA1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{CE35F79F-87B8-4DAF-9F55-974E00F0F1E3}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BA81DA-12E7-4966-BA48-DA1ABCF2B7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AA124:AC124 AA107:AC107 AA113:AC113 AA105:AC105 AB3:AC104</xm:sqref>
        </x14:conditionalFormatting>
        <x14:conditionalFormatting xmlns:xm="http://schemas.microsoft.com/office/excel/2006/main">
          <x14:cfRule type="dataBar" id="{6DDE009F-2CA4-45B5-885C-B9E7BFA498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AC113 AC107 AC3:AC105</xm:sqref>
        </x14:conditionalFormatting>
        <x14:conditionalFormatting xmlns:xm="http://schemas.microsoft.com/office/excel/2006/main">
          <x14:cfRule type="dataBar" id="{BDF7FA37-03E1-4396-B12F-11DCD8C099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AV108:AV112</xm:sqref>
        </x14:conditionalFormatting>
        <x14:conditionalFormatting xmlns:xm="http://schemas.microsoft.com/office/excel/2006/main">
          <x14:cfRule type="dataBar" id="{6906E943-F890-4190-956A-5809E2D669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AW108:AX112</xm:sqref>
        </x14:conditionalFormatting>
        <x14:conditionalFormatting xmlns:xm="http://schemas.microsoft.com/office/excel/2006/main">
          <x14:cfRule type="dataBar" id="{ECA35532-EC05-4B13-AE7E-BECCAB599C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39F60C5A-27E6-4078-A64B-7AE0CB31BC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AA9E26B4-CC66-4967-9D38-BB10F3F4C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59A9EE8C-3459-44DB-9B50-3DF352817A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BCBC4BB4-3A62-4863-8550-08FC1E27A5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617F64D7-1CB3-4D4A-818B-29810F5675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35AAF4B1-672E-43F6-82E9-041250C072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DE6B2792-5789-462D-BFBB-F4B206D81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36776A2C-8824-42FB-8875-F8B637E72C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AZ124 AZ113 AZ26:AZ43 AZ94:AZ105</xm:sqref>
        </x14:conditionalFormatting>
        <x14:conditionalFormatting xmlns:xm="http://schemas.microsoft.com/office/excel/2006/main">
          <x14:cfRule type="dataBar" id="{4164841C-9D49-4F26-8C01-3719B599DC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EF83BC57-8F26-471B-BF5D-5B6AF747B9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AV107 AV26:AV43 AV94:AV104</xm:sqref>
        </x14:conditionalFormatting>
        <x14:conditionalFormatting xmlns:xm="http://schemas.microsoft.com/office/excel/2006/main">
          <x14:cfRule type="dataBar" id="{C240F40D-0D66-4CDF-9770-7D23126E33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AW107:AX107 AW3:AX16 AW26:AX43 AW94:AX104</xm:sqref>
        </x14:conditionalFormatting>
        <x14:conditionalFormatting xmlns:xm="http://schemas.microsoft.com/office/excel/2006/main">
          <x14:cfRule type="dataBar" id="{0BA0EE7A-AF4B-4A4D-AB64-010E748797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AZ113 AZ26:AZ43 AZ94:AZ105</xm:sqref>
        </x14:conditionalFormatting>
        <x14:conditionalFormatting xmlns:xm="http://schemas.microsoft.com/office/excel/2006/main">
          <x14:cfRule type="dataBar" id="{9E216365-B76B-4C52-8473-838B8248DA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63D8F4A1-6970-4720-8A1A-318F8FE1B3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AV116:AV123</xm:sqref>
        </x14:conditionalFormatting>
        <x14:conditionalFormatting xmlns:xm="http://schemas.microsoft.com/office/excel/2006/main">
          <x14:cfRule type="dataBar" id="{0306D7C7-2883-47C8-8C44-4D6A8E012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AW116:AX123</xm:sqref>
        </x14:conditionalFormatting>
        <x14:conditionalFormatting xmlns:xm="http://schemas.microsoft.com/office/excel/2006/main">
          <x14:cfRule type="dataBar" id="{86FCCFDF-E5B5-4FC8-8B74-C7422BF0BF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AO124 AO113 AO3:AO105</xm:sqref>
        </x14:conditionalFormatting>
        <x14:conditionalFormatting xmlns:xm="http://schemas.microsoft.com/office/excel/2006/main">
          <x14:cfRule type="dataBar" id="{F125A6DE-FC92-4950-A7FC-40F4A69DF8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AO113 AO3:AO105</xm:sqref>
        </x14:conditionalFormatting>
        <x14:conditionalFormatting xmlns:xm="http://schemas.microsoft.com/office/excel/2006/main">
          <x14:cfRule type="dataBar" id="{E4617397-6A73-4A49-B541-F812A056B9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5940CEBB-01D5-40E1-97AB-EEB2EBCDFB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284C2049-8C2C-45EF-BAE5-60E4B35D2A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E5AD8029-58B4-4B4C-A670-725EA5E950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571C5678-2167-4F7E-8D12-535B4B0E6D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AA3:AA104</xm:sqref>
        </x14:conditionalFormatting>
        <x14:conditionalFormatting xmlns:xm="http://schemas.microsoft.com/office/excel/2006/main">
          <x14:cfRule type="dataBar" id="{9EB55F81-9C69-44F4-BA15-4D973142FD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AB108:AC112</xm:sqref>
        </x14:conditionalFormatting>
        <x14:conditionalFormatting xmlns:xm="http://schemas.microsoft.com/office/excel/2006/main">
          <x14:cfRule type="dataBar" id="{6D6D1C67-FB58-45DF-82D3-AD8C79956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AC108:AC112</xm:sqref>
        </x14:conditionalFormatting>
        <x14:conditionalFormatting xmlns:xm="http://schemas.microsoft.com/office/excel/2006/main">
          <x14:cfRule type="dataBar" id="{06662AC2-0468-45AB-8A4B-792B64D6F3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AA108:AA112</xm:sqref>
        </x14:conditionalFormatting>
        <x14:conditionalFormatting xmlns:xm="http://schemas.microsoft.com/office/excel/2006/main">
          <x14:cfRule type="dataBar" id="{4DD6719E-2B1B-4B82-B41A-2EEAFFF821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AB116:AC123</xm:sqref>
        </x14:conditionalFormatting>
        <x14:conditionalFormatting xmlns:xm="http://schemas.microsoft.com/office/excel/2006/main">
          <x14:cfRule type="dataBar" id="{6C9DED05-FCEC-4D71-9ABA-38F72B0043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AC116:AC123</xm:sqref>
        </x14:conditionalFormatting>
        <x14:conditionalFormatting xmlns:xm="http://schemas.microsoft.com/office/excel/2006/main">
          <x14:cfRule type="dataBar" id="{CE35F79F-87B8-4DAF-9F55-974E00F0F1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AA116:AA123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54C6-1FA3-4741-9C04-CCEFA1589599}">
  <dimension ref="A1:AZ129"/>
  <sheetViews>
    <sheetView zoomScale="70" zoomScaleNormal="70" workbookViewId="0">
      <pane xSplit="3" ySplit="2" topLeftCell="Q90" activePane="bottomRight" state="frozen"/>
      <selection pane="topRight" activeCell="D1" sqref="D1"/>
      <selection pane="bottomLeft" activeCell="A3" sqref="A3"/>
      <selection pane="bottomRight" activeCell="A125" sqref="A125:XFD125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329</v>
      </c>
      <c r="B1" s="73"/>
      <c r="C1" s="72"/>
      <c r="D1" s="72"/>
      <c r="E1" s="222"/>
      <c r="F1" s="539" t="s">
        <v>42</v>
      </c>
      <c r="G1" s="539"/>
      <c r="H1" s="539"/>
      <c r="I1" s="540" t="s">
        <v>115</v>
      </c>
      <c r="J1" s="541"/>
      <c r="M1" s="401" t="s">
        <v>43</v>
      </c>
      <c r="N1" s="539" t="s">
        <v>116</v>
      </c>
      <c r="O1" s="539"/>
      <c r="P1" s="539"/>
      <c r="R1" s="224"/>
      <c r="S1" s="542"/>
      <c r="T1" s="542"/>
      <c r="U1" s="224"/>
      <c r="V1" s="543"/>
      <c r="W1" s="544"/>
      <c r="X1" s="224"/>
      <c r="Y1" s="542"/>
      <c r="Z1" s="542"/>
      <c r="AA1" s="224"/>
      <c r="AB1" s="224"/>
      <c r="AC1" s="224"/>
      <c r="AD1" s="224"/>
      <c r="AE1" s="225"/>
      <c r="AF1" s="224"/>
      <c r="AG1" s="225"/>
      <c r="AH1" s="535"/>
      <c r="AI1" s="535"/>
      <c r="AJ1" s="283" t="s">
        <v>248</v>
      </c>
      <c r="AK1" s="400"/>
      <c r="AL1" s="402" t="s">
        <v>44</v>
      </c>
      <c r="AM1" s="225"/>
      <c r="AQ1" s="536" t="s">
        <v>45</v>
      </c>
      <c r="AR1" s="537"/>
      <c r="AS1" s="537"/>
      <c r="AT1" s="537"/>
      <c r="AU1" s="537"/>
      <c r="AV1" s="537"/>
      <c r="AW1" s="537"/>
      <c r="AX1" s="538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315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2813</v>
      </c>
      <c r="F3" s="93">
        <v>153</v>
      </c>
      <c r="G3" s="93">
        <v>42</v>
      </c>
      <c r="H3" s="93">
        <v>718</v>
      </c>
      <c r="I3" s="93">
        <v>1</v>
      </c>
      <c r="J3" s="93">
        <v>1899</v>
      </c>
      <c r="K3" s="92">
        <v>142.97999999999999</v>
      </c>
      <c r="L3" s="92">
        <f t="shared" ref="L3" si="0">E3*K3</f>
        <v>402202.74</v>
      </c>
      <c r="M3" s="89">
        <v>21</v>
      </c>
      <c r="N3" s="89">
        <v>184</v>
      </c>
      <c r="O3" s="89">
        <v>1585</v>
      </c>
      <c r="P3" s="89">
        <v>62</v>
      </c>
      <c r="Q3" s="233">
        <f>N3/7</f>
        <v>26.285714285714285</v>
      </c>
      <c r="R3" s="92">
        <f>U3/7</f>
        <v>16.571428571428573</v>
      </c>
      <c r="S3" s="93">
        <v>117</v>
      </c>
      <c r="T3" s="93">
        <v>-1</v>
      </c>
      <c r="U3" s="92">
        <f t="shared" ref="U3" si="1">S3+T3</f>
        <v>116</v>
      </c>
      <c r="V3" s="93">
        <v>122912.12999999999</v>
      </c>
      <c r="W3" s="93">
        <v>-1009</v>
      </c>
      <c r="X3" s="92">
        <f t="shared" ref="X3" si="2">V3+W3</f>
        <v>121903.12999999999</v>
      </c>
      <c r="Y3" s="93">
        <v>184621.41999999995</v>
      </c>
      <c r="Z3" s="93">
        <v>-1585</v>
      </c>
      <c r="AA3" s="92">
        <f>Y3+Z3</f>
        <v>183036.41999999995</v>
      </c>
      <c r="AB3" s="92">
        <f>N3*O3*P3/100</f>
        <v>180816.8</v>
      </c>
      <c r="AC3" s="234">
        <f t="shared" ref="AC3" si="3">AA3/$AA$126</f>
        <v>5.6923386822283595E-2</v>
      </c>
      <c r="AD3" s="92">
        <f t="shared" ref="AD3" si="4">U3*K3</f>
        <v>16585.68</v>
      </c>
      <c r="AE3" s="93">
        <v>69252.609999999942</v>
      </c>
      <c r="AF3" s="234">
        <f t="shared" ref="AF3" si="5">IF(AA3=0,0,AE3/AA3)</f>
        <v>0.37835426414043699</v>
      </c>
      <c r="AG3" s="93">
        <v>15252.710000000003</v>
      </c>
      <c r="AH3" s="93"/>
      <c r="AI3" s="93">
        <v>14558</v>
      </c>
      <c r="AJ3" s="93"/>
      <c r="AK3" s="93"/>
      <c r="AL3" s="122">
        <f t="shared" ref="AL3:AL66" si="6">IFERROR($AL$126*H3/$H$126,0)</f>
        <v>603.4220305596466</v>
      </c>
      <c r="AM3" s="93">
        <v>0</v>
      </c>
      <c r="AN3" s="94">
        <f>X3*5.71%</f>
        <v>6960.6687229999989</v>
      </c>
      <c r="AO3" s="95">
        <f>AA3-AD3-AE3-AG3-AH3-AI3-AK3-AL3-AN3-AM3</f>
        <v>59823.329246440364</v>
      </c>
      <c r="AP3" s="96"/>
      <c r="AQ3" s="97">
        <f t="shared" ref="AQ3:AQ97" si="7">IF(U3=0,0,AA3/U3)</f>
        <v>1577.9001724137927</v>
      </c>
      <c r="AR3" s="98">
        <f t="shared" ref="AR3:AR19" si="8">K3</f>
        <v>142.97999999999999</v>
      </c>
      <c r="AS3" s="98">
        <f t="shared" ref="AS3:AS97" si="9">IF(U3=0,0,AE3/U3)</f>
        <v>597.00525862068912</v>
      </c>
      <c r="AT3" s="98">
        <f t="shared" ref="AT3:AT97" si="10">IF(S3=0,AG3/1,AG3/S3)</f>
        <v>130.36504273504275</v>
      </c>
      <c r="AU3" s="98">
        <f>IF(S3=0,0,(AH3+AI3+AJ3)/S3)</f>
        <v>124.42735042735043</v>
      </c>
      <c r="AV3" s="98">
        <f>_xlfn.IFS(U3=0,AO3,U3&lt;0,AO3/-U3,U3&gt;0,AO3/U3)</f>
        <v>515.71835557276177</v>
      </c>
      <c r="AW3" s="234">
        <f t="shared" ref="AW3" si="11">IF(AQ3=0,0,AV3/AQ3)</f>
        <v>0.32683839230706313</v>
      </c>
      <c r="AX3" s="234">
        <f t="shared" ref="AX3" si="12">IF(AR3=0,0,AV3/AR3)</f>
        <v>3.6069265321916477</v>
      </c>
      <c r="AY3" s="99"/>
      <c r="AZ3" s="94">
        <f t="shared" ref="AZ3:AZ97" si="13">AV3*E3</f>
        <v>1450715.7342261788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1484</v>
      </c>
      <c r="F4" s="93">
        <v>364</v>
      </c>
      <c r="G4" s="93">
        <v>123</v>
      </c>
      <c r="H4" s="93">
        <v>841</v>
      </c>
      <c r="I4" s="93">
        <v>0</v>
      </c>
      <c r="J4" s="93">
        <v>156</v>
      </c>
      <c r="K4" s="92">
        <v>123.09</v>
      </c>
      <c r="L4" s="92">
        <f>E4*K4</f>
        <v>182665.56</v>
      </c>
      <c r="M4" s="89">
        <v>10</v>
      </c>
      <c r="N4" s="89">
        <v>518</v>
      </c>
      <c r="O4" s="89">
        <v>1596</v>
      </c>
      <c r="P4" s="89">
        <v>54</v>
      </c>
      <c r="Q4" s="233">
        <f t="shared" ref="Q4:Q67" si="14">N4/7</f>
        <v>74</v>
      </c>
      <c r="R4" s="92">
        <f t="shared" ref="R4:R67" si="15">U4/7</f>
        <v>45</v>
      </c>
      <c r="S4" s="93">
        <v>324</v>
      </c>
      <c r="T4" s="93">
        <v>-9</v>
      </c>
      <c r="U4" s="92">
        <f t="shared" ref="U4:U67" si="16">S4+T4</f>
        <v>315</v>
      </c>
      <c r="V4" s="93">
        <v>344469.55</v>
      </c>
      <c r="W4" s="93">
        <v>-9558</v>
      </c>
      <c r="X4" s="92">
        <f t="shared" ref="X4:X67" si="17">V4+W4</f>
        <v>334911.55</v>
      </c>
      <c r="Y4" s="93">
        <v>516948.33000000013</v>
      </c>
      <c r="Z4" s="93">
        <v>-14364</v>
      </c>
      <c r="AA4" s="92">
        <f t="shared" ref="AA4:AA67" si="18">Y4+Z4</f>
        <v>502584.33000000013</v>
      </c>
      <c r="AB4" s="92">
        <f t="shared" ref="AB4:AB67" si="19">N4*O4*P4/100</f>
        <v>446433.12</v>
      </c>
      <c r="AC4" s="234">
        <f t="shared" ref="AC4:AC67" si="20">AA4/$AA$126</f>
        <v>0.15630114611839677</v>
      </c>
      <c r="AD4" s="92">
        <f t="shared" ref="AD4:AD67" si="21">U4*K4</f>
        <v>38773.35</v>
      </c>
      <c r="AE4" s="93">
        <v>189770.28</v>
      </c>
      <c r="AF4" s="234">
        <f t="shared" ref="AF4:AF67" si="22">IF(AA4=0,0,AE4/AA4)</f>
        <v>0.37758893119489012</v>
      </c>
      <c r="AG4" s="93">
        <v>41844.619999999923</v>
      </c>
      <c r="AH4" s="93"/>
      <c r="AI4" s="93">
        <v>29663</v>
      </c>
      <c r="AJ4" s="93"/>
      <c r="AK4" s="93"/>
      <c r="AL4" s="122">
        <f t="shared" si="6"/>
        <v>706.79377117083948</v>
      </c>
      <c r="AM4" s="93">
        <v>50</v>
      </c>
      <c r="AN4" s="94">
        <f t="shared" ref="AN4:AN67" si="23">X4*5.71%</f>
        <v>19123.449504999997</v>
      </c>
      <c r="AO4" s="95">
        <f>AA4-AD4-AE4-AG4-AH4-AI4-AK4-AL4-AN4-AM4</f>
        <v>182652.83672382942</v>
      </c>
      <c r="AP4" s="96"/>
      <c r="AQ4" s="97">
        <f t="shared" si="7"/>
        <v>1595.5058095238101</v>
      </c>
      <c r="AR4" s="98">
        <f t="shared" si="8"/>
        <v>123.09</v>
      </c>
      <c r="AS4" s="98">
        <f t="shared" si="9"/>
        <v>602.44533333333334</v>
      </c>
      <c r="AT4" s="98">
        <f t="shared" si="10"/>
        <v>129.15006172839483</v>
      </c>
      <c r="AU4" s="98">
        <f t="shared" ref="AU4:AU70" si="24">IF(S4=0,0,(AH4+AI4+AJ4)/S4)</f>
        <v>91.552469135802468</v>
      </c>
      <c r="AV4" s="98">
        <f t="array" ref="AV4">_xlfn.IFS(U4=0,AO4,U4&lt;0,AO4/-U4,U4&gt;0,AO4/U4)</f>
        <v>579.85027531374419</v>
      </c>
      <c r="AW4" s="234">
        <f>IF(AQ4=0,0,AV4/AQ4)</f>
        <v>0.36342724160108486</v>
      </c>
      <c r="AX4" s="234">
        <f>IF(AR4=0,0,AV4/AR4)</f>
        <v>4.7107829662340093</v>
      </c>
      <c r="AY4" s="99"/>
      <c r="AZ4" s="94">
        <f t="shared" si="13"/>
        <v>860497.80856559635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3659</v>
      </c>
      <c r="F5" s="93">
        <v>117</v>
      </c>
      <c r="G5" s="93">
        <v>45</v>
      </c>
      <c r="H5" s="93">
        <v>544</v>
      </c>
      <c r="I5" s="93">
        <v>0</v>
      </c>
      <c r="J5" s="93">
        <v>2953</v>
      </c>
      <c r="K5" s="92">
        <v>123.09</v>
      </c>
      <c r="L5" s="92">
        <f>E5*K5</f>
        <v>450386.31</v>
      </c>
      <c r="M5" s="89">
        <v>20</v>
      </c>
      <c r="N5" s="89">
        <v>189</v>
      </c>
      <c r="O5" s="89">
        <v>1500</v>
      </c>
      <c r="P5" s="89">
        <v>60</v>
      </c>
      <c r="Q5" s="233">
        <f t="shared" si="14"/>
        <v>27</v>
      </c>
      <c r="R5" s="92">
        <f t="shared" si="15"/>
        <v>17.714285714285715</v>
      </c>
      <c r="S5" s="93">
        <v>124</v>
      </c>
      <c r="T5" s="93">
        <v>0</v>
      </c>
      <c r="U5" s="92">
        <f t="shared" si="16"/>
        <v>124</v>
      </c>
      <c r="V5" s="93">
        <v>122939.79999999999</v>
      </c>
      <c r="W5" s="93">
        <v>0</v>
      </c>
      <c r="X5" s="92">
        <f t="shared" si="17"/>
        <v>122939.79999999999</v>
      </c>
      <c r="Y5" s="93">
        <v>185233.09000000003</v>
      </c>
      <c r="Z5" s="93">
        <v>0</v>
      </c>
      <c r="AA5" s="92">
        <f t="shared" si="18"/>
        <v>185233.09000000003</v>
      </c>
      <c r="AB5" s="92">
        <f t="shared" si="19"/>
        <v>170100</v>
      </c>
      <c r="AC5" s="234">
        <f t="shared" si="20"/>
        <v>5.7606539913514887E-2</v>
      </c>
      <c r="AD5" s="92">
        <f t="shared" si="21"/>
        <v>15263.16</v>
      </c>
      <c r="AE5" s="93">
        <v>69992.569999999992</v>
      </c>
      <c r="AF5" s="234">
        <f t="shared" si="22"/>
        <v>0.37786213035694638</v>
      </c>
      <c r="AG5" s="93">
        <v>14340.119999999988</v>
      </c>
      <c r="AH5" s="93"/>
      <c r="AI5" s="93">
        <v>13785</v>
      </c>
      <c r="AJ5" s="93"/>
      <c r="AK5" s="93"/>
      <c r="AL5" s="122">
        <f t="shared" si="6"/>
        <v>457.18883652430043</v>
      </c>
      <c r="AM5" s="93">
        <v>1500</v>
      </c>
      <c r="AN5" s="94">
        <f t="shared" si="23"/>
        <v>7019.8625799999991</v>
      </c>
      <c r="AO5" s="95">
        <f t="shared" ref="AO5:AO68" si="25">AA5-AD5-AE5-AG5-AH5-AI5-AK5-AL5-AN5-AM5</f>
        <v>62875.188583475741</v>
      </c>
      <c r="AP5" s="96"/>
      <c r="AQ5" s="97">
        <f t="shared" si="7"/>
        <v>1493.815241935484</v>
      </c>
      <c r="AR5" s="98">
        <f t="shared" si="8"/>
        <v>123.09</v>
      </c>
      <c r="AS5" s="98">
        <f t="shared" si="9"/>
        <v>564.45620967741934</v>
      </c>
      <c r="AT5" s="98">
        <f t="shared" si="10"/>
        <v>115.64612903225797</v>
      </c>
      <c r="AU5" s="98">
        <f t="shared" si="24"/>
        <v>111.16935483870968</v>
      </c>
      <c r="AV5" s="98">
        <f t="array" ref="AV5">_xlfn.IFS(U5=0,AO5,U5&lt;0,AO5/-U5,U5&gt;0,AO5/U5)</f>
        <v>507.057972447385</v>
      </c>
      <c r="AW5" s="234">
        <f>IF(AQ5=0,0,AV5/AQ5)</f>
        <v>0.33943821043786365</v>
      </c>
      <c r="AX5" s="234">
        <f>IF(AR5=0,0,AV5/AR5)</f>
        <v>4.1194083389989844</v>
      </c>
      <c r="AY5" s="99"/>
      <c r="AZ5" s="94">
        <f t="shared" si="13"/>
        <v>1855325.1211849817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8984</v>
      </c>
      <c r="F6" s="93">
        <v>63</v>
      </c>
      <c r="G6" s="93">
        <v>16</v>
      </c>
      <c r="H6" s="93">
        <v>556</v>
      </c>
      <c r="I6" s="93">
        <v>0</v>
      </c>
      <c r="J6" s="93">
        <v>8349</v>
      </c>
      <c r="K6" s="92">
        <v>123.09</v>
      </c>
      <c r="L6" s="92">
        <f t="shared" ref="L6" si="27">E6*K6</f>
        <v>1105840.56</v>
      </c>
      <c r="M6" s="89">
        <v>42</v>
      </c>
      <c r="N6" s="89">
        <v>88</v>
      </c>
      <c r="O6" s="89">
        <v>1434</v>
      </c>
      <c r="P6" s="89">
        <v>57</v>
      </c>
      <c r="Q6" s="233">
        <f t="shared" si="14"/>
        <v>12.571428571428571</v>
      </c>
      <c r="R6" s="92">
        <f t="shared" si="15"/>
        <v>9.8571428571428577</v>
      </c>
      <c r="S6" s="93">
        <v>69</v>
      </c>
      <c r="T6" s="93">
        <v>0</v>
      </c>
      <c r="U6" s="92">
        <f t="shared" si="16"/>
        <v>69</v>
      </c>
      <c r="V6" s="93">
        <v>65842.200000000012</v>
      </c>
      <c r="W6" s="93">
        <v>0</v>
      </c>
      <c r="X6" s="92">
        <f t="shared" si="17"/>
        <v>65842.200000000012</v>
      </c>
      <c r="Y6" s="93">
        <v>98556.019999999975</v>
      </c>
      <c r="Z6" s="93">
        <v>0</v>
      </c>
      <c r="AA6" s="92">
        <f t="shared" si="18"/>
        <v>98556.019999999975</v>
      </c>
      <c r="AB6" s="92">
        <f t="shared" si="19"/>
        <v>71929.440000000002</v>
      </c>
      <c r="AC6" s="234">
        <f t="shared" si="20"/>
        <v>3.0650416185613323E-2</v>
      </c>
      <c r="AD6" s="92">
        <f t="shared" si="21"/>
        <v>8493.2100000000009</v>
      </c>
      <c r="AE6" s="93">
        <v>37213.559999999976</v>
      </c>
      <c r="AF6" s="234">
        <f t="shared" si="22"/>
        <v>0.37758789366697221</v>
      </c>
      <c r="AG6" s="93">
        <v>6883.9099999999953</v>
      </c>
      <c r="AH6" s="93"/>
      <c r="AI6" s="93">
        <v>9377</v>
      </c>
      <c r="AJ6" s="93"/>
      <c r="AK6" s="93"/>
      <c r="AL6" s="122">
        <f t="shared" si="6"/>
        <v>467.27388438880701</v>
      </c>
      <c r="AM6" s="93">
        <v>1400.98</v>
      </c>
      <c r="AN6" s="94">
        <f t="shared" si="23"/>
        <v>3759.5896200000007</v>
      </c>
      <c r="AO6" s="95">
        <f t="shared" si="25"/>
        <v>30960.496495611191</v>
      </c>
      <c r="AP6" s="96"/>
      <c r="AQ6" s="97">
        <f t="shared" si="7"/>
        <v>1428.3481159420287</v>
      </c>
      <c r="AR6" s="98">
        <f t="shared" si="8"/>
        <v>123.09</v>
      </c>
      <c r="AS6" s="98">
        <f t="shared" si="9"/>
        <v>539.32695652173879</v>
      </c>
      <c r="AT6" s="98">
        <f t="shared" si="10"/>
        <v>99.766811594202835</v>
      </c>
      <c r="AU6" s="98">
        <f t="shared" si="24"/>
        <v>135.89855072463769</v>
      </c>
      <c r="AV6" s="98">
        <f t="array" ref="AV6">_xlfn.IFS(U6=0,AO6,U6&lt;0,AO6/-U6,U6&gt;0,AO6/U6)</f>
        <v>448.70284776248104</v>
      </c>
      <c r="AW6" s="234">
        <f t="shared" ref="AW6" si="28">IF(AQ6=0,0,AV6/AQ6)</f>
        <v>0.31414109960620568</v>
      </c>
      <c r="AX6" s="234">
        <f t="shared" ref="AX6" si="29">IF(AR6=0,0,AV6/AR6)</f>
        <v>3.6453233224671462</v>
      </c>
      <c r="AY6" s="99"/>
      <c r="AZ6" s="94">
        <f t="shared" si="13"/>
        <v>4031146.3842981295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842</v>
      </c>
      <c r="F7" s="93">
        <v>150</v>
      </c>
      <c r="G7" s="93">
        <v>38</v>
      </c>
      <c r="H7" s="93">
        <v>571</v>
      </c>
      <c r="I7" s="93">
        <v>3</v>
      </c>
      <c r="J7" s="93">
        <v>80</v>
      </c>
      <c r="K7" s="92">
        <v>117.24</v>
      </c>
      <c r="L7" s="92">
        <f>E7*K7</f>
        <v>98716.08</v>
      </c>
      <c r="M7" s="89">
        <v>25</v>
      </c>
      <c r="N7" s="89">
        <v>216</v>
      </c>
      <c r="O7" s="89">
        <v>1473</v>
      </c>
      <c r="P7" s="89">
        <v>65</v>
      </c>
      <c r="Q7" s="233">
        <f t="shared" si="14"/>
        <v>30.857142857142858</v>
      </c>
      <c r="R7" s="92">
        <f t="shared" si="15"/>
        <v>22.142857142857142</v>
      </c>
      <c r="S7" s="93">
        <v>159</v>
      </c>
      <c r="T7" s="93">
        <v>-4</v>
      </c>
      <c r="U7" s="92">
        <f t="shared" si="16"/>
        <v>155</v>
      </c>
      <c r="V7" s="93">
        <v>153837.26000000004</v>
      </c>
      <c r="W7" s="93">
        <v>-3994.09</v>
      </c>
      <c r="X7" s="92">
        <f t="shared" si="17"/>
        <v>149843.17000000004</v>
      </c>
      <c r="Y7" s="93">
        <v>232786.43000000002</v>
      </c>
      <c r="Z7" s="93">
        <v>-5862.41</v>
      </c>
      <c r="AA7" s="92">
        <f t="shared" si="18"/>
        <v>226924.02000000002</v>
      </c>
      <c r="AB7" s="92">
        <f t="shared" si="19"/>
        <v>206809.2</v>
      </c>
      <c r="AC7" s="234">
        <f t="shared" si="20"/>
        <v>7.057220508206849E-2</v>
      </c>
      <c r="AD7" s="92">
        <f t="shared" si="21"/>
        <v>18172.2</v>
      </c>
      <c r="AE7" s="93">
        <v>85929.389999999956</v>
      </c>
      <c r="AF7" s="234">
        <f t="shared" si="22"/>
        <v>0.37867031440743887</v>
      </c>
      <c r="AG7" s="93">
        <v>16754.42999999996</v>
      </c>
      <c r="AH7" s="93"/>
      <c r="AI7" s="93">
        <v>24737</v>
      </c>
      <c r="AJ7" s="93"/>
      <c r="AK7" s="93"/>
      <c r="AL7" s="122">
        <f t="shared" si="6"/>
        <v>479.88019421944034</v>
      </c>
      <c r="AM7" s="93">
        <v>20</v>
      </c>
      <c r="AN7" s="94">
        <f t="shared" si="23"/>
        <v>8556.0450070000024</v>
      </c>
      <c r="AO7" s="95">
        <f t="shared" si="25"/>
        <v>72275.074798780639</v>
      </c>
      <c r="AP7" s="96"/>
      <c r="AQ7" s="97">
        <f t="shared" si="7"/>
        <v>1464.0259354838711</v>
      </c>
      <c r="AR7" s="98">
        <f t="shared" si="8"/>
        <v>117.24</v>
      </c>
      <c r="AS7" s="98">
        <f t="shared" si="9"/>
        <v>554.38316129032228</v>
      </c>
      <c r="AT7" s="98">
        <f t="shared" si="10"/>
        <v>105.37377358490541</v>
      </c>
      <c r="AU7" s="98">
        <f t="shared" si="24"/>
        <v>155.57861635220127</v>
      </c>
      <c r="AV7" s="98">
        <f t="array" ref="AV7">_xlfn.IFS(U7=0,AO7,U7&lt;0,AO7/-U7,U7&gt;0,AO7/U7)</f>
        <v>466.29080515342349</v>
      </c>
      <c r="AW7" s="234">
        <f>IF(AQ7=0,0,AV7/AQ7)</f>
        <v>0.31849900596146957</v>
      </c>
      <c r="AX7" s="234">
        <f>IF(AR7=0,0,AV7/AR7)</f>
        <v>3.9772330702270855</v>
      </c>
      <c r="AY7" s="99"/>
      <c r="AZ7" s="94">
        <f t="shared" si="13"/>
        <v>392616.85793918261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170</v>
      </c>
      <c r="F8" s="93">
        <v>44</v>
      </c>
      <c r="G8" s="93">
        <v>16</v>
      </c>
      <c r="H8" s="93">
        <v>110</v>
      </c>
      <c r="I8" s="93">
        <v>0</v>
      </c>
      <c r="J8" s="93">
        <v>0</v>
      </c>
      <c r="K8" s="92">
        <v>169.89</v>
      </c>
      <c r="L8" s="92">
        <f>E8*K8</f>
        <v>28881.3</v>
      </c>
      <c r="M8" s="89">
        <v>34</v>
      </c>
      <c r="N8" s="89">
        <v>42</v>
      </c>
      <c r="O8" s="89">
        <v>1464</v>
      </c>
      <c r="P8" s="89">
        <v>60</v>
      </c>
      <c r="Q8" s="233">
        <f t="shared" si="14"/>
        <v>6</v>
      </c>
      <c r="R8" s="92">
        <f t="shared" si="15"/>
        <v>4.1428571428571432</v>
      </c>
      <c r="S8" s="93">
        <v>29</v>
      </c>
      <c r="T8" s="93">
        <v>0</v>
      </c>
      <c r="U8" s="92">
        <f t="shared" si="16"/>
        <v>29</v>
      </c>
      <c r="V8" s="93">
        <v>28084.77</v>
      </c>
      <c r="W8" s="93">
        <v>0</v>
      </c>
      <c r="X8" s="92">
        <f t="shared" si="17"/>
        <v>28084.77</v>
      </c>
      <c r="Y8" s="93">
        <v>42455.97</v>
      </c>
      <c r="Z8" s="93">
        <v>0</v>
      </c>
      <c r="AA8" s="92">
        <f t="shared" si="18"/>
        <v>42455.97</v>
      </c>
      <c r="AB8" s="92">
        <f t="shared" si="19"/>
        <v>36892.800000000003</v>
      </c>
      <c r="AC8" s="234">
        <f t="shared" si="20"/>
        <v>1.3203588680467353E-2</v>
      </c>
      <c r="AD8" s="92">
        <f t="shared" si="21"/>
        <v>4926.8099999999995</v>
      </c>
      <c r="AE8" s="93">
        <v>16068.25</v>
      </c>
      <c r="AF8" s="234">
        <f t="shared" si="22"/>
        <v>0.37846856402056056</v>
      </c>
      <c r="AG8" s="93">
        <v>3577.8599999999997</v>
      </c>
      <c r="AH8" s="93"/>
      <c r="AI8" s="93">
        <v>2679</v>
      </c>
      <c r="AJ8" s="93"/>
      <c r="AK8" s="93"/>
      <c r="AL8" s="122">
        <f t="shared" si="6"/>
        <v>92.44627209131076</v>
      </c>
      <c r="AM8" s="93">
        <v>0</v>
      </c>
      <c r="AN8" s="94">
        <f t="shared" si="23"/>
        <v>1603.640367</v>
      </c>
      <c r="AO8" s="95">
        <f t="shared" si="25"/>
        <v>13507.963360908692</v>
      </c>
      <c r="AP8" s="96"/>
      <c r="AQ8" s="97">
        <f t="shared" si="7"/>
        <v>1463.9989655172415</v>
      </c>
      <c r="AR8" s="98">
        <f t="shared" si="8"/>
        <v>169.89</v>
      </c>
      <c r="AS8" s="98">
        <f t="shared" si="9"/>
        <v>554.07758620689651</v>
      </c>
      <c r="AT8" s="98">
        <f t="shared" si="10"/>
        <v>123.37448275862067</v>
      </c>
      <c r="AU8" s="98">
        <f t="shared" si="24"/>
        <v>92.379310344827587</v>
      </c>
      <c r="AV8" s="98">
        <f t="array" ref="AV8">_xlfn.IFS(U8=0,AO8,U8&lt;0,AO8/-U8,U8&gt;0,AO8/U8)</f>
        <v>465.79184003133423</v>
      </c>
      <c r="AW8" s="234">
        <f>IF(AQ8=0,0,AV8/AQ8)</f>
        <v>0.3181640499771573</v>
      </c>
      <c r="AX8" s="234">
        <f>IF(AR8=0,0,AV8/AR8)</f>
        <v>2.7417260582219924</v>
      </c>
      <c r="AY8" s="99"/>
      <c r="AZ8" s="94">
        <f t="shared" si="13"/>
        <v>79184.612805326818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9564</v>
      </c>
      <c r="F9" s="93">
        <v>233</v>
      </c>
      <c r="G9" s="93">
        <v>95</v>
      </c>
      <c r="H9" s="93">
        <v>559</v>
      </c>
      <c r="I9" s="93">
        <v>0</v>
      </c>
      <c r="J9" s="93">
        <v>8677</v>
      </c>
      <c r="K9" s="92">
        <v>123.09</v>
      </c>
      <c r="L9" s="92">
        <f>E9*K9</f>
        <v>1177232.76</v>
      </c>
      <c r="M9" s="89">
        <v>11</v>
      </c>
      <c r="N9" s="89">
        <v>328</v>
      </c>
      <c r="O9" s="89">
        <v>1685</v>
      </c>
      <c r="P9" s="89">
        <v>50</v>
      </c>
      <c r="Q9" s="233">
        <f t="shared" si="14"/>
        <v>46.857142857142854</v>
      </c>
      <c r="R9" s="92">
        <f t="shared" si="15"/>
        <v>25.714285714285715</v>
      </c>
      <c r="S9" s="93">
        <v>188</v>
      </c>
      <c r="T9" s="93">
        <v>-8</v>
      </c>
      <c r="U9" s="92">
        <f t="shared" si="16"/>
        <v>180</v>
      </c>
      <c r="V9" s="93">
        <v>211018.37</v>
      </c>
      <c r="W9" s="93">
        <v>-9004.74</v>
      </c>
      <c r="X9" s="92">
        <f t="shared" si="17"/>
        <v>202013.63</v>
      </c>
      <c r="Y9" s="93">
        <v>316780.42000000004</v>
      </c>
      <c r="Z9" s="93">
        <v>-13479.69</v>
      </c>
      <c r="AA9" s="92">
        <f t="shared" si="18"/>
        <v>303300.73000000004</v>
      </c>
      <c r="AB9" s="92">
        <f t="shared" si="19"/>
        <v>276340</v>
      </c>
      <c r="AC9" s="234">
        <f t="shared" si="20"/>
        <v>9.4324969737011904E-2</v>
      </c>
      <c r="AD9" s="92">
        <f t="shared" si="21"/>
        <v>22156.2</v>
      </c>
      <c r="AE9" s="93">
        <v>114894.08000000016</v>
      </c>
      <c r="AF9" s="234">
        <f t="shared" si="22"/>
        <v>0.37881240839743496</v>
      </c>
      <c r="AG9" s="93">
        <v>29387.33999999984</v>
      </c>
      <c r="AH9" s="93"/>
      <c r="AI9" s="93">
        <v>31014</v>
      </c>
      <c r="AJ9" s="93"/>
      <c r="AK9" s="93"/>
      <c r="AL9" s="122">
        <f t="shared" si="6"/>
        <v>469.79514635493371</v>
      </c>
      <c r="AM9" s="93">
        <v>0</v>
      </c>
      <c r="AN9" s="94">
        <f t="shared" si="23"/>
        <v>11534.978273000001</v>
      </c>
      <c r="AO9" s="95">
        <f t="shared" si="25"/>
        <v>93844.336580645075</v>
      </c>
      <c r="AP9" s="96"/>
      <c r="AQ9" s="97">
        <f t="shared" si="7"/>
        <v>1685.0040555555559</v>
      </c>
      <c r="AR9" s="98">
        <f t="shared" si="8"/>
        <v>123.09</v>
      </c>
      <c r="AS9" s="98">
        <f t="shared" si="9"/>
        <v>638.30044444444536</v>
      </c>
      <c r="AT9" s="98">
        <f t="shared" si="10"/>
        <v>156.31563829787149</v>
      </c>
      <c r="AU9" s="98">
        <f t="shared" si="24"/>
        <v>164.96808510638297</v>
      </c>
      <c r="AV9" s="98">
        <f t="array" ref="AV9">_xlfn.IFS(U9=0,AO9,U9&lt;0,AO9/-U9,U9&gt;0,AO9/U9)</f>
        <v>521.35742544802815</v>
      </c>
      <c r="AW9" s="234">
        <f>IF(AQ9=0,0,AV9/AQ9)</f>
        <v>0.30941019027763322</v>
      </c>
      <c r="AX9" s="234">
        <f>IF(AR9=0,0,AV9/AR9)</f>
        <v>4.2355790514910074</v>
      </c>
      <c r="AY9" s="99"/>
      <c r="AZ9" s="94">
        <f t="shared" si="13"/>
        <v>4986262.4169849409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7873</v>
      </c>
      <c r="F10" s="93">
        <v>172</v>
      </c>
      <c r="G10" s="93">
        <v>59</v>
      </c>
      <c r="H10" s="93">
        <v>584</v>
      </c>
      <c r="I10" s="93">
        <v>0</v>
      </c>
      <c r="J10" s="93">
        <v>7058</v>
      </c>
      <c r="K10" s="92">
        <v>123.09</v>
      </c>
      <c r="L10" s="92">
        <f>E10*K10</f>
        <v>969087.57000000007</v>
      </c>
      <c r="M10" s="89">
        <v>21</v>
      </c>
      <c r="N10" s="89">
        <v>263</v>
      </c>
      <c r="O10" s="89">
        <v>1388</v>
      </c>
      <c r="P10" s="89">
        <v>56</v>
      </c>
      <c r="Q10" s="233">
        <f t="shared" si="14"/>
        <v>37.571428571428569</v>
      </c>
      <c r="R10" s="92">
        <f t="shared" si="15"/>
        <v>21.857142857142858</v>
      </c>
      <c r="S10" s="93">
        <v>154</v>
      </c>
      <c r="T10" s="93">
        <v>-1</v>
      </c>
      <c r="U10" s="92">
        <f t="shared" si="16"/>
        <v>153</v>
      </c>
      <c r="V10" s="93">
        <v>140815.1</v>
      </c>
      <c r="W10" s="93">
        <v>-924</v>
      </c>
      <c r="X10" s="92">
        <f t="shared" si="17"/>
        <v>139891.1</v>
      </c>
      <c r="Y10" s="93">
        <v>212477.07999999993</v>
      </c>
      <c r="Z10" s="93">
        <v>-1346.36</v>
      </c>
      <c r="AA10" s="92">
        <f t="shared" si="18"/>
        <v>211130.71999999994</v>
      </c>
      <c r="AB10" s="92">
        <f t="shared" si="19"/>
        <v>204424.64</v>
      </c>
      <c r="AC10" s="234">
        <f t="shared" si="20"/>
        <v>6.5660569872527261E-2</v>
      </c>
      <c r="AD10" s="92">
        <f t="shared" si="21"/>
        <v>18832.77</v>
      </c>
      <c r="AE10" s="93">
        <v>79898.259999999922</v>
      </c>
      <c r="AF10" s="234">
        <f t="shared" si="22"/>
        <v>0.37843029190635991</v>
      </c>
      <c r="AG10" s="93">
        <v>19546.76999999999</v>
      </c>
      <c r="AH10" s="93"/>
      <c r="AI10" s="93">
        <v>26704</v>
      </c>
      <c r="AJ10" s="93"/>
      <c r="AK10" s="93"/>
      <c r="AL10" s="122">
        <f t="shared" si="6"/>
        <v>490.80566273932249</v>
      </c>
      <c r="AM10" s="93">
        <v>40</v>
      </c>
      <c r="AN10" s="94">
        <f t="shared" si="23"/>
        <v>7987.7818100000004</v>
      </c>
      <c r="AO10" s="95">
        <f t="shared" si="25"/>
        <v>57630.332527260718</v>
      </c>
      <c r="AP10" s="96"/>
      <c r="AQ10" s="97">
        <f t="shared" si="7"/>
        <v>1379.9393464052284</v>
      </c>
      <c r="AR10" s="98">
        <f t="shared" si="8"/>
        <v>123.09</v>
      </c>
      <c r="AS10" s="98">
        <f t="shared" si="9"/>
        <v>522.21084967320212</v>
      </c>
      <c r="AT10" s="98">
        <f t="shared" si="10"/>
        <v>126.92707792207786</v>
      </c>
      <c r="AU10" s="98">
        <f t="shared" si="24"/>
        <v>173.40259740259739</v>
      </c>
      <c r="AV10" s="98">
        <f t="array" ref="AV10">_xlfn.IFS(U10=0,AO10,U10&lt;0,AO10/-U10,U10&gt;0,AO10/U10)</f>
        <v>376.66884004745566</v>
      </c>
      <c r="AW10" s="234">
        <f>IF(AQ10=0,0,AV10/AQ10)</f>
        <v>0.27296043194121977</v>
      </c>
      <c r="AX10" s="234">
        <f>IF(AR10=0,0,AV10/AR10)</f>
        <v>3.0601091887842689</v>
      </c>
      <c r="AY10" s="99"/>
      <c r="AZ10" s="94">
        <f t="shared" si="13"/>
        <v>2965513.7776936186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783</v>
      </c>
      <c r="F11" s="93">
        <v>94</v>
      </c>
      <c r="G11" s="93">
        <v>30</v>
      </c>
      <c r="H11" s="93">
        <v>217</v>
      </c>
      <c r="I11" s="93">
        <v>0</v>
      </c>
      <c r="J11" s="93">
        <v>442</v>
      </c>
      <c r="K11" s="92">
        <v>123.09</v>
      </c>
      <c r="L11" s="92">
        <f t="shared" ref="L11" si="31">E11*K11</f>
        <v>96379.47</v>
      </c>
      <c r="M11" s="89">
        <v>13</v>
      </c>
      <c r="N11" s="89">
        <v>156</v>
      </c>
      <c r="O11" s="89">
        <v>1343</v>
      </c>
      <c r="P11" s="89">
        <v>54</v>
      </c>
      <c r="Q11" s="233">
        <f t="shared" si="14"/>
        <v>22.285714285714285</v>
      </c>
      <c r="R11" s="92">
        <f t="shared" si="15"/>
        <v>12.142857142857142</v>
      </c>
      <c r="S11" s="93">
        <v>88</v>
      </c>
      <c r="T11" s="93">
        <v>-3</v>
      </c>
      <c r="U11" s="92">
        <f t="shared" si="16"/>
        <v>85</v>
      </c>
      <c r="V11" s="93">
        <v>78105.38</v>
      </c>
      <c r="W11" s="93">
        <v>-2672</v>
      </c>
      <c r="X11" s="92">
        <f t="shared" si="17"/>
        <v>75433.38</v>
      </c>
      <c r="Y11" s="93">
        <v>118146.93</v>
      </c>
      <c r="Z11" s="93">
        <v>-4029</v>
      </c>
      <c r="AA11" s="92">
        <f t="shared" si="18"/>
        <v>114117.93</v>
      </c>
      <c r="AB11" s="92">
        <f t="shared" si="19"/>
        <v>113134.32</v>
      </c>
      <c r="AC11" s="234">
        <f t="shared" si="20"/>
        <v>3.5490090293222969E-2</v>
      </c>
      <c r="AD11" s="92">
        <f t="shared" si="21"/>
        <v>10462.65</v>
      </c>
      <c r="AE11" s="93">
        <v>42891.02</v>
      </c>
      <c r="AF11" s="234">
        <f t="shared" si="22"/>
        <v>0.37584821245881345</v>
      </c>
      <c r="AG11" s="93">
        <v>11012.570000000003</v>
      </c>
      <c r="AH11" s="93"/>
      <c r="AI11" s="93">
        <v>14224</v>
      </c>
      <c r="AJ11" s="93"/>
      <c r="AK11" s="93"/>
      <c r="AL11" s="122">
        <f t="shared" si="6"/>
        <v>182.37128221649482</v>
      </c>
      <c r="AM11" s="93">
        <v>0</v>
      </c>
      <c r="AN11" s="94">
        <f t="shared" si="23"/>
        <v>4307.2459980000003</v>
      </c>
      <c r="AO11" s="95">
        <f t="shared" si="25"/>
        <v>31038.072719783508</v>
      </c>
      <c r="AP11" s="96"/>
      <c r="AQ11" s="97">
        <f t="shared" si="7"/>
        <v>1342.5638823529412</v>
      </c>
      <c r="AR11" s="98">
        <f t="shared" si="8"/>
        <v>123.09</v>
      </c>
      <c r="AS11" s="98">
        <f t="shared" si="9"/>
        <v>504.60023529411762</v>
      </c>
      <c r="AT11" s="98">
        <f t="shared" si="10"/>
        <v>125.14284090909095</v>
      </c>
      <c r="AU11" s="98">
        <f t="shared" si="24"/>
        <v>161.63636363636363</v>
      </c>
      <c r="AV11" s="98">
        <f t="array" ref="AV11">_xlfn.IFS(U11=0,AO11,U11&lt;0,AO11/-U11,U11&gt;0,AO11/U11)</f>
        <v>365.15379670333539</v>
      </c>
      <c r="AW11" s="234">
        <f t="shared" ref="AW11:AW28" si="32">IF(AQ11=0,0,AV11/AQ11)</f>
        <v>0.27198243711381292</v>
      </c>
      <c r="AX11" s="234">
        <f t="shared" ref="AX11:AX28" si="33">IF(AR11=0,0,AV11/AR11)</f>
        <v>2.9665594012782139</v>
      </c>
      <c r="AY11" s="99"/>
      <c r="AZ11" s="94">
        <f t="shared" si="13"/>
        <v>285915.42281871161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6071</v>
      </c>
      <c r="F12" s="93">
        <v>120</v>
      </c>
      <c r="G12" s="93">
        <v>35</v>
      </c>
      <c r="H12" s="93">
        <v>452</v>
      </c>
      <c r="I12" s="93">
        <v>1</v>
      </c>
      <c r="J12" s="93">
        <v>5463</v>
      </c>
      <c r="K12" s="92">
        <v>117.24</v>
      </c>
      <c r="L12" s="92">
        <f>E12*K12</f>
        <v>711764.03999999992</v>
      </c>
      <c r="M12" s="89">
        <v>14</v>
      </c>
      <c r="N12" s="89">
        <v>160</v>
      </c>
      <c r="O12" s="89">
        <v>1378</v>
      </c>
      <c r="P12" s="89">
        <v>58</v>
      </c>
      <c r="Q12" s="233">
        <f t="shared" si="14"/>
        <v>22.857142857142858</v>
      </c>
      <c r="R12" s="92">
        <f t="shared" si="15"/>
        <v>15.428571428571429</v>
      </c>
      <c r="S12" s="93">
        <v>108</v>
      </c>
      <c r="T12" s="93">
        <v>0</v>
      </c>
      <c r="U12" s="92">
        <f t="shared" si="16"/>
        <v>108</v>
      </c>
      <c r="V12" s="93">
        <v>99348.900000000023</v>
      </c>
      <c r="W12" s="93">
        <v>0</v>
      </c>
      <c r="X12" s="92">
        <f t="shared" si="17"/>
        <v>99348.900000000023</v>
      </c>
      <c r="Y12" s="93">
        <v>148100.49000000005</v>
      </c>
      <c r="Z12" s="93">
        <v>0</v>
      </c>
      <c r="AA12" s="92">
        <f t="shared" si="18"/>
        <v>148100.49000000005</v>
      </c>
      <c r="AB12" s="92">
        <f t="shared" si="19"/>
        <v>127878.39999999999</v>
      </c>
      <c r="AC12" s="234">
        <f t="shared" si="20"/>
        <v>4.6058491970285192E-2</v>
      </c>
      <c r="AD12" s="92">
        <f t="shared" si="21"/>
        <v>12661.92</v>
      </c>
      <c r="AE12" s="93">
        <v>55895.73000000001</v>
      </c>
      <c r="AF12" s="234">
        <f t="shared" si="22"/>
        <v>0.37741758990804142</v>
      </c>
      <c r="AG12" s="93">
        <v>13795.190000000004</v>
      </c>
      <c r="AH12" s="93"/>
      <c r="AI12" s="93">
        <v>15955</v>
      </c>
      <c r="AJ12" s="93"/>
      <c r="AK12" s="93"/>
      <c r="AL12" s="122">
        <f t="shared" si="6"/>
        <v>379.87013622974962</v>
      </c>
      <c r="AM12" s="93">
        <v>0</v>
      </c>
      <c r="AN12" s="94">
        <f t="shared" si="23"/>
        <v>5672.8221900000008</v>
      </c>
      <c r="AO12" s="95">
        <f t="shared" si="25"/>
        <v>43739.957673770274</v>
      </c>
      <c r="AP12" s="96"/>
      <c r="AQ12" s="97">
        <f t="shared" si="7"/>
        <v>1371.3008333333337</v>
      </c>
      <c r="AR12" s="98">
        <f t="shared" si="8"/>
        <v>117.24</v>
      </c>
      <c r="AS12" s="98">
        <f t="shared" si="9"/>
        <v>517.5530555555556</v>
      </c>
      <c r="AT12" s="98">
        <f t="shared" si="10"/>
        <v>127.73324074074078</v>
      </c>
      <c r="AU12" s="98">
        <f t="shared" si="24"/>
        <v>147.7314814814815</v>
      </c>
      <c r="AV12" s="98">
        <f t="array" ref="AV12">_xlfn.IFS(U12=0,AO12,U12&lt;0,AO12/-U12,U12&gt;0,AO12/U12)</f>
        <v>404.99960809046547</v>
      </c>
      <c r="AW12" s="234">
        <f t="shared" si="32"/>
        <v>0.2953397228717492</v>
      </c>
      <c r="AX12" s="234">
        <f t="shared" si="33"/>
        <v>3.4544490625252942</v>
      </c>
      <c r="AY12" s="99"/>
      <c r="AZ12" s="94">
        <f t="shared" si="13"/>
        <v>2458752.6207172158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2562</v>
      </c>
      <c r="F13" s="93">
        <v>214</v>
      </c>
      <c r="G13" s="93">
        <v>63</v>
      </c>
      <c r="H13" s="93">
        <v>766</v>
      </c>
      <c r="I13" s="93">
        <v>1</v>
      </c>
      <c r="J13" s="93">
        <v>1518</v>
      </c>
      <c r="K13" s="92">
        <v>123.09</v>
      </c>
      <c r="L13" s="92">
        <f t="shared" ref="L13:L28" si="34">E13*K13</f>
        <v>315356.58</v>
      </c>
      <c r="M13" s="89">
        <v>16</v>
      </c>
      <c r="N13" s="89">
        <v>294</v>
      </c>
      <c r="O13" s="89">
        <v>1732</v>
      </c>
      <c r="P13" s="89">
        <v>60</v>
      </c>
      <c r="Q13" s="233">
        <f t="shared" si="14"/>
        <v>42</v>
      </c>
      <c r="R13" s="92">
        <f t="shared" si="15"/>
        <v>27.142857142857142</v>
      </c>
      <c r="S13" s="93">
        <v>193</v>
      </c>
      <c r="T13" s="93">
        <v>-3</v>
      </c>
      <c r="U13" s="92">
        <f t="shared" si="16"/>
        <v>190</v>
      </c>
      <c r="V13" s="93">
        <v>221900.32</v>
      </c>
      <c r="W13" s="93">
        <v>-3383</v>
      </c>
      <c r="X13" s="92">
        <f t="shared" si="17"/>
        <v>218517.32</v>
      </c>
      <c r="Y13" s="93">
        <v>332664.83000000013</v>
      </c>
      <c r="Z13" s="93">
        <v>-5196</v>
      </c>
      <c r="AA13" s="92">
        <f t="shared" si="18"/>
        <v>327468.83000000013</v>
      </c>
      <c r="AB13" s="92">
        <f t="shared" si="19"/>
        <v>305524.8</v>
      </c>
      <c r="AC13" s="234">
        <f t="shared" si="20"/>
        <v>0.10184112474626983</v>
      </c>
      <c r="AD13" s="92">
        <f t="shared" si="21"/>
        <v>23387.100000000002</v>
      </c>
      <c r="AE13" s="93">
        <v>123894.10999999993</v>
      </c>
      <c r="AF13" s="234">
        <f t="shared" si="22"/>
        <v>0.3783386345503475</v>
      </c>
      <c r="AG13" s="93">
        <v>26248.039999999939</v>
      </c>
      <c r="AH13" s="93"/>
      <c r="AI13" s="93">
        <v>39532</v>
      </c>
      <c r="AJ13" s="93"/>
      <c r="AK13" s="93"/>
      <c r="AL13" s="122">
        <f t="shared" si="6"/>
        <v>643.76222201767303</v>
      </c>
      <c r="AM13" s="93">
        <v>70</v>
      </c>
      <c r="AN13" s="94">
        <f t="shared" si="23"/>
        <v>12477.338972</v>
      </c>
      <c r="AO13" s="95">
        <f t="shared" si="25"/>
        <v>101216.47880598261</v>
      </c>
      <c r="AP13" s="96"/>
      <c r="AQ13" s="97">
        <f t="shared" si="7"/>
        <v>1723.5201578947376</v>
      </c>
      <c r="AR13" s="98">
        <f t="shared" si="8"/>
        <v>123.09</v>
      </c>
      <c r="AS13" s="98">
        <f t="shared" si="9"/>
        <v>652.07426315789439</v>
      </c>
      <c r="AT13" s="98">
        <f t="shared" si="10"/>
        <v>136.00020725388569</v>
      </c>
      <c r="AU13" s="98">
        <f t="shared" si="24"/>
        <v>204.82901554404145</v>
      </c>
      <c r="AV13" s="98">
        <f t="array" ref="AV13">_xlfn.IFS(U13=0,AO13,U13&lt;0,AO13/-U13,U13&gt;0,AO13/U13)</f>
        <v>532.71830950517165</v>
      </c>
      <c r="AW13" s="234">
        <f t="shared" si="32"/>
        <v>0.30908736811983772</v>
      </c>
      <c r="AX13" s="234">
        <f t="shared" si="33"/>
        <v>4.3278764278590591</v>
      </c>
      <c r="AY13" s="99"/>
      <c r="AZ13" s="94">
        <f t="shared" si="13"/>
        <v>1364824.3089522498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2097</v>
      </c>
      <c r="F14" s="93">
        <v>55</v>
      </c>
      <c r="G14" s="93">
        <v>15</v>
      </c>
      <c r="H14" s="93">
        <v>311</v>
      </c>
      <c r="I14" s="93">
        <v>2</v>
      </c>
      <c r="J14" s="93">
        <v>1714</v>
      </c>
      <c r="K14" s="92">
        <v>123.09</v>
      </c>
      <c r="L14" s="92">
        <f t="shared" si="34"/>
        <v>258119.73</v>
      </c>
      <c r="M14" s="89">
        <v>23</v>
      </c>
      <c r="N14" s="89">
        <v>72</v>
      </c>
      <c r="O14" s="89">
        <v>1324</v>
      </c>
      <c r="P14" s="89">
        <v>65</v>
      </c>
      <c r="Q14" s="233">
        <f t="shared" si="14"/>
        <v>10.285714285714286</v>
      </c>
      <c r="R14" s="92">
        <f t="shared" si="15"/>
        <v>7.4285714285714288</v>
      </c>
      <c r="S14" s="93">
        <v>53</v>
      </c>
      <c r="T14" s="93">
        <v>-1</v>
      </c>
      <c r="U14" s="92">
        <f t="shared" si="16"/>
        <v>52</v>
      </c>
      <c r="V14" s="93">
        <v>46469.560000000005</v>
      </c>
      <c r="W14" s="93">
        <v>-881</v>
      </c>
      <c r="X14" s="92">
        <f t="shared" si="17"/>
        <v>45588.560000000005</v>
      </c>
      <c r="Y14" s="93">
        <v>69849.759999999995</v>
      </c>
      <c r="Z14" s="93">
        <v>-1296</v>
      </c>
      <c r="AA14" s="92">
        <f t="shared" si="18"/>
        <v>68553.759999999995</v>
      </c>
      <c r="AB14" s="92">
        <f t="shared" si="19"/>
        <v>61963.199999999997</v>
      </c>
      <c r="AC14" s="234">
        <f t="shared" si="20"/>
        <v>2.1319867371761274E-2</v>
      </c>
      <c r="AD14" s="92">
        <f t="shared" si="21"/>
        <v>6400.68</v>
      </c>
      <c r="AE14" s="93">
        <v>25987.750000000015</v>
      </c>
      <c r="AF14" s="234">
        <f t="shared" si="22"/>
        <v>0.37908569858166813</v>
      </c>
      <c r="AG14" s="93">
        <v>5565.0899999999983</v>
      </c>
      <c r="AH14" s="93"/>
      <c r="AI14" s="93">
        <v>4093</v>
      </c>
      <c r="AJ14" s="93"/>
      <c r="AK14" s="93"/>
      <c r="AL14" s="122">
        <f t="shared" si="6"/>
        <v>261.37082382179676</v>
      </c>
      <c r="AM14" s="93">
        <v>0</v>
      </c>
      <c r="AN14" s="94">
        <f t="shared" si="23"/>
        <v>2603.1067760000001</v>
      </c>
      <c r="AO14" s="95">
        <f t="shared" si="25"/>
        <v>23642.762400178188</v>
      </c>
      <c r="AP14" s="96"/>
      <c r="AQ14" s="97">
        <f t="shared" si="7"/>
        <v>1318.3415384615384</v>
      </c>
      <c r="AR14" s="98">
        <f t="shared" si="8"/>
        <v>123.09</v>
      </c>
      <c r="AS14" s="98">
        <f t="shared" si="9"/>
        <v>499.76442307692338</v>
      </c>
      <c r="AT14" s="98">
        <f t="shared" si="10"/>
        <v>105.00169811320751</v>
      </c>
      <c r="AU14" s="98">
        <f t="shared" si="24"/>
        <v>77.226415094339629</v>
      </c>
      <c r="AV14" s="98">
        <f t="array" ref="AV14">_xlfn.IFS(U14=0,AO14,U14&lt;0,AO14/-U14,U14&gt;0,AO14/U14)</f>
        <v>454.66850769573438</v>
      </c>
      <c r="AW14" s="234">
        <f t="shared" si="32"/>
        <v>0.34487914886328902</v>
      </c>
      <c r="AX14" s="234">
        <f t="shared" si="33"/>
        <v>3.6937891599295991</v>
      </c>
      <c r="AY14" s="99"/>
      <c r="AZ14" s="94">
        <f t="shared" si="13"/>
        <v>953439.86063795502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4202</v>
      </c>
      <c r="F15" s="93">
        <v>52</v>
      </c>
      <c r="G15" s="93">
        <v>7</v>
      </c>
      <c r="H15" s="93">
        <v>389</v>
      </c>
      <c r="I15" s="93">
        <v>0</v>
      </c>
      <c r="J15" s="93">
        <v>3754</v>
      </c>
      <c r="K15" s="92">
        <v>123.09</v>
      </c>
      <c r="L15" s="92">
        <f t="shared" si="34"/>
        <v>517224.18</v>
      </c>
      <c r="M15" s="89">
        <v>39</v>
      </c>
      <c r="N15" s="89">
        <v>74</v>
      </c>
      <c r="O15" s="89">
        <v>1325</v>
      </c>
      <c r="P15" s="89">
        <v>66</v>
      </c>
      <c r="Q15" s="233">
        <f t="shared" si="14"/>
        <v>10.571428571428571</v>
      </c>
      <c r="R15" s="92">
        <f t="shared" si="15"/>
        <v>7</v>
      </c>
      <c r="S15" s="93">
        <v>49</v>
      </c>
      <c r="T15" s="93">
        <v>0</v>
      </c>
      <c r="U15" s="92">
        <f t="shared" si="16"/>
        <v>49</v>
      </c>
      <c r="V15" s="93">
        <v>43130.45</v>
      </c>
      <c r="W15" s="93">
        <v>0</v>
      </c>
      <c r="X15" s="92">
        <f t="shared" si="17"/>
        <v>43130.45</v>
      </c>
      <c r="Y15" s="93">
        <v>64926.270000000004</v>
      </c>
      <c r="Z15" s="93">
        <v>0</v>
      </c>
      <c r="AA15" s="92">
        <f t="shared" si="18"/>
        <v>64926.270000000004</v>
      </c>
      <c r="AB15" s="92">
        <f t="shared" si="19"/>
        <v>64713</v>
      </c>
      <c r="AC15" s="234">
        <f t="shared" si="20"/>
        <v>2.0191736607053545E-2</v>
      </c>
      <c r="AD15" s="92">
        <f t="shared" si="21"/>
        <v>6031.41</v>
      </c>
      <c r="AE15" s="93">
        <v>24485.87000000001</v>
      </c>
      <c r="AF15" s="234">
        <f t="shared" si="22"/>
        <v>0.37713347771248845</v>
      </c>
      <c r="AG15" s="93">
        <v>5399.5499999999993</v>
      </c>
      <c r="AH15" s="93">
        <v>160</v>
      </c>
      <c r="AI15" s="93">
        <v>4793</v>
      </c>
      <c r="AJ15" s="93"/>
      <c r="AK15" s="93"/>
      <c r="AL15" s="122">
        <f t="shared" si="6"/>
        <v>326.92363494108986</v>
      </c>
      <c r="AM15" s="93">
        <v>10</v>
      </c>
      <c r="AN15" s="94">
        <f t="shared" si="23"/>
        <v>2462.7486949999998</v>
      </c>
      <c r="AO15" s="95">
        <f t="shared" si="25"/>
        <v>21256.767670058904</v>
      </c>
      <c r="AP15" s="96"/>
      <c r="AQ15" s="97">
        <f t="shared" si="7"/>
        <v>1325.025918367347</v>
      </c>
      <c r="AR15" s="98">
        <f t="shared" si="8"/>
        <v>123.09</v>
      </c>
      <c r="AS15" s="98">
        <f t="shared" si="9"/>
        <v>499.71163265306143</v>
      </c>
      <c r="AT15" s="98">
        <f t="shared" si="10"/>
        <v>110.19489795918366</v>
      </c>
      <c r="AU15" s="98">
        <f t="shared" si="24"/>
        <v>101.08163265306122</v>
      </c>
      <c r="AV15" s="98">
        <f t="array" ref="AV15">_xlfn.IFS(U15=0,AO15,U15&lt;0,AO15/-U15,U15&gt;0,AO15/U15)</f>
        <v>433.81158510324292</v>
      </c>
      <c r="AW15" s="234">
        <f t="shared" si="32"/>
        <v>0.3273985656354339</v>
      </c>
      <c r="AX15" s="234">
        <f t="shared" si="33"/>
        <v>3.5243446673429433</v>
      </c>
      <c r="AY15" s="99"/>
      <c r="AZ15" s="94">
        <f t="shared" si="13"/>
        <v>1822876.2806038267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2526</v>
      </c>
      <c r="F16" s="93">
        <v>161</v>
      </c>
      <c r="G16" s="93">
        <v>30</v>
      </c>
      <c r="H16" s="93">
        <v>589</v>
      </c>
      <c r="I16" s="93">
        <v>2</v>
      </c>
      <c r="J16" s="93">
        <v>1744</v>
      </c>
      <c r="K16" s="92">
        <v>117.24</v>
      </c>
      <c r="L16" s="92">
        <f t="shared" si="34"/>
        <v>296148.24</v>
      </c>
      <c r="M16" s="89">
        <v>16</v>
      </c>
      <c r="N16" s="89">
        <v>201</v>
      </c>
      <c r="O16" s="89">
        <v>1513</v>
      </c>
      <c r="P16" s="89">
        <v>72</v>
      </c>
      <c r="Q16" s="233">
        <f t="shared" si="14"/>
        <v>28.714285714285715</v>
      </c>
      <c r="R16" s="92">
        <f t="shared" si="15"/>
        <v>21</v>
      </c>
      <c r="S16" s="93">
        <v>150</v>
      </c>
      <c r="T16" s="93">
        <v>-3</v>
      </c>
      <c r="U16" s="92">
        <f t="shared" si="16"/>
        <v>147</v>
      </c>
      <c r="V16" s="93">
        <v>151057.01999999999</v>
      </c>
      <c r="W16" s="93">
        <v>-2986</v>
      </c>
      <c r="X16" s="92">
        <f t="shared" si="17"/>
        <v>148071.01999999999</v>
      </c>
      <c r="Y16" s="93">
        <v>226837.69</v>
      </c>
      <c r="Z16" s="93">
        <v>-4539</v>
      </c>
      <c r="AA16" s="92">
        <f t="shared" si="18"/>
        <v>222298.69</v>
      </c>
      <c r="AB16" s="92">
        <f t="shared" si="19"/>
        <v>218961.36</v>
      </c>
      <c r="AC16" s="234">
        <f t="shared" si="20"/>
        <v>6.9133751200755059E-2</v>
      </c>
      <c r="AD16" s="92">
        <f t="shared" si="21"/>
        <v>17234.28</v>
      </c>
      <c r="AE16" s="93">
        <v>84024.23000000004</v>
      </c>
      <c r="AF16" s="234">
        <f t="shared" si="22"/>
        <v>0.37797897054634033</v>
      </c>
      <c r="AG16" s="93">
        <v>15159.579999999996</v>
      </c>
      <c r="AH16" s="93"/>
      <c r="AI16" s="93">
        <v>13487</v>
      </c>
      <c r="AJ16" s="93"/>
      <c r="AK16" s="93"/>
      <c r="AL16" s="122">
        <f t="shared" si="6"/>
        <v>495.00776601620032</v>
      </c>
      <c r="AM16" s="93">
        <v>1553</v>
      </c>
      <c r="AN16" s="94">
        <f t="shared" si="23"/>
        <v>8454.8552419999996</v>
      </c>
      <c r="AO16" s="95">
        <f t="shared" si="25"/>
        <v>81890.736991983751</v>
      </c>
      <c r="AP16" s="96"/>
      <c r="AQ16" s="97">
        <f t="shared" si="7"/>
        <v>1512.2359863945578</v>
      </c>
      <c r="AR16" s="98">
        <f t="shared" si="8"/>
        <v>117.24</v>
      </c>
      <c r="AS16" s="98">
        <f t="shared" si="9"/>
        <v>571.59340136054448</v>
      </c>
      <c r="AT16" s="98">
        <f t="shared" si="10"/>
        <v>101.06386666666664</v>
      </c>
      <c r="AU16" s="98">
        <f t="shared" si="24"/>
        <v>89.913333333333327</v>
      </c>
      <c r="AV16" s="98">
        <f t="array" ref="AV16">_xlfn.IFS(U16=0,AO16,U16&lt;0,AO16/-U16,U16&gt;0,AO16/U16)</f>
        <v>557.07984348288267</v>
      </c>
      <c r="AW16" s="234">
        <f t="shared" si="32"/>
        <v>0.36838155452910565</v>
      </c>
      <c r="AX16" s="234">
        <f t="shared" si="33"/>
        <v>4.7516192722866144</v>
      </c>
      <c r="AY16" s="99"/>
      <c r="AZ16" s="94">
        <f t="shared" si="13"/>
        <v>1407183.6846377617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1556</v>
      </c>
      <c r="F17" s="93">
        <v>32</v>
      </c>
      <c r="G17" s="93">
        <v>10</v>
      </c>
      <c r="H17" s="93">
        <v>50</v>
      </c>
      <c r="I17" s="93">
        <v>1</v>
      </c>
      <c r="J17" s="93">
        <v>1463</v>
      </c>
      <c r="K17" s="93">
        <v>123.09</v>
      </c>
      <c r="L17" s="92">
        <f t="shared" si="34"/>
        <v>191528.04</v>
      </c>
      <c r="M17" s="89">
        <v>24</v>
      </c>
      <c r="N17" s="89">
        <v>55</v>
      </c>
      <c r="O17" s="89">
        <v>1480</v>
      </c>
      <c r="P17" s="89">
        <v>54</v>
      </c>
      <c r="Q17" s="233">
        <f t="shared" si="14"/>
        <v>7.8571428571428568</v>
      </c>
      <c r="R17" s="92">
        <f t="shared" si="15"/>
        <v>4.1428571428571432</v>
      </c>
      <c r="S17" s="93">
        <v>29</v>
      </c>
      <c r="T17" s="93">
        <v>0</v>
      </c>
      <c r="U17" s="92">
        <f t="shared" si="16"/>
        <v>29</v>
      </c>
      <c r="V17" s="93">
        <v>28098.76</v>
      </c>
      <c r="W17" s="93">
        <v>0</v>
      </c>
      <c r="X17" s="92">
        <f t="shared" si="17"/>
        <v>28098.76</v>
      </c>
      <c r="Y17" s="93">
        <v>42664.11</v>
      </c>
      <c r="Z17" s="93">
        <v>0</v>
      </c>
      <c r="AA17" s="92">
        <f t="shared" si="18"/>
        <v>42664.11</v>
      </c>
      <c r="AB17" s="92">
        <f t="shared" si="19"/>
        <v>43956</v>
      </c>
      <c r="AC17" s="234">
        <f t="shared" si="20"/>
        <v>1.3268319151775686E-2</v>
      </c>
      <c r="AD17" s="92">
        <f t="shared" si="21"/>
        <v>3569.61</v>
      </c>
      <c r="AE17" s="93">
        <v>16135.41</v>
      </c>
      <c r="AF17" s="234">
        <f t="shared" si="22"/>
        <v>0.37819633410845788</v>
      </c>
      <c r="AG17" s="93">
        <v>3947.38</v>
      </c>
      <c r="AH17" s="93"/>
      <c r="AI17" s="93">
        <v>5098</v>
      </c>
      <c r="AJ17" s="93"/>
      <c r="AK17" s="93"/>
      <c r="AL17" s="122">
        <f t="shared" si="6"/>
        <v>42.021032768777616</v>
      </c>
      <c r="AM17" s="93">
        <v>0</v>
      </c>
      <c r="AN17" s="94">
        <f t="shared" si="23"/>
        <v>1604.4391959999998</v>
      </c>
      <c r="AO17" s="95">
        <f t="shared" si="25"/>
        <v>12267.249771231222</v>
      </c>
      <c r="AP17" s="96"/>
      <c r="AQ17" s="97">
        <f t="shared" si="7"/>
        <v>1471.1762068965518</v>
      </c>
      <c r="AR17" s="98">
        <f t="shared" si="8"/>
        <v>123.09</v>
      </c>
      <c r="AS17" s="98">
        <f t="shared" si="9"/>
        <v>556.39344827586206</v>
      </c>
      <c r="AT17" s="98">
        <f t="shared" si="10"/>
        <v>136.11655172413793</v>
      </c>
      <c r="AU17" s="98">
        <f t="shared" si="24"/>
        <v>175.79310344827587</v>
      </c>
      <c r="AV17" s="98">
        <f t="array" ref="AV17">_xlfn.IFS(U17=0,AO17,U17&lt;0,AO17/-U17,U17&gt;0,AO17/U17)</f>
        <v>423.00861280107659</v>
      </c>
      <c r="AW17" s="234">
        <f t="shared" si="32"/>
        <v>0.28753089590363473</v>
      </c>
      <c r="AX17" s="234">
        <f t="shared" si="33"/>
        <v>3.4365798424004921</v>
      </c>
      <c r="AY17" s="99"/>
      <c r="AZ17" s="94">
        <f t="shared" si="13"/>
        <v>658201.40151847515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1430</v>
      </c>
      <c r="F18" s="93">
        <v>36</v>
      </c>
      <c r="G18" s="93">
        <v>16</v>
      </c>
      <c r="H18" s="93">
        <v>372</v>
      </c>
      <c r="I18" s="93">
        <v>2</v>
      </c>
      <c r="J18" s="93">
        <v>1004</v>
      </c>
      <c r="K18" s="93">
        <v>123.09</v>
      </c>
      <c r="L18" s="92">
        <f t="shared" si="34"/>
        <v>176018.7</v>
      </c>
      <c r="M18" s="89">
        <v>36</v>
      </c>
      <c r="N18" s="89">
        <v>47</v>
      </c>
      <c r="O18" s="89">
        <v>1839</v>
      </c>
      <c r="P18" s="89">
        <v>38</v>
      </c>
      <c r="Q18" s="233">
        <f t="shared" si="14"/>
        <v>6.7142857142857144</v>
      </c>
      <c r="R18" s="92">
        <f t="shared" si="15"/>
        <v>3.2857142857142856</v>
      </c>
      <c r="S18" s="93">
        <v>24</v>
      </c>
      <c r="T18" s="93">
        <v>-1</v>
      </c>
      <c r="U18" s="92">
        <f t="shared" si="16"/>
        <v>23</v>
      </c>
      <c r="V18" s="93">
        <v>29309.46</v>
      </c>
      <c r="W18" s="93">
        <v>-1316.54</v>
      </c>
      <c r="X18" s="92">
        <f t="shared" si="17"/>
        <v>27992.92</v>
      </c>
      <c r="Y18" s="93">
        <v>43836.83</v>
      </c>
      <c r="Z18" s="93">
        <v>-1840.17</v>
      </c>
      <c r="AA18" s="92">
        <f t="shared" si="18"/>
        <v>41996.66</v>
      </c>
      <c r="AB18" s="92">
        <f t="shared" si="19"/>
        <v>32844.54</v>
      </c>
      <c r="AC18" s="234">
        <f t="shared" si="20"/>
        <v>1.3060745628787567E-2</v>
      </c>
      <c r="AD18" s="92">
        <f t="shared" si="21"/>
        <v>2831.07</v>
      </c>
      <c r="AE18" s="93">
        <v>15888.180000000004</v>
      </c>
      <c r="AF18" s="234">
        <f t="shared" si="22"/>
        <v>0.37832008545441476</v>
      </c>
      <c r="AG18" s="93">
        <v>4576.9399999999996</v>
      </c>
      <c r="AH18" s="93"/>
      <c r="AI18" s="93">
        <v>4768</v>
      </c>
      <c r="AJ18" s="93"/>
      <c r="AK18" s="93"/>
      <c r="AL18" s="122">
        <f t="shared" si="6"/>
        <v>312.63648379970545</v>
      </c>
      <c r="AM18" s="93">
        <v>0</v>
      </c>
      <c r="AN18" s="94">
        <f t="shared" si="23"/>
        <v>1598.395732</v>
      </c>
      <c r="AO18" s="95">
        <f t="shared" si="25"/>
        <v>12021.437784200294</v>
      </c>
      <c r="AP18" s="96"/>
      <c r="AQ18" s="97">
        <f t="shared" si="7"/>
        <v>1825.9417391304348</v>
      </c>
      <c r="AR18" s="98">
        <f t="shared" si="8"/>
        <v>123.09</v>
      </c>
      <c r="AS18" s="98">
        <f t="shared" si="9"/>
        <v>690.79043478260883</v>
      </c>
      <c r="AT18" s="98">
        <f t="shared" si="10"/>
        <v>190.70583333333332</v>
      </c>
      <c r="AU18" s="98">
        <f t="shared" si="24"/>
        <v>198.66666666666666</v>
      </c>
      <c r="AV18" s="98">
        <f t="array" ref="AV18">_xlfn.IFS(U18=0,AO18,U18&lt;0,AO18/-U18,U18&gt;0,AO18/U18)</f>
        <v>522.67120800870839</v>
      </c>
      <c r="AW18" s="234">
        <f t="shared" si="32"/>
        <v>0.2862474726371167</v>
      </c>
      <c r="AX18" s="234">
        <f t="shared" si="33"/>
        <v>4.2462524007531757</v>
      </c>
      <c r="AY18" s="99"/>
      <c r="AZ18" s="94">
        <f t="shared" si="13"/>
        <v>747419.82745245297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294</v>
      </c>
      <c r="F20" s="93">
        <v>4</v>
      </c>
      <c r="G20" s="93">
        <v>1</v>
      </c>
      <c r="H20" s="93">
        <v>137</v>
      </c>
      <c r="I20" s="93">
        <v>1</v>
      </c>
      <c r="J20" s="93">
        <v>151</v>
      </c>
      <c r="K20" s="93">
        <v>117.24</v>
      </c>
      <c r="L20" s="92">
        <f t="shared" si="34"/>
        <v>34468.559999999998</v>
      </c>
      <c r="M20" s="89">
        <v>63</v>
      </c>
      <c r="N20" s="89">
        <v>9</v>
      </c>
      <c r="O20" s="89">
        <v>1201</v>
      </c>
      <c r="P20" s="89">
        <v>88</v>
      </c>
      <c r="Q20" s="233">
        <f t="shared" si="14"/>
        <v>1.2857142857142858</v>
      </c>
      <c r="R20" s="92">
        <f t="shared" si="15"/>
        <v>1.4285714285714286</v>
      </c>
      <c r="S20" s="93">
        <v>10</v>
      </c>
      <c r="T20" s="93">
        <v>0</v>
      </c>
      <c r="U20" s="92">
        <f t="shared" si="16"/>
        <v>10</v>
      </c>
      <c r="V20" s="93">
        <v>8435.9500000000007</v>
      </c>
      <c r="W20" s="93">
        <v>0</v>
      </c>
      <c r="X20" s="92">
        <f t="shared" si="17"/>
        <v>8435.9500000000007</v>
      </c>
      <c r="Y20" s="93">
        <v>12094.789999999999</v>
      </c>
      <c r="Z20" s="93">
        <v>0</v>
      </c>
      <c r="AA20" s="92">
        <f t="shared" si="18"/>
        <v>12094.789999999999</v>
      </c>
      <c r="AB20" s="92">
        <f t="shared" si="19"/>
        <v>9511.92</v>
      </c>
      <c r="AC20" s="234">
        <f t="shared" si="20"/>
        <v>3.7614175894845818E-3</v>
      </c>
      <c r="AD20" s="92">
        <f t="shared" si="21"/>
        <v>1172.3999999999999</v>
      </c>
      <c r="AE20" s="93">
        <v>4587.41</v>
      </c>
      <c r="AF20" s="234">
        <f t="shared" si="22"/>
        <v>0.37928810669718122</v>
      </c>
      <c r="AG20" s="93">
        <v>845.03999999999985</v>
      </c>
      <c r="AH20" s="93"/>
      <c r="AI20" s="93">
        <v>919</v>
      </c>
      <c r="AJ20" s="93"/>
      <c r="AK20" s="93"/>
      <c r="AL20" s="122">
        <f t="shared" si="6"/>
        <v>115.13762978645066</v>
      </c>
      <c r="AM20" s="93">
        <v>0</v>
      </c>
      <c r="AN20" s="94">
        <f t="shared" si="23"/>
        <v>481.692745</v>
      </c>
      <c r="AO20" s="95">
        <f t="shared" si="25"/>
        <v>3974.109625213549</v>
      </c>
      <c r="AP20" s="96"/>
      <c r="AQ20" s="97">
        <f t="shared" si="7"/>
        <v>1209.4789999999998</v>
      </c>
      <c r="AR20" s="98">
        <f>K20</f>
        <v>117.24</v>
      </c>
      <c r="AS20" s="98">
        <f t="shared" si="9"/>
        <v>458.74099999999999</v>
      </c>
      <c r="AT20" s="98">
        <f t="shared" si="10"/>
        <v>84.503999999999991</v>
      </c>
      <c r="AU20" s="98">
        <f t="shared" si="24"/>
        <v>91.9</v>
      </c>
      <c r="AV20" s="98">
        <f t="array" ref="AV20">_xlfn.IFS(U20=0,AO20,U20&lt;0,AO20/-U20,U20&gt;0,AO20/U20)</f>
        <v>397.41096252135492</v>
      </c>
      <c r="AW20" s="234">
        <f t="shared" si="32"/>
        <v>0.32858029161428598</v>
      </c>
      <c r="AX20" s="234">
        <f t="shared" si="33"/>
        <v>3.3897216182305949</v>
      </c>
      <c r="AY20" s="99"/>
      <c r="AZ20" s="94">
        <f t="shared" si="13"/>
        <v>116838.82298127834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299</v>
      </c>
      <c r="F21" s="93">
        <v>4</v>
      </c>
      <c r="G21" s="93">
        <v>2</v>
      </c>
      <c r="H21" s="93">
        <v>135</v>
      </c>
      <c r="I21" s="93">
        <v>1</v>
      </c>
      <c r="J21" s="93">
        <v>157</v>
      </c>
      <c r="K21" s="93">
        <v>117.24</v>
      </c>
      <c r="L21" s="92">
        <f t="shared" si="34"/>
        <v>35054.76</v>
      </c>
      <c r="M21" s="89">
        <v>78</v>
      </c>
      <c r="N21" s="89">
        <v>5</v>
      </c>
      <c r="O21" s="89">
        <v>1201</v>
      </c>
      <c r="P21" s="89">
        <v>100</v>
      </c>
      <c r="Q21" s="233">
        <f t="shared" si="14"/>
        <v>0.7142857142857143</v>
      </c>
      <c r="R21" s="92">
        <f t="shared" si="15"/>
        <v>0.7142857142857143</v>
      </c>
      <c r="S21" s="93">
        <v>6</v>
      </c>
      <c r="T21" s="93">
        <v>-1</v>
      </c>
      <c r="U21" s="92">
        <f t="shared" si="16"/>
        <v>5</v>
      </c>
      <c r="V21" s="93">
        <v>4908.5599999999995</v>
      </c>
      <c r="W21" s="93">
        <v>-850</v>
      </c>
      <c r="X21" s="92">
        <f t="shared" si="17"/>
        <v>4058.5599999999995</v>
      </c>
      <c r="Y21" s="93">
        <v>7052.42</v>
      </c>
      <c r="Z21" s="93">
        <v>-1257</v>
      </c>
      <c r="AA21" s="92">
        <f t="shared" si="18"/>
        <v>5795.42</v>
      </c>
      <c r="AB21" s="92">
        <f t="shared" si="19"/>
        <v>6005</v>
      </c>
      <c r="AC21" s="234">
        <f t="shared" si="20"/>
        <v>1.8023458635040986E-3</v>
      </c>
      <c r="AD21" s="92">
        <f t="shared" si="21"/>
        <v>586.19999999999993</v>
      </c>
      <c r="AE21" s="93">
        <v>2181.4699999999998</v>
      </c>
      <c r="AF21" s="234">
        <f t="shared" si="22"/>
        <v>0.37641275351915821</v>
      </c>
      <c r="AG21" s="93">
        <v>645.40999999999985</v>
      </c>
      <c r="AH21" s="93"/>
      <c r="AI21" s="93">
        <v>875</v>
      </c>
      <c r="AJ21" s="93"/>
      <c r="AK21" s="93"/>
      <c r="AL21" s="122">
        <f t="shared" si="6"/>
        <v>113.45678847569957</v>
      </c>
      <c r="AM21" s="93">
        <v>0</v>
      </c>
      <c r="AN21" s="94">
        <f t="shared" si="23"/>
        <v>231.74377599999997</v>
      </c>
      <c r="AO21" s="95">
        <f t="shared" si="25"/>
        <v>1162.139435524301</v>
      </c>
      <c r="AP21" s="96"/>
      <c r="AQ21" s="97">
        <f t="shared" si="7"/>
        <v>1159.0840000000001</v>
      </c>
      <c r="AR21" s="98">
        <f t="shared" ref="AR21:AR98" si="35">K21</f>
        <v>117.24</v>
      </c>
      <c r="AS21" s="98">
        <f t="shared" si="9"/>
        <v>436.29399999999998</v>
      </c>
      <c r="AT21" s="98">
        <f t="shared" si="10"/>
        <v>107.56833333333331</v>
      </c>
      <c r="AU21" s="98">
        <f t="shared" si="24"/>
        <v>145.83333333333334</v>
      </c>
      <c r="AV21" s="98">
        <f t="array" ref="AV21">_xlfn.IFS(U21=0,AO21,U21&lt;0,AO21/-U21,U21&gt;0,AO21/U21)</f>
        <v>232.42788710486019</v>
      </c>
      <c r="AW21" s="234">
        <f t="shared" si="32"/>
        <v>0.20052721554681124</v>
      </c>
      <c r="AX21" s="234">
        <f t="shared" si="33"/>
        <v>1.982496478205904</v>
      </c>
      <c r="AY21" s="99"/>
      <c r="AZ21" s="94">
        <f t="shared" si="13"/>
        <v>69495.938244353194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294</v>
      </c>
      <c r="F22" s="93">
        <v>8</v>
      </c>
      <c r="G22" s="93">
        <v>3</v>
      </c>
      <c r="H22" s="93">
        <v>125</v>
      </c>
      <c r="I22" s="93">
        <v>1</v>
      </c>
      <c r="J22" s="93">
        <v>157</v>
      </c>
      <c r="K22" s="93">
        <v>117.24</v>
      </c>
      <c r="L22" s="92">
        <f t="shared" si="34"/>
        <v>34468.559999999998</v>
      </c>
      <c r="M22" s="89">
        <v>47</v>
      </c>
      <c r="N22" s="89">
        <v>11</v>
      </c>
      <c r="O22" s="89">
        <v>1201</v>
      </c>
      <c r="P22" s="89">
        <v>67</v>
      </c>
      <c r="Q22" s="233">
        <f t="shared" si="14"/>
        <v>1.5714285714285714</v>
      </c>
      <c r="R22" s="92">
        <f t="shared" si="15"/>
        <v>0.7142857142857143</v>
      </c>
      <c r="S22" s="93">
        <v>5</v>
      </c>
      <c r="T22" s="93">
        <v>0</v>
      </c>
      <c r="U22" s="92">
        <f t="shared" si="16"/>
        <v>5</v>
      </c>
      <c r="V22" s="93">
        <v>3993</v>
      </c>
      <c r="W22" s="93">
        <v>0</v>
      </c>
      <c r="X22" s="92">
        <f t="shared" si="17"/>
        <v>3993</v>
      </c>
      <c r="Y22" s="93">
        <v>6023.29</v>
      </c>
      <c r="Z22" s="93">
        <v>0</v>
      </c>
      <c r="AA22" s="92">
        <f t="shared" si="18"/>
        <v>6023.29</v>
      </c>
      <c r="AB22" s="92">
        <f t="shared" si="19"/>
        <v>8851.3700000000008</v>
      </c>
      <c r="AC22" s="234">
        <f t="shared" si="20"/>
        <v>1.873212263509047E-3</v>
      </c>
      <c r="AD22" s="92">
        <f t="shared" si="21"/>
        <v>586.19999999999993</v>
      </c>
      <c r="AE22" s="93">
        <v>2297.1</v>
      </c>
      <c r="AF22" s="234">
        <f t="shared" si="22"/>
        <v>0.38136965014136792</v>
      </c>
      <c r="AG22" s="93">
        <v>666.56999999999994</v>
      </c>
      <c r="AH22" s="93"/>
      <c r="AI22" s="93">
        <v>1000</v>
      </c>
      <c r="AJ22" s="93"/>
      <c r="AK22" s="93"/>
      <c r="AL22" s="122">
        <f t="shared" si="6"/>
        <v>105.05258192194404</v>
      </c>
      <c r="AM22" s="93">
        <v>0</v>
      </c>
      <c r="AN22" s="94">
        <f t="shared" si="23"/>
        <v>228.00029999999998</v>
      </c>
      <c r="AO22" s="95">
        <f t="shared" si="25"/>
        <v>1140.3671180780561</v>
      </c>
      <c r="AP22" s="96"/>
      <c r="AQ22" s="97">
        <f t="shared" si="7"/>
        <v>1204.6579999999999</v>
      </c>
      <c r="AR22" s="98">
        <f t="shared" si="35"/>
        <v>117.24</v>
      </c>
      <c r="AS22" s="98">
        <f t="shared" si="9"/>
        <v>459.41999999999996</v>
      </c>
      <c r="AT22" s="98">
        <f t="shared" si="10"/>
        <v>133.31399999999999</v>
      </c>
      <c r="AU22" s="98">
        <f t="shared" si="24"/>
        <v>200</v>
      </c>
      <c r="AV22" s="98">
        <f t="array" ref="AV22">_xlfn.IFS(U22=0,AO22,U22&lt;0,AO22/-U22,U22&gt;0,AO22/U22)</f>
        <v>228.07342361561123</v>
      </c>
      <c r="AW22" s="234">
        <f t="shared" si="32"/>
        <v>0.18932628481744301</v>
      </c>
      <c r="AX22" s="234">
        <f t="shared" si="33"/>
        <v>1.9453550291334976</v>
      </c>
      <c r="AY22" s="99"/>
      <c r="AZ22" s="94">
        <f t="shared" si="13"/>
        <v>67053.586542989709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28</v>
      </c>
      <c r="F24" s="93">
        <v>1</v>
      </c>
      <c r="G24" s="93" t="s">
        <v>100</v>
      </c>
      <c r="H24" s="93">
        <v>26</v>
      </c>
      <c r="I24" s="93">
        <v>1</v>
      </c>
      <c r="J24" s="93">
        <v>0</v>
      </c>
      <c r="K24" s="93">
        <v>117.24</v>
      </c>
      <c r="L24" s="92">
        <f t="shared" si="34"/>
        <v>3282.72</v>
      </c>
      <c r="M24" s="89">
        <v>83</v>
      </c>
      <c r="N24" s="89">
        <v>1</v>
      </c>
      <c r="O24" s="89">
        <v>918</v>
      </c>
      <c r="P24" s="89">
        <v>0</v>
      </c>
      <c r="Q24" s="233">
        <f t="shared" si="14"/>
        <v>0.14285714285714285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21.850937039764357</v>
      </c>
      <c r="AM24" s="93">
        <v>0</v>
      </c>
      <c r="AN24" s="94">
        <f t="shared" si="23"/>
        <v>0</v>
      </c>
      <c r="AO24" s="95">
        <f t="shared" si="25"/>
        <v>-21.850937039764357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-21.850937039764357</v>
      </c>
      <c r="AW24" s="234">
        <f t="shared" si="32"/>
        <v>0</v>
      </c>
      <c r="AX24" s="234">
        <f t="shared" si="33"/>
        <v>-0.18637783213719172</v>
      </c>
      <c r="AY24" s="99"/>
      <c r="AZ24" s="94">
        <f t="shared" si="13"/>
        <v>-611.82623711340204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765</v>
      </c>
      <c r="F26" s="93">
        <v>12</v>
      </c>
      <c r="G26" s="93">
        <v>10</v>
      </c>
      <c r="H26" s="93">
        <v>355</v>
      </c>
      <c r="I26" s="93">
        <v>376</v>
      </c>
      <c r="J26" s="93">
        <v>12</v>
      </c>
      <c r="K26" s="93">
        <v>123.09</v>
      </c>
      <c r="L26" s="92">
        <f t="shared" si="34"/>
        <v>94163.85</v>
      </c>
      <c r="M26" s="89">
        <v>999</v>
      </c>
      <c r="N26" s="89">
        <v>16</v>
      </c>
      <c r="O26" s="89">
        <v>1240</v>
      </c>
      <c r="P26" s="89">
        <v>50</v>
      </c>
      <c r="Q26" s="233">
        <f t="shared" si="14"/>
        <v>2.2857142857142856</v>
      </c>
      <c r="R26" s="92">
        <f t="shared" si="15"/>
        <v>0.7142857142857143</v>
      </c>
      <c r="S26" s="93">
        <v>5</v>
      </c>
      <c r="T26" s="93">
        <v>0</v>
      </c>
      <c r="U26" s="92">
        <f t="shared" si="16"/>
        <v>5</v>
      </c>
      <c r="V26" s="93">
        <v>4110</v>
      </c>
      <c r="W26" s="93">
        <v>0</v>
      </c>
      <c r="X26" s="92">
        <f t="shared" si="17"/>
        <v>4110</v>
      </c>
      <c r="Y26" s="93">
        <v>6200</v>
      </c>
      <c r="Z26" s="93">
        <v>0</v>
      </c>
      <c r="AA26" s="92">
        <f t="shared" si="18"/>
        <v>6200</v>
      </c>
      <c r="AB26" s="92">
        <f t="shared" si="19"/>
        <v>9920</v>
      </c>
      <c r="AC26" s="234">
        <f t="shared" si="20"/>
        <v>1.9281681661942381E-3</v>
      </c>
      <c r="AD26" s="92">
        <f t="shared" si="21"/>
        <v>615.45000000000005</v>
      </c>
      <c r="AE26" s="93">
        <v>2357.2800000000002</v>
      </c>
      <c r="AF26" s="234">
        <f t="shared" si="22"/>
        <v>0.38020645161290328</v>
      </c>
      <c r="AG26" s="93">
        <v>2176.8700000000003</v>
      </c>
      <c r="AH26" s="93"/>
      <c r="AI26" s="93">
        <v>614</v>
      </c>
      <c r="AJ26" s="93"/>
      <c r="AK26" s="93"/>
      <c r="AL26" s="122">
        <f t="shared" si="6"/>
        <v>298.34933265832103</v>
      </c>
      <c r="AM26" s="93">
        <v>0</v>
      </c>
      <c r="AN26" s="94">
        <f t="shared" si="23"/>
        <v>234.68099999999998</v>
      </c>
      <c r="AO26" s="95">
        <f t="shared" si="25"/>
        <v>-96.630332658321379</v>
      </c>
      <c r="AP26" s="96"/>
      <c r="AQ26" s="97">
        <f t="shared" si="7"/>
        <v>1240</v>
      </c>
      <c r="AR26" s="98">
        <f t="shared" si="35"/>
        <v>123.09</v>
      </c>
      <c r="AS26" s="98">
        <f t="shared" si="9"/>
        <v>471.45600000000002</v>
      </c>
      <c r="AT26" s="98">
        <f t="shared" si="10"/>
        <v>435.37400000000008</v>
      </c>
      <c r="AU26" s="98">
        <f t="shared" si="24"/>
        <v>122.8</v>
      </c>
      <c r="AV26" s="98">
        <f t="array" ref="AV26">_xlfn.IFS(U26=0,AO26,U26&lt;0,AO26/-U26,U26&gt;0,AO26/U26)</f>
        <v>-19.326066531664274</v>
      </c>
      <c r="AW26" s="234">
        <f t="shared" si="32"/>
        <v>-1.5585537525535705E-2</v>
      </c>
      <c r="AX26" s="234">
        <f t="shared" si="33"/>
        <v>-0.15700760851136789</v>
      </c>
      <c r="AY26" s="99"/>
      <c r="AZ26" s="94">
        <f t="shared" si="13"/>
        <v>-14784.44089672317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704</v>
      </c>
      <c r="F27" s="93">
        <v>1</v>
      </c>
      <c r="G27" s="93">
        <v>4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4"/>
        <v>127839.36</v>
      </c>
      <c r="M27" s="89">
        <v>7</v>
      </c>
      <c r="N27" s="89">
        <v>1</v>
      </c>
      <c r="O27" s="89">
        <v>478</v>
      </c>
      <c r="P27" s="89">
        <v>0</v>
      </c>
      <c r="Q27" s="233">
        <f t="shared" si="14"/>
        <v>0.14285714285714285</v>
      </c>
      <c r="R27" s="92">
        <f t="shared" si="15"/>
        <v>0.2857142857142857</v>
      </c>
      <c r="S27" s="93">
        <v>2</v>
      </c>
      <c r="T27" s="93">
        <v>0</v>
      </c>
      <c r="U27" s="92">
        <f t="shared" si="16"/>
        <v>2</v>
      </c>
      <c r="V27" s="93">
        <v>359.11</v>
      </c>
      <c r="W27" s="93">
        <v>0</v>
      </c>
      <c r="X27" s="92">
        <f t="shared" si="17"/>
        <v>359.11</v>
      </c>
      <c r="Y27" s="93">
        <v>478.45</v>
      </c>
      <c r="Z27" s="93">
        <v>0</v>
      </c>
      <c r="AA27" s="92">
        <f t="shared" si="18"/>
        <v>478.45</v>
      </c>
      <c r="AB27" s="92">
        <f t="shared" si="19"/>
        <v>0</v>
      </c>
      <c r="AC27" s="234">
        <f t="shared" si="20"/>
        <v>1.4879549340574729E-4</v>
      </c>
      <c r="AD27" s="92">
        <f t="shared" si="21"/>
        <v>363.18</v>
      </c>
      <c r="AE27" s="93">
        <v>-192.85999999999996</v>
      </c>
      <c r="AF27" s="234">
        <f t="shared" si="22"/>
        <v>-0.40309332218622629</v>
      </c>
      <c r="AG27" s="93">
        <v>419.45</v>
      </c>
      <c r="AH27" s="93"/>
      <c r="AI27" s="93"/>
      <c r="AJ27" s="93"/>
      <c r="AK27" s="93"/>
      <c r="AL27" s="122">
        <f t="shared" si="6"/>
        <v>0.84042065537555233</v>
      </c>
      <c r="AM27" s="93">
        <v>0</v>
      </c>
      <c r="AN27" s="94">
        <f t="shared" si="23"/>
        <v>20.505181</v>
      </c>
      <c r="AO27" s="95">
        <f t="shared" si="25"/>
        <v>-132.66560165537561</v>
      </c>
      <c r="AP27" s="96"/>
      <c r="AQ27" s="97">
        <f t="shared" si="7"/>
        <v>239.22499999999999</v>
      </c>
      <c r="AR27" s="98">
        <f t="shared" si="35"/>
        <v>181.59</v>
      </c>
      <c r="AS27" s="98">
        <f t="shared" si="9"/>
        <v>-96.429999999999978</v>
      </c>
      <c r="AT27" s="98">
        <f t="shared" si="10"/>
        <v>209.72499999999999</v>
      </c>
      <c r="AU27" s="98">
        <f t="shared" si="24"/>
        <v>0</v>
      </c>
      <c r="AV27" s="98">
        <f t="array" ref="AV27">_xlfn.IFS(U27=0,AO27,U27&lt;0,AO27/-U27,U27&gt;0,AO27/U27)</f>
        <v>-66.332800827687805</v>
      </c>
      <c r="AW27" s="234">
        <f t="shared" si="32"/>
        <v>-0.27728206010110901</v>
      </c>
      <c r="AX27" s="234">
        <f t="shared" si="33"/>
        <v>-0.36528884204905449</v>
      </c>
      <c r="AY27" s="99"/>
      <c r="AZ27" s="94">
        <f t="shared" si="13"/>
        <v>-46698.291782692213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780</v>
      </c>
      <c r="F28" s="93">
        <v>89</v>
      </c>
      <c r="G28" s="93">
        <v>47</v>
      </c>
      <c r="H28" s="93">
        <v>644</v>
      </c>
      <c r="I28" s="93">
        <v>0</v>
      </c>
      <c r="J28" s="93">
        <v>0</v>
      </c>
      <c r="K28" s="93">
        <v>133.62</v>
      </c>
      <c r="L28" s="92">
        <f t="shared" si="34"/>
        <v>104223.6</v>
      </c>
      <c r="M28" s="89">
        <v>50</v>
      </c>
      <c r="N28" s="89">
        <v>94</v>
      </c>
      <c r="O28" s="89">
        <v>1686</v>
      </c>
      <c r="P28" s="89">
        <v>27</v>
      </c>
      <c r="Q28" s="233">
        <f t="shared" si="14"/>
        <v>13.428571428571429</v>
      </c>
      <c r="R28" s="92">
        <f t="shared" si="15"/>
        <v>7</v>
      </c>
      <c r="S28" s="93">
        <v>53</v>
      </c>
      <c r="T28" s="93">
        <v>-4</v>
      </c>
      <c r="U28" s="92">
        <f t="shared" si="16"/>
        <v>49</v>
      </c>
      <c r="V28" s="93">
        <v>58547.97</v>
      </c>
      <c r="W28" s="93">
        <v>-4313</v>
      </c>
      <c r="X28" s="92">
        <f t="shared" si="17"/>
        <v>54234.97</v>
      </c>
      <c r="Y28" s="93">
        <v>89358.31</v>
      </c>
      <c r="Z28" s="93">
        <v>-6744</v>
      </c>
      <c r="AA28" s="92">
        <f t="shared" si="18"/>
        <v>82614.31</v>
      </c>
      <c r="AB28" s="92">
        <f t="shared" si="19"/>
        <v>42790.68</v>
      </c>
      <c r="AC28" s="234">
        <f t="shared" si="20"/>
        <v>2.5692626228081016E-2</v>
      </c>
      <c r="AD28" s="92">
        <f t="shared" si="21"/>
        <v>6547.38</v>
      </c>
      <c r="AE28" s="93">
        <v>31332.199999999986</v>
      </c>
      <c r="AF28" s="234">
        <f t="shared" si="22"/>
        <v>0.37925875069343296</v>
      </c>
      <c r="AG28" s="93">
        <v>14706.520000000006</v>
      </c>
      <c r="AH28" s="93"/>
      <c r="AI28" s="93">
        <v>12454</v>
      </c>
      <c r="AJ28" s="93"/>
      <c r="AK28" s="93"/>
      <c r="AL28" s="122">
        <f t="shared" si="6"/>
        <v>541.23090206185566</v>
      </c>
      <c r="AM28" s="93">
        <v>230</v>
      </c>
      <c r="AN28" s="94">
        <f t="shared" si="23"/>
        <v>3096.8167869999997</v>
      </c>
      <c r="AO28" s="95">
        <f t="shared" si="25"/>
        <v>13706.162310938151</v>
      </c>
      <c r="AP28" s="96"/>
      <c r="AQ28" s="97">
        <f t="shared" si="7"/>
        <v>1686.0063265306121</v>
      </c>
      <c r="AR28" s="98">
        <f t="shared" si="35"/>
        <v>133.62</v>
      </c>
      <c r="AS28" s="98">
        <f t="shared" si="9"/>
        <v>639.43265306122419</v>
      </c>
      <c r="AT28" s="98">
        <f t="shared" si="10"/>
        <v>277.4815094339624</v>
      </c>
      <c r="AU28" s="98">
        <f t="shared" si="24"/>
        <v>234.98113207547169</v>
      </c>
      <c r="AV28" s="98">
        <f>_xlfn.IFS(U28=0,AO28,U28&lt;0,AO28/-U28,U28&gt;0,AO28/U28)</f>
        <v>279.71759818241122</v>
      </c>
      <c r="AW28" s="234">
        <f t="shared" si="32"/>
        <v>0.16590542620204843</v>
      </c>
      <c r="AX28" s="234">
        <f t="shared" si="33"/>
        <v>2.0933812167520673</v>
      </c>
      <c r="AY28" s="99"/>
      <c r="AZ28" s="94">
        <f t="shared" si="13"/>
        <v>218179.72658228077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0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0</v>
      </c>
      <c r="AU30" s="98">
        <f t="shared" si="24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260</v>
      </c>
      <c r="F33" s="93">
        <v>4</v>
      </c>
      <c r="G33" s="93">
        <v>3</v>
      </c>
      <c r="H33" s="93">
        <v>114</v>
      </c>
      <c r="I33" s="93">
        <v>20</v>
      </c>
      <c r="J33" s="93">
        <v>119</v>
      </c>
      <c r="K33" s="93">
        <v>123.09</v>
      </c>
      <c r="L33" s="92">
        <f>E33*K33</f>
        <v>32003.4</v>
      </c>
      <c r="M33" s="89">
        <v>222</v>
      </c>
      <c r="N33" s="89">
        <v>4</v>
      </c>
      <c r="O33" s="89">
        <v>1500</v>
      </c>
      <c r="P33" s="89">
        <v>100</v>
      </c>
      <c r="Q33" s="233">
        <f t="shared" si="14"/>
        <v>0.5714285714285714</v>
      </c>
      <c r="R33" s="92">
        <f t="shared" si="15"/>
        <v>0.2857142857142857</v>
      </c>
      <c r="S33" s="93">
        <v>2</v>
      </c>
      <c r="T33" s="93">
        <v>0</v>
      </c>
      <c r="U33" s="92">
        <f t="shared" si="16"/>
        <v>2</v>
      </c>
      <c r="V33" s="93">
        <v>2007</v>
      </c>
      <c r="W33" s="93">
        <v>0</v>
      </c>
      <c r="X33" s="92">
        <f t="shared" si="17"/>
        <v>2007</v>
      </c>
      <c r="Y33" s="93">
        <v>3000</v>
      </c>
      <c r="Z33" s="93">
        <v>0</v>
      </c>
      <c r="AA33" s="92">
        <f t="shared" si="18"/>
        <v>3000</v>
      </c>
      <c r="AB33" s="92">
        <f t="shared" si="19"/>
        <v>6000</v>
      </c>
      <c r="AC33" s="234">
        <f t="shared" si="20"/>
        <v>9.3298459654559903E-4</v>
      </c>
      <c r="AD33" s="92">
        <f t="shared" si="21"/>
        <v>246.18</v>
      </c>
      <c r="AE33" s="93">
        <v>1155.44</v>
      </c>
      <c r="AF33" s="234">
        <f t="shared" si="22"/>
        <v>0.38514666666666669</v>
      </c>
      <c r="AG33" s="93">
        <v>328.56</v>
      </c>
      <c r="AH33" s="93"/>
      <c r="AI33" s="93"/>
      <c r="AJ33" s="93"/>
      <c r="AK33" s="93"/>
      <c r="AL33" s="122">
        <f t="shared" si="6"/>
        <v>95.807954712812958</v>
      </c>
      <c r="AM33" s="93">
        <v>0</v>
      </c>
      <c r="AN33" s="94">
        <f t="shared" si="23"/>
        <v>114.5997</v>
      </c>
      <c r="AO33" s="95">
        <f t="shared" si="25"/>
        <v>1059.4123452871872</v>
      </c>
      <c r="AP33" s="96"/>
      <c r="AQ33" s="97">
        <f t="shared" si="7"/>
        <v>1500</v>
      </c>
      <c r="AR33" s="98">
        <f t="shared" si="35"/>
        <v>123.09</v>
      </c>
      <c r="AS33" s="98">
        <f t="shared" si="9"/>
        <v>577.72</v>
      </c>
      <c r="AT33" s="98">
        <f t="shared" si="10"/>
        <v>164.28</v>
      </c>
      <c r="AU33" s="98">
        <f t="shared" si="24"/>
        <v>0</v>
      </c>
      <c r="AV33" s="98">
        <f t="array" ref="AV33">_xlfn.IFS(U33=0,AO33,U33&lt;0,AO33/-U33,U33&gt;0,AO33/U33)</f>
        <v>529.70617264359362</v>
      </c>
      <c r="AW33" s="234">
        <f>IF(AQ33=0,0,AV33/AQ33)</f>
        <v>0.35313744842906242</v>
      </c>
      <c r="AX33" s="234">
        <f>IF(AR33=0,0,AV33/AR33)</f>
        <v>4.3034054159037582</v>
      </c>
      <c r="AY33" s="99"/>
      <c r="AZ33" s="94">
        <f t="shared" si="13"/>
        <v>137723.60488733434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93">
        <v>117</v>
      </c>
      <c r="K34" s="93">
        <v>117.24</v>
      </c>
      <c r="L34" s="92">
        <f>E34*K34</f>
        <v>13834.32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0</v>
      </c>
      <c r="AO34" s="95">
        <f t="shared" si="25"/>
        <v>0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0</v>
      </c>
      <c r="AT34" s="98">
        <f t="shared" si="10"/>
        <v>0</v>
      </c>
      <c r="AU34" s="98">
        <f t="shared" si="24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2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2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2"/>
        <v>4587.03</v>
      </c>
      <c r="M37" s="89">
        <v>999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0</v>
      </c>
      <c r="AH37" s="93"/>
      <c r="AI37" s="93"/>
      <c r="AJ37" s="93"/>
      <c r="AK37" s="93"/>
      <c r="AL37" s="122">
        <f t="shared" si="6"/>
        <v>0</v>
      </c>
      <c r="AM37" s="93">
        <v>0</v>
      </c>
      <c r="AN37" s="94">
        <f t="shared" si="23"/>
        <v>0</v>
      </c>
      <c r="AO37" s="95">
        <f t="shared" si="25"/>
        <v>0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0</v>
      </c>
      <c r="AU37" s="98">
        <f t="shared" si="24"/>
        <v>0</v>
      </c>
      <c r="AV37" s="98">
        <f t="array" ref="AV37">_xlfn.IFS(U37=0,AO37,U37&lt;0,AO37/-U37,U37&gt;0,AO37/U37)</f>
        <v>0</v>
      </c>
      <c r="AW37" s="234">
        <f t="shared" si="43"/>
        <v>0</v>
      </c>
      <c r="AX37" s="234">
        <f t="shared" si="44"/>
        <v>0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44</v>
      </c>
      <c r="F38" s="93" t="s">
        <v>100</v>
      </c>
      <c r="G38" s="93" t="s">
        <v>100</v>
      </c>
      <c r="H38" s="93">
        <v>43</v>
      </c>
      <c r="I38" s="93">
        <v>0</v>
      </c>
      <c r="J38" s="93">
        <v>1</v>
      </c>
      <c r="K38" s="92">
        <v>105.54</v>
      </c>
      <c r="L38" s="92">
        <f t="shared" si="42"/>
        <v>4643.76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4"/>
        <v>0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167.83</v>
      </c>
      <c r="AH38" s="93"/>
      <c r="AI38" s="93"/>
      <c r="AJ38" s="93"/>
      <c r="AK38" s="93"/>
      <c r="AL38" s="122">
        <f t="shared" si="6"/>
        <v>36.138088181148746</v>
      </c>
      <c r="AM38" s="93">
        <v>0</v>
      </c>
      <c r="AN38" s="94">
        <f t="shared" si="23"/>
        <v>0</v>
      </c>
      <c r="AO38" s="95">
        <f t="shared" si="25"/>
        <v>-203.96808818114874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167.83</v>
      </c>
      <c r="AU38" s="98">
        <f t="shared" si="24"/>
        <v>0</v>
      </c>
      <c r="AV38" s="98">
        <f t="array" ref="AV38">_xlfn.IFS(U38=0,AO38,U38&lt;0,AO38/-U38,U38&gt;0,AO38/U38)</f>
        <v>-203.96808818114874</v>
      </c>
      <c r="AW38" s="234">
        <f t="shared" si="43"/>
        <v>0</v>
      </c>
      <c r="AX38" s="234">
        <f t="shared" si="44"/>
        <v>-1.9326140627359174</v>
      </c>
      <c r="AY38" s="99"/>
      <c r="AZ38" s="94">
        <f t="shared" si="13"/>
        <v>-8974.595879970544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10</v>
      </c>
      <c r="F39" s="93" t="s">
        <v>100</v>
      </c>
      <c r="G39" s="93">
        <v>1</v>
      </c>
      <c r="H39" s="93">
        <v>8</v>
      </c>
      <c r="I39" s="93">
        <v>0</v>
      </c>
      <c r="J39" s="93">
        <v>1</v>
      </c>
      <c r="K39" s="92">
        <v>105.54</v>
      </c>
      <c r="L39" s="92">
        <f t="shared" si="42"/>
        <v>1055.4000000000001</v>
      </c>
      <c r="M39" s="89">
        <v>999</v>
      </c>
      <c r="N39" s="89">
        <v>1</v>
      </c>
      <c r="O39" s="89">
        <v>1077</v>
      </c>
      <c r="P39" s="89">
        <v>100</v>
      </c>
      <c r="Q39" s="233">
        <f t="shared" si="14"/>
        <v>0.14285714285714285</v>
      </c>
      <c r="R39" s="92">
        <f t="shared" si="15"/>
        <v>0.2857142857142857</v>
      </c>
      <c r="S39" s="93">
        <v>2</v>
      </c>
      <c r="T39" s="93">
        <v>0</v>
      </c>
      <c r="U39" s="92">
        <f t="shared" si="16"/>
        <v>2</v>
      </c>
      <c r="V39" s="93">
        <v>1432</v>
      </c>
      <c r="W39" s="93">
        <v>0</v>
      </c>
      <c r="X39" s="92">
        <f t="shared" si="17"/>
        <v>1432</v>
      </c>
      <c r="Y39" s="93">
        <v>2154</v>
      </c>
      <c r="Z39" s="93">
        <v>0</v>
      </c>
      <c r="AA39" s="92">
        <f t="shared" si="18"/>
        <v>2154</v>
      </c>
      <c r="AB39" s="92">
        <f t="shared" si="19"/>
        <v>1077</v>
      </c>
      <c r="AC39" s="234">
        <f t="shared" si="20"/>
        <v>6.6988294031974016E-4</v>
      </c>
      <c r="AD39" s="92">
        <f t="shared" si="21"/>
        <v>211.08</v>
      </c>
      <c r="AE39" s="93">
        <v>823.21</v>
      </c>
      <c r="AF39" s="234">
        <f t="shared" si="22"/>
        <v>0.38217734447539464</v>
      </c>
      <c r="AG39" s="93">
        <v>175.51</v>
      </c>
      <c r="AH39" s="93"/>
      <c r="AI39" s="93"/>
      <c r="AJ39" s="93"/>
      <c r="AK39" s="93"/>
      <c r="AL39" s="122">
        <f t="shared" si="6"/>
        <v>6.7233652430044186</v>
      </c>
      <c r="AM39" s="93">
        <v>0</v>
      </c>
      <c r="AN39" s="94">
        <f t="shared" si="23"/>
        <v>81.767200000000003</v>
      </c>
      <c r="AO39" s="95">
        <f t="shared" si="25"/>
        <v>855.70943475699562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411.60500000000002</v>
      </c>
      <c r="AT39" s="98">
        <f t="shared" si="10"/>
        <v>87.754999999999995</v>
      </c>
      <c r="AU39" s="98">
        <f t="shared" si="24"/>
        <v>0</v>
      </c>
      <c r="AV39" s="98">
        <f t="array" ref="AV39">_xlfn.IFS(U39=0,AO39,U39&lt;0,AO39/-U39,U39&gt;0,AO39/U39)</f>
        <v>427.85471737849781</v>
      </c>
      <c r="AW39" s="234">
        <f t="shared" si="43"/>
        <v>0.39726529004503047</v>
      </c>
      <c r="AX39" s="234">
        <f t="shared" si="44"/>
        <v>4.0539579058034656</v>
      </c>
      <c r="AY39" s="99"/>
      <c r="AZ39" s="94">
        <f t="shared" si="13"/>
        <v>4278.5471737849784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29</v>
      </c>
      <c r="F40" s="93">
        <v>1</v>
      </c>
      <c r="G40" s="93" t="s">
        <v>100</v>
      </c>
      <c r="H40" s="93">
        <v>27</v>
      </c>
      <c r="I40" s="93">
        <v>0</v>
      </c>
      <c r="J40" s="93">
        <v>1</v>
      </c>
      <c r="K40" s="92">
        <v>105.54</v>
      </c>
      <c r="L40" s="92">
        <f t="shared" si="42"/>
        <v>3060.6600000000003</v>
      </c>
      <c r="M40" s="89">
        <v>77</v>
      </c>
      <c r="N40" s="89">
        <v>1</v>
      </c>
      <c r="O40" s="89">
        <v>1197</v>
      </c>
      <c r="P40" s="89">
        <v>100</v>
      </c>
      <c r="Q40" s="233">
        <f t="shared" si="14"/>
        <v>0.14285714285714285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2345</v>
      </c>
      <c r="W40" s="93">
        <v>0</v>
      </c>
      <c r="X40" s="92">
        <f t="shared" si="17"/>
        <v>2345</v>
      </c>
      <c r="Y40" s="93">
        <v>3567</v>
      </c>
      <c r="Z40" s="93">
        <v>0</v>
      </c>
      <c r="AA40" s="92">
        <f t="shared" si="18"/>
        <v>3567</v>
      </c>
      <c r="AB40" s="92">
        <f t="shared" si="19"/>
        <v>1197</v>
      </c>
      <c r="AC40" s="234">
        <f t="shared" si="20"/>
        <v>1.1093186852927173E-3</v>
      </c>
      <c r="AD40" s="92">
        <f t="shared" si="21"/>
        <v>316.62</v>
      </c>
      <c r="AE40" s="93">
        <v>1358.29</v>
      </c>
      <c r="AF40" s="234">
        <f t="shared" si="22"/>
        <v>0.38079338379590694</v>
      </c>
      <c r="AG40" s="93">
        <v>176.31</v>
      </c>
      <c r="AH40" s="93"/>
      <c r="AI40" s="93"/>
      <c r="AJ40" s="93"/>
      <c r="AK40" s="93"/>
      <c r="AL40" s="122">
        <f t="shared" si="6"/>
        <v>22.691357695139914</v>
      </c>
      <c r="AM40" s="93">
        <v>0</v>
      </c>
      <c r="AN40" s="94">
        <f t="shared" si="23"/>
        <v>133.89949999999999</v>
      </c>
      <c r="AO40" s="95">
        <f t="shared" si="25"/>
        <v>1559.1891423048603</v>
      </c>
      <c r="AP40" s="96"/>
      <c r="AQ40" s="97">
        <f t="shared" si="7"/>
        <v>1189</v>
      </c>
      <c r="AR40" s="98">
        <f t="shared" si="35"/>
        <v>105.54</v>
      </c>
      <c r="AS40" s="98">
        <f t="shared" si="9"/>
        <v>452.76333333333332</v>
      </c>
      <c r="AT40" s="98">
        <f t="shared" si="10"/>
        <v>58.77</v>
      </c>
      <c r="AU40" s="98">
        <f t="shared" si="24"/>
        <v>0</v>
      </c>
      <c r="AV40" s="98">
        <f t="array" ref="AV40">_xlfn.IFS(U40=0,AO40,U40&lt;0,AO40/-U40,U40&gt;0,AO40/U40)</f>
        <v>519.72971410162006</v>
      </c>
      <c r="AW40" s="234">
        <f t="shared" si="43"/>
        <v>0.43711498242356606</v>
      </c>
      <c r="AX40" s="234">
        <f t="shared" si="44"/>
        <v>4.9244808992004927</v>
      </c>
      <c r="AY40" s="99"/>
      <c r="AZ40" s="94">
        <f t="shared" si="13"/>
        <v>15072.161708946982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42</v>
      </c>
      <c r="F41" s="93" t="s">
        <v>100</v>
      </c>
      <c r="G41" s="93" t="s">
        <v>100</v>
      </c>
      <c r="H41" s="93">
        <v>41</v>
      </c>
      <c r="I41" s="93">
        <v>0</v>
      </c>
      <c r="J41" s="93">
        <v>1</v>
      </c>
      <c r="K41" s="92">
        <v>123.09</v>
      </c>
      <c r="L41" s="92">
        <f t="shared" si="42"/>
        <v>5169.78</v>
      </c>
      <c r="M41" s="89">
        <v>609</v>
      </c>
      <c r="N41" s="89">
        <v>1</v>
      </c>
      <c r="O41" s="89">
        <v>1218</v>
      </c>
      <c r="P41" s="89">
        <v>100</v>
      </c>
      <c r="Q41" s="233">
        <f t="shared" si="14"/>
        <v>0.14285714285714285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734</v>
      </c>
      <c r="W41" s="93">
        <v>0</v>
      </c>
      <c r="X41" s="92">
        <f t="shared" si="17"/>
        <v>734</v>
      </c>
      <c r="Y41" s="93">
        <v>1193</v>
      </c>
      <c r="Z41" s="93">
        <v>0</v>
      </c>
      <c r="AA41" s="92">
        <f t="shared" si="18"/>
        <v>1193</v>
      </c>
      <c r="AB41" s="92">
        <f t="shared" si="19"/>
        <v>1218</v>
      </c>
      <c r="AC41" s="234">
        <f t="shared" si="20"/>
        <v>3.7101687455963321E-4</v>
      </c>
      <c r="AD41" s="92">
        <f t="shared" si="21"/>
        <v>123.09</v>
      </c>
      <c r="AE41" s="93">
        <v>456.35</v>
      </c>
      <c r="AF41" s="234">
        <f t="shared" si="22"/>
        <v>0.38252305113160101</v>
      </c>
      <c r="AG41" s="93">
        <v>39.74</v>
      </c>
      <c r="AH41" s="93"/>
      <c r="AI41" s="93"/>
      <c r="AJ41" s="93"/>
      <c r="AK41" s="93"/>
      <c r="AL41" s="122">
        <f t="shared" si="6"/>
        <v>34.45724687039764</v>
      </c>
      <c r="AM41" s="93">
        <v>0</v>
      </c>
      <c r="AN41" s="94">
        <f t="shared" si="23"/>
        <v>41.9114</v>
      </c>
      <c r="AO41" s="95">
        <f t="shared" si="25"/>
        <v>497.45135312960241</v>
      </c>
      <c r="AP41" s="96"/>
      <c r="AQ41" s="97">
        <f t="shared" si="7"/>
        <v>1193</v>
      </c>
      <c r="AR41" s="98">
        <f t="shared" si="35"/>
        <v>123.09</v>
      </c>
      <c r="AS41" s="98">
        <f t="shared" si="9"/>
        <v>456.35</v>
      </c>
      <c r="AT41" s="98">
        <f t="shared" si="10"/>
        <v>39.74</v>
      </c>
      <c r="AU41" s="98">
        <f t="shared" si="24"/>
        <v>0</v>
      </c>
      <c r="AV41" s="98">
        <f t="array" ref="AV41">_xlfn.IFS(U41=0,AO41,U41&lt;0,AO41/-U41,U41&gt;0,AO41/U41)</f>
        <v>497.45135312960241</v>
      </c>
      <c r="AW41" s="234">
        <f t="shared" si="43"/>
        <v>0.41697514931232388</v>
      </c>
      <c r="AX41" s="234">
        <f t="shared" si="44"/>
        <v>4.0413628493752736</v>
      </c>
      <c r="AY41" s="99"/>
      <c r="AZ41" s="94">
        <f t="shared" si="13"/>
        <v>20892.956831443302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30</v>
      </c>
      <c r="F42" s="93">
        <v>2</v>
      </c>
      <c r="G42" s="93" t="s">
        <v>100</v>
      </c>
      <c r="H42" s="93">
        <v>27</v>
      </c>
      <c r="I42" s="93">
        <v>0</v>
      </c>
      <c r="J42" s="93">
        <v>1</v>
      </c>
      <c r="K42" s="92">
        <v>123.09</v>
      </c>
      <c r="L42" s="92">
        <f t="shared" si="42"/>
        <v>3692.7000000000003</v>
      </c>
      <c r="M42" s="89">
        <v>90</v>
      </c>
      <c r="N42" s="89">
        <v>1</v>
      </c>
      <c r="O42" s="89">
        <v>1176</v>
      </c>
      <c r="P42" s="89">
        <v>0</v>
      </c>
      <c r="Q42" s="233">
        <f t="shared" si="14"/>
        <v>0.14285714285714285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226.17</v>
      </c>
      <c r="AH42" s="93"/>
      <c r="AI42" s="93"/>
      <c r="AJ42" s="93"/>
      <c r="AK42" s="93"/>
      <c r="AL42" s="122">
        <f t="shared" si="6"/>
        <v>22.691357695139914</v>
      </c>
      <c r="AM42" s="93">
        <v>0</v>
      </c>
      <c r="AN42" s="94">
        <f t="shared" si="23"/>
        <v>0</v>
      </c>
      <c r="AO42" s="95">
        <f t="shared" si="25"/>
        <v>-248.8613576951399</v>
      </c>
      <c r="AP42" s="96"/>
      <c r="AQ42" s="97">
        <f t="shared" si="7"/>
        <v>0</v>
      </c>
      <c r="AR42" s="98">
        <f t="shared" si="35"/>
        <v>123.09</v>
      </c>
      <c r="AS42" s="98">
        <f t="shared" si="9"/>
        <v>0</v>
      </c>
      <c r="AT42" s="98">
        <f t="shared" si="10"/>
        <v>226.17</v>
      </c>
      <c r="AU42" s="98">
        <f t="shared" si="24"/>
        <v>0</v>
      </c>
      <c r="AV42" s="98">
        <f t="array" ref="AV42">_xlfn.IFS(U42=0,AO42,U42&lt;0,AO42/-U42,U42&gt;0,AO42/U42)</f>
        <v>-248.8613576951399</v>
      </c>
      <c r="AW42" s="234">
        <f t="shared" si="43"/>
        <v>0</v>
      </c>
      <c r="AX42" s="234">
        <f t="shared" si="44"/>
        <v>-2.0217837167531068</v>
      </c>
      <c r="AY42" s="99"/>
      <c r="AZ42" s="94">
        <f t="shared" si="13"/>
        <v>-7465.8407308541973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7</v>
      </c>
      <c r="F43" s="93">
        <v>3</v>
      </c>
      <c r="G43" s="93">
        <v>1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2"/>
        <v>861.63</v>
      </c>
      <c r="M43" s="89">
        <v>999</v>
      </c>
      <c r="N43" s="89">
        <v>6</v>
      </c>
      <c r="O43" s="89">
        <v>1102</v>
      </c>
      <c r="P43" s="89">
        <v>0</v>
      </c>
      <c r="Q43" s="233">
        <f t="shared" si="14"/>
        <v>0.8571428571428571</v>
      </c>
      <c r="R43" s="92">
        <f t="shared" si="15"/>
        <v>0</v>
      </c>
      <c r="S43" s="93">
        <v>1</v>
      </c>
      <c r="T43" s="93">
        <v>-1</v>
      </c>
      <c r="U43" s="92">
        <f t="shared" si="16"/>
        <v>0</v>
      </c>
      <c r="V43" s="93">
        <v>765</v>
      </c>
      <c r="W43" s="93">
        <v>-765</v>
      </c>
      <c r="X43" s="92">
        <f t="shared" si="17"/>
        <v>0</v>
      </c>
      <c r="Y43" s="93">
        <v>1102</v>
      </c>
      <c r="Z43" s="93">
        <v>-1102</v>
      </c>
      <c r="AA43" s="92">
        <f t="shared" si="18"/>
        <v>0</v>
      </c>
      <c r="AB43" s="92">
        <f t="shared" si="19"/>
        <v>0</v>
      </c>
      <c r="AC43" s="234">
        <f t="shared" si="20"/>
        <v>0</v>
      </c>
      <c r="AD43" s="92">
        <f t="shared" si="21"/>
        <v>0</v>
      </c>
      <c r="AE43" s="93">
        <v>0</v>
      </c>
      <c r="AF43" s="234">
        <f t="shared" si="22"/>
        <v>0</v>
      </c>
      <c r="AG43" s="93">
        <v>322.63</v>
      </c>
      <c r="AH43" s="93"/>
      <c r="AI43" s="93"/>
      <c r="AJ43" s="93"/>
      <c r="AK43" s="93"/>
      <c r="AL43" s="122">
        <f t="shared" si="6"/>
        <v>1.6808413107511047</v>
      </c>
      <c r="AM43" s="93">
        <v>0</v>
      </c>
      <c r="AN43" s="94">
        <f t="shared" si="23"/>
        <v>0</v>
      </c>
      <c r="AO43" s="95">
        <f t="shared" si="25"/>
        <v>-324.31084131075107</v>
      </c>
      <c r="AP43" s="96"/>
      <c r="AQ43" s="97">
        <f t="shared" si="7"/>
        <v>0</v>
      </c>
      <c r="AR43" s="98">
        <f t="shared" si="35"/>
        <v>123.09</v>
      </c>
      <c r="AS43" s="98">
        <f t="shared" si="9"/>
        <v>0</v>
      </c>
      <c r="AT43" s="98">
        <f t="shared" si="10"/>
        <v>322.63</v>
      </c>
      <c r="AU43" s="98">
        <f t="shared" si="24"/>
        <v>0</v>
      </c>
      <c r="AV43" s="98">
        <f t="array" ref="AV43">_xlfn.IFS(U43=0,AO43,U43&lt;0,AO43/-U43,U43&gt;0,AO43/U43)</f>
        <v>-324.31084131075107</v>
      </c>
      <c r="AW43" s="234">
        <f t="shared" si="43"/>
        <v>0</v>
      </c>
      <c r="AX43" s="234">
        <f t="shared" si="44"/>
        <v>-2.6347456439251853</v>
      </c>
      <c r="AY43" s="99"/>
      <c r="AZ43" s="94">
        <f t="shared" si="13"/>
        <v>-2270.1758891752575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260</v>
      </c>
      <c r="F44" s="93">
        <v>31</v>
      </c>
      <c r="G44" s="93">
        <v>18</v>
      </c>
      <c r="H44" s="93">
        <v>94</v>
      </c>
      <c r="I44" s="93">
        <v>0</v>
      </c>
      <c r="J44" s="93">
        <v>117</v>
      </c>
      <c r="K44" s="92">
        <v>111.39</v>
      </c>
      <c r="L44" s="92">
        <f t="shared" si="42"/>
        <v>28961.4</v>
      </c>
      <c r="M44" s="89">
        <v>14</v>
      </c>
      <c r="N44" s="89">
        <v>59</v>
      </c>
      <c r="O44" s="89">
        <v>1260</v>
      </c>
      <c r="P44" s="89">
        <v>44</v>
      </c>
      <c r="Q44" s="233">
        <f t="shared" si="14"/>
        <v>8.4285714285714288</v>
      </c>
      <c r="R44" s="92">
        <f t="shared" si="15"/>
        <v>4.7142857142857144</v>
      </c>
      <c r="S44" s="93">
        <v>36</v>
      </c>
      <c r="T44" s="93">
        <v>-3</v>
      </c>
      <c r="U44" s="92">
        <f t="shared" si="16"/>
        <v>33</v>
      </c>
      <c r="V44" s="93">
        <v>30010.38</v>
      </c>
      <c r="W44" s="93">
        <v>-2362</v>
      </c>
      <c r="X44" s="92">
        <f t="shared" si="17"/>
        <v>27648.38</v>
      </c>
      <c r="Y44" s="93">
        <v>44926.039999999994</v>
      </c>
      <c r="Z44" s="93">
        <v>-3728</v>
      </c>
      <c r="AA44" s="92">
        <f t="shared" si="18"/>
        <v>41198.039999999994</v>
      </c>
      <c r="AB44" s="92">
        <f t="shared" si="19"/>
        <v>32709.599999999999</v>
      </c>
      <c r="AC44" s="234">
        <f t="shared" si="20"/>
        <v>1.2812378909289815E-2</v>
      </c>
      <c r="AD44" s="92">
        <f t="shared" si="21"/>
        <v>3675.87</v>
      </c>
      <c r="AE44" s="93">
        <v>15582.169999999995</v>
      </c>
      <c r="AF44" s="234">
        <f t="shared" si="22"/>
        <v>0.37822600298460796</v>
      </c>
      <c r="AG44" s="93">
        <v>5120.1199999999963</v>
      </c>
      <c r="AH44" s="93"/>
      <c r="AI44" s="93">
        <v>3275</v>
      </c>
      <c r="AJ44" s="93"/>
      <c r="AK44" s="93"/>
      <c r="AL44" s="122">
        <f t="shared" si="6"/>
        <v>78.999541605301914</v>
      </c>
      <c r="AM44" s="93">
        <v>20</v>
      </c>
      <c r="AN44" s="94">
        <f t="shared" si="23"/>
        <v>1578.7224980000001</v>
      </c>
      <c r="AO44" s="95">
        <f t="shared" si="25"/>
        <v>11867.157960394699</v>
      </c>
      <c r="AP44" s="96"/>
      <c r="AQ44" s="97">
        <f t="shared" si="7"/>
        <v>1248.4254545454544</v>
      </c>
      <c r="AR44" s="98">
        <f t="shared" si="35"/>
        <v>111.39</v>
      </c>
      <c r="AS44" s="98">
        <f t="shared" si="9"/>
        <v>472.18696969696953</v>
      </c>
      <c r="AT44" s="98">
        <f t="shared" si="10"/>
        <v>142.22555555555545</v>
      </c>
      <c r="AU44" s="98">
        <f t="shared" si="24"/>
        <v>90.972222222222229</v>
      </c>
      <c r="AV44" s="98">
        <f t="array" ref="AV44">_xlfn.IFS(U44=0,AO44,U44&lt;0,AO44/-U44,U44&gt;0,AO44/U44)</f>
        <v>359.61084728468785</v>
      </c>
      <c r="AW44" s="234">
        <f t="shared" si="43"/>
        <v>0.28805151799441675</v>
      </c>
      <c r="AX44" s="234">
        <f t="shared" si="44"/>
        <v>3.2283943557293102</v>
      </c>
      <c r="AY44" s="99"/>
      <c r="AZ44" s="94">
        <f t="shared" si="13"/>
        <v>93498.820294018835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172</v>
      </c>
      <c r="F45" s="93">
        <v>41</v>
      </c>
      <c r="G45" s="93">
        <v>18</v>
      </c>
      <c r="H45" s="93">
        <v>112</v>
      </c>
      <c r="I45" s="93">
        <v>0</v>
      </c>
      <c r="J45" s="93">
        <v>1</v>
      </c>
      <c r="K45" s="92">
        <v>107.88</v>
      </c>
      <c r="L45" s="92">
        <f t="shared" si="42"/>
        <v>18555.36</v>
      </c>
      <c r="M45" s="89">
        <v>111</v>
      </c>
      <c r="N45" s="89">
        <v>65</v>
      </c>
      <c r="O45" s="89">
        <v>1913</v>
      </c>
      <c r="P45" s="89">
        <v>34</v>
      </c>
      <c r="Q45" s="233">
        <f t="shared" si="14"/>
        <v>9.2857142857142865</v>
      </c>
      <c r="R45" s="92">
        <f t="shared" si="15"/>
        <v>2.7142857142857144</v>
      </c>
      <c r="S45" s="93">
        <v>20</v>
      </c>
      <c r="T45" s="93">
        <v>-1</v>
      </c>
      <c r="U45" s="92">
        <f t="shared" si="16"/>
        <v>19</v>
      </c>
      <c r="V45" s="93">
        <v>25298.879999999997</v>
      </c>
      <c r="W45" s="93">
        <v>-1055</v>
      </c>
      <c r="X45" s="92">
        <f t="shared" si="17"/>
        <v>24243.879999999997</v>
      </c>
      <c r="Y45" s="93">
        <v>38062.090000000004</v>
      </c>
      <c r="Z45" s="93">
        <v>-1675</v>
      </c>
      <c r="AA45" s="92">
        <f t="shared" si="18"/>
        <v>36387.090000000004</v>
      </c>
      <c r="AB45" s="92">
        <f t="shared" si="19"/>
        <v>42277.3</v>
      </c>
      <c r="AC45" s="234">
        <f t="shared" si="20"/>
        <v>1.1316198161039468E-2</v>
      </c>
      <c r="AD45" s="92">
        <f t="shared" si="21"/>
        <v>2049.7199999999998</v>
      </c>
      <c r="AE45" s="93">
        <v>13720.660000000007</v>
      </c>
      <c r="AF45" s="234">
        <f t="shared" si="22"/>
        <v>0.37707494608664793</v>
      </c>
      <c r="AG45" s="93">
        <v>5250.4499999999989</v>
      </c>
      <c r="AH45" s="93">
        <v>2245</v>
      </c>
      <c r="AI45" s="93">
        <v>3678</v>
      </c>
      <c r="AJ45" s="93"/>
      <c r="AK45" s="93"/>
      <c r="AL45" s="122">
        <f t="shared" si="6"/>
        <v>94.127113402061852</v>
      </c>
      <c r="AM45" s="93">
        <v>0</v>
      </c>
      <c r="AN45" s="94">
        <f t="shared" si="23"/>
        <v>1384.3255479999998</v>
      </c>
      <c r="AO45" s="95">
        <f t="shared" si="25"/>
        <v>7964.8073385979342</v>
      </c>
      <c r="AP45" s="96"/>
      <c r="AQ45" s="97">
        <f t="shared" si="7"/>
        <v>1915.1100000000001</v>
      </c>
      <c r="AR45" s="98">
        <f t="shared" si="35"/>
        <v>107.88</v>
      </c>
      <c r="AS45" s="98">
        <f t="shared" si="9"/>
        <v>722.14000000000033</v>
      </c>
      <c r="AT45" s="98">
        <f t="shared" si="10"/>
        <v>262.52249999999992</v>
      </c>
      <c r="AU45" s="98">
        <f t="shared" si="24"/>
        <v>296.14999999999998</v>
      </c>
      <c r="AV45" s="98">
        <f t="array" ref="AV45">_xlfn.IFS(U45=0,AO45,U45&lt;0,AO45/-U45,U45&gt;0,AO45/U45)</f>
        <v>419.20038624199651</v>
      </c>
      <c r="AW45" s="234">
        <f t="shared" si="43"/>
        <v>0.21889102257415841</v>
      </c>
      <c r="AX45" s="234">
        <f t="shared" si="44"/>
        <v>3.8858026162587738</v>
      </c>
      <c r="AY45" s="99"/>
      <c r="AZ45" s="94">
        <f t="shared" si="13"/>
        <v>72102.466433623398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61</v>
      </c>
      <c r="F47" s="93">
        <v>8</v>
      </c>
      <c r="G47" s="93">
        <v>2</v>
      </c>
      <c r="H47" s="93">
        <v>31</v>
      </c>
      <c r="I47" s="93">
        <v>0</v>
      </c>
      <c r="J47" s="93">
        <v>20</v>
      </c>
      <c r="K47" s="92">
        <v>123.09</v>
      </c>
      <c r="L47" s="92">
        <f t="shared" si="42"/>
        <v>7508.49</v>
      </c>
      <c r="M47" s="89">
        <v>26</v>
      </c>
      <c r="N47" s="89">
        <v>10</v>
      </c>
      <c r="O47" s="89">
        <v>1404</v>
      </c>
      <c r="P47" s="89">
        <v>40</v>
      </c>
      <c r="Q47" s="233">
        <f t="shared" si="14"/>
        <v>1.4285714285714286</v>
      </c>
      <c r="R47" s="92">
        <f t="shared" si="15"/>
        <v>0.7142857142857143</v>
      </c>
      <c r="S47" s="93">
        <v>5</v>
      </c>
      <c r="T47" s="93">
        <v>0</v>
      </c>
      <c r="U47" s="92">
        <f t="shared" si="16"/>
        <v>5</v>
      </c>
      <c r="V47" s="93">
        <v>4727.34</v>
      </c>
      <c r="W47" s="93">
        <v>0</v>
      </c>
      <c r="X47" s="92">
        <f t="shared" si="17"/>
        <v>4727.34</v>
      </c>
      <c r="Y47" s="93">
        <v>6992.03</v>
      </c>
      <c r="Z47" s="93">
        <v>0</v>
      </c>
      <c r="AA47" s="92">
        <f t="shared" si="18"/>
        <v>6992.03</v>
      </c>
      <c r="AB47" s="92">
        <f t="shared" si="19"/>
        <v>5616</v>
      </c>
      <c r="AC47" s="234">
        <f t="shared" si="20"/>
        <v>2.1744854295282414E-3</v>
      </c>
      <c r="AD47" s="92">
        <f t="shared" si="21"/>
        <v>615.45000000000005</v>
      </c>
      <c r="AE47" s="93">
        <v>2653.88</v>
      </c>
      <c r="AF47" s="234">
        <f t="shared" si="22"/>
        <v>0.37955786802974245</v>
      </c>
      <c r="AG47" s="93">
        <v>596.06000000000006</v>
      </c>
      <c r="AH47" s="93"/>
      <c r="AI47" s="93"/>
      <c r="AJ47" s="93"/>
      <c r="AK47" s="93"/>
      <c r="AL47" s="122">
        <f t="shared" si="6"/>
        <v>26.053040316642118</v>
      </c>
      <c r="AM47" s="93">
        <v>0</v>
      </c>
      <c r="AN47" s="94">
        <f t="shared" si="23"/>
        <v>269.93111399999998</v>
      </c>
      <c r="AO47" s="95">
        <f t="shared" si="25"/>
        <v>2830.6558456833577</v>
      </c>
      <c r="AP47" s="96"/>
      <c r="AQ47" s="97">
        <f t="shared" si="7"/>
        <v>1398.4059999999999</v>
      </c>
      <c r="AR47" s="98">
        <f t="shared" si="35"/>
        <v>123.09</v>
      </c>
      <c r="AS47" s="98">
        <f t="shared" si="9"/>
        <v>530.77600000000007</v>
      </c>
      <c r="AT47" s="98">
        <f t="shared" si="10"/>
        <v>119.21200000000002</v>
      </c>
      <c r="AU47" s="98">
        <f t="shared" si="24"/>
        <v>0</v>
      </c>
      <c r="AV47" s="98">
        <f t="array" ref="AV47">_xlfn.IFS(U47=0,AO47,U47&lt;0,AO47/-U47,U47&gt;0,AO47/U47)</f>
        <v>566.13116913667159</v>
      </c>
      <c r="AW47" s="234">
        <f t="shared" si="43"/>
        <v>0.40484034617748466</v>
      </c>
      <c r="AX47" s="234">
        <f t="shared" si="44"/>
        <v>4.5993270707341907</v>
      </c>
      <c r="AY47" s="99"/>
      <c r="AZ47" s="94">
        <f t="shared" si="13"/>
        <v>34534.001317336966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307</v>
      </c>
      <c r="F48" s="93">
        <v>61</v>
      </c>
      <c r="G48" s="93">
        <v>25</v>
      </c>
      <c r="H48" s="93">
        <v>220</v>
      </c>
      <c r="I48" s="93">
        <v>0</v>
      </c>
      <c r="J48" s="93">
        <v>1</v>
      </c>
      <c r="K48" s="92">
        <v>107.88</v>
      </c>
      <c r="L48" s="92">
        <f t="shared" si="42"/>
        <v>33119.159999999996</v>
      </c>
      <c r="M48" s="89">
        <v>25</v>
      </c>
      <c r="N48" s="89">
        <v>97</v>
      </c>
      <c r="O48" s="89">
        <v>1412</v>
      </c>
      <c r="P48" s="89">
        <v>42</v>
      </c>
      <c r="Q48" s="233">
        <f t="shared" si="14"/>
        <v>13.857142857142858</v>
      </c>
      <c r="R48" s="92">
        <f t="shared" si="15"/>
        <v>6.4285714285714288</v>
      </c>
      <c r="S48" s="93">
        <v>49</v>
      </c>
      <c r="T48" s="93">
        <v>-4</v>
      </c>
      <c r="U48" s="92">
        <f t="shared" si="16"/>
        <v>45</v>
      </c>
      <c r="V48" s="93">
        <v>45467</v>
      </c>
      <c r="W48" s="93">
        <v>-3457</v>
      </c>
      <c r="X48" s="92">
        <f t="shared" si="17"/>
        <v>42010</v>
      </c>
      <c r="Y48" s="93">
        <v>67376.459999999992</v>
      </c>
      <c r="Z48" s="93">
        <v>-5327.54</v>
      </c>
      <c r="AA48" s="92">
        <f t="shared" si="18"/>
        <v>62048.919999999991</v>
      </c>
      <c r="AB48" s="92">
        <f t="shared" si="19"/>
        <v>57524.88</v>
      </c>
      <c r="AC48" s="234">
        <f t="shared" si="20"/>
        <v>1.9296895530763383E-2</v>
      </c>
      <c r="AD48" s="92">
        <f t="shared" si="21"/>
        <v>4854.5999999999995</v>
      </c>
      <c r="AE48" s="93">
        <v>23447.89999999998</v>
      </c>
      <c r="AF48" s="234">
        <f t="shared" si="22"/>
        <v>0.37789376511307504</v>
      </c>
      <c r="AG48" s="93">
        <v>8418.3399999999911</v>
      </c>
      <c r="AH48" s="93"/>
      <c r="AI48" s="93">
        <v>4538</v>
      </c>
      <c r="AJ48" s="93"/>
      <c r="AK48" s="93"/>
      <c r="AL48" s="122">
        <f t="shared" si="6"/>
        <v>184.89254418262152</v>
      </c>
      <c r="AM48" s="93">
        <v>0</v>
      </c>
      <c r="AN48" s="94">
        <f t="shared" si="23"/>
        <v>2398.7709999999997</v>
      </c>
      <c r="AO48" s="95">
        <f t="shared" si="25"/>
        <v>18206.416455817402</v>
      </c>
      <c r="AP48" s="96"/>
      <c r="AQ48" s="97">
        <f t="shared" si="7"/>
        <v>1378.8648888888888</v>
      </c>
      <c r="AR48" s="98">
        <f t="shared" si="35"/>
        <v>107.88</v>
      </c>
      <c r="AS48" s="98">
        <f t="shared" si="9"/>
        <v>521.06444444444401</v>
      </c>
      <c r="AT48" s="98">
        <f t="shared" si="10"/>
        <v>171.80285714285696</v>
      </c>
      <c r="AU48" s="98">
        <f t="shared" si="24"/>
        <v>92.612244897959187</v>
      </c>
      <c r="AV48" s="98">
        <f t="array" ref="AV48">_xlfn.IFS(U48=0,AO48,U48&lt;0,AO48/-U48,U48&gt;0,AO48/U48)</f>
        <v>404.58703235149784</v>
      </c>
      <c r="AW48" s="234">
        <f t="shared" si="43"/>
        <v>0.29342036019027251</v>
      </c>
      <c r="AX48" s="234">
        <f t="shared" si="44"/>
        <v>3.7503432735585638</v>
      </c>
      <c r="AY48" s="99"/>
      <c r="AZ48" s="94">
        <f t="shared" si="13"/>
        <v>124208.21893190984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256</v>
      </c>
      <c r="F49" s="93">
        <v>68</v>
      </c>
      <c r="G49" s="93">
        <v>33</v>
      </c>
      <c r="H49" s="93">
        <v>123</v>
      </c>
      <c r="I49" s="93">
        <v>0</v>
      </c>
      <c r="J49" s="93">
        <v>32</v>
      </c>
      <c r="K49" s="92">
        <v>123.09</v>
      </c>
      <c r="L49" s="92">
        <f t="shared" si="42"/>
        <v>31511.040000000001</v>
      </c>
      <c r="M49" s="89">
        <v>12</v>
      </c>
      <c r="N49" s="89">
        <v>86</v>
      </c>
      <c r="O49" s="89">
        <v>1964</v>
      </c>
      <c r="P49" s="89">
        <v>52</v>
      </c>
      <c r="Q49" s="233">
        <f t="shared" si="14"/>
        <v>12.285714285714286</v>
      </c>
      <c r="R49" s="92">
        <f t="shared" si="15"/>
        <v>5.2857142857142856</v>
      </c>
      <c r="S49" s="93">
        <v>39</v>
      </c>
      <c r="T49" s="93">
        <v>-2</v>
      </c>
      <c r="U49" s="92">
        <f t="shared" si="16"/>
        <v>37</v>
      </c>
      <c r="V49" s="93">
        <v>50734.36</v>
      </c>
      <c r="W49" s="93">
        <v>-2390</v>
      </c>
      <c r="X49" s="92">
        <f t="shared" si="17"/>
        <v>48344.36</v>
      </c>
      <c r="Y49" s="93">
        <v>75289.77</v>
      </c>
      <c r="Z49" s="93">
        <v>-3805</v>
      </c>
      <c r="AA49" s="92">
        <f t="shared" si="18"/>
        <v>71484.77</v>
      </c>
      <c r="AB49" s="92">
        <f t="shared" si="19"/>
        <v>87830.080000000002</v>
      </c>
      <c r="AC49" s="234">
        <f t="shared" si="20"/>
        <v>2.2231396432534981E-2</v>
      </c>
      <c r="AD49" s="92">
        <f t="shared" si="21"/>
        <v>4554.33</v>
      </c>
      <c r="AE49" s="93">
        <v>27134.910000000003</v>
      </c>
      <c r="AF49" s="234">
        <f t="shared" si="22"/>
        <v>0.37959008611204881</v>
      </c>
      <c r="AG49" s="93">
        <v>7903.2400000000071</v>
      </c>
      <c r="AH49" s="93"/>
      <c r="AI49" s="93">
        <v>9619</v>
      </c>
      <c r="AJ49" s="93"/>
      <c r="AK49" s="93"/>
      <c r="AL49" s="122">
        <f t="shared" si="6"/>
        <v>103.37174061119293</v>
      </c>
      <c r="AM49" s="93">
        <v>0</v>
      </c>
      <c r="AN49" s="94">
        <f t="shared" si="23"/>
        <v>2760.4629559999998</v>
      </c>
      <c r="AO49" s="95">
        <f t="shared" si="25"/>
        <v>19409.455303388801</v>
      </c>
      <c r="AP49" s="96"/>
      <c r="AQ49" s="97">
        <f t="shared" si="7"/>
        <v>1932.0208108108109</v>
      </c>
      <c r="AR49" s="98">
        <f t="shared" si="35"/>
        <v>123.09</v>
      </c>
      <c r="AS49" s="98">
        <f t="shared" si="9"/>
        <v>733.375945945946</v>
      </c>
      <c r="AT49" s="98">
        <f t="shared" si="10"/>
        <v>202.64717948717967</v>
      </c>
      <c r="AU49" s="98">
        <f t="shared" si="24"/>
        <v>246.64102564102564</v>
      </c>
      <c r="AV49" s="98">
        <f t="array" ref="AV49">_xlfn.IFS(U49=0,AO49,U49&lt;0,AO49/-U49,U49&gt;0,AO49/U49)</f>
        <v>524.57987306456221</v>
      </c>
      <c r="AW49" s="234">
        <f t="shared" si="43"/>
        <v>0.27151874872632031</v>
      </c>
      <c r="AX49" s="234">
        <f t="shared" si="44"/>
        <v>4.2617586567922841</v>
      </c>
      <c r="AY49" s="99"/>
      <c r="AZ49" s="94">
        <f t="shared" si="13"/>
        <v>134292.44750452793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476</v>
      </c>
      <c r="F50" s="93">
        <v>35</v>
      </c>
      <c r="G50" s="93">
        <v>13</v>
      </c>
      <c r="H50" s="93">
        <v>52</v>
      </c>
      <c r="I50" s="93">
        <v>0</v>
      </c>
      <c r="J50" s="93">
        <v>376</v>
      </c>
      <c r="K50" s="92">
        <v>134.79</v>
      </c>
      <c r="L50" s="92">
        <f t="shared" si="42"/>
        <v>64160.039999999994</v>
      </c>
      <c r="M50" s="89">
        <v>10</v>
      </c>
      <c r="N50" s="89">
        <v>58</v>
      </c>
      <c r="O50" s="89">
        <v>1501</v>
      </c>
      <c r="P50" s="89">
        <v>45</v>
      </c>
      <c r="Q50" s="233">
        <f t="shared" si="14"/>
        <v>8.2857142857142865</v>
      </c>
      <c r="R50" s="92">
        <f t="shared" si="15"/>
        <v>4.7142857142857144</v>
      </c>
      <c r="S50" s="93">
        <v>35</v>
      </c>
      <c r="T50" s="93">
        <v>-2</v>
      </c>
      <c r="U50" s="92">
        <f t="shared" si="16"/>
        <v>33</v>
      </c>
      <c r="V50" s="93">
        <v>34648.5</v>
      </c>
      <c r="W50" s="93">
        <v>-1948</v>
      </c>
      <c r="X50" s="92">
        <f t="shared" si="17"/>
        <v>32700.5</v>
      </c>
      <c r="Y50" s="93">
        <v>52350.590000000004</v>
      </c>
      <c r="Z50" s="93">
        <v>-3002</v>
      </c>
      <c r="AA50" s="92">
        <f t="shared" si="18"/>
        <v>49348.590000000004</v>
      </c>
      <c r="AB50" s="92">
        <f t="shared" si="19"/>
        <v>39176.1</v>
      </c>
      <c r="AC50" s="234">
        <f t="shared" si="20"/>
        <v>1.5347158110414729E-2</v>
      </c>
      <c r="AD50" s="92">
        <f t="shared" si="21"/>
        <v>4448.07</v>
      </c>
      <c r="AE50" s="93">
        <v>18571.830000000005</v>
      </c>
      <c r="AF50" s="234">
        <f t="shared" si="22"/>
        <v>0.37633962794073761</v>
      </c>
      <c r="AG50" s="93">
        <v>4707.9300000000012</v>
      </c>
      <c r="AH50" s="93"/>
      <c r="AI50" s="93">
        <v>4454</v>
      </c>
      <c r="AJ50" s="93"/>
      <c r="AK50" s="93"/>
      <c r="AL50" s="122">
        <f t="shared" si="6"/>
        <v>43.701874079528714</v>
      </c>
      <c r="AM50" s="93">
        <v>0</v>
      </c>
      <c r="AN50" s="94">
        <f t="shared" si="23"/>
        <v>1867.1985499999998</v>
      </c>
      <c r="AO50" s="95">
        <f t="shared" si="25"/>
        <v>15255.859575920471</v>
      </c>
      <c r="AP50" s="96"/>
      <c r="AQ50" s="97">
        <f t="shared" si="7"/>
        <v>1495.4118181818183</v>
      </c>
      <c r="AR50" s="98">
        <f t="shared" si="35"/>
        <v>134.79</v>
      </c>
      <c r="AS50" s="98">
        <f t="shared" si="9"/>
        <v>562.78272727272747</v>
      </c>
      <c r="AT50" s="98">
        <f t="shared" si="10"/>
        <v>134.51228571428575</v>
      </c>
      <c r="AU50" s="98">
        <f t="shared" si="24"/>
        <v>127.25714285714285</v>
      </c>
      <c r="AV50" s="98">
        <f t="array" ref="AV50">_xlfn.IFS(U50=0,AO50,U50&lt;0,AO50/-U50,U50&gt;0,AO50/U50)</f>
        <v>462.29877502789304</v>
      </c>
      <c r="AW50" s="234">
        <f t="shared" si="43"/>
        <v>0.3091447916935513</v>
      </c>
      <c r="AX50" s="234">
        <f t="shared" si="44"/>
        <v>3.4297705692402483</v>
      </c>
      <c r="AY50" s="99"/>
      <c r="AZ50" s="94">
        <f t="shared" si="13"/>
        <v>220054.21691327708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146</v>
      </c>
      <c r="F51" s="93" t="s">
        <v>100</v>
      </c>
      <c r="G51" s="93">
        <v>1</v>
      </c>
      <c r="H51" s="93" t="s">
        <v>100</v>
      </c>
      <c r="I51" s="93">
        <v>0</v>
      </c>
      <c r="J51" s="93">
        <v>145</v>
      </c>
      <c r="K51" s="92">
        <v>144.15</v>
      </c>
      <c r="L51" s="92">
        <f t="shared" si="42"/>
        <v>21045.9</v>
      </c>
      <c r="M51" s="89">
        <v>999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119</v>
      </c>
      <c r="AH51" s="93"/>
      <c r="AI51" s="93"/>
      <c r="AJ51" s="93"/>
      <c r="AK51" s="93"/>
      <c r="AL51" s="122">
        <f t="shared" si="6"/>
        <v>0</v>
      </c>
      <c r="AM51" s="93">
        <v>30</v>
      </c>
      <c r="AN51" s="94">
        <f t="shared" si="23"/>
        <v>0</v>
      </c>
      <c r="AO51" s="95">
        <f t="shared" si="25"/>
        <v>-149</v>
      </c>
      <c r="AP51" s="96"/>
      <c r="AQ51" s="97">
        <f t="shared" si="7"/>
        <v>0</v>
      </c>
      <c r="AR51" s="98">
        <f t="shared" si="35"/>
        <v>144.15</v>
      </c>
      <c r="AS51" s="98">
        <f t="shared" si="9"/>
        <v>0</v>
      </c>
      <c r="AT51" s="98">
        <f t="shared" si="10"/>
        <v>119</v>
      </c>
      <c r="AU51" s="98">
        <f t="shared" si="24"/>
        <v>0</v>
      </c>
      <c r="AV51" s="98">
        <f t="array" ref="AV51">_xlfn.IFS(U51=0,AO51,U51&lt;0,AO51/-U51,U51&gt;0,AO51/U51)</f>
        <v>-149</v>
      </c>
      <c r="AW51" s="234">
        <f t="shared" si="43"/>
        <v>0</v>
      </c>
      <c r="AX51" s="234">
        <f t="shared" si="44"/>
        <v>-1.0336455081512312</v>
      </c>
      <c r="AY51" s="99"/>
      <c r="AZ51" s="94">
        <f t="shared" si="13"/>
        <v>-21754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29</v>
      </c>
      <c r="F52" s="93">
        <v>1</v>
      </c>
      <c r="G52" s="93">
        <v>2</v>
      </c>
      <c r="H52" s="93">
        <v>25</v>
      </c>
      <c r="I52" s="93">
        <v>0</v>
      </c>
      <c r="J52" s="93">
        <v>1</v>
      </c>
      <c r="K52" s="92">
        <v>96.18</v>
      </c>
      <c r="L52" s="92">
        <f t="shared" si="42"/>
        <v>2789.2200000000003</v>
      </c>
      <c r="M52" s="89">
        <v>41</v>
      </c>
      <c r="N52" s="89">
        <v>4</v>
      </c>
      <c r="O52" s="89">
        <v>1302</v>
      </c>
      <c r="P52" s="89">
        <v>33</v>
      </c>
      <c r="Q52" s="233">
        <f t="shared" si="14"/>
        <v>0.5714285714285714</v>
      </c>
      <c r="R52" s="92">
        <f t="shared" si="15"/>
        <v>0.14285714285714285</v>
      </c>
      <c r="S52" s="93">
        <v>1</v>
      </c>
      <c r="T52" s="93">
        <v>0</v>
      </c>
      <c r="U52" s="92">
        <f t="shared" si="16"/>
        <v>1</v>
      </c>
      <c r="V52" s="93">
        <v>874</v>
      </c>
      <c r="W52" s="93">
        <v>0</v>
      </c>
      <c r="X52" s="92">
        <f t="shared" si="17"/>
        <v>874</v>
      </c>
      <c r="Y52" s="93">
        <v>1302</v>
      </c>
      <c r="Z52" s="93">
        <v>0</v>
      </c>
      <c r="AA52" s="92">
        <f t="shared" si="18"/>
        <v>1302</v>
      </c>
      <c r="AB52" s="92">
        <f t="shared" si="19"/>
        <v>1718.64</v>
      </c>
      <c r="AC52" s="234">
        <f t="shared" si="20"/>
        <v>4.0491531490079001E-4</v>
      </c>
      <c r="AD52" s="92">
        <f t="shared" si="21"/>
        <v>96.18</v>
      </c>
      <c r="AE52" s="93">
        <v>501.61</v>
      </c>
      <c r="AF52" s="234">
        <f t="shared" si="22"/>
        <v>0.38526113671274964</v>
      </c>
      <c r="AG52" s="93">
        <v>612.1</v>
      </c>
      <c r="AH52" s="93"/>
      <c r="AI52" s="93">
        <v>156</v>
      </c>
      <c r="AJ52" s="93"/>
      <c r="AK52" s="93"/>
      <c r="AL52" s="122">
        <f t="shared" si="6"/>
        <v>21.010516384388808</v>
      </c>
      <c r="AM52" s="93">
        <v>0</v>
      </c>
      <c r="AN52" s="94">
        <f t="shared" si="23"/>
        <v>49.9054</v>
      </c>
      <c r="AO52" s="95">
        <f t="shared" si="25"/>
        <v>-134.80591638438892</v>
      </c>
      <c r="AP52" s="96"/>
      <c r="AQ52" s="97">
        <f t="shared" si="7"/>
        <v>1302</v>
      </c>
      <c r="AR52" s="98">
        <f t="shared" si="35"/>
        <v>96.18</v>
      </c>
      <c r="AS52" s="98">
        <f t="shared" si="9"/>
        <v>501.61</v>
      </c>
      <c r="AT52" s="98">
        <f t="shared" si="10"/>
        <v>612.1</v>
      </c>
      <c r="AU52" s="98">
        <f t="shared" si="24"/>
        <v>156</v>
      </c>
      <c r="AV52" s="98">
        <f t="array" ref="AV52">_xlfn.IFS(U52=0,AO52,U52&lt;0,AO52/-U52,U52&gt;0,AO52/U52)</f>
        <v>-134.80591638438892</v>
      </c>
      <c r="AW52" s="234">
        <f t="shared" si="43"/>
        <v>-0.10353757018770271</v>
      </c>
      <c r="AX52" s="234">
        <f t="shared" si="44"/>
        <v>-1.4016002951173727</v>
      </c>
      <c r="AY52" s="99"/>
      <c r="AZ52" s="94">
        <f t="shared" si="13"/>
        <v>-3909.3715751472787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35</v>
      </c>
      <c r="F53" s="93">
        <v>10</v>
      </c>
      <c r="G53" s="93">
        <v>2</v>
      </c>
      <c r="H53" s="93">
        <v>22</v>
      </c>
      <c r="I53" s="93">
        <v>0</v>
      </c>
      <c r="J53" s="93">
        <v>1</v>
      </c>
      <c r="K53" s="92">
        <v>96.18</v>
      </c>
      <c r="L53" s="92">
        <f t="shared" si="42"/>
        <v>3366.3</v>
      </c>
      <c r="M53" s="89">
        <v>39</v>
      </c>
      <c r="N53" s="89">
        <v>10</v>
      </c>
      <c r="O53" s="89">
        <v>1106</v>
      </c>
      <c r="P53" s="89">
        <v>0</v>
      </c>
      <c r="Q53" s="233">
        <f t="shared" si="14"/>
        <v>1.4285714285714286</v>
      </c>
      <c r="R53" s="92">
        <f t="shared" si="15"/>
        <v>0.7142857142857143</v>
      </c>
      <c r="S53" s="93">
        <v>5</v>
      </c>
      <c r="T53" s="93">
        <v>0</v>
      </c>
      <c r="U53" s="92">
        <f t="shared" si="16"/>
        <v>5</v>
      </c>
      <c r="V53" s="93">
        <v>3519</v>
      </c>
      <c r="W53" s="93">
        <v>0</v>
      </c>
      <c r="X53" s="92">
        <f t="shared" si="17"/>
        <v>3519</v>
      </c>
      <c r="Y53" s="93">
        <v>5485</v>
      </c>
      <c r="Z53" s="93">
        <v>0</v>
      </c>
      <c r="AA53" s="92">
        <f t="shared" si="18"/>
        <v>5485</v>
      </c>
      <c r="AB53" s="92">
        <f t="shared" si="19"/>
        <v>0</v>
      </c>
      <c r="AC53" s="234">
        <f t="shared" si="20"/>
        <v>1.7058068373508703E-3</v>
      </c>
      <c r="AD53" s="92">
        <f t="shared" si="21"/>
        <v>480.90000000000003</v>
      </c>
      <c r="AE53" s="93">
        <v>2074.2299999999996</v>
      </c>
      <c r="AF53" s="234">
        <f t="shared" si="22"/>
        <v>0.37816408386508654</v>
      </c>
      <c r="AG53" s="93">
        <v>898.81</v>
      </c>
      <c r="AH53" s="93"/>
      <c r="AI53" s="93">
        <v>742</v>
      </c>
      <c r="AJ53" s="93"/>
      <c r="AK53" s="93"/>
      <c r="AL53" s="122">
        <f t="shared" si="6"/>
        <v>18.489254418262153</v>
      </c>
      <c r="AM53" s="93">
        <v>0</v>
      </c>
      <c r="AN53" s="94">
        <f t="shared" si="23"/>
        <v>200.9349</v>
      </c>
      <c r="AO53" s="95">
        <f t="shared" si="25"/>
        <v>1069.6358455817387</v>
      </c>
      <c r="AP53" s="96"/>
      <c r="AQ53" s="97">
        <f t="shared" si="7"/>
        <v>1097</v>
      </c>
      <c r="AR53" s="98">
        <f t="shared" si="35"/>
        <v>96.18</v>
      </c>
      <c r="AS53" s="98">
        <f t="shared" si="9"/>
        <v>414.84599999999989</v>
      </c>
      <c r="AT53" s="98">
        <f t="shared" si="10"/>
        <v>179.762</v>
      </c>
      <c r="AU53" s="98">
        <f t="shared" si="24"/>
        <v>148.4</v>
      </c>
      <c r="AV53" s="98">
        <f t="array" ref="AV53">_xlfn.IFS(U53=0,AO53,U53&lt;0,AO53/-U53,U53&gt;0,AO53/U53)</f>
        <v>213.92716911634776</v>
      </c>
      <c r="AW53" s="234">
        <f t="shared" si="43"/>
        <v>0.19501109308691683</v>
      </c>
      <c r="AX53" s="234">
        <f t="shared" si="44"/>
        <v>2.2242375661920124</v>
      </c>
      <c r="AY53" s="99"/>
      <c r="AZ53" s="94">
        <f t="shared" si="13"/>
        <v>7487.450919072171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25</v>
      </c>
      <c r="F54" s="93">
        <v>2</v>
      </c>
      <c r="G54" s="93">
        <v>1</v>
      </c>
      <c r="H54" s="93">
        <v>21</v>
      </c>
      <c r="I54" s="93">
        <v>0</v>
      </c>
      <c r="J54" s="93">
        <v>1</v>
      </c>
      <c r="K54" s="93">
        <v>123.09</v>
      </c>
      <c r="L54" s="92">
        <f t="shared" si="42"/>
        <v>3077.25</v>
      </c>
      <c r="M54" s="89">
        <v>48</v>
      </c>
      <c r="N54" s="89">
        <v>4</v>
      </c>
      <c r="O54" s="89">
        <v>998</v>
      </c>
      <c r="P54" s="89">
        <v>100</v>
      </c>
      <c r="Q54" s="233">
        <f t="shared" si="14"/>
        <v>0.5714285714285714</v>
      </c>
      <c r="R54" s="92">
        <f t="shared" si="15"/>
        <v>0.42857142857142855</v>
      </c>
      <c r="S54" s="93">
        <v>4</v>
      </c>
      <c r="T54" s="93">
        <v>-1</v>
      </c>
      <c r="U54" s="92">
        <f t="shared" si="16"/>
        <v>3</v>
      </c>
      <c r="V54" s="93">
        <v>2740</v>
      </c>
      <c r="W54" s="93">
        <v>-715</v>
      </c>
      <c r="X54" s="92">
        <f t="shared" si="17"/>
        <v>2025</v>
      </c>
      <c r="Y54" s="93">
        <v>3992</v>
      </c>
      <c r="Z54" s="93">
        <v>-998</v>
      </c>
      <c r="AA54" s="92">
        <f t="shared" si="18"/>
        <v>2994</v>
      </c>
      <c r="AB54" s="92">
        <f t="shared" si="19"/>
        <v>3992</v>
      </c>
      <c r="AC54" s="234">
        <f t="shared" si="20"/>
        <v>9.3111862735250782E-4</v>
      </c>
      <c r="AD54" s="92">
        <f t="shared" si="21"/>
        <v>369.27</v>
      </c>
      <c r="AE54" s="93">
        <v>1136.23</v>
      </c>
      <c r="AF54" s="234">
        <f t="shared" si="22"/>
        <v>0.37950233800935207</v>
      </c>
      <c r="AG54" s="93">
        <v>733.2</v>
      </c>
      <c r="AH54" s="93"/>
      <c r="AI54" s="93"/>
      <c r="AJ54" s="93"/>
      <c r="AK54" s="93"/>
      <c r="AL54" s="122">
        <f t="shared" si="6"/>
        <v>17.648833762886596</v>
      </c>
      <c r="AM54" s="93">
        <v>0</v>
      </c>
      <c r="AN54" s="94">
        <f t="shared" si="23"/>
        <v>115.6275</v>
      </c>
      <c r="AO54" s="95">
        <f t="shared" si="25"/>
        <v>622.02366623711328</v>
      </c>
      <c r="AP54" s="96"/>
      <c r="AQ54" s="97">
        <f t="shared" si="7"/>
        <v>998</v>
      </c>
      <c r="AR54" s="98">
        <f t="shared" si="35"/>
        <v>123.09</v>
      </c>
      <c r="AS54" s="98">
        <f t="shared" si="9"/>
        <v>378.74333333333334</v>
      </c>
      <c r="AT54" s="98">
        <f t="shared" si="10"/>
        <v>183.3</v>
      </c>
      <c r="AU54" s="98">
        <f t="shared" si="24"/>
        <v>0</v>
      </c>
      <c r="AV54" s="98">
        <f t="array" ref="AV54">_xlfn.IFS(U54=0,AO54,U54&lt;0,AO54/-U54,U54&gt;0,AO54/U54)</f>
        <v>207.34122207903775</v>
      </c>
      <c r="AW54" s="234">
        <f t="shared" si="43"/>
        <v>0.20775673555013802</v>
      </c>
      <c r="AX54" s="234">
        <f t="shared" si="44"/>
        <v>1.6844684546188784</v>
      </c>
      <c r="AY54" s="99"/>
      <c r="AZ54" s="94">
        <f t="shared" si="13"/>
        <v>5183.530551975944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6"/>
        <v>0.84042065537555233</v>
      </c>
      <c r="AM55" s="93">
        <v>0</v>
      </c>
      <c r="AN55" s="94">
        <f t="shared" si="23"/>
        <v>0</v>
      </c>
      <c r="AO55" s="95">
        <f t="shared" si="25"/>
        <v>-0.84042065537555233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0</v>
      </c>
      <c r="AU55" s="98">
        <f t="shared" si="24"/>
        <v>0</v>
      </c>
      <c r="AV55" s="98">
        <f t="array" ref="AV55">_xlfn.IFS(U55=0,AO55,U55&lt;0,AO55/-U55,U55&gt;0,AO55/U55)</f>
        <v>-0.84042065537555233</v>
      </c>
      <c r="AW55" s="234">
        <f t="shared" si="43"/>
        <v>0</v>
      </c>
      <c r="AX55" s="234">
        <f t="shared" si="44"/>
        <v>-5.3127293468332535E-3</v>
      </c>
      <c r="AY55" s="99"/>
      <c r="AZ55" s="94">
        <f t="shared" si="13"/>
        <v>-1.6808413107511047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2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24</v>
      </c>
      <c r="F58" s="93">
        <v>3</v>
      </c>
      <c r="G58" s="93" t="s">
        <v>100</v>
      </c>
      <c r="H58" s="93">
        <v>20</v>
      </c>
      <c r="I58" s="93">
        <v>0</v>
      </c>
      <c r="J58" s="93">
        <v>1</v>
      </c>
      <c r="K58" s="93">
        <v>169.89</v>
      </c>
      <c r="L58" s="92">
        <f t="shared" si="42"/>
        <v>4077.3599999999997</v>
      </c>
      <c r="M58" s="89">
        <v>999</v>
      </c>
      <c r="N58" s="89">
        <v>2</v>
      </c>
      <c r="O58" s="89">
        <v>1039</v>
      </c>
      <c r="P58" s="89">
        <v>0</v>
      </c>
      <c r="Q58" s="233">
        <f t="shared" si="14"/>
        <v>0.2857142857142857</v>
      </c>
      <c r="R58" s="92">
        <f t="shared" si="15"/>
        <v>0</v>
      </c>
      <c r="S58" s="93">
        <v>0</v>
      </c>
      <c r="T58" s="93">
        <v>0</v>
      </c>
      <c r="U58" s="92">
        <f t="shared" si="16"/>
        <v>0</v>
      </c>
      <c r="V58" s="93">
        <v>0</v>
      </c>
      <c r="W58" s="93">
        <v>0</v>
      </c>
      <c r="X58" s="92">
        <f t="shared" si="17"/>
        <v>0</v>
      </c>
      <c r="Y58" s="93">
        <v>0</v>
      </c>
      <c r="Z58" s="93">
        <v>0</v>
      </c>
      <c r="AA58" s="92">
        <f t="shared" si="18"/>
        <v>0</v>
      </c>
      <c r="AB58" s="92">
        <f t="shared" si="19"/>
        <v>0</v>
      </c>
      <c r="AC58" s="234">
        <f t="shared" si="20"/>
        <v>0</v>
      </c>
      <c r="AD58" s="92">
        <f t="shared" si="21"/>
        <v>0</v>
      </c>
      <c r="AE58" s="93">
        <v>0</v>
      </c>
      <c r="AF58" s="234">
        <f t="shared" si="22"/>
        <v>0</v>
      </c>
      <c r="AG58" s="93">
        <v>586.62</v>
      </c>
      <c r="AH58" s="93"/>
      <c r="AI58" s="93">
        <v>220</v>
      </c>
      <c r="AJ58" s="93"/>
      <c r="AK58" s="93"/>
      <c r="AL58" s="122">
        <f t="shared" si="6"/>
        <v>16.808413107511047</v>
      </c>
      <c r="AM58" s="93">
        <v>0</v>
      </c>
      <c r="AN58" s="94">
        <f t="shared" si="23"/>
        <v>0</v>
      </c>
      <c r="AO58" s="95">
        <f t="shared" si="25"/>
        <v>-823.42841310751101</v>
      </c>
      <c r="AP58" s="96"/>
      <c r="AQ58" s="97">
        <f t="shared" si="7"/>
        <v>0</v>
      </c>
      <c r="AR58" s="98">
        <f t="shared" si="35"/>
        <v>169.89</v>
      </c>
      <c r="AS58" s="98">
        <f t="shared" si="9"/>
        <v>0</v>
      </c>
      <c r="AT58" s="98">
        <f t="shared" si="10"/>
        <v>586.62</v>
      </c>
      <c r="AU58" s="98">
        <f t="shared" si="24"/>
        <v>0</v>
      </c>
      <c r="AV58" s="98">
        <f t="array" ref="AV58">_xlfn.IFS(U58=0,AO58,U58&lt;0,AO58/-U58,U58&gt;0,AO58/U58)</f>
        <v>-823.42841310751101</v>
      </c>
      <c r="AW58" s="234">
        <f t="shared" si="43"/>
        <v>0</v>
      </c>
      <c r="AX58" s="234">
        <f t="shared" si="44"/>
        <v>-4.8468327335776742</v>
      </c>
      <c r="AY58" s="99"/>
      <c r="AZ58" s="94">
        <f t="shared" si="13"/>
        <v>-19762.281914580264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2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63</v>
      </c>
      <c r="F60" s="93">
        <v>1</v>
      </c>
      <c r="G60" s="93">
        <v>2</v>
      </c>
      <c r="H60" s="93">
        <v>19</v>
      </c>
      <c r="I60" s="93">
        <v>0</v>
      </c>
      <c r="J60" s="93">
        <v>41</v>
      </c>
      <c r="K60" s="93">
        <v>158.19</v>
      </c>
      <c r="L60" s="92">
        <f t="shared" si="42"/>
        <v>9965.9699999999993</v>
      </c>
      <c r="M60" s="89">
        <v>999</v>
      </c>
      <c r="N60" s="89">
        <v>3</v>
      </c>
      <c r="O60" s="89">
        <v>1049</v>
      </c>
      <c r="P60" s="89">
        <v>0</v>
      </c>
      <c r="Q60" s="233">
        <f t="shared" si="14"/>
        <v>0.42857142857142855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0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230.44</v>
      </c>
      <c r="AH60" s="93"/>
      <c r="AI60" s="93"/>
      <c r="AJ60" s="93"/>
      <c r="AK60" s="93"/>
      <c r="AL60" s="122">
        <f t="shared" si="6"/>
        <v>15.967992452135492</v>
      </c>
      <c r="AM60" s="93">
        <v>0</v>
      </c>
      <c r="AN60" s="94">
        <f t="shared" si="23"/>
        <v>0</v>
      </c>
      <c r="AO60" s="95">
        <f t="shared" si="25"/>
        <v>-246.40799245213549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230.44</v>
      </c>
      <c r="AU60" s="98">
        <f t="shared" si="24"/>
        <v>0</v>
      </c>
      <c r="AV60" s="98">
        <f t="array" ref="AV60">_xlfn.IFS(U60=0,AO60,U60&lt;0,AO60/-U60,U60&gt;0,AO60/U60)</f>
        <v>-246.40799245213549</v>
      </c>
      <c r="AW60" s="234">
        <f t="shared" si="43"/>
        <v>0</v>
      </c>
      <c r="AX60" s="234">
        <f t="shared" si="44"/>
        <v>-1.5576711072263449</v>
      </c>
      <c r="AY60" s="99"/>
      <c r="AZ60" s="94">
        <f t="shared" si="13"/>
        <v>-15523.703524484536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478</v>
      </c>
      <c r="F61" s="93">
        <v>1</v>
      </c>
      <c r="G61" s="93">
        <v>2</v>
      </c>
      <c r="H61" s="93">
        <v>154</v>
      </c>
      <c r="I61" s="93">
        <v>0</v>
      </c>
      <c r="J61" s="93">
        <v>321</v>
      </c>
      <c r="K61" s="93">
        <v>128.94</v>
      </c>
      <c r="L61" s="92">
        <f t="shared" si="42"/>
        <v>61633.32</v>
      </c>
      <c r="M61" s="89">
        <v>587</v>
      </c>
      <c r="N61" s="89">
        <v>3</v>
      </c>
      <c r="O61" s="89">
        <v>948</v>
      </c>
      <c r="P61" s="89">
        <v>0</v>
      </c>
      <c r="Q61" s="233">
        <f t="shared" si="14"/>
        <v>0.42857142857142855</v>
      </c>
      <c r="R61" s="92">
        <f t="shared" si="15"/>
        <v>0.14285714285714285</v>
      </c>
      <c r="S61" s="93">
        <v>1</v>
      </c>
      <c r="T61" s="93">
        <v>0</v>
      </c>
      <c r="U61" s="92">
        <f t="shared" si="16"/>
        <v>1</v>
      </c>
      <c r="V61" s="93">
        <v>618</v>
      </c>
      <c r="W61" s="93">
        <v>0</v>
      </c>
      <c r="X61" s="92">
        <f t="shared" si="17"/>
        <v>618</v>
      </c>
      <c r="Y61" s="93">
        <v>927</v>
      </c>
      <c r="Z61" s="93">
        <v>0</v>
      </c>
      <c r="AA61" s="92">
        <f t="shared" si="18"/>
        <v>927</v>
      </c>
      <c r="AB61" s="92">
        <f t="shared" si="19"/>
        <v>0</v>
      </c>
      <c r="AC61" s="234">
        <f t="shared" si="20"/>
        <v>2.8829224033259009E-4</v>
      </c>
      <c r="AD61" s="92">
        <f t="shared" si="21"/>
        <v>128.94</v>
      </c>
      <c r="AE61" s="93">
        <v>351.48</v>
      </c>
      <c r="AF61" s="234">
        <f t="shared" si="22"/>
        <v>0.37915857605177994</v>
      </c>
      <c r="AG61" s="93">
        <v>383.22</v>
      </c>
      <c r="AH61" s="93"/>
      <c r="AI61" s="93"/>
      <c r="AJ61" s="93"/>
      <c r="AK61" s="93"/>
      <c r="AL61" s="122">
        <f t="shared" si="6"/>
        <v>129.42478092783506</v>
      </c>
      <c r="AM61" s="93">
        <v>0</v>
      </c>
      <c r="AN61" s="94">
        <f t="shared" si="23"/>
        <v>35.287799999999997</v>
      </c>
      <c r="AO61" s="95">
        <f t="shared" si="25"/>
        <v>-101.35258092783516</v>
      </c>
      <c r="AP61" s="96"/>
      <c r="AQ61" s="97">
        <f t="shared" si="7"/>
        <v>927</v>
      </c>
      <c r="AR61" s="98">
        <f t="shared" si="35"/>
        <v>128.94</v>
      </c>
      <c r="AS61" s="98">
        <f t="shared" si="9"/>
        <v>351.48</v>
      </c>
      <c r="AT61" s="98">
        <f t="shared" si="10"/>
        <v>383.22</v>
      </c>
      <c r="AU61" s="98">
        <f t="shared" si="24"/>
        <v>0</v>
      </c>
      <c r="AV61" s="98">
        <f t="array" ref="AV61">_xlfn.IFS(U61=0,AO61,U61&lt;0,AO61/-U61,U61&gt;0,AO61/U61)</f>
        <v>-101.35258092783516</v>
      </c>
      <c r="AW61" s="234">
        <f t="shared" si="43"/>
        <v>-0.10933396000845218</v>
      </c>
      <c r="AX61" s="234">
        <f t="shared" si="44"/>
        <v>-0.7860445240254007</v>
      </c>
      <c r="AY61" s="99"/>
      <c r="AZ61" s="94">
        <f t="shared" si="13"/>
        <v>-48446.533683505208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2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2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2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0.84042065537555233</v>
      </c>
      <c r="AM65" s="93">
        <v>0</v>
      </c>
      <c r="AN65" s="94">
        <f t="shared" si="23"/>
        <v>0</v>
      </c>
      <c r="AO65" s="95">
        <f t="shared" si="25"/>
        <v>-0.84042065537555233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-0.84042065537555233</v>
      </c>
      <c r="AW65" s="234">
        <f t="shared" si="43"/>
        <v>0</v>
      </c>
      <c r="AX65" s="234">
        <f t="shared" si="44"/>
        <v>-8.4303406096454241E-3</v>
      </c>
      <c r="AY65" s="99"/>
      <c r="AZ65" s="94">
        <f t="shared" si="13"/>
        <v>-79.839962260677467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2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1.6808413107511047</v>
      </c>
      <c r="AM66" s="93">
        <v>0</v>
      </c>
      <c r="AN66" s="94">
        <f t="shared" si="23"/>
        <v>0</v>
      </c>
      <c r="AO66" s="95">
        <f t="shared" si="25"/>
        <v>-1.6808413107511047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-1.6808413107511047</v>
      </c>
      <c r="AW66" s="234">
        <f t="shared" si="43"/>
        <v>0</v>
      </c>
      <c r="AX66" s="234">
        <f t="shared" si="44"/>
        <v>-1.7265961076025731E-2</v>
      </c>
      <c r="AY66" s="99"/>
      <c r="AZ66" s="94">
        <f t="shared" si="13"/>
        <v>-159.67992452135493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2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6</v>
      </c>
      <c r="F69" s="93">
        <v>1</v>
      </c>
      <c r="G69" s="93">
        <v>1</v>
      </c>
      <c r="H69" s="93">
        <v>3</v>
      </c>
      <c r="I69" s="93">
        <v>0</v>
      </c>
      <c r="J69" s="93">
        <v>1</v>
      </c>
      <c r="K69" s="93">
        <v>140.63999999999999</v>
      </c>
      <c r="L69" s="92">
        <f t="shared" si="42"/>
        <v>843.83999999999992</v>
      </c>
      <c r="M69" s="89">
        <v>23</v>
      </c>
      <c r="N69" s="89">
        <v>1</v>
      </c>
      <c r="O69" s="89">
        <v>998</v>
      </c>
      <c r="P69" s="89">
        <v>100</v>
      </c>
      <c r="Q69" s="233">
        <f t="shared" si="47"/>
        <v>0.14285714285714285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1450</v>
      </c>
      <c r="W69" s="93">
        <v>0</v>
      </c>
      <c r="X69" s="92">
        <f t="shared" si="50"/>
        <v>1450</v>
      </c>
      <c r="Y69" s="93">
        <v>1996</v>
      </c>
      <c r="Z69" s="93">
        <v>0</v>
      </c>
      <c r="AA69" s="92">
        <f t="shared" si="51"/>
        <v>1996</v>
      </c>
      <c r="AB69" s="92">
        <f t="shared" si="52"/>
        <v>998</v>
      </c>
      <c r="AC69" s="234">
        <f t="shared" si="53"/>
        <v>6.2074575156833862E-4</v>
      </c>
      <c r="AD69" s="92">
        <f t="shared" si="54"/>
        <v>281.27999999999997</v>
      </c>
      <c r="AE69" s="93">
        <v>740.98</v>
      </c>
      <c r="AF69" s="234">
        <f t="shared" si="55"/>
        <v>0.37123246492985973</v>
      </c>
      <c r="AG69" s="93">
        <v>348.83000000000004</v>
      </c>
      <c r="AH69" s="93"/>
      <c r="AI69" s="93"/>
      <c r="AJ69" s="93"/>
      <c r="AK69" s="93"/>
      <c r="AL69" s="122">
        <f t="shared" si="46"/>
        <v>2.5212619661266569</v>
      </c>
      <c r="AM69" s="93">
        <v>0</v>
      </c>
      <c r="AN69" s="94">
        <f t="shared" si="56"/>
        <v>82.795000000000002</v>
      </c>
      <c r="AO69" s="95">
        <f t="shared" ref="AO69:AO103" si="57">AA69-AD69-AE69-AG69-AH69-AI69-AK69-AL69-AN69-AM69</f>
        <v>539.59373803387336</v>
      </c>
      <c r="AP69" s="96"/>
      <c r="AQ69" s="97">
        <f t="shared" si="7"/>
        <v>998</v>
      </c>
      <c r="AR69" s="98">
        <f t="shared" si="35"/>
        <v>140.63999999999999</v>
      </c>
      <c r="AS69" s="98">
        <f t="shared" si="9"/>
        <v>370.49</v>
      </c>
      <c r="AT69" s="98">
        <f t="shared" si="10"/>
        <v>174.41500000000002</v>
      </c>
      <c r="AU69" s="98">
        <f t="shared" si="24"/>
        <v>0</v>
      </c>
      <c r="AV69" s="98">
        <f t="array" ref="AV69">_xlfn.IFS(U69=0,AO69,U69&lt;0,AO69/-U69,U69&gt;0,AO69/U69)</f>
        <v>269.79686901693668</v>
      </c>
      <c r="AW69" s="234">
        <f t="shared" si="43"/>
        <v>0.27033754410514699</v>
      </c>
      <c r="AX69" s="234">
        <f t="shared" si="44"/>
        <v>1.9183508889145102</v>
      </c>
      <c r="AY69" s="99"/>
      <c r="AZ69" s="94">
        <f t="shared" si="13"/>
        <v>1618.7812141016202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2"/>
        <v>117.24</v>
      </c>
      <c r="M70" s="89">
        <v>999</v>
      </c>
      <c r="N70" s="89">
        <v>0</v>
      </c>
      <c r="O70" s="89">
        <v>0</v>
      </c>
      <c r="P70" s="89">
        <v>0</v>
      </c>
      <c r="Q70" s="233">
        <f t="shared" si="47"/>
        <v>0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0</v>
      </c>
      <c r="AH70" s="93"/>
      <c r="AI70" s="93"/>
      <c r="AJ70" s="93"/>
      <c r="AK70" s="93"/>
      <c r="AL70" s="122">
        <f t="shared" si="46"/>
        <v>0</v>
      </c>
      <c r="AM70" s="93">
        <v>0</v>
      </c>
      <c r="AN70" s="94">
        <f t="shared" si="56"/>
        <v>0</v>
      </c>
      <c r="AO70" s="95">
        <f t="shared" si="57"/>
        <v>0</v>
      </c>
      <c r="AP70" s="96"/>
      <c r="AQ70" s="97">
        <f t="shared" si="7"/>
        <v>0</v>
      </c>
      <c r="AR70" s="98">
        <f t="shared" si="35"/>
        <v>117.24</v>
      </c>
      <c r="AS70" s="98">
        <f t="shared" si="9"/>
        <v>0</v>
      </c>
      <c r="AT70" s="98">
        <f t="shared" si="10"/>
        <v>0</v>
      </c>
      <c r="AU70" s="98">
        <f t="shared" si="24"/>
        <v>0</v>
      </c>
      <c r="AV70" s="98">
        <f t="array" ref="AV70">_xlfn.IFS(U70=0,AO70,U70&lt;0,AO70/-U70,U70&gt;0,AO70/U70)</f>
        <v>0</v>
      </c>
      <c r="AW70" s="234">
        <f t="shared" si="43"/>
        <v>0</v>
      </c>
      <c r="AX70" s="234">
        <f t="shared" si="44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27</v>
      </c>
      <c r="F71" s="93" t="s">
        <v>100</v>
      </c>
      <c r="G71" s="93" t="s">
        <v>100</v>
      </c>
      <c r="H71" s="93">
        <v>3</v>
      </c>
      <c r="I71" s="93">
        <v>0</v>
      </c>
      <c r="J71" s="93">
        <v>24</v>
      </c>
      <c r="K71" s="93">
        <v>123.09</v>
      </c>
      <c r="L71" s="92">
        <f t="shared" si="42"/>
        <v>3323.4300000000003</v>
      </c>
      <c r="M71" s="89">
        <v>999</v>
      </c>
      <c r="N71" s="89">
        <v>0</v>
      </c>
      <c r="O71" s="89">
        <v>0</v>
      </c>
      <c r="P71" s="89">
        <v>0</v>
      </c>
      <c r="Q71" s="233">
        <f t="shared" si="47"/>
        <v>0</v>
      </c>
      <c r="R71" s="92">
        <f t="shared" si="48"/>
        <v>0</v>
      </c>
      <c r="S71" s="93">
        <v>0</v>
      </c>
      <c r="T71" s="93">
        <v>0</v>
      </c>
      <c r="U71" s="92">
        <f t="shared" si="49"/>
        <v>0</v>
      </c>
      <c r="V71" s="93">
        <v>0</v>
      </c>
      <c r="W71" s="93">
        <v>0</v>
      </c>
      <c r="X71" s="92">
        <f t="shared" si="50"/>
        <v>0</v>
      </c>
      <c r="Y71" s="93">
        <v>0</v>
      </c>
      <c r="Z71" s="93">
        <v>0</v>
      </c>
      <c r="AA71" s="92">
        <f t="shared" si="51"/>
        <v>0</v>
      </c>
      <c r="AB71" s="92">
        <f t="shared" si="52"/>
        <v>0</v>
      </c>
      <c r="AC71" s="234">
        <f t="shared" si="53"/>
        <v>0</v>
      </c>
      <c r="AD71" s="92">
        <f t="shared" si="54"/>
        <v>0</v>
      </c>
      <c r="AE71" s="93">
        <v>0</v>
      </c>
      <c r="AF71" s="234">
        <f t="shared" si="55"/>
        <v>0</v>
      </c>
      <c r="AG71" s="93">
        <v>0</v>
      </c>
      <c r="AH71" s="93"/>
      <c r="AI71" s="93"/>
      <c r="AJ71" s="93"/>
      <c r="AK71" s="93"/>
      <c r="AL71" s="122">
        <f t="shared" si="46"/>
        <v>2.5212619661266569</v>
      </c>
      <c r="AM71" s="93">
        <v>0</v>
      </c>
      <c r="AN71" s="94">
        <f t="shared" si="56"/>
        <v>0</v>
      </c>
      <c r="AO71" s="95">
        <f t="shared" si="57"/>
        <v>-2.5212619661266569</v>
      </c>
      <c r="AP71" s="96"/>
      <c r="AQ71" s="97">
        <f t="shared" si="7"/>
        <v>0</v>
      </c>
      <c r="AR71" s="98">
        <f t="shared" si="35"/>
        <v>123.09</v>
      </c>
      <c r="AS71" s="98">
        <f t="shared" si="9"/>
        <v>0</v>
      </c>
      <c r="AT71" s="98">
        <f t="shared" si="10"/>
        <v>0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-2.5212619661266569</v>
      </c>
      <c r="AW71" s="234">
        <f t="shared" si="43"/>
        <v>0</v>
      </c>
      <c r="AX71" s="234">
        <f t="shared" si="44"/>
        <v>-2.0483077147832131E-2</v>
      </c>
      <c r="AY71" s="99"/>
      <c r="AZ71" s="94">
        <f t="shared" si="13"/>
        <v>-68.074073085419741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2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7"/>
        <v>0</v>
      </c>
      <c r="R72" s="92">
        <f t="shared" si="48"/>
        <v>0</v>
      </c>
      <c r="S72" s="93">
        <v>0</v>
      </c>
      <c r="T72" s="93">
        <v>0</v>
      </c>
      <c r="U72" s="92">
        <f t="shared" si="49"/>
        <v>0</v>
      </c>
      <c r="V72" s="93">
        <v>0</v>
      </c>
      <c r="W72" s="93">
        <v>0</v>
      </c>
      <c r="X72" s="92">
        <f t="shared" si="50"/>
        <v>0</v>
      </c>
      <c r="Y72" s="93">
        <v>0</v>
      </c>
      <c r="Z72" s="93">
        <v>0</v>
      </c>
      <c r="AA72" s="92">
        <f t="shared" si="51"/>
        <v>0</v>
      </c>
      <c r="AB72" s="92">
        <f t="shared" si="52"/>
        <v>0</v>
      </c>
      <c r="AC72" s="234">
        <f t="shared" si="53"/>
        <v>0</v>
      </c>
      <c r="AD72" s="92">
        <f t="shared" si="54"/>
        <v>0</v>
      </c>
      <c r="AE72" s="93">
        <v>0</v>
      </c>
      <c r="AF72" s="234">
        <f t="shared" si="55"/>
        <v>0</v>
      </c>
      <c r="AG72" s="93">
        <v>0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0</v>
      </c>
      <c r="AO72" s="95">
        <f t="shared" si="57"/>
        <v>0</v>
      </c>
      <c r="AP72" s="96"/>
      <c r="AQ72" s="97">
        <f t="shared" si="7"/>
        <v>0</v>
      </c>
      <c r="AR72" s="98">
        <f t="shared" si="35"/>
        <v>123.09</v>
      </c>
      <c r="AS72" s="98">
        <f t="shared" si="9"/>
        <v>0</v>
      </c>
      <c r="AT72" s="98">
        <f t="shared" si="10"/>
        <v>0</v>
      </c>
      <c r="AU72" s="98">
        <f t="shared" si="58"/>
        <v>0</v>
      </c>
      <c r="AV72" s="98">
        <f t="array" ref="AV72">_xlfn.IFS(U72=0,AO72,U72&lt;0,AO72/-U72,U72&gt;0,AO72/U72)</f>
        <v>0</v>
      </c>
      <c r="AW72" s="234">
        <f t="shared" si="43"/>
        <v>0</v>
      </c>
      <c r="AX72" s="234">
        <f t="shared" si="44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4</v>
      </c>
      <c r="F73" s="93">
        <v>2</v>
      </c>
      <c r="G73" s="93" t="s">
        <v>100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2"/>
        <v>492.36</v>
      </c>
      <c r="M73" s="89">
        <v>999</v>
      </c>
      <c r="N73" s="89">
        <v>2</v>
      </c>
      <c r="O73" s="89">
        <v>807</v>
      </c>
      <c r="P73" s="89">
        <v>0</v>
      </c>
      <c r="Q73" s="233">
        <f t="shared" si="47"/>
        <v>0.2857142857142857</v>
      </c>
      <c r="R73" s="92">
        <f t="shared" si="48"/>
        <v>0</v>
      </c>
      <c r="S73" s="93">
        <v>0</v>
      </c>
      <c r="T73" s="93">
        <v>0</v>
      </c>
      <c r="U73" s="92">
        <f t="shared" si="49"/>
        <v>0</v>
      </c>
      <c r="V73" s="93">
        <v>0</v>
      </c>
      <c r="W73" s="93">
        <v>0</v>
      </c>
      <c r="X73" s="92">
        <f t="shared" si="50"/>
        <v>0</v>
      </c>
      <c r="Y73" s="93">
        <v>0</v>
      </c>
      <c r="Z73" s="93">
        <v>0</v>
      </c>
      <c r="AA73" s="92">
        <f t="shared" si="51"/>
        <v>0</v>
      </c>
      <c r="AB73" s="92">
        <f t="shared" si="52"/>
        <v>0</v>
      </c>
      <c r="AC73" s="234">
        <f t="shared" si="53"/>
        <v>0</v>
      </c>
      <c r="AD73" s="92">
        <f t="shared" si="54"/>
        <v>0</v>
      </c>
      <c r="AE73" s="93">
        <v>0</v>
      </c>
      <c r="AF73" s="234">
        <f t="shared" si="55"/>
        <v>0</v>
      </c>
      <c r="AG73" s="93">
        <v>0</v>
      </c>
      <c r="AH73" s="93"/>
      <c r="AI73" s="93"/>
      <c r="AJ73" s="93"/>
      <c r="AK73" s="93"/>
      <c r="AL73" s="122">
        <f t="shared" si="46"/>
        <v>0.84042065537555233</v>
      </c>
      <c r="AM73" s="93">
        <v>0</v>
      </c>
      <c r="AN73" s="94">
        <f t="shared" si="56"/>
        <v>0</v>
      </c>
      <c r="AO73" s="95">
        <f t="shared" si="57"/>
        <v>-0.84042065537555233</v>
      </c>
      <c r="AP73" s="96"/>
      <c r="AQ73" s="97">
        <f t="shared" si="7"/>
        <v>0</v>
      </c>
      <c r="AR73" s="98">
        <f t="shared" si="35"/>
        <v>123.09</v>
      </c>
      <c r="AS73" s="98">
        <f t="shared" si="9"/>
        <v>0</v>
      </c>
      <c r="AT73" s="98">
        <f t="shared" si="10"/>
        <v>0</v>
      </c>
      <c r="AU73" s="98">
        <f t="shared" si="58"/>
        <v>0</v>
      </c>
      <c r="AV73" s="98">
        <f t="array" ref="AV73">_xlfn.IFS(U73=0,AO73,U73&lt;0,AO73/-U73,U73&gt;0,AO73/U73)</f>
        <v>-0.84042065537555233</v>
      </c>
      <c r="AW73" s="234">
        <f t="shared" si="43"/>
        <v>0</v>
      </c>
      <c r="AX73" s="234">
        <f t="shared" si="44"/>
        <v>-6.8276923826107103E-3</v>
      </c>
      <c r="AY73" s="99"/>
      <c r="AZ73" s="94">
        <f t="shared" si="13"/>
        <v>-3.3616826215022093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58.29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-58.29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58.29</v>
      </c>
      <c r="AU74" s="98">
        <f t="shared" si="58"/>
        <v>0</v>
      </c>
      <c r="AV74" s="98">
        <f t="array" ref="AV74">_xlfn.IFS(U74=0,AO74,U74&lt;0,AO74/-U74,U74&gt;0,AO74/U74)</f>
        <v>-58.29</v>
      </c>
      <c r="AW74" s="234">
        <f t="shared" si="43"/>
        <v>0</v>
      </c>
      <c r="AX74" s="234">
        <f t="shared" si="44"/>
        <v>-0.43245047852214558</v>
      </c>
      <c r="AY74" s="99"/>
      <c r="AZ74" s="94">
        <f t="shared" si="13"/>
        <v>-116.58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12</v>
      </c>
      <c r="F75" s="93">
        <v>5</v>
      </c>
      <c r="G75" s="93">
        <v>2</v>
      </c>
      <c r="H75" s="93">
        <v>4</v>
      </c>
      <c r="I75" s="93">
        <v>0</v>
      </c>
      <c r="J75" s="93">
        <v>1</v>
      </c>
      <c r="K75" s="93">
        <v>134.79</v>
      </c>
      <c r="L75" s="92">
        <f t="shared" si="42"/>
        <v>1617.48</v>
      </c>
      <c r="M75" s="89">
        <v>38</v>
      </c>
      <c r="N75" s="89">
        <v>8</v>
      </c>
      <c r="O75" s="89">
        <v>763</v>
      </c>
      <c r="P75" s="89">
        <v>75</v>
      </c>
      <c r="Q75" s="233">
        <f t="shared" si="47"/>
        <v>1.1428571428571428</v>
      </c>
      <c r="R75" s="92">
        <f t="shared" si="48"/>
        <v>0.7142857142857143</v>
      </c>
      <c r="S75" s="93">
        <v>5</v>
      </c>
      <c r="T75" s="93">
        <v>0</v>
      </c>
      <c r="U75" s="92">
        <f t="shared" si="49"/>
        <v>5</v>
      </c>
      <c r="V75" s="93">
        <v>2612</v>
      </c>
      <c r="W75" s="93">
        <v>0</v>
      </c>
      <c r="X75" s="92">
        <f t="shared" si="50"/>
        <v>2612</v>
      </c>
      <c r="Y75" s="93">
        <v>3798</v>
      </c>
      <c r="Z75" s="93">
        <v>0</v>
      </c>
      <c r="AA75" s="92">
        <f t="shared" si="51"/>
        <v>3798</v>
      </c>
      <c r="AB75" s="92">
        <f t="shared" si="52"/>
        <v>4578</v>
      </c>
      <c r="AC75" s="234">
        <f t="shared" si="53"/>
        <v>1.1811584992267284E-3</v>
      </c>
      <c r="AD75" s="92">
        <f t="shared" si="54"/>
        <v>673.94999999999993</v>
      </c>
      <c r="AE75" s="93">
        <v>1444.0300000000002</v>
      </c>
      <c r="AF75" s="234">
        <f t="shared" si="55"/>
        <v>0.38020800421274359</v>
      </c>
      <c r="AG75" s="93">
        <v>715.9</v>
      </c>
      <c r="AH75" s="93"/>
      <c r="AI75" s="93"/>
      <c r="AJ75" s="93"/>
      <c r="AK75" s="93"/>
      <c r="AL75" s="122">
        <f t="shared" si="46"/>
        <v>3.3616826215022093</v>
      </c>
      <c r="AM75" s="93">
        <v>0</v>
      </c>
      <c r="AN75" s="94">
        <f t="shared" si="56"/>
        <v>149.14519999999999</v>
      </c>
      <c r="AO75" s="95">
        <f t="shared" si="57"/>
        <v>811.61311737849792</v>
      </c>
      <c r="AP75" s="96"/>
      <c r="AQ75" s="97">
        <f t="shared" si="7"/>
        <v>759.6</v>
      </c>
      <c r="AR75" s="98">
        <f t="shared" si="35"/>
        <v>134.79</v>
      </c>
      <c r="AS75" s="98">
        <f t="shared" si="9"/>
        <v>288.80600000000004</v>
      </c>
      <c r="AT75" s="98">
        <f t="shared" si="10"/>
        <v>143.18</v>
      </c>
      <c r="AU75" s="98">
        <f t="shared" si="58"/>
        <v>0</v>
      </c>
      <c r="AV75" s="98">
        <f t="array" ref="AV75">_xlfn.IFS(U75=0,AO75,U75&lt;0,AO75/-U75,U75&gt;0,AO75/U75)</f>
        <v>162.32262347569957</v>
      </c>
      <c r="AW75" s="234">
        <f t="shared" si="43"/>
        <v>0.21369487029449655</v>
      </c>
      <c r="AX75" s="234">
        <f t="shared" si="44"/>
        <v>1.2042631016818723</v>
      </c>
      <c r="AY75" s="99"/>
      <c r="AZ75" s="94">
        <f t="shared" si="13"/>
        <v>1947.8714817083949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39</v>
      </c>
      <c r="F76" s="93">
        <v>3</v>
      </c>
      <c r="G76" s="93" t="s">
        <v>100</v>
      </c>
      <c r="H76" s="93">
        <v>35</v>
      </c>
      <c r="I76" s="93">
        <v>0</v>
      </c>
      <c r="J76" s="93">
        <v>1</v>
      </c>
      <c r="K76" s="93">
        <v>123.09</v>
      </c>
      <c r="L76" s="92">
        <f t="shared" si="42"/>
        <v>4800.51</v>
      </c>
      <c r="M76" s="89">
        <v>75</v>
      </c>
      <c r="N76" s="89">
        <v>5</v>
      </c>
      <c r="O76" s="89">
        <v>1050</v>
      </c>
      <c r="P76" s="89">
        <v>0</v>
      </c>
      <c r="Q76" s="233">
        <f t="shared" si="47"/>
        <v>0.7142857142857143</v>
      </c>
      <c r="R76" s="92">
        <f t="shared" si="48"/>
        <v>0</v>
      </c>
      <c r="S76" s="93">
        <v>0</v>
      </c>
      <c r="T76" s="93">
        <v>0</v>
      </c>
      <c r="U76" s="92">
        <f t="shared" si="49"/>
        <v>0</v>
      </c>
      <c r="V76" s="93">
        <v>0</v>
      </c>
      <c r="W76" s="93">
        <v>0</v>
      </c>
      <c r="X76" s="92">
        <f t="shared" si="50"/>
        <v>0</v>
      </c>
      <c r="Y76" s="93">
        <v>0</v>
      </c>
      <c r="Z76" s="93">
        <v>0</v>
      </c>
      <c r="AA76" s="92">
        <f t="shared" si="51"/>
        <v>0</v>
      </c>
      <c r="AB76" s="92">
        <f t="shared" si="52"/>
        <v>0</v>
      </c>
      <c r="AC76" s="234">
        <f t="shared" si="53"/>
        <v>0</v>
      </c>
      <c r="AD76" s="92">
        <f t="shared" si="54"/>
        <v>0</v>
      </c>
      <c r="AE76" s="93">
        <v>0</v>
      </c>
      <c r="AF76" s="234">
        <f t="shared" si="55"/>
        <v>0</v>
      </c>
      <c r="AG76" s="93">
        <v>1140.8799999999999</v>
      </c>
      <c r="AH76" s="93"/>
      <c r="AI76" s="93"/>
      <c r="AJ76" s="93"/>
      <c r="AK76" s="93"/>
      <c r="AL76" s="122">
        <f t="shared" si="46"/>
        <v>29.41472293814433</v>
      </c>
      <c r="AM76" s="93">
        <v>0</v>
      </c>
      <c r="AN76" s="94">
        <f t="shared" si="56"/>
        <v>0</v>
      </c>
      <c r="AO76" s="95">
        <f t="shared" si="57"/>
        <v>-1170.2947229381441</v>
      </c>
      <c r="AP76" s="96"/>
      <c r="AQ76" s="97">
        <f t="shared" si="7"/>
        <v>0</v>
      </c>
      <c r="AR76" s="98">
        <f t="shared" si="35"/>
        <v>123.09</v>
      </c>
      <c r="AS76" s="98">
        <f t="shared" si="9"/>
        <v>0</v>
      </c>
      <c r="AT76" s="98">
        <f t="shared" si="10"/>
        <v>1140.8799999999999</v>
      </c>
      <c r="AU76" s="98">
        <f t="shared" si="58"/>
        <v>0</v>
      </c>
      <c r="AV76" s="98">
        <f t="array" ref="AV76">_xlfn.IFS(U76=0,AO76,U76&lt;0,AO76/-U76,U76&gt;0,AO76/U76)</f>
        <v>-1170.2947229381441</v>
      </c>
      <c r="AW76" s="234">
        <f t="shared" si="43"/>
        <v>0</v>
      </c>
      <c r="AX76" s="234">
        <f t="shared" si="44"/>
        <v>-9.5076344377134134</v>
      </c>
      <c r="AY76" s="99"/>
      <c r="AZ76" s="94">
        <f t="shared" si="13"/>
        <v>-45641.49419458762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31</v>
      </c>
      <c r="F77" s="93">
        <v>2</v>
      </c>
      <c r="G77" s="93">
        <v>1</v>
      </c>
      <c r="H77" s="93">
        <v>24</v>
      </c>
      <c r="I77" s="93">
        <v>0</v>
      </c>
      <c r="J77" s="93">
        <v>4</v>
      </c>
      <c r="K77" s="93">
        <v>123.09</v>
      </c>
      <c r="L77" s="92">
        <f t="shared" si="42"/>
        <v>3815.79</v>
      </c>
      <c r="M77" s="89">
        <v>54</v>
      </c>
      <c r="N77" s="89">
        <v>6</v>
      </c>
      <c r="O77" s="89">
        <v>1150</v>
      </c>
      <c r="P77" s="89">
        <v>25</v>
      </c>
      <c r="Q77" s="233">
        <f t="shared" si="47"/>
        <v>0.8571428571428571</v>
      </c>
      <c r="R77" s="92">
        <f t="shared" si="48"/>
        <v>0.42857142857142855</v>
      </c>
      <c r="S77" s="93">
        <v>3</v>
      </c>
      <c r="T77" s="93">
        <v>0</v>
      </c>
      <c r="U77" s="92">
        <f t="shared" si="49"/>
        <v>3</v>
      </c>
      <c r="V77" s="93">
        <v>2310</v>
      </c>
      <c r="W77" s="93">
        <v>0</v>
      </c>
      <c r="X77" s="92">
        <f t="shared" si="50"/>
        <v>2310</v>
      </c>
      <c r="Y77" s="93">
        <v>3450</v>
      </c>
      <c r="Z77" s="93">
        <v>0</v>
      </c>
      <c r="AA77" s="92">
        <f t="shared" si="51"/>
        <v>3450</v>
      </c>
      <c r="AB77" s="92">
        <f t="shared" si="52"/>
        <v>1725</v>
      </c>
      <c r="AC77" s="234">
        <f t="shared" si="53"/>
        <v>1.0729322860274389E-3</v>
      </c>
      <c r="AD77" s="92">
        <f t="shared" si="54"/>
        <v>369.27</v>
      </c>
      <c r="AE77" s="93">
        <v>1315.5900000000001</v>
      </c>
      <c r="AF77" s="234">
        <f t="shared" si="55"/>
        <v>0.38133043478260875</v>
      </c>
      <c r="AG77" s="93">
        <v>995.18000000000006</v>
      </c>
      <c r="AH77" s="93"/>
      <c r="AI77" s="93">
        <v>724</v>
      </c>
      <c r="AJ77" s="93"/>
      <c r="AK77" s="93"/>
      <c r="AL77" s="122">
        <f t="shared" si="46"/>
        <v>20.170095729013255</v>
      </c>
      <c r="AM77" s="93">
        <v>0</v>
      </c>
      <c r="AN77" s="94">
        <f t="shared" si="56"/>
        <v>131.90099999999998</v>
      </c>
      <c r="AO77" s="95">
        <f t="shared" si="57"/>
        <v>-106.11109572901343</v>
      </c>
      <c r="AP77" s="96"/>
      <c r="AQ77" s="97">
        <f t="shared" si="7"/>
        <v>1150</v>
      </c>
      <c r="AR77" s="98">
        <f t="shared" si="35"/>
        <v>123.09</v>
      </c>
      <c r="AS77" s="98">
        <f t="shared" si="9"/>
        <v>438.53000000000003</v>
      </c>
      <c r="AT77" s="98">
        <f t="shared" si="10"/>
        <v>331.72666666666669</v>
      </c>
      <c r="AU77" s="98">
        <f t="shared" si="58"/>
        <v>241.33333333333334</v>
      </c>
      <c r="AV77" s="98">
        <f t="array" ref="AV77">_xlfn.IFS(U77=0,AO77,U77&lt;0,AO77/-U77,U77&gt;0,AO77/U77)</f>
        <v>-35.370365243004478</v>
      </c>
      <c r="AW77" s="234">
        <f t="shared" si="43"/>
        <v>-3.0756839341743024E-2</v>
      </c>
      <c r="AX77" s="234">
        <f t="shared" si="44"/>
        <v>-0.28735368627024516</v>
      </c>
      <c r="AY77" s="99"/>
      <c r="AZ77" s="94">
        <f t="shared" si="13"/>
        <v>-1096.4813225331388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19</v>
      </c>
      <c r="F78" s="93" t="s">
        <v>100</v>
      </c>
      <c r="G78" s="93">
        <v>3</v>
      </c>
      <c r="H78" s="93">
        <v>15</v>
      </c>
      <c r="I78" s="93">
        <v>0</v>
      </c>
      <c r="J78" s="93">
        <v>1</v>
      </c>
      <c r="K78" s="93">
        <v>123.09</v>
      </c>
      <c r="L78" s="92">
        <f t="shared" si="42"/>
        <v>2338.71</v>
      </c>
      <c r="M78" s="89">
        <v>999</v>
      </c>
      <c r="N78" s="89">
        <v>0</v>
      </c>
      <c r="O78" s="89">
        <v>0</v>
      </c>
      <c r="P78" s="89">
        <v>0</v>
      </c>
      <c r="Q78" s="233">
        <f t="shared" si="47"/>
        <v>0</v>
      </c>
      <c r="R78" s="92">
        <f t="shared" si="48"/>
        <v>0</v>
      </c>
      <c r="S78" s="93">
        <v>0</v>
      </c>
      <c r="T78" s="93">
        <v>0</v>
      </c>
      <c r="U78" s="92">
        <f t="shared" si="49"/>
        <v>0</v>
      </c>
      <c r="V78" s="93">
        <v>0</v>
      </c>
      <c r="W78" s="93">
        <v>0</v>
      </c>
      <c r="X78" s="92">
        <f t="shared" si="50"/>
        <v>0</v>
      </c>
      <c r="Y78" s="93">
        <v>0</v>
      </c>
      <c r="Z78" s="93">
        <v>0</v>
      </c>
      <c r="AA78" s="92">
        <f t="shared" si="51"/>
        <v>0</v>
      </c>
      <c r="AB78" s="92">
        <f t="shared" si="52"/>
        <v>0</v>
      </c>
      <c r="AC78" s="234">
        <f t="shared" si="53"/>
        <v>0</v>
      </c>
      <c r="AD78" s="92">
        <f t="shared" si="54"/>
        <v>0</v>
      </c>
      <c r="AE78" s="93">
        <v>0</v>
      </c>
      <c r="AF78" s="234">
        <f t="shared" si="55"/>
        <v>0</v>
      </c>
      <c r="AG78" s="93">
        <v>482.82</v>
      </c>
      <c r="AH78" s="93"/>
      <c r="AI78" s="93">
        <v>456</v>
      </c>
      <c r="AJ78" s="93"/>
      <c r="AK78" s="93"/>
      <c r="AL78" s="122">
        <f t="shared" si="46"/>
        <v>12.606309830633286</v>
      </c>
      <c r="AM78" s="93">
        <v>0</v>
      </c>
      <c r="AN78" s="94">
        <f t="shared" si="56"/>
        <v>0</v>
      </c>
      <c r="AO78" s="95">
        <f t="shared" si="57"/>
        <v>-951.42630983063327</v>
      </c>
      <c r="AP78" s="96"/>
      <c r="AQ78" s="97">
        <f t="shared" si="7"/>
        <v>0</v>
      </c>
      <c r="AR78" s="98">
        <f t="shared" si="35"/>
        <v>123.09</v>
      </c>
      <c r="AS78" s="98">
        <f t="shared" si="9"/>
        <v>0</v>
      </c>
      <c r="AT78" s="98">
        <f t="shared" si="10"/>
        <v>482.82</v>
      </c>
      <c r="AU78" s="98">
        <f t="shared" si="58"/>
        <v>0</v>
      </c>
      <c r="AV78" s="98">
        <f t="array" ref="AV78">_xlfn.IFS(U78=0,AO78,U78&lt;0,AO78/-U78,U78&gt;0,AO78/U78)</f>
        <v>-951.42630983063327</v>
      </c>
      <c r="AW78" s="234">
        <f t="shared" si="43"/>
        <v>0</v>
      </c>
      <c r="AX78" s="234">
        <f t="shared" si="44"/>
        <v>-7.7295175061388681</v>
      </c>
      <c r="AY78" s="99"/>
      <c r="AZ78" s="94">
        <f t="shared" si="13"/>
        <v>-18077.099886782031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42</v>
      </c>
      <c r="F79" s="93">
        <v>3</v>
      </c>
      <c r="G79" s="93">
        <v>6</v>
      </c>
      <c r="H79" s="93">
        <v>32</v>
      </c>
      <c r="I79" s="93">
        <v>0</v>
      </c>
      <c r="J79" s="93">
        <v>1</v>
      </c>
      <c r="K79" s="93">
        <v>164.04</v>
      </c>
      <c r="L79" s="92">
        <f t="shared" si="42"/>
        <v>6889.6799999999994</v>
      </c>
      <c r="M79" s="89">
        <v>80</v>
      </c>
      <c r="N79" s="89">
        <v>8</v>
      </c>
      <c r="O79" s="89">
        <v>1300</v>
      </c>
      <c r="P79" s="89">
        <v>40</v>
      </c>
      <c r="Q79" s="233">
        <f t="shared" si="47"/>
        <v>1.1428571428571428</v>
      </c>
      <c r="R79" s="92">
        <f t="shared" si="48"/>
        <v>0.2857142857142857</v>
      </c>
      <c r="S79" s="93">
        <v>2</v>
      </c>
      <c r="T79" s="93">
        <v>0</v>
      </c>
      <c r="U79" s="92">
        <f t="shared" si="49"/>
        <v>2</v>
      </c>
      <c r="V79" s="93">
        <v>1724</v>
      </c>
      <c r="W79" s="93">
        <v>0</v>
      </c>
      <c r="X79" s="92">
        <f t="shared" si="50"/>
        <v>1724</v>
      </c>
      <c r="Y79" s="93">
        <v>2600</v>
      </c>
      <c r="Z79" s="93">
        <v>0</v>
      </c>
      <c r="AA79" s="92">
        <f t="shared" si="51"/>
        <v>2600</v>
      </c>
      <c r="AB79" s="92">
        <f t="shared" si="52"/>
        <v>4160</v>
      </c>
      <c r="AC79" s="234">
        <f t="shared" si="53"/>
        <v>8.0858665033951913E-4</v>
      </c>
      <c r="AD79" s="92">
        <f t="shared" si="54"/>
        <v>328.08</v>
      </c>
      <c r="AE79" s="93">
        <v>985.46</v>
      </c>
      <c r="AF79" s="234">
        <f t="shared" si="55"/>
        <v>0.37902307692307696</v>
      </c>
      <c r="AG79" s="93">
        <v>711.46999999999991</v>
      </c>
      <c r="AH79" s="93"/>
      <c r="AI79" s="93">
        <v>736</v>
      </c>
      <c r="AJ79" s="93"/>
      <c r="AK79" s="93"/>
      <c r="AL79" s="122">
        <f t="shared" si="46"/>
        <v>26.893460972017674</v>
      </c>
      <c r="AM79" s="93">
        <v>0</v>
      </c>
      <c r="AN79" s="94">
        <f t="shared" si="56"/>
        <v>98.440399999999997</v>
      </c>
      <c r="AO79" s="95">
        <f t="shared" si="57"/>
        <v>-286.34386097201752</v>
      </c>
      <c r="AP79" s="96"/>
      <c r="AQ79" s="97">
        <f t="shared" si="7"/>
        <v>1300</v>
      </c>
      <c r="AR79" s="98">
        <f t="shared" si="35"/>
        <v>164.04</v>
      </c>
      <c r="AS79" s="98">
        <f t="shared" si="9"/>
        <v>492.73</v>
      </c>
      <c r="AT79" s="98">
        <f t="shared" si="10"/>
        <v>355.73499999999996</v>
      </c>
      <c r="AU79" s="98">
        <f t="shared" si="58"/>
        <v>368</v>
      </c>
      <c r="AV79" s="98">
        <f t="array" ref="AV79">_xlfn.IFS(U79=0,AO79,U79&lt;0,AO79/-U79,U79&gt;0,AO79/U79)</f>
        <v>-143.17193048600876</v>
      </c>
      <c r="AW79" s="234">
        <f t="shared" si="43"/>
        <v>-0.11013225422000673</v>
      </c>
      <c r="AX79" s="234">
        <f t="shared" si="44"/>
        <v>-0.87278670132899761</v>
      </c>
      <c r="AY79" s="99"/>
      <c r="AZ79" s="94">
        <f t="shared" si="13"/>
        <v>-6013.2210804123679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27</v>
      </c>
      <c r="F80" s="93">
        <v>4</v>
      </c>
      <c r="G80" s="93">
        <v>4</v>
      </c>
      <c r="H80" s="93">
        <v>18</v>
      </c>
      <c r="I80" s="93">
        <v>0</v>
      </c>
      <c r="J80" s="93">
        <v>1</v>
      </c>
      <c r="K80" s="93">
        <v>164.04</v>
      </c>
      <c r="L80" s="92">
        <f t="shared" si="42"/>
        <v>4429.08</v>
      </c>
      <c r="M80" s="89">
        <v>92</v>
      </c>
      <c r="N80" s="89">
        <v>5</v>
      </c>
      <c r="O80" s="89">
        <v>987</v>
      </c>
      <c r="P80" s="89">
        <v>0</v>
      </c>
      <c r="Q80" s="233">
        <f t="shared" si="47"/>
        <v>0.7142857142857143</v>
      </c>
      <c r="R80" s="92">
        <f t="shared" si="48"/>
        <v>0.14285714285714285</v>
      </c>
      <c r="S80" s="93">
        <v>2</v>
      </c>
      <c r="T80" s="93">
        <v>-1</v>
      </c>
      <c r="U80" s="92">
        <f t="shared" si="49"/>
        <v>1</v>
      </c>
      <c r="V80" s="93">
        <v>1338</v>
      </c>
      <c r="W80" s="93">
        <v>-635</v>
      </c>
      <c r="X80" s="92">
        <f t="shared" si="50"/>
        <v>703</v>
      </c>
      <c r="Y80" s="93">
        <v>1974</v>
      </c>
      <c r="Z80" s="93">
        <v>-966</v>
      </c>
      <c r="AA80" s="92">
        <f t="shared" si="51"/>
        <v>1008</v>
      </c>
      <c r="AB80" s="92">
        <f t="shared" si="52"/>
        <v>0</v>
      </c>
      <c r="AC80" s="234">
        <f t="shared" si="53"/>
        <v>3.134828244393213E-4</v>
      </c>
      <c r="AD80" s="92">
        <f t="shared" si="54"/>
        <v>164.04</v>
      </c>
      <c r="AE80" s="93">
        <v>383.42000000000019</v>
      </c>
      <c r="AF80" s="234">
        <f t="shared" si="55"/>
        <v>0.38037698412698429</v>
      </c>
      <c r="AG80" s="93">
        <v>443.44</v>
      </c>
      <c r="AH80" s="93"/>
      <c r="AI80" s="93"/>
      <c r="AJ80" s="93"/>
      <c r="AK80" s="93"/>
      <c r="AL80" s="122">
        <f t="shared" si="46"/>
        <v>15.127571796759941</v>
      </c>
      <c r="AM80" s="93">
        <v>0</v>
      </c>
      <c r="AN80" s="94">
        <f t="shared" si="56"/>
        <v>40.141300000000001</v>
      </c>
      <c r="AO80" s="95">
        <f t="shared" si="57"/>
        <v>-38.168871796760087</v>
      </c>
      <c r="AP80" s="96"/>
      <c r="AQ80" s="97">
        <f t="shared" si="7"/>
        <v>1008</v>
      </c>
      <c r="AR80" s="98">
        <f t="shared" si="35"/>
        <v>164.04</v>
      </c>
      <c r="AS80" s="98">
        <f t="shared" si="9"/>
        <v>383.42000000000019</v>
      </c>
      <c r="AT80" s="98">
        <f t="shared" si="10"/>
        <v>221.72</v>
      </c>
      <c r="AU80" s="98">
        <f t="shared" si="58"/>
        <v>0</v>
      </c>
      <c r="AV80" s="98">
        <f t="array" ref="AV80">_xlfn.IFS(U80=0,AO80,U80&lt;0,AO80/-U80,U80&gt;0,AO80/U80)</f>
        <v>-38.168871796760087</v>
      </c>
      <c r="AW80" s="234">
        <f t="shared" si="43"/>
        <v>-3.7865944242817549E-2</v>
      </c>
      <c r="AX80" s="234">
        <f t="shared" si="44"/>
        <v>-0.23268027186515539</v>
      </c>
      <c r="AY80" s="99"/>
      <c r="AZ80" s="94">
        <f t="shared" si="13"/>
        <v>-1030.5595385125223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15</v>
      </c>
      <c r="F81" s="93">
        <v>2</v>
      </c>
      <c r="G81" s="93">
        <v>1</v>
      </c>
      <c r="H81" s="93">
        <v>11</v>
      </c>
      <c r="I81" s="93">
        <v>0</v>
      </c>
      <c r="J81" s="93">
        <v>1</v>
      </c>
      <c r="K81" s="93">
        <v>128.94</v>
      </c>
      <c r="L81" s="92">
        <f t="shared" si="42"/>
        <v>1934.1</v>
      </c>
      <c r="M81" s="89">
        <v>30</v>
      </c>
      <c r="N81" s="89">
        <v>1</v>
      </c>
      <c r="O81" s="89">
        <v>1167</v>
      </c>
      <c r="P81" s="89">
        <v>0</v>
      </c>
      <c r="Q81" s="233">
        <f t="shared" si="47"/>
        <v>0.14285714285714285</v>
      </c>
      <c r="R81" s="92">
        <f t="shared" si="48"/>
        <v>0</v>
      </c>
      <c r="S81" s="93">
        <v>1</v>
      </c>
      <c r="T81" s="93">
        <v>-1</v>
      </c>
      <c r="U81" s="92">
        <f t="shared" si="49"/>
        <v>0</v>
      </c>
      <c r="V81" s="93">
        <v>735</v>
      </c>
      <c r="W81" s="93">
        <v>-735</v>
      </c>
      <c r="X81" s="92">
        <f t="shared" si="50"/>
        <v>0</v>
      </c>
      <c r="Y81" s="93">
        <v>1142</v>
      </c>
      <c r="Z81" s="93">
        <v>-1142</v>
      </c>
      <c r="AA81" s="92">
        <f t="shared" si="51"/>
        <v>0</v>
      </c>
      <c r="AB81" s="92">
        <f t="shared" si="52"/>
        <v>0</v>
      </c>
      <c r="AC81" s="234">
        <f t="shared" si="53"/>
        <v>0</v>
      </c>
      <c r="AD81" s="92">
        <f t="shared" si="54"/>
        <v>0</v>
      </c>
      <c r="AE81" s="93">
        <v>0</v>
      </c>
      <c r="AF81" s="234">
        <f t="shared" si="55"/>
        <v>0</v>
      </c>
      <c r="AG81" s="93">
        <v>95.02</v>
      </c>
      <c r="AH81" s="93"/>
      <c r="AI81" s="93"/>
      <c r="AJ81" s="93"/>
      <c r="AK81" s="93"/>
      <c r="AL81" s="122">
        <f t="shared" si="46"/>
        <v>9.2446272091310764</v>
      </c>
      <c r="AM81" s="93">
        <v>0</v>
      </c>
      <c r="AN81" s="94">
        <f t="shared" si="56"/>
        <v>0</v>
      </c>
      <c r="AO81" s="95">
        <f t="shared" si="57"/>
        <v>-104.26462720913108</v>
      </c>
      <c r="AP81" s="96"/>
      <c r="AQ81" s="97">
        <f t="shared" si="7"/>
        <v>0</v>
      </c>
      <c r="AR81" s="98">
        <f t="shared" si="35"/>
        <v>128.94</v>
      </c>
      <c r="AS81" s="98">
        <f t="shared" si="9"/>
        <v>0</v>
      </c>
      <c r="AT81" s="98">
        <f t="shared" si="10"/>
        <v>95.02</v>
      </c>
      <c r="AU81" s="98">
        <f t="shared" si="58"/>
        <v>0</v>
      </c>
      <c r="AV81" s="98">
        <f t="array" ref="AV81">_xlfn.IFS(U81=0,AO81,U81&lt;0,AO81/-U81,U81&gt;0,AO81/U81)</f>
        <v>-104.26462720913108</v>
      </c>
      <c r="AW81" s="234">
        <f t="shared" si="43"/>
        <v>0</v>
      </c>
      <c r="AX81" s="234">
        <f t="shared" si="44"/>
        <v>-0.80862903062766467</v>
      </c>
      <c r="AY81" s="99"/>
      <c r="AZ81" s="94">
        <f t="shared" si="13"/>
        <v>-1563.9694081369662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43</v>
      </c>
      <c r="F82" s="93" t="s">
        <v>100</v>
      </c>
      <c r="G82" s="93" t="s">
        <v>100</v>
      </c>
      <c r="H82" s="93">
        <v>42</v>
      </c>
      <c r="I82" s="93">
        <v>0</v>
      </c>
      <c r="J82" s="93">
        <v>1</v>
      </c>
      <c r="K82" s="93">
        <v>128.94</v>
      </c>
      <c r="L82" s="92">
        <f t="shared" si="42"/>
        <v>5544.42</v>
      </c>
      <c r="M82" s="89">
        <v>264</v>
      </c>
      <c r="N82" s="89">
        <v>1</v>
      </c>
      <c r="O82" s="89">
        <v>1174</v>
      </c>
      <c r="P82" s="89">
        <v>100</v>
      </c>
      <c r="Q82" s="233">
        <f t="shared" si="47"/>
        <v>0.14285714285714285</v>
      </c>
      <c r="R82" s="92">
        <f t="shared" si="48"/>
        <v>0.14285714285714285</v>
      </c>
      <c r="S82" s="93">
        <v>1</v>
      </c>
      <c r="T82" s="93">
        <v>0</v>
      </c>
      <c r="U82" s="92">
        <f t="shared" si="49"/>
        <v>1</v>
      </c>
      <c r="V82" s="93">
        <v>829</v>
      </c>
      <c r="W82" s="93">
        <v>0</v>
      </c>
      <c r="X82" s="92">
        <f t="shared" si="50"/>
        <v>829</v>
      </c>
      <c r="Y82" s="93">
        <v>1174</v>
      </c>
      <c r="Z82" s="93">
        <v>0</v>
      </c>
      <c r="AA82" s="92">
        <f t="shared" si="51"/>
        <v>1174</v>
      </c>
      <c r="AB82" s="92">
        <f t="shared" si="52"/>
        <v>1174</v>
      </c>
      <c r="AC82" s="234">
        <f t="shared" si="53"/>
        <v>3.6510797211484445E-4</v>
      </c>
      <c r="AD82" s="92">
        <f t="shared" si="54"/>
        <v>128.94</v>
      </c>
      <c r="AE82" s="93">
        <v>454.29999999999995</v>
      </c>
      <c r="AF82" s="234">
        <f t="shared" si="55"/>
        <v>0.3869676320272572</v>
      </c>
      <c r="AG82" s="93">
        <v>60.22</v>
      </c>
      <c r="AH82" s="93"/>
      <c r="AI82" s="93"/>
      <c r="AJ82" s="93"/>
      <c r="AK82" s="93"/>
      <c r="AL82" s="122">
        <f t="shared" si="46"/>
        <v>35.297667525773193</v>
      </c>
      <c r="AM82" s="93">
        <v>0</v>
      </c>
      <c r="AN82" s="94">
        <f t="shared" si="56"/>
        <v>47.335899999999995</v>
      </c>
      <c r="AO82" s="95">
        <f t="shared" si="57"/>
        <v>447.90643247422679</v>
      </c>
      <c r="AP82" s="96"/>
      <c r="AQ82" s="97">
        <f t="shared" si="7"/>
        <v>1174</v>
      </c>
      <c r="AR82" s="98">
        <f t="shared" si="35"/>
        <v>128.94</v>
      </c>
      <c r="AS82" s="98">
        <f t="shared" si="9"/>
        <v>454.29999999999995</v>
      </c>
      <c r="AT82" s="98">
        <f t="shared" si="10"/>
        <v>60.22</v>
      </c>
      <c r="AU82" s="98">
        <f t="shared" si="58"/>
        <v>0</v>
      </c>
      <c r="AV82" s="98">
        <f t="array" ref="AV82">_xlfn.IFS(U82=0,AO82,U82&lt;0,AO82/-U82,U82&gt;0,AO82/U82)</f>
        <v>447.90643247422679</v>
      </c>
      <c r="AW82" s="234">
        <f t="shared" si="43"/>
        <v>0.38152166309559354</v>
      </c>
      <c r="AX82" s="234">
        <f t="shared" si="44"/>
        <v>3.4737585890664402</v>
      </c>
      <c r="AY82" s="99"/>
      <c r="AZ82" s="94">
        <f t="shared" si="13"/>
        <v>19259.976596391753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44</v>
      </c>
      <c r="F83" s="93">
        <v>2</v>
      </c>
      <c r="G83" s="93" t="s">
        <v>100</v>
      </c>
      <c r="H83" s="93">
        <v>41</v>
      </c>
      <c r="I83" s="93">
        <v>0</v>
      </c>
      <c r="J83" s="93">
        <v>1</v>
      </c>
      <c r="K83" s="93">
        <v>123.09</v>
      </c>
      <c r="L83" s="92">
        <f t="shared" si="42"/>
        <v>5415.96</v>
      </c>
      <c r="M83" s="89">
        <v>311</v>
      </c>
      <c r="N83" s="89">
        <v>2</v>
      </c>
      <c r="O83" s="89">
        <v>1375</v>
      </c>
      <c r="P83" s="89">
        <v>0</v>
      </c>
      <c r="Q83" s="233">
        <f t="shared" si="47"/>
        <v>0.2857142857142857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175.16</v>
      </c>
      <c r="AH83" s="93"/>
      <c r="AI83" s="93"/>
      <c r="AJ83" s="93"/>
      <c r="AK83" s="93"/>
      <c r="AL83" s="122">
        <f t="shared" si="46"/>
        <v>34.45724687039764</v>
      </c>
      <c r="AM83" s="93">
        <v>0</v>
      </c>
      <c r="AN83" s="94">
        <f t="shared" si="56"/>
        <v>0</v>
      </c>
      <c r="AO83" s="95">
        <f t="shared" si="57"/>
        <v>-209.61724687039765</v>
      </c>
      <c r="AP83" s="96"/>
      <c r="AQ83" s="97">
        <f t="shared" si="7"/>
        <v>0</v>
      </c>
      <c r="AR83" s="98">
        <f t="shared" si="35"/>
        <v>123.09</v>
      </c>
      <c r="AS83" s="98">
        <f t="shared" si="9"/>
        <v>0</v>
      </c>
      <c r="AT83" s="98">
        <f t="shared" si="10"/>
        <v>175.16</v>
      </c>
      <c r="AU83" s="98">
        <f t="shared" si="58"/>
        <v>0</v>
      </c>
      <c r="AV83" s="98">
        <f t="array" ref="AV83">_xlfn.IFS(U83=0,AO83,U83&lt;0,AO83/-U83,U83&gt;0,AO83/U83)</f>
        <v>-209.61724687039765</v>
      </c>
      <c r="AW83" s="234">
        <f t="shared" si="43"/>
        <v>0</v>
      </c>
      <c r="AX83" s="234">
        <f t="shared" si="44"/>
        <v>-1.7029591914078939</v>
      </c>
      <c r="AY83" s="99"/>
      <c r="AZ83" s="94">
        <f t="shared" si="13"/>
        <v>-9223.1588622974959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42</v>
      </c>
      <c r="F84" s="93">
        <v>4</v>
      </c>
      <c r="G84" s="93">
        <v>6</v>
      </c>
      <c r="H84" s="93">
        <v>31</v>
      </c>
      <c r="I84" s="93">
        <v>0</v>
      </c>
      <c r="J84" s="93">
        <v>1</v>
      </c>
      <c r="K84" s="93">
        <v>146.49</v>
      </c>
      <c r="L84" s="92">
        <f t="shared" si="42"/>
        <v>6152.58</v>
      </c>
      <c r="M84" s="89">
        <v>60</v>
      </c>
      <c r="N84" s="89">
        <v>8</v>
      </c>
      <c r="O84" s="89">
        <v>1438</v>
      </c>
      <c r="P84" s="89">
        <v>0</v>
      </c>
      <c r="Q84" s="233">
        <f t="shared" si="47"/>
        <v>1.1428571428571428</v>
      </c>
      <c r="R84" s="92">
        <f t="shared" si="48"/>
        <v>0.2857142857142857</v>
      </c>
      <c r="S84" s="93">
        <v>2</v>
      </c>
      <c r="T84" s="93">
        <v>0</v>
      </c>
      <c r="U84" s="92">
        <f t="shared" si="49"/>
        <v>2</v>
      </c>
      <c r="V84" s="93">
        <v>2068.4499999999998</v>
      </c>
      <c r="W84" s="93">
        <v>0</v>
      </c>
      <c r="X84" s="92">
        <f t="shared" si="50"/>
        <v>2068.4499999999998</v>
      </c>
      <c r="Y84" s="93">
        <v>2845.4300000000003</v>
      </c>
      <c r="Z84" s="93">
        <v>0</v>
      </c>
      <c r="AA84" s="92">
        <f t="shared" si="51"/>
        <v>2845.4300000000003</v>
      </c>
      <c r="AB84" s="92">
        <f t="shared" si="52"/>
        <v>0</v>
      </c>
      <c r="AC84" s="234">
        <f t="shared" si="53"/>
        <v>8.8491412018291472E-4</v>
      </c>
      <c r="AD84" s="92">
        <f t="shared" si="54"/>
        <v>292.98</v>
      </c>
      <c r="AE84" s="93">
        <v>1077.0300000000002</v>
      </c>
      <c r="AF84" s="234">
        <f t="shared" si="55"/>
        <v>0.37851221080820829</v>
      </c>
      <c r="AG84" s="93">
        <v>1024.58</v>
      </c>
      <c r="AH84" s="93"/>
      <c r="AI84" s="93">
        <v>971</v>
      </c>
      <c r="AJ84" s="93"/>
      <c r="AK84" s="93"/>
      <c r="AL84" s="122">
        <f t="shared" si="46"/>
        <v>26.053040316642118</v>
      </c>
      <c r="AM84" s="93">
        <v>0</v>
      </c>
      <c r="AN84" s="94">
        <f t="shared" si="56"/>
        <v>118.10849499999999</v>
      </c>
      <c r="AO84" s="95">
        <f t="shared" si="57"/>
        <v>-664.32153531664187</v>
      </c>
      <c r="AP84" s="96"/>
      <c r="AQ84" s="97">
        <f t="shared" si="7"/>
        <v>1422.7150000000001</v>
      </c>
      <c r="AR84" s="98">
        <f t="shared" si="35"/>
        <v>146.49</v>
      </c>
      <c r="AS84" s="98">
        <f t="shared" si="9"/>
        <v>538.5150000000001</v>
      </c>
      <c r="AT84" s="98">
        <f t="shared" si="10"/>
        <v>512.29</v>
      </c>
      <c r="AU84" s="98">
        <f t="shared" si="58"/>
        <v>485.5</v>
      </c>
      <c r="AV84" s="98">
        <f t="array" ref="AV84">_xlfn.IFS(U84=0,AO84,U84&lt;0,AO84/-U84,U84&gt;0,AO84/U84)</f>
        <v>-332.16076765832094</v>
      </c>
      <c r="AW84" s="234">
        <f t="shared" si="43"/>
        <v>-0.23346964617532034</v>
      </c>
      <c r="AX84" s="234">
        <f t="shared" si="44"/>
        <v>-2.267463769938705</v>
      </c>
      <c r="AY84" s="99"/>
      <c r="AZ84" s="94">
        <f t="shared" si="13"/>
        <v>-13950.752241649479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36</v>
      </c>
      <c r="F85" s="93" t="s">
        <v>100</v>
      </c>
      <c r="G85" s="93">
        <v>1</v>
      </c>
      <c r="H85" s="93">
        <v>34</v>
      </c>
      <c r="I85" s="93">
        <v>0</v>
      </c>
      <c r="J85" s="93">
        <v>1</v>
      </c>
      <c r="K85" s="93">
        <v>103.2</v>
      </c>
      <c r="L85" s="92">
        <f t="shared" si="42"/>
        <v>3715.2000000000003</v>
      </c>
      <c r="M85" s="89">
        <v>999</v>
      </c>
      <c r="N85" s="89">
        <v>0</v>
      </c>
      <c r="O85" s="89">
        <v>0</v>
      </c>
      <c r="P85" s="89">
        <v>0</v>
      </c>
      <c r="Q85" s="233">
        <f t="shared" si="47"/>
        <v>0</v>
      </c>
      <c r="R85" s="92">
        <f t="shared" si="48"/>
        <v>0</v>
      </c>
      <c r="S85" s="93">
        <v>0</v>
      </c>
      <c r="T85" s="93">
        <v>0</v>
      </c>
      <c r="U85" s="92">
        <f t="shared" si="49"/>
        <v>0</v>
      </c>
      <c r="V85" s="93">
        <v>0</v>
      </c>
      <c r="W85" s="93">
        <v>0</v>
      </c>
      <c r="X85" s="92">
        <f t="shared" si="50"/>
        <v>0</v>
      </c>
      <c r="Y85" s="93">
        <v>0</v>
      </c>
      <c r="Z85" s="93">
        <v>0</v>
      </c>
      <c r="AA85" s="92">
        <f t="shared" si="51"/>
        <v>0</v>
      </c>
      <c r="AB85" s="92">
        <f t="shared" si="52"/>
        <v>0</v>
      </c>
      <c r="AC85" s="234">
        <f t="shared" si="53"/>
        <v>0</v>
      </c>
      <c r="AD85" s="92">
        <f t="shared" si="54"/>
        <v>0</v>
      </c>
      <c r="AE85" s="93">
        <v>0</v>
      </c>
      <c r="AF85" s="234">
        <f t="shared" si="55"/>
        <v>0</v>
      </c>
      <c r="AG85" s="93">
        <v>237.78</v>
      </c>
      <c r="AH85" s="93"/>
      <c r="AI85" s="93">
        <v>512</v>
      </c>
      <c r="AJ85" s="93"/>
      <c r="AK85" s="93"/>
      <c r="AL85" s="122">
        <f t="shared" si="46"/>
        <v>28.574302282768777</v>
      </c>
      <c r="AM85" s="93">
        <v>0</v>
      </c>
      <c r="AN85" s="94">
        <f t="shared" si="56"/>
        <v>0</v>
      </c>
      <c r="AO85" s="95">
        <f t="shared" si="57"/>
        <v>-778.3543022827688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237.78</v>
      </c>
      <c r="AU85" s="98">
        <f t="shared" si="58"/>
        <v>0</v>
      </c>
      <c r="AV85" s="98">
        <f t="array" ref="AV85">_xlfn.IFS(U85=0,AO85,U85&lt;0,AO85/-U85,U85&gt;0,AO85/U85)</f>
        <v>-778.3543022827688</v>
      </c>
      <c r="AW85" s="234">
        <f t="shared" si="43"/>
        <v>0</v>
      </c>
      <c r="AX85" s="234">
        <f t="shared" si="44"/>
        <v>-7.5421928515772168</v>
      </c>
      <c r="AY85" s="99"/>
      <c r="AZ85" s="94">
        <f t="shared" si="13"/>
        <v>-28020.754882179677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43</v>
      </c>
      <c r="F86" s="93">
        <v>2</v>
      </c>
      <c r="G86" s="93" t="s">
        <v>100</v>
      </c>
      <c r="H86" s="93">
        <v>40</v>
      </c>
      <c r="I86" s="93">
        <v>0</v>
      </c>
      <c r="J86" s="93">
        <v>1</v>
      </c>
      <c r="K86" s="93">
        <v>150</v>
      </c>
      <c r="L86" s="92">
        <f t="shared" si="42"/>
        <v>6450</v>
      </c>
      <c r="M86" s="89">
        <v>268</v>
      </c>
      <c r="N86" s="89">
        <v>2</v>
      </c>
      <c r="O86" s="89">
        <v>1287</v>
      </c>
      <c r="P86" s="89">
        <v>0</v>
      </c>
      <c r="Q86" s="233">
        <f t="shared" si="47"/>
        <v>0.2857142857142857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181.01</v>
      </c>
      <c r="AH86" s="93"/>
      <c r="AI86" s="93"/>
      <c r="AJ86" s="93"/>
      <c r="AK86" s="93"/>
      <c r="AL86" s="122">
        <f t="shared" si="46"/>
        <v>33.616826215022094</v>
      </c>
      <c r="AM86" s="93">
        <v>0</v>
      </c>
      <c r="AN86" s="94">
        <f t="shared" si="56"/>
        <v>0</v>
      </c>
      <c r="AO86" s="95">
        <f t="shared" si="57"/>
        <v>-214.62682621502208</v>
      </c>
      <c r="AP86" s="96"/>
      <c r="AQ86" s="97">
        <f t="shared" si="7"/>
        <v>0</v>
      </c>
      <c r="AR86" s="98">
        <f t="shared" si="35"/>
        <v>150</v>
      </c>
      <c r="AS86" s="98">
        <f t="shared" si="9"/>
        <v>0</v>
      </c>
      <c r="AT86" s="98">
        <f t="shared" si="10"/>
        <v>181.01</v>
      </c>
      <c r="AU86" s="98">
        <f t="shared" si="58"/>
        <v>0</v>
      </c>
      <c r="AV86" s="98">
        <f t="array" ref="AV86">_xlfn.IFS(U86=0,AO86,U86&lt;0,AO86/-U86,U86&gt;0,AO86/U86)</f>
        <v>-214.62682621502208</v>
      </c>
      <c r="AW86" s="234">
        <f t="shared" si="43"/>
        <v>0</v>
      </c>
      <c r="AX86" s="234">
        <f t="shared" si="44"/>
        <v>-1.4308455081001472</v>
      </c>
      <c r="AY86" s="99"/>
      <c r="AZ86" s="94">
        <f t="shared" si="13"/>
        <v>-9228.9535272459489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13</v>
      </c>
      <c r="F87" s="93">
        <v>3</v>
      </c>
      <c r="G87" s="93">
        <v>3</v>
      </c>
      <c r="H87" s="93">
        <v>6</v>
      </c>
      <c r="I87" s="93">
        <v>0</v>
      </c>
      <c r="J87" s="93">
        <v>1</v>
      </c>
      <c r="K87" s="93">
        <v>150</v>
      </c>
      <c r="L87" s="92">
        <f t="shared" si="42"/>
        <v>1950</v>
      </c>
      <c r="M87" s="89">
        <v>999</v>
      </c>
      <c r="N87" s="89">
        <v>8</v>
      </c>
      <c r="O87" s="89">
        <v>1056</v>
      </c>
      <c r="P87" s="89">
        <v>20</v>
      </c>
      <c r="Q87" s="233">
        <f t="shared" si="47"/>
        <v>1.1428571428571428</v>
      </c>
      <c r="R87" s="92">
        <f t="shared" si="48"/>
        <v>0.2857142857142857</v>
      </c>
      <c r="S87" s="93">
        <v>2</v>
      </c>
      <c r="T87" s="93">
        <v>0</v>
      </c>
      <c r="U87" s="92">
        <f t="shared" si="49"/>
        <v>2</v>
      </c>
      <c r="V87" s="93">
        <v>1408</v>
      </c>
      <c r="W87" s="93">
        <v>0</v>
      </c>
      <c r="X87" s="92">
        <f t="shared" si="50"/>
        <v>1408</v>
      </c>
      <c r="Y87" s="93">
        <v>2112</v>
      </c>
      <c r="Z87" s="93">
        <v>0</v>
      </c>
      <c r="AA87" s="92">
        <f t="shared" si="51"/>
        <v>2112</v>
      </c>
      <c r="AB87" s="92">
        <f t="shared" si="52"/>
        <v>1689.6</v>
      </c>
      <c r="AC87" s="234">
        <f t="shared" si="53"/>
        <v>6.5682115596810175E-4</v>
      </c>
      <c r="AD87" s="92">
        <f t="shared" si="54"/>
        <v>300</v>
      </c>
      <c r="AE87" s="93">
        <v>807.04</v>
      </c>
      <c r="AF87" s="234">
        <f t="shared" si="55"/>
        <v>0.38212121212121208</v>
      </c>
      <c r="AG87" s="93">
        <v>653.07000000000005</v>
      </c>
      <c r="AH87" s="93"/>
      <c r="AI87" s="93"/>
      <c r="AJ87" s="93"/>
      <c r="AK87" s="93"/>
      <c r="AL87" s="122">
        <f t="shared" si="46"/>
        <v>5.0425239322533137</v>
      </c>
      <c r="AM87" s="93">
        <v>0</v>
      </c>
      <c r="AN87" s="94">
        <f t="shared" si="56"/>
        <v>80.396799999999999</v>
      </c>
      <c r="AO87" s="95">
        <f t="shared" si="57"/>
        <v>266.45067606774671</v>
      </c>
      <c r="AP87" s="96"/>
      <c r="AQ87" s="97">
        <f t="shared" si="7"/>
        <v>1056</v>
      </c>
      <c r="AR87" s="98">
        <f t="shared" si="35"/>
        <v>150</v>
      </c>
      <c r="AS87" s="98">
        <f t="shared" si="9"/>
        <v>403.52</v>
      </c>
      <c r="AT87" s="98">
        <f t="shared" si="10"/>
        <v>326.53500000000003</v>
      </c>
      <c r="AU87" s="98">
        <f t="shared" si="58"/>
        <v>0</v>
      </c>
      <c r="AV87" s="98">
        <f t="array" ref="AV87">_xlfn.IFS(U87=0,AO87,U87&lt;0,AO87/-U87,U87&gt;0,AO87/U87)</f>
        <v>133.22533803387336</v>
      </c>
      <c r="AW87" s="234">
        <f t="shared" si="43"/>
        <v>0.12616035798662251</v>
      </c>
      <c r="AX87" s="234">
        <f t="shared" si="44"/>
        <v>0.88816892022582239</v>
      </c>
      <c r="AY87" s="99"/>
      <c r="AZ87" s="94">
        <f t="shared" si="13"/>
        <v>1731.9293944403537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3</v>
      </c>
      <c r="F88" s="93">
        <v>1</v>
      </c>
      <c r="G88" s="93" t="s">
        <v>100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450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7"/>
        <v>0.14285714285714285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807</v>
      </c>
      <c r="W88" s="93">
        <v>0</v>
      </c>
      <c r="X88" s="92">
        <f t="shared" si="50"/>
        <v>807</v>
      </c>
      <c r="Y88" s="93">
        <v>1257</v>
      </c>
      <c r="Z88" s="93">
        <v>0</v>
      </c>
      <c r="AA88" s="92">
        <f t="shared" si="51"/>
        <v>1257</v>
      </c>
      <c r="AB88" s="92">
        <f t="shared" si="52"/>
        <v>0</v>
      </c>
      <c r="AC88" s="234">
        <f t="shared" si="53"/>
        <v>3.9092054595260599E-4</v>
      </c>
      <c r="AD88" s="92">
        <f t="shared" si="54"/>
        <v>150</v>
      </c>
      <c r="AE88" s="93">
        <v>475.37</v>
      </c>
      <c r="AF88" s="234">
        <f t="shared" si="55"/>
        <v>0.37817820206841685</v>
      </c>
      <c r="AG88" s="93">
        <v>58.74</v>
      </c>
      <c r="AH88" s="93"/>
      <c r="AI88" s="93"/>
      <c r="AJ88" s="93"/>
      <c r="AK88" s="93"/>
      <c r="AL88" s="122">
        <f t="shared" si="46"/>
        <v>0.84042065537555233</v>
      </c>
      <c r="AM88" s="93">
        <v>0</v>
      </c>
      <c r="AN88" s="94">
        <f t="shared" si="56"/>
        <v>46.079699999999995</v>
      </c>
      <c r="AO88" s="95">
        <f t="shared" si="57"/>
        <v>525.96987934462447</v>
      </c>
      <c r="AP88" s="96"/>
      <c r="AQ88" s="97">
        <f t="shared" si="7"/>
        <v>1257</v>
      </c>
      <c r="AR88" s="98">
        <f t="shared" si="35"/>
        <v>150</v>
      </c>
      <c r="AS88" s="98">
        <f t="shared" si="9"/>
        <v>475.37</v>
      </c>
      <c r="AT88" s="98">
        <f t="shared" si="10"/>
        <v>58.74</v>
      </c>
      <c r="AU88" s="98">
        <f t="shared" si="58"/>
        <v>0</v>
      </c>
      <c r="AV88" s="98">
        <f t="array" ref="AV88">_xlfn.IFS(U88=0,AO88,U88&lt;0,AO88/-U88,U88&gt;0,AO88/U88)</f>
        <v>525.96987934462447</v>
      </c>
      <c r="AW88" s="234">
        <f t="shared" si="43"/>
        <v>0.41843268046509502</v>
      </c>
      <c r="AX88" s="234">
        <f t="shared" si="44"/>
        <v>3.5064658622974965</v>
      </c>
      <c r="AY88" s="99"/>
      <c r="AZ88" s="94">
        <f t="shared" si="13"/>
        <v>1577.9096380338733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14</v>
      </c>
      <c r="F89" s="93">
        <v>4</v>
      </c>
      <c r="G89" s="93">
        <v>4</v>
      </c>
      <c r="H89" s="93">
        <v>5</v>
      </c>
      <c r="I89" s="93">
        <v>0</v>
      </c>
      <c r="J89" s="93">
        <v>1</v>
      </c>
      <c r="K89" s="93">
        <v>169.89</v>
      </c>
      <c r="L89" s="92">
        <f t="shared" si="42"/>
        <v>2378.46</v>
      </c>
      <c r="M89" s="89">
        <v>15</v>
      </c>
      <c r="N89" s="89">
        <v>7</v>
      </c>
      <c r="O89" s="89">
        <v>1504</v>
      </c>
      <c r="P89" s="89">
        <v>0</v>
      </c>
      <c r="Q89" s="233">
        <f t="shared" si="47"/>
        <v>1</v>
      </c>
      <c r="R89" s="92">
        <f t="shared" si="48"/>
        <v>0.2857142857142857</v>
      </c>
      <c r="S89" s="93">
        <v>2</v>
      </c>
      <c r="T89" s="93">
        <v>0</v>
      </c>
      <c r="U89" s="92">
        <f t="shared" si="49"/>
        <v>2</v>
      </c>
      <c r="V89" s="93">
        <v>1973</v>
      </c>
      <c r="W89" s="93">
        <v>0</v>
      </c>
      <c r="X89" s="92">
        <f t="shared" si="50"/>
        <v>1973</v>
      </c>
      <c r="Y89" s="93">
        <v>3008</v>
      </c>
      <c r="Z89" s="93">
        <v>0</v>
      </c>
      <c r="AA89" s="92">
        <f t="shared" si="51"/>
        <v>3008</v>
      </c>
      <c r="AB89" s="92">
        <f t="shared" si="52"/>
        <v>0</v>
      </c>
      <c r="AC89" s="234">
        <f t="shared" si="53"/>
        <v>9.3547255546972069E-4</v>
      </c>
      <c r="AD89" s="92">
        <f t="shared" si="54"/>
        <v>339.78</v>
      </c>
      <c r="AE89" s="93">
        <v>1139.24</v>
      </c>
      <c r="AF89" s="234">
        <f t="shared" si="55"/>
        <v>0.37873670212765959</v>
      </c>
      <c r="AG89" s="93">
        <v>541.79999999999995</v>
      </c>
      <c r="AH89" s="93"/>
      <c r="AI89" s="93"/>
      <c r="AJ89" s="93"/>
      <c r="AK89" s="93"/>
      <c r="AL89" s="122">
        <f t="shared" si="46"/>
        <v>4.2021032768777618</v>
      </c>
      <c r="AM89" s="93">
        <v>0</v>
      </c>
      <c r="AN89" s="94">
        <f t="shared" si="56"/>
        <v>112.6583</v>
      </c>
      <c r="AO89" s="95">
        <f t="shared" si="57"/>
        <v>870.31959672312246</v>
      </c>
      <c r="AP89" s="96"/>
      <c r="AQ89" s="97">
        <f t="shared" si="7"/>
        <v>1504</v>
      </c>
      <c r="AR89" s="98">
        <f t="shared" si="35"/>
        <v>169.89</v>
      </c>
      <c r="AS89" s="98">
        <f t="shared" si="9"/>
        <v>569.62</v>
      </c>
      <c r="AT89" s="98">
        <f t="shared" si="10"/>
        <v>270.89999999999998</v>
      </c>
      <c r="AU89" s="98">
        <f t="shared" si="58"/>
        <v>0</v>
      </c>
      <c r="AV89" s="98">
        <f t="array" ref="AV89">_xlfn.IFS(U89=0,AO89,U89&lt;0,AO89/-U89,U89&gt;0,AO89/U89)</f>
        <v>435.15979836156123</v>
      </c>
      <c r="AW89" s="234">
        <f t="shared" si="43"/>
        <v>0.28933497231486782</v>
      </c>
      <c r="AX89" s="234">
        <f t="shared" si="44"/>
        <v>2.5614209097743319</v>
      </c>
      <c r="AY89" s="99"/>
      <c r="AZ89" s="94">
        <f t="shared" si="13"/>
        <v>6092.2371770618574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2"/>
        <v>5286.12</v>
      </c>
      <c r="M90" s="89">
        <v>738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46"/>
        <v>40.34019145802651</v>
      </c>
      <c r="AM90" s="93">
        <v>0</v>
      </c>
      <c r="AN90" s="94">
        <f t="shared" si="56"/>
        <v>0</v>
      </c>
      <c r="AO90" s="95">
        <f t="shared" si="57"/>
        <v>-40.34019145802651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8"/>
        <v>0</v>
      </c>
      <c r="AV90" s="98">
        <f t="array" ref="AV90">_xlfn.IFS(U90=0,AO90,U90&lt;0,AO90/-U90,U90&gt;0,AO90/U90)</f>
        <v>-40.34019145802651</v>
      </c>
      <c r="AW90" s="234">
        <f t="shared" si="43"/>
        <v>0</v>
      </c>
      <c r="AX90" s="234">
        <f t="shared" si="44"/>
        <v>-0.37393577547299323</v>
      </c>
      <c r="AY90" s="99"/>
      <c r="AZ90" s="94">
        <f t="shared" si="13"/>
        <v>-1976.669381443299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35</v>
      </c>
      <c r="F91" s="93" t="s">
        <v>100</v>
      </c>
      <c r="G91" s="93">
        <v>8</v>
      </c>
      <c r="H91" s="93">
        <v>21</v>
      </c>
      <c r="I91" s="93">
        <v>0</v>
      </c>
      <c r="J91" s="93">
        <v>6</v>
      </c>
      <c r="K91" s="93">
        <v>93.84</v>
      </c>
      <c r="L91" s="92">
        <f t="shared" si="42"/>
        <v>3284.4</v>
      </c>
      <c r="M91" s="89">
        <v>110</v>
      </c>
      <c r="N91" s="89">
        <v>4</v>
      </c>
      <c r="O91" s="89">
        <v>1075</v>
      </c>
      <c r="P91" s="89">
        <v>0</v>
      </c>
      <c r="Q91" s="233">
        <f t="shared" si="47"/>
        <v>0.5714285714285714</v>
      </c>
      <c r="R91" s="92">
        <f t="shared" si="48"/>
        <v>-0.14285714285714285</v>
      </c>
      <c r="S91" s="93">
        <v>1</v>
      </c>
      <c r="T91" s="93">
        <v>-2</v>
      </c>
      <c r="U91" s="92">
        <f t="shared" si="49"/>
        <v>-1</v>
      </c>
      <c r="V91" s="93">
        <v>694</v>
      </c>
      <c r="W91" s="93">
        <v>-1386</v>
      </c>
      <c r="X91" s="92">
        <f t="shared" si="50"/>
        <v>-692</v>
      </c>
      <c r="Y91" s="93">
        <v>1075</v>
      </c>
      <c r="Z91" s="93">
        <v>-2150</v>
      </c>
      <c r="AA91" s="92">
        <f t="shared" si="51"/>
        <v>-1075</v>
      </c>
      <c r="AB91" s="92">
        <f t="shared" si="52"/>
        <v>0</v>
      </c>
      <c r="AC91" s="234">
        <f t="shared" si="53"/>
        <v>-3.3431948042883964E-4</v>
      </c>
      <c r="AD91" s="92">
        <f t="shared" si="54"/>
        <v>-93.84</v>
      </c>
      <c r="AE91" s="93">
        <v>-406.61000000000013</v>
      </c>
      <c r="AF91" s="234">
        <f t="shared" si="55"/>
        <v>0.37824186046511638</v>
      </c>
      <c r="AG91" s="93">
        <v>806.39</v>
      </c>
      <c r="AH91" s="93"/>
      <c r="AI91" s="93"/>
      <c r="AJ91" s="93"/>
      <c r="AK91" s="93"/>
      <c r="AL91" s="122">
        <f t="shared" si="46"/>
        <v>17.648833762886596</v>
      </c>
      <c r="AM91" s="93">
        <v>0</v>
      </c>
      <c r="AN91" s="94">
        <f t="shared" si="56"/>
        <v>-39.513199999999998</v>
      </c>
      <c r="AO91" s="95">
        <f t="shared" si="57"/>
        <v>-1359.0756337628864</v>
      </c>
      <c r="AP91" s="96"/>
      <c r="AQ91" s="97">
        <f t="shared" si="7"/>
        <v>1075</v>
      </c>
      <c r="AR91" s="98">
        <f t="shared" si="35"/>
        <v>93.84</v>
      </c>
      <c r="AS91" s="98">
        <f t="shared" si="9"/>
        <v>406.61000000000013</v>
      </c>
      <c r="AT91" s="98">
        <f t="shared" si="10"/>
        <v>806.39</v>
      </c>
      <c r="AU91" s="98">
        <f t="shared" si="58"/>
        <v>0</v>
      </c>
      <c r="AV91" s="98">
        <f t="array" ref="AV91">_xlfn.IFS(U91=0,AO91,U91&lt;0,AO91/-U91,U91&gt;0,AO91/U91)</f>
        <v>-1359.0756337628864</v>
      </c>
      <c r="AW91" s="234">
        <f t="shared" si="43"/>
        <v>-1.2642564035003594</v>
      </c>
      <c r="AX91" s="234">
        <f t="shared" si="44"/>
        <v>-14.482903173091286</v>
      </c>
      <c r="AY91" s="99"/>
      <c r="AZ91" s="94">
        <f t="shared" si="13"/>
        <v>-47567.647181701024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48</v>
      </c>
      <c r="F92" s="93">
        <v>4</v>
      </c>
      <c r="G92" s="93">
        <v>1</v>
      </c>
      <c r="H92" s="93">
        <v>42</v>
      </c>
      <c r="I92" s="93">
        <v>0</v>
      </c>
      <c r="J92" s="93">
        <v>1</v>
      </c>
      <c r="K92" s="93">
        <v>139.47</v>
      </c>
      <c r="L92" s="92">
        <f t="shared" si="42"/>
        <v>6694.5599999999995</v>
      </c>
      <c r="M92" s="89">
        <v>169</v>
      </c>
      <c r="N92" s="89">
        <v>6</v>
      </c>
      <c r="O92" s="89">
        <v>1250</v>
      </c>
      <c r="P92" s="89">
        <v>0</v>
      </c>
      <c r="Q92" s="233">
        <f t="shared" si="47"/>
        <v>0.8571428571428571</v>
      </c>
      <c r="R92" s="92">
        <f t="shared" si="48"/>
        <v>0</v>
      </c>
      <c r="S92" s="93">
        <v>1</v>
      </c>
      <c r="T92" s="93">
        <v>-1</v>
      </c>
      <c r="U92" s="92">
        <f t="shared" si="49"/>
        <v>0</v>
      </c>
      <c r="V92" s="93">
        <v>832</v>
      </c>
      <c r="W92" s="93">
        <v>-832</v>
      </c>
      <c r="X92" s="92">
        <f t="shared" si="50"/>
        <v>0</v>
      </c>
      <c r="Y92" s="93">
        <v>1250</v>
      </c>
      <c r="Z92" s="93">
        <v>-1250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698.80000000000007</v>
      </c>
      <c r="AH92" s="93"/>
      <c r="AI92" s="93">
        <v>826</v>
      </c>
      <c r="AJ92" s="93"/>
      <c r="AK92" s="93"/>
      <c r="AL92" s="122">
        <f t="shared" si="46"/>
        <v>35.297667525773193</v>
      </c>
      <c r="AM92" s="93">
        <v>0</v>
      </c>
      <c r="AN92" s="94">
        <f t="shared" si="56"/>
        <v>0</v>
      </c>
      <c r="AO92" s="95">
        <f t="shared" si="57"/>
        <v>-1560.0976675257734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698.80000000000007</v>
      </c>
      <c r="AU92" s="98">
        <f t="shared" si="58"/>
        <v>826</v>
      </c>
      <c r="AV92" s="98">
        <f t="array" ref="AV92">_xlfn.IFS(U92=0,AO92,U92&lt;0,AO92/-U92,U92&gt;0,AO92/U92)</f>
        <v>-1560.0976675257734</v>
      </c>
      <c r="AW92" s="234">
        <f t="shared" si="43"/>
        <v>0</v>
      </c>
      <c r="AX92" s="234">
        <f t="shared" si="44"/>
        <v>-11.185901394749935</v>
      </c>
      <c r="AY92" s="99"/>
      <c r="AZ92" s="94">
        <f t="shared" si="13"/>
        <v>-74884.688041237125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40</v>
      </c>
      <c r="F93" s="93" t="s">
        <v>100</v>
      </c>
      <c r="G93" s="93" t="s">
        <v>100</v>
      </c>
      <c r="H93" s="93">
        <v>39</v>
      </c>
      <c r="I93" s="93">
        <v>0</v>
      </c>
      <c r="J93" s="93">
        <v>1</v>
      </c>
      <c r="K93" s="93">
        <v>139.47</v>
      </c>
      <c r="L93" s="92">
        <f t="shared" si="42"/>
        <v>5578.8</v>
      </c>
      <c r="M93" s="89">
        <v>580</v>
      </c>
      <c r="N93" s="89">
        <v>0</v>
      </c>
      <c r="O93" s="89">
        <v>0</v>
      </c>
      <c r="P93" s="89">
        <v>0</v>
      </c>
      <c r="Q93" s="233">
        <f t="shared" si="47"/>
        <v>0</v>
      </c>
      <c r="R93" s="92">
        <f t="shared" si="48"/>
        <v>0</v>
      </c>
      <c r="S93" s="93">
        <v>0</v>
      </c>
      <c r="T93" s="93">
        <v>0</v>
      </c>
      <c r="U93" s="92">
        <f t="shared" si="49"/>
        <v>0</v>
      </c>
      <c r="V93" s="93">
        <v>0</v>
      </c>
      <c r="W93" s="93">
        <v>0</v>
      </c>
      <c r="X93" s="92">
        <f t="shared" si="50"/>
        <v>0</v>
      </c>
      <c r="Y93" s="93">
        <v>0</v>
      </c>
      <c r="Z93" s="93">
        <v>0</v>
      </c>
      <c r="AA93" s="92">
        <f t="shared" si="51"/>
        <v>0</v>
      </c>
      <c r="AB93" s="92">
        <f t="shared" si="52"/>
        <v>0</v>
      </c>
      <c r="AC93" s="234">
        <f t="shared" si="53"/>
        <v>0</v>
      </c>
      <c r="AD93" s="92">
        <f t="shared" si="54"/>
        <v>0</v>
      </c>
      <c r="AE93" s="93">
        <v>0</v>
      </c>
      <c r="AF93" s="234">
        <f t="shared" si="55"/>
        <v>0</v>
      </c>
      <c r="AG93" s="93">
        <v>0</v>
      </c>
      <c r="AH93" s="93"/>
      <c r="AI93" s="93"/>
      <c r="AJ93" s="93"/>
      <c r="AK93" s="93"/>
      <c r="AL93" s="122">
        <f t="shared" si="46"/>
        <v>32.776405559646541</v>
      </c>
      <c r="AM93" s="93">
        <v>0</v>
      </c>
      <c r="AN93" s="94">
        <f t="shared" si="56"/>
        <v>0</v>
      </c>
      <c r="AO93" s="95">
        <f t="shared" si="57"/>
        <v>-32.776405559646541</v>
      </c>
      <c r="AP93" s="96"/>
      <c r="AQ93" s="97">
        <f t="shared" si="7"/>
        <v>0</v>
      </c>
      <c r="AR93" s="98">
        <f t="shared" si="35"/>
        <v>139.47</v>
      </c>
      <c r="AS93" s="98">
        <f t="shared" si="9"/>
        <v>0</v>
      </c>
      <c r="AT93" s="98">
        <f t="shared" si="10"/>
        <v>0</v>
      </c>
      <c r="AU93" s="98">
        <f t="shared" si="58"/>
        <v>0</v>
      </c>
      <c r="AV93" s="98">
        <f t="array" ref="AV93">_xlfn.IFS(U93=0,AO93,U93&lt;0,AO93/-U93,U93&gt;0,AO93/U93)</f>
        <v>-32.776405559646541</v>
      </c>
      <c r="AW93" s="234">
        <f t="shared" si="43"/>
        <v>0</v>
      </c>
      <c r="AX93" s="234">
        <f t="shared" si="44"/>
        <v>-0.23500685136335084</v>
      </c>
      <c r="AY93" s="99"/>
      <c r="AZ93" s="94">
        <f t="shared" si="13"/>
        <v>-1311.0562223858617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2</v>
      </c>
      <c r="F97" s="93">
        <v>1</v>
      </c>
      <c r="G97" s="93" t="s">
        <v>100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800.16</v>
      </c>
      <c r="M97" s="89">
        <v>12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153.82999999999998</v>
      </c>
      <c r="AH97" s="93"/>
      <c r="AI97" s="93"/>
      <c r="AJ97" s="93"/>
      <c r="AK97" s="93"/>
      <c r="AL97" s="122">
        <f t="shared" si="46"/>
        <v>0.84042065537555233</v>
      </c>
      <c r="AM97" s="93">
        <v>0</v>
      </c>
      <c r="AN97" s="94">
        <f t="shared" si="56"/>
        <v>0</v>
      </c>
      <c r="AO97" s="95">
        <f t="shared" si="57"/>
        <v>-154.67042065537552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153.82999999999998</v>
      </c>
      <c r="AU97" s="98">
        <f t="shared" si="58"/>
        <v>0</v>
      </c>
      <c r="AV97" s="98">
        <f t="array" ref="AV97">_xlfn.IFS(U97=0,AO97,U97&lt;0,AO97/-U97,U97&gt;0,AO97/U97)</f>
        <v>-154.67042065537552</v>
      </c>
      <c r="AW97" s="234">
        <f t="shared" si="43"/>
        <v>0</v>
      </c>
      <c r="AX97" s="234">
        <f t="shared" si="44"/>
        <v>-0.3865987318920604</v>
      </c>
      <c r="AY97" s="99"/>
      <c r="AZ97" s="94">
        <f t="shared" si="13"/>
        <v>-309.34084131075105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10</v>
      </c>
      <c r="F98" s="93">
        <v>1</v>
      </c>
      <c r="G98" s="93" t="s">
        <v>100</v>
      </c>
      <c r="H98" s="93">
        <v>9</v>
      </c>
      <c r="I98" s="93">
        <v>0</v>
      </c>
      <c r="J98" s="93">
        <v>0</v>
      </c>
      <c r="K98" s="93">
        <v>300.08</v>
      </c>
      <c r="L98" s="92">
        <f t="shared" si="42"/>
        <v>3000.7999999999997</v>
      </c>
      <c r="M98" s="89">
        <v>106</v>
      </c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610</v>
      </c>
      <c r="W98" s="93">
        <v>0</v>
      </c>
      <c r="X98" s="92">
        <f t="shared" si="50"/>
        <v>610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2.730534919223453E-4</v>
      </c>
      <c r="AD98" s="92">
        <f t="shared" si="54"/>
        <v>300.08</v>
      </c>
      <c r="AE98" s="93">
        <v>333.9</v>
      </c>
      <c r="AF98" s="234">
        <f t="shared" si="55"/>
        <v>0.38029612756264236</v>
      </c>
      <c r="AG98" s="93">
        <v>58.33</v>
      </c>
      <c r="AH98" s="93"/>
      <c r="AI98" s="93"/>
      <c r="AJ98" s="93"/>
      <c r="AK98" s="93"/>
      <c r="AL98" s="122">
        <f t="shared" si="46"/>
        <v>7.5637858983799706</v>
      </c>
      <c r="AM98" s="93">
        <v>0</v>
      </c>
      <c r="AN98" s="94">
        <f t="shared" si="56"/>
        <v>34.830999999999996</v>
      </c>
      <c r="AO98" s="95">
        <f t="shared" si="57"/>
        <v>143.29521410162016</v>
      </c>
      <c r="AP98" s="96"/>
      <c r="AQ98" s="97">
        <f t="shared" ref="AQ98:AQ103" si="59">IF(U98=0,0,AA98/U98)</f>
        <v>878</v>
      </c>
      <c r="AR98" s="98">
        <f t="shared" si="35"/>
        <v>300.08</v>
      </c>
      <c r="AS98" s="98">
        <f t="shared" ref="AS98:AS103" si="60">IF(U98=0,0,AE98/U98)</f>
        <v>333.9</v>
      </c>
      <c r="AT98" s="98">
        <f t="shared" ref="AT98:AT103" si="61">IF(S98=0,AG98/1,AG98/S98)</f>
        <v>58.33</v>
      </c>
      <c r="AU98" s="98">
        <f t="shared" si="58"/>
        <v>0</v>
      </c>
      <c r="AV98" s="98">
        <f t="array" ref="AV98">_xlfn.IFS(U98=0,AO98,U98&lt;0,AO98/-U98,U98&gt;0,AO98/U98)</f>
        <v>143.29521410162016</v>
      </c>
      <c r="AW98" s="234">
        <f t="shared" si="43"/>
        <v>0.16320639419318925</v>
      </c>
      <c r="AX98" s="234">
        <f t="shared" si="44"/>
        <v>0.47752337410563905</v>
      </c>
      <c r="AY98" s="99"/>
      <c r="AZ98" s="94">
        <f t="shared" ref="AZ98:AZ103" si="62">AV98*E98</f>
        <v>1432.9521410162015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36</v>
      </c>
      <c r="F100" s="93">
        <v>1</v>
      </c>
      <c r="G100" s="93" t="s">
        <v>100</v>
      </c>
      <c r="H100" s="93">
        <v>35</v>
      </c>
      <c r="I100" s="93">
        <v>0</v>
      </c>
      <c r="J100" s="93">
        <v>0</v>
      </c>
      <c r="K100" s="93">
        <v>142.97999999999999</v>
      </c>
      <c r="L100" s="92">
        <f t="shared" si="63"/>
        <v>5147.28</v>
      </c>
      <c r="M100" s="89">
        <v>142</v>
      </c>
      <c r="N100" s="89">
        <v>1</v>
      </c>
      <c r="O100" s="89">
        <v>1300</v>
      </c>
      <c r="P100" s="89">
        <v>0</v>
      </c>
      <c r="Q100" s="233">
        <f t="shared" si="47"/>
        <v>0.14285714285714285</v>
      </c>
      <c r="R100" s="92">
        <f t="shared" si="48"/>
        <v>0.14285714285714285</v>
      </c>
      <c r="S100" s="93">
        <v>1</v>
      </c>
      <c r="T100" s="93">
        <v>0</v>
      </c>
      <c r="U100" s="92">
        <f t="shared" si="49"/>
        <v>1</v>
      </c>
      <c r="V100" s="93">
        <v>878</v>
      </c>
      <c r="W100" s="93">
        <v>0</v>
      </c>
      <c r="X100" s="92">
        <f t="shared" si="50"/>
        <v>878</v>
      </c>
      <c r="Y100" s="93">
        <v>1300</v>
      </c>
      <c r="Z100" s="93">
        <v>0</v>
      </c>
      <c r="AA100" s="92">
        <f t="shared" si="51"/>
        <v>1300</v>
      </c>
      <c r="AB100" s="92">
        <f t="shared" si="52"/>
        <v>0</v>
      </c>
      <c r="AC100" s="234">
        <f t="shared" si="53"/>
        <v>4.0429332516975957E-4</v>
      </c>
      <c r="AD100" s="92">
        <f t="shared" si="54"/>
        <v>142.97999999999999</v>
      </c>
      <c r="AE100" s="93">
        <v>493.37</v>
      </c>
      <c r="AF100" s="234">
        <f t="shared" si="55"/>
        <v>0.37951538461538464</v>
      </c>
      <c r="AG100" s="93">
        <v>276.26</v>
      </c>
      <c r="AH100" s="93"/>
      <c r="AI100" s="93"/>
      <c r="AJ100" s="93"/>
      <c r="AK100" s="93"/>
      <c r="AL100" s="122">
        <f t="shared" si="46"/>
        <v>29.41472293814433</v>
      </c>
      <c r="AM100" s="93">
        <v>0</v>
      </c>
      <c r="AN100" s="94">
        <f t="shared" si="56"/>
        <v>50.133800000000001</v>
      </c>
      <c r="AO100" s="95">
        <f t="shared" si="57"/>
        <v>307.84147706185564</v>
      </c>
      <c r="AP100" s="96"/>
      <c r="AQ100" s="97">
        <f t="shared" si="59"/>
        <v>1300</v>
      </c>
      <c r="AR100" s="98">
        <f t="shared" si="64"/>
        <v>142.97999999999999</v>
      </c>
      <c r="AS100" s="98">
        <f t="shared" si="60"/>
        <v>493.37</v>
      </c>
      <c r="AT100" s="98">
        <f t="shared" si="61"/>
        <v>276.26</v>
      </c>
      <c r="AU100" s="98">
        <f t="shared" si="58"/>
        <v>0</v>
      </c>
      <c r="AV100" s="98">
        <f t="array" ref="AV100">_xlfn.IFS(U100=0,AO100,U100&lt;0,AO100/-U100,U100&gt;0,AO100/U100)</f>
        <v>307.84147706185564</v>
      </c>
      <c r="AW100" s="234">
        <f t="shared" si="65"/>
        <v>0.23680113620142743</v>
      </c>
      <c r="AX100" s="234">
        <f t="shared" si="66"/>
        <v>2.1530387261285191</v>
      </c>
      <c r="AY100" s="99"/>
      <c r="AZ100" s="94">
        <f t="shared" si="62"/>
        <v>11082.293174226803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132</v>
      </c>
      <c r="F102" s="93">
        <v>14</v>
      </c>
      <c r="G102" s="93">
        <v>6</v>
      </c>
      <c r="H102" s="93">
        <v>112</v>
      </c>
      <c r="I102" s="93">
        <v>0</v>
      </c>
      <c r="J102" s="93">
        <v>0</v>
      </c>
      <c r="K102" s="92">
        <v>123.09</v>
      </c>
      <c r="L102" s="92">
        <f t="shared" si="63"/>
        <v>16247.880000000001</v>
      </c>
      <c r="M102" s="89">
        <v>56</v>
      </c>
      <c r="N102" s="89">
        <v>14</v>
      </c>
      <c r="O102" s="89">
        <v>1300</v>
      </c>
      <c r="P102" s="89">
        <v>14</v>
      </c>
      <c r="Q102" s="233">
        <f t="shared" si="47"/>
        <v>2</v>
      </c>
      <c r="R102" s="92">
        <f t="shared" si="48"/>
        <v>0.7142857142857143</v>
      </c>
      <c r="S102" s="93">
        <v>6</v>
      </c>
      <c r="T102" s="93">
        <v>-1</v>
      </c>
      <c r="U102" s="92">
        <f t="shared" si="49"/>
        <v>5</v>
      </c>
      <c r="V102" s="93">
        <v>4998</v>
      </c>
      <c r="W102" s="93">
        <v>-790</v>
      </c>
      <c r="X102" s="92">
        <f t="shared" si="50"/>
        <v>4208</v>
      </c>
      <c r="Y102" s="93">
        <v>7800</v>
      </c>
      <c r="Z102" s="93">
        <v>-1300</v>
      </c>
      <c r="AA102" s="92">
        <f t="shared" si="51"/>
        <v>6500</v>
      </c>
      <c r="AB102" s="92">
        <f t="shared" si="52"/>
        <v>2548</v>
      </c>
      <c r="AC102" s="234">
        <f t="shared" si="53"/>
        <v>2.0214666258487981E-3</v>
      </c>
      <c r="AD102" s="92">
        <f t="shared" si="54"/>
        <v>615.45000000000005</v>
      </c>
      <c r="AE102" s="93">
        <v>2474.4200000000005</v>
      </c>
      <c r="AF102" s="234">
        <f t="shared" si="55"/>
        <v>0.38068000000000007</v>
      </c>
      <c r="AG102" s="93">
        <v>2701.39</v>
      </c>
      <c r="AH102" s="93"/>
      <c r="AI102" s="93"/>
      <c r="AJ102" s="93"/>
      <c r="AK102" s="93"/>
      <c r="AL102" s="122">
        <f t="shared" si="46"/>
        <v>94.127113402061852</v>
      </c>
      <c r="AM102" s="93">
        <v>0</v>
      </c>
      <c r="AN102" s="94">
        <f t="shared" si="56"/>
        <v>240.27679999999998</v>
      </c>
      <c r="AO102" s="95">
        <f t="shared" si="57"/>
        <v>374.33608659793799</v>
      </c>
      <c r="AP102" s="96"/>
      <c r="AQ102" s="97">
        <f t="shared" si="59"/>
        <v>1300</v>
      </c>
      <c r="AR102" s="98">
        <f t="shared" si="64"/>
        <v>123.09</v>
      </c>
      <c r="AS102" s="98">
        <f t="shared" si="60"/>
        <v>494.88400000000013</v>
      </c>
      <c r="AT102" s="98">
        <f t="shared" si="61"/>
        <v>450.23166666666663</v>
      </c>
      <c r="AU102" s="98">
        <f t="shared" si="58"/>
        <v>0</v>
      </c>
      <c r="AV102" s="98">
        <f t="array" ref="AV102">_xlfn.IFS(U102=0,AO102,U102&lt;0,AO102/-U102,U102&gt;0,AO102/U102)</f>
        <v>74.867217319587596</v>
      </c>
      <c r="AW102" s="234">
        <f t="shared" si="65"/>
        <v>5.7590167168913534E-2</v>
      </c>
      <c r="AX102" s="234">
        <f t="shared" si="66"/>
        <v>0.60823151612306114</v>
      </c>
      <c r="AY102" s="99"/>
      <c r="AZ102" s="94">
        <f t="shared" si="62"/>
        <v>9882.4726861855634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617.99000939946654</v>
      </c>
      <c r="AR104" s="111">
        <f t="shared" si="67"/>
        <v>141.22217391304349</v>
      </c>
      <c r="AS104" s="111">
        <f t="shared" si="67"/>
        <v>232.32197111803708</v>
      </c>
      <c r="AT104" s="111">
        <f t="shared" si="67"/>
        <v>149.24160865866915</v>
      </c>
      <c r="AU104" s="111">
        <f t="shared" si="67"/>
        <v>61.060728863305009</v>
      </c>
      <c r="AV104" s="111">
        <f t="shared" si="67"/>
        <v>47.639893376812118</v>
      </c>
      <c r="AW104" s="112">
        <f t="shared" si="67"/>
        <v>8.769365016703537E-2</v>
      </c>
      <c r="AX104" s="112">
        <f t="shared" si="67"/>
        <v>0.38895154554415556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65132</v>
      </c>
      <c r="F105" s="116">
        <f t="shared" si="68"/>
        <v>2511</v>
      </c>
      <c r="G105" s="116">
        <f t="shared" si="68"/>
        <v>879</v>
      </c>
      <c r="H105" s="116">
        <f t="shared" si="68"/>
        <v>10864</v>
      </c>
      <c r="I105" s="116">
        <f t="shared" si="68"/>
        <v>1461</v>
      </c>
      <c r="J105" s="116">
        <f t="shared" si="68"/>
        <v>49417</v>
      </c>
      <c r="K105" s="116"/>
      <c r="L105" s="116">
        <f>SUM(L3:L103)</f>
        <v>8070913.4600000018</v>
      </c>
      <c r="M105" s="116"/>
      <c r="N105" s="116">
        <f>SUM(N3:N103)</f>
        <v>3532</v>
      </c>
      <c r="O105" s="116"/>
      <c r="P105" s="116"/>
      <c r="Q105" s="212"/>
      <c r="R105" s="116"/>
      <c r="S105" s="116">
        <f t="shared" ref="S105:AE105" si="69">SUM(S3:S103)</f>
        <v>2176</v>
      </c>
      <c r="T105" s="116">
        <f t="shared" si="69"/>
        <v>-59</v>
      </c>
      <c r="U105" s="116">
        <f t="shared" si="69"/>
        <v>2117</v>
      </c>
      <c r="V105" s="116">
        <f t="shared" si="69"/>
        <v>2198880.5300000003</v>
      </c>
      <c r="W105" s="116">
        <f t="shared" si="69"/>
        <v>-57961.37</v>
      </c>
      <c r="X105" s="116">
        <f t="shared" si="69"/>
        <v>2140919.16</v>
      </c>
      <c r="Y105" s="116">
        <f t="shared" si="69"/>
        <v>3303471.34</v>
      </c>
      <c r="Z105" s="116">
        <f t="shared" si="69"/>
        <v>-87984.17</v>
      </c>
      <c r="AA105" s="116">
        <f t="shared" si="69"/>
        <v>3215487.17</v>
      </c>
      <c r="AB105" s="116">
        <f t="shared" si="69"/>
        <v>2937009.7900000005</v>
      </c>
      <c r="AC105" s="239">
        <f t="shared" si="69"/>
        <v>1.0000000000000002</v>
      </c>
      <c r="AD105" s="117">
        <f t="shared" si="69"/>
        <v>261816.2</v>
      </c>
      <c r="AE105" s="116">
        <f t="shared" si="69"/>
        <v>1215469.6299999997</v>
      </c>
      <c r="AF105" s="239">
        <f>AE105/AA105</f>
        <v>0.37800481411965942</v>
      </c>
      <c r="AG105" s="116">
        <f t="shared" ref="AG105:AO105" si="70">SUM(AG3:AG103)</f>
        <v>302367.42999999964</v>
      </c>
      <c r="AH105" s="117">
        <f t="shared" si="70"/>
        <v>2405</v>
      </c>
      <c r="AI105" s="117">
        <f t="shared" si="70"/>
        <v>301236</v>
      </c>
      <c r="AJ105" s="117">
        <f t="shared" si="70"/>
        <v>0</v>
      </c>
      <c r="AK105" s="117">
        <f t="shared" si="70"/>
        <v>0</v>
      </c>
      <c r="AL105" s="117">
        <f t="shared" si="70"/>
        <v>9130.3299999999981</v>
      </c>
      <c r="AM105" s="116">
        <f t="shared" si="70"/>
        <v>4923.9799999999996</v>
      </c>
      <c r="AN105" s="117">
        <f t="shared" si="70"/>
        <v>122246.48403600004</v>
      </c>
      <c r="AO105" s="117">
        <f t="shared" si="70"/>
        <v>995892.11596400093</v>
      </c>
      <c r="AP105" s="118"/>
      <c r="AQ105" s="116"/>
      <c r="AR105" s="116"/>
      <c r="AS105" s="116"/>
      <c r="AT105" s="116"/>
      <c r="AU105" s="240">
        <f>(AH105+AI105+AJ105)/S105</f>
        <v>139.54090073529412</v>
      </c>
      <c r="AV105" s="116"/>
      <c r="AW105" s="116"/>
      <c r="AX105" s="116"/>
      <c r="AY105" s="119"/>
      <c r="AZ105" s="116">
        <f>SUM(AZ3:AZ103)</f>
        <v>27264872.917147476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45"/>
      <c r="AI106" s="545"/>
      <c r="AJ106" s="403"/>
      <c r="AK106" s="403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403"/>
      <c r="AI112" s="403"/>
      <c r="AJ112" s="403"/>
      <c r="AK112" s="403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46"/>
      <c r="AI114" s="547"/>
      <c r="AJ114" s="404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20" customFormat="1" collapsed="1">
      <c r="A125" s="429" t="s">
        <v>333</v>
      </c>
      <c r="B125" s="430"/>
      <c r="C125" s="431"/>
      <c r="D125" s="431"/>
      <c r="E125" s="432">
        <f>SUM(E3:E18)+E28+E45+E47+E48+E49+E50</f>
        <v>58668</v>
      </c>
      <c r="F125" s="431">
        <f t="shared" ref="F125:N125" si="79">SUM(F3:F18)+F28+F45+F47+F48+F49+F50</f>
        <v>2362</v>
      </c>
      <c r="G125" s="431">
        <f t="shared" si="79"/>
        <v>778</v>
      </c>
      <c r="H125" s="431">
        <f t="shared" si="79"/>
        <v>8811</v>
      </c>
      <c r="I125" s="431">
        <f t="shared" si="79"/>
        <v>13</v>
      </c>
      <c r="J125" s="431">
        <f t="shared" si="79"/>
        <v>46704</v>
      </c>
      <c r="K125" s="431"/>
      <c r="L125" s="431">
        <f t="shared" si="79"/>
        <v>7236629.5500000007</v>
      </c>
      <c r="M125" s="431"/>
      <c r="N125" s="431">
        <f t="shared" si="79"/>
        <v>3297</v>
      </c>
      <c r="O125" s="431"/>
      <c r="P125" s="431"/>
      <c r="Q125" s="433"/>
      <c r="R125" s="431"/>
      <c r="S125" s="431">
        <f t="shared" ref="S125:AN125" si="80">SUM(S3:S18)+S28+S45+S47+S48+S49+S50</f>
        <v>2059</v>
      </c>
      <c r="T125" s="431">
        <f t="shared" si="80"/>
        <v>-47</v>
      </c>
      <c r="U125" s="431">
        <f t="shared" si="80"/>
        <v>2012</v>
      </c>
      <c r="V125" s="431">
        <f t="shared" si="80"/>
        <v>2106763.08</v>
      </c>
      <c r="W125" s="431">
        <f t="shared" si="80"/>
        <v>-48891.37</v>
      </c>
      <c r="X125" s="431">
        <f t="shared" si="80"/>
        <v>2057871.71</v>
      </c>
      <c r="Y125" s="431">
        <f t="shared" si="80"/>
        <v>3166314.9199999995</v>
      </c>
      <c r="Z125" s="431">
        <f t="shared" si="80"/>
        <v>-74091.17</v>
      </c>
      <c r="AA125" s="431">
        <f>SUM(AA3:AA18)+AA28+AA45+AA47+AA48+AA49+AA50</f>
        <v>3092223.7499999995</v>
      </c>
      <c r="AB125" s="431">
        <f t="shared" si="80"/>
        <v>2837936.66</v>
      </c>
      <c r="AC125" s="434">
        <f t="shared" si="80"/>
        <v>0.96166570927415651</v>
      </c>
      <c r="AD125" s="435">
        <f t="shared" si="80"/>
        <v>248851.65000000002</v>
      </c>
      <c r="AE125" s="431">
        <f t="shared" si="80"/>
        <v>1169082.6799999997</v>
      </c>
      <c r="AF125" s="434">
        <f>AE125/AA125</f>
        <v>0.37807182614130036</v>
      </c>
      <c r="AG125" s="431">
        <f t="shared" si="80"/>
        <v>274874.63999999966</v>
      </c>
      <c r="AH125" s="435">
        <f t="shared" si="80"/>
        <v>2405</v>
      </c>
      <c r="AI125" s="435">
        <f t="shared" si="80"/>
        <v>289210</v>
      </c>
      <c r="AJ125" s="435">
        <f t="shared" si="80"/>
        <v>0</v>
      </c>
      <c r="AK125" s="435">
        <f t="shared" si="80"/>
        <v>0</v>
      </c>
      <c r="AL125" s="435">
        <f t="shared" si="80"/>
        <v>7404.9463945139896</v>
      </c>
      <c r="AM125" s="431">
        <f t="shared" si="80"/>
        <v>4873.9799999999996</v>
      </c>
      <c r="AN125" s="435">
        <f t="shared" si="80"/>
        <v>117504.47464100002</v>
      </c>
      <c r="AO125" s="435">
        <f>SUM(AO3:AO18)+AO28+AO45+AO47+AO48+AO49+AO50</f>
        <v>978016.37896448665</v>
      </c>
      <c r="AP125" s="436"/>
      <c r="AQ125" s="431"/>
      <c r="AR125" s="431"/>
      <c r="AS125" s="431"/>
      <c r="AT125" s="431"/>
      <c r="AU125" s="437">
        <f>(AH125+AI125+AJ125)/S125</f>
        <v>141.62943176299174</v>
      </c>
      <c r="AV125" s="431"/>
      <c r="AW125" s="431"/>
      <c r="AX125" s="431"/>
      <c r="AY125" s="438"/>
      <c r="AZ125" s="431">
        <f>SUM(AZ3:AZ18)</f>
        <v>26319876.121036608</v>
      </c>
    </row>
    <row r="126" spans="1:52" s="158" customFormat="1">
      <c r="A126" s="153" t="s">
        <v>6</v>
      </c>
      <c r="B126" s="154"/>
      <c r="C126" s="155"/>
      <c r="D126" s="155"/>
      <c r="E126" s="267">
        <f>E105+E113+E124</f>
        <v>65132</v>
      </c>
      <c r="F126" s="267">
        <f t="shared" ref="F126:AE126" si="81">F105+F113+F124</f>
        <v>2511</v>
      </c>
      <c r="G126" s="267">
        <f t="shared" si="81"/>
        <v>879</v>
      </c>
      <c r="H126" s="267">
        <f t="shared" si="81"/>
        <v>10864</v>
      </c>
      <c r="I126" s="267">
        <f t="shared" si="81"/>
        <v>1461</v>
      </c>
      <c r="J126" s="267">
        <f t="shared" si="81"/>
        <v>49417</v>
      </c>
      <c r="K126" s="267">
        <f t="shared" si="81"/>
        <v>0</v>
      </c>
      <c r="L126" s="267">
        <f t="shared" si="81"/>
        <v>8070913.4600000018</v>
      </c>
      <c r="M126" s="267">
        <f t="shared" si="81"/>
        <v>0</v>
      </c>
      <c r="N126" s="267">
        <f t="shared" si="81"/>
        <v>3532</v>
      </c>
      <c r="O126" s="267">
        <f t="shared" si="81"/>
        <v>0</v>
      </c>
      <c r="P126" s="267">
        <f t="shared" si="81"/>
        <v>0</v>
      </c>
      <c r="Q126" s="215">
        <f t="shared" si="81"/>
        <v>0</v>
      </c>
      <c r="R126" s="267">
        <f t="shared" si="81"/>
        <v>0</v>
      </c>
      <c r="S126" s="267">
        <f t="shared" si="81"/>
        <v>2176</v>
      </c>
      <c r="T126" s="267">
        <f t="shared" si="81"/>
        <v>-59</v>
      </c>
      <c r="U126" s="267">
        <f t="shared" si="81"/>
        <v>2117</v>
      </c>
      <c r="V126" s="267">
        <f t="shared" si="81"/>
        <v>2198880.5300000003</v>
      </c>
      <c r="W126" s="267">
        <f t="shared" si="81"/>
        <v>-57961.37</v>
      </c>
      <c r="X126" s="267">
        <f t="shared" si="81"/>
        <v>2140919.16</v>
      </c>
      <c r="Y126" s="267">
        <f t="shared" si="81"/>
        <v>3303471.34</v>
      </c>
      <c r="Z126" s="267">
        <f t="shared" si="81"/>
        <v>-87984.17</v>
      </c>
      <c r="AA126" s="267">
        <f t="shared" si="81"/>
        <v>3215487.17</v>
      </c>
      <c r="AB126" s="267">
        <f t="shared" si="81"/>
        <v>2937009.7900000005</v>
      </c>
      <c r="AC126" s="267">
        <f t="shared" si="81"/>
        <v>1.0000000000000002</v>
      </c>
      <c r="AD126" s="267">
        <f t="shared" si="81"/>
        <v>261816.2</v>
      </c>
      <c r="AE126" s="267">
        <f t="shared" si="81"/>
        <v>1215469.6299999997</v>
      </c>
      <c r="AF126" s="268">
        <f>AE126/AA126</f>
        <v>0.37800481411965942</v>
      </c>
      <c r="AG126" s="267">
        <f>AG105+AG113+AG124+AG125</f>
        <v>577242.06999999937</v>
      </c>
      <c r="AH126" s="267">
        <f>AH105+AH113+AH124</f>
        <v>2405</v>
      </c>
      <c r="AI126" s="267">
        <f>AI105+AI113+AI124</f>
        <v>301236</v>
      </c>
      <c r="AJ126" s="267">
        <f>AJ105+AJ113+AJ124</f>
        <v>0</v>
      </c>
      <c r="AK126" s="267">
        <f>AK105+AK113+AK124</f>
        <v>0</v>
      </c>
      <c r="AL126" s="156">
        <v>9130.33</v>
      </c>
      <c r="AM126" s="267">
        <f>AM105+AM113+AM124</f>
        <v>4923.9799999999996</v>
      </c>
      <c r="AN126" s="267">
        <f>AN105+AN113+AN124</f>
        <v>122246.48403600004</v>
      </c>
      <c r="AO126" s="267">
        <f>AO105+AO113+AO124</f>
        <v>995892.11596400093</v>
      </c>
      <c r="AP126" s="155"/>
      <c r="AQ126" s="155"/>
      <c r="AR126" s="155"/>
      <c r="AS126" s="155"/>
      <c r="AT126" s="155"/>
      <c r="AU126" s="155">
        <f>(AH126+AI126)/S126</f>
        <v>139.54090073529412</v>
      </c>
      <c r="AV126" s="155"/>
      <c r="AW126" s="155"/>
      <c r="AX126" s="155"/>
      <c r="AY126" s="157"/>
      <c r="AZ126" s="155">
        <f>AZ105+AZ124</f>
        <v>27264872.917147476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405"/>
      <c r="AK127" s="405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94" priority="15" operator="greaterThan">
      <formula>0.23</formula>
    </cfRule>
  </conditionalFormatting>
  <conditionalFormatting sqref="M123:O123 M106:M112 M3:M104">
    <cfRule type="cellIs" dxfId="93" priority="26" operator="greaterThan">
      <formula>120</formula>
    </cfRule>
  </conditionalFormatting>
  <conditionalFormatting sqref="AC127">
    <cfRule type="cellIs" dxfId="92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{9D4317DE-F047-42CE-85D6-6F669118B2D0}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{5D670655-EE38-446C-A83B-3944EC7F1100}</x14:id>
        </ext>
      </extLst>
    </cfRule>
  </conditionalFormatting>
  <conditionalFormatting sqref="AC1">
    <cfRule type="cellIs" dxfId="91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{68F02114-F20C-40B2-8D61-2D2B31F9E5AD}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{7934E6C1-B49E-42F2-9BE6-2685A042BC76}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{8403B737-3D8D-4332-B3A8-35A3EE21747C}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{7CC7E197-983A-4785-8E26-74B27992CDA5}</x14:id>
        </ext>
      </extLst>
    </cfRule>
  </conditionalFormatting>
  <conditionalFormatting sqref="Q123">
    <cfRule type="cellIs" dxfId="90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{3D51CCE0-BC30-47A5-A1AF-CB3110A036CC}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{B5DFD274-1A8D-4967-9625-B944BC849641}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{4FB3C615-543B-4A1C-86FF-FC79914AD057}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{FAD7D975-E850-4AE2-9937-C4051675FB17}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{653A1360-02F4-4315-8CC0-34A848A56CF5}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{9373F655-A5B7-4F58-96FD-FB8E7F4A9798}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{2300C276-6F35-4E74-9A96-91B50A5CA2CD}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{8C5A83F4-86EA-4B76-BA26-FDE5D442E570}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{31C5EC80-9924-47F6-AE8C-4C64F19CAF4F}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{1743BABB-F803-48E7-B4C3-408FA1D39AED}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{91243965-B61A-4CB2-9E5C-837CBEAB4997}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{EFEEFC72-4A6E-4FAC-BB11-DAA489678663}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{51FD62FC-23B9-4AAE-B4D8-FB244EC295D2}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{76BFAB76-DB8F-4219-BF98-314A5E088AC1}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{58B574FE-F43D-4678-B6D2-37388334EEC0}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{7146B4C8-146F-47E6-BACA-180D358D5325}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{101E423D-C1D3-4153-A9D7-46150BBA30FA}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{91F1FDB8-CA50-432D-AF5C-34EF7EC42E7A}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{5F12C151-7C56-42D7-B68A-9EA3BAA494BB}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{B5EFF8DE-332D-41DC-AD7F-2B7E8E512A20}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{0B795952-4EBC-4803-AC79-849521913022}</x14:id>
        </ext>
      </extLst>
    </cfRule>
  </conditionalFormatting>
  <conditionalFormatting sqref="M115:M122">
    <cfRule type="cellIs" dxfId="89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{9F954433-214C-4D8A-898D-88BB31A15C79}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{D2759051-3AC9-46FB-98B2-FFED487E9569}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{4F6C0DB6-456B-4F0C-98F9-336BE7BF3104}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{D087C973-4DD7-42AB-96F5-B06CAD6BEE70}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{CBEFDE58-6BEB-4C90-BD5B-26EABBDDF7EB}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{A54E96E4-2403-4114-91C6-DDD856A5DA7D}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4317DE-F047-42CE-85D6-6F669118B2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5D670655-EE38-446C-A83B-3944EC7F1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68F02114-F20C-40B2-8D61-2D2B31F9E5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934E6C1-B49E-42F2-9BE6-2685A042B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8403B737-3D8D-4332-B3A8-35A3EE2174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7CC7E197-983A-4785-8E26-74B27992CD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3D51CCE0-BC30-47A5-A1AF-CB3110A036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B5DFD274-1A8D-4967-9625-B944BC8496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FB3C615-543B-4A1C-86FF-FC79914AD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AD7D975-E850-4AE2-9937-C4051675FB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653A1360-02F4-4315-8CC0-34A848A56C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9373F655-A5B7-4F58-96FD-FB8E7F4A97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2300C276-6F35-4E74-9A96-91B50A5CA2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8C5A83F4-86EA-4B76-BA26-FDE5D442E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1C5EC80-9924-47F6-AE8C-4C64F19CA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1743BABB-F803-48E7-B4C3-408FA1D39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91243965-B61A-4CB2-9E5C-837CBEAB49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EFEEFC72-4A6E-4FAC-BB11-DAA4896786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51FD62FC-23B9-4AAE-B4D8-FB244EC29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6BFAB76-DB8F-4219-BF98-314A5E088A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58B574FE-F43D-4678-B6D2-37388334EE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7146B4C8-146F-47E6-BACA-180D358D53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101E423D-C1D3-4153-A9D7-46150BBA3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1F1FDB8-CA50-432D-AF5C-34EF7EC42E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F12C151-7C56-42D7-B68A-9EA3BAA49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B5EFF8DE-332D-41DC-AD7F-2B7E8E512A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B795952-4EBC-4803-AC79-8495219130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9F954433-214C-4D8A-898D-88BB31A15C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D2759051-3AC9-46FB-98B2-FFED487E95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4F6C0DB6-456B-4F0C-98F9-336BE7BF3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D087C973-4DD7-42AB-96F5-B06CAD6BEE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CBEFDE58-6BEB-4C90-BD5B-26EABBDDF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A54E96E4-2403-4114-91C6-DDD856A5DA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D5DD-8A26-44F2-A75B-B3B25033F64B}">
  <dimension ref="A1:J129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P7" sqref="P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422" customWidth="1"/>
    <col min="11" max="16384" width="12.54296875" style="100"/>
  </cols>
  <sheetData>
    <row r="1" spans="1:10" s="74" customFormat="1" ht="16" customHeight="1">
      <c r="A1" s="72"/>
      <c r="B1" s="73"/>
      <c r="C1" s="72"/>
      <c r="D1" s="72"/>
      <c r="E1" s="222"/>
      <c r="F1" s="539" t="s">
        <v>42</v>
      </c>
      <c r="G1" s="539"/>
      <c r="H1" s="539"/>
      <c r="I1" s="540" t="s">
        <v>115</v>
      </c>
      <c r="J1" s="541"/>
    </row>
    <row r="2" spans="1:10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327</v>
      </c>
      <c r="F2" s="77" t="s">
        <v>51</v>
      </c>
      <c r="G2" s="77" t="s">
        <v>52</v>
      </c>
      <c r="H2" s="77" t="s">
        <v>53</v>
      </c>
      <c r="I2" s="229" t="s">
        <v>117</v>
      </c>
      <c r="J2" s="420" t="s">
        <v>118</v>
      </c>
    </row>
    <row r="3" spans="1:10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2866</v>
      </c>
      <c r="F3" s="93">
        <v>194</v>
      </c>
      <c r="G3" s="93">
        <v>52</v>
      </c>
      <c r="H3" s="93">
        <v>535</v>
      </c>
      <c r="I3" s="93">
        <v>1</v>
      </c>
      <c r="J3" s="122">
        <v>2084</v>
      </c>
    </row>
    <row r="4" spans="1:10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2828</v>
      </c>
      <c r="F4" s="93">
        <v>459</v>
      </c>
      <c r="G4" s="93">
        <v>89</v>
      </c>
      <c r="H4" s="93">
        <v>748</v>
      </c>
      <c r="I4" s="93">
        <v>0</v>
      </c>
      <c r="J4" s="122">
        <v>1532</v>
      </c>
    </row>
    <row r="5" spans="1:10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3803</v>
      </c>
      <c r="F5" s="93">
        <v>138</v>
      </c>
      <c r="G5" s="93">
        <v>37</v>
      </c>
      <c r="H5" s="93">
        <v>500</v>
      </c>
      <c r="I5" s="93">
        <v>0</v>
      </c>
      <c r="J5" s="122">
        <v>3128</v>
      </c>
    </row>
    <row r="6" spans="1:10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0">SUM(F6:J6)</f>
        <v>9050</v>
      </c>
      <c r="F6" s="93">
        <v>84</v>
      </c>
      <c r="G6" s="93">
        <v>14</v>
      </c>
      <c r="H6" s="93">
        <v>558</v>
      </c>
      <c r="I6" s="93">
        <v>0</v>
      </c>
      <c r="J6" s="122">
        <v>8394</v>
      </c>
    </row>
    <row r="7" spans="1:10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279</v>
      </c>
      <c r="F7" s="93">
        <v>203</v>
      </c>
      <c r="G7" s="93">
        <v>46</v>
      </c>
      <c r="H7" s="93">
        <v>598</v>
      </c>
      <c r="I7" s="93">
        <v>3</v>
      </c>
      <c r="J7" s="122">
        <v>-571</v>
      </c>
    </row>
    <row r="8" spans="1:10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187</v>
      </c>
      <c r="F8" s="93">
        <v>58</v>
      </c>
      <c r="G8" s="93">
        <v>15</v>
      </c>
      <c r="H8" s="93">
        <v>114</v>
      </c>
      <c r="I8" s="93">
        <v>0</v>
      </c>
      <c r="J8" s="122">
        <v>0</v>
      </c>
    </row>
    <row r="9" spans="1:10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9515</v>
      </c>
      <c r="F9" s="93">
        <v>312</v>
      </c>
      <c r="G9" s="93">
        <v>73</v>
      </c>
      <c r="H9" s="93">
        <v>448</v>
      </c>
      <c r="I9" s="93">
        <v>0</v>
      </c>
      <c r="J9" s="122">
        <v>8682</v>
      </c>
    </row>
    <row r="10" spans="1:10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7980</v>
      </c>
      <c r="F10" s="93">
        <v>236</v>
      </c>
      <c r="G10" s="93">
        <v>42</v>
      </c>
      <c r="H10" s="93">
        <v>544</v>
      </c>
      <c r="I10" s="93">
        <v>0</v>
      </c>
      <c r="J10" s="122">
        <v>7158</v>
      </c>
    </row>
    <row r="11" spans="1:10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1">SUM(F11:J11)</f>
        <v>881</v>
      </c>
      <c r="F11" s="93">
        <v>134</v>
      </c>
      <c r="G11" s="93">
        <v>23</v>
      </c>
      <c r="H11" s="93">
        <v>217</v>
      </c>
      <c r="I11" s="93">
        <v>0</v>
      </c>
      <c r="J11" s="122">
        <v>507</v>
      </c>
    </row>
    <row r="12" spans="1:10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1"/>
        <v>6050</v>
      </c>
      <c r="F12" s="93">
        <v>171</v>
      </c>
      <c r="G12" s="93">
        <v>46</v>
      </c>
      <c r="H12" s="93">
        <v>339</v>
      </c>
      <c r="I12" s="93">
        <v>1</v>
      </c>
      <c r="J12" s="122">
        <v>5493</v>
      </c>
    </row>
    <row r="13" spans="1:10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1"/>
        <v>2916</v>
      </c>
      <c r="F13" s="93">
        <v>275</v>
      </c>
      <c r="G13" s="93">
        <v>97</v>
      </c>
      <c r="H13" s="93">
        <v>685</v>
      </c>
      <c r="I13" s="93">
        <v>1</v>
      </c>
      <c r="J13" s="122">
        <v>1858</v>
      </c>
    </row>
    <row r="14" spans="1:10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1"/>
        <v>2054</v>
      </c>
      <c r="F14" s="93">
        <v>62</v>
      </c>
      <c r="G14" s="93">
        <v>19</v>
      </c>
      <c r="H14" s="93">
        <v>247</v>
      </c>
      <c r="I14" s="93">
        <v>2</v>
      </c>
      <c r="J14" s="122">
        <v>1724</v>
      </c>
    </row>
    <row r="15" spans="1:10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1"/>
        <v>4183</v>
      </c>
      <c r="F15" s="93">
        <v>54</v>
      </c>
      <c r="G15" s="93">
        <v>16</v>
      </c>
      <c r="H15" s="93">
        <v>359</v>
      </c>
      <c r="I15" s="93">
        <v>0</v>
      </c>
      <c r="J15" s="122">
        <v>3754</v>
      </c>
    </row>
    <row r="16" spans="1:10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1"/>
        <v>2361</v>
      </c>
      <c r="F16" s="93">
        <v>180</v>
      </c>
      <c r="G16" s="93">
        <v>37</v>
      </c>
      <c r="H16" s="93">
        <v>558</v>
      </c>
      <c r="I16" s="93">
        <v>2</v>
      </c>
      <c r="J16" s="122">
        <v>1584</v>
      </c>
    </row>
    <row r="17" spans="1:10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1"/>
        <v>1615</v>
      </c>
      <c r="F17" s="93">
        <v>39</v>
      </c>
      <c r="G17" s="93">
        <v>13</v>
      </c>
      <c r="H17" s="93">
        <v>59</v>
      </c>
      <c r="I17" s="93">
        <v>1</v>
      </c>
      <c r="J17" s="122">
        <v>1503</v>
      </c>
    </row>
    <row r="18" spans="1:10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1"/>
        <v>1408</v>
      </c>
      <c r="F18" s="93">
        <v>64</v>
      </c>
      <c r="G18" s="93">
        <v>15</v>
      </c>
      <c r="H18" s="93">
        <v>323</v>
      </c>
      <c r="I18" s="93">
        <v>2</v>
      </c>
      <c r="J18" s="122">
        <v>1004</v>
      </c>
    </row>
    <row r="19" spans="1:10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1"/>
        <v>1</v>
      </c>
      <c r="F19" s="93">
        <v>0</v>
      </c>
      <c r="G19" s="93">
        <v>0</v>
      </c>
      <c r="H19" s="93">
        <v>0</v>
      </c>
      <c r="I19" s="93">
        <v>1</v>
      </c>
      <c r="J19" s="122">
        <v>0</v>
      </c>
    </row>
    <row r="20" spans="1:10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1"/>
        <v>287</v>
      </c>
      <c r="F20" s="93">
        <v>10</v>
      </c>
      <c r="G20" s="93" t="s">
        <v>100</v>
      </c>
      <c r="H20" s="93">
        <v>125</v>
      </c>
      <c r="I20" s="93">
        <v>1</v>
      </c>
      <c r="J20" s="122">
        <v>151</v>
      </c>
    </row>
    <row r="21" spans="1:10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1"/>
        <v>278</v>
      </c>
      <c r="F21" s="93">
        <v>6</v>
      </c>
      <c r="G21" s="93">
        <v>3</v>
      </c>
      <c r="H21" s="93">
        <v>111</v>
      </c>
      <c r="I21" s="93">
        <v>1</v>
      </c>
      <c r="J21" s="122">
        <v>157</v>
      </c>
    </row>
    <row r="22" spans="1:10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1"/>
        <v>288</v>
      </c>
      <c r="F22" s="93">
        <v>6</v>
      </c>
      <c r="G22" s="93" t="s">
        <v>100</v>
      </c>
      <c r="H22" s="93">
        <v>124</v>
      </c>
      <c r="I22" s="93">
        <v>1</v>
      </c>
      <c r="J22" s="122">
        <v>157</v>
      </c>
    </row>
    <row r="23" spans="1:10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1"/>
        <v>1</v>
      </c>
      <c r="F23" s="93">
        <v>0</v>
      </c>
      <c r="G23" s="93">
        <v>0</v>
      </c>
      <c r="H23" s="93">
        <v>0</v>
      </c>
      <c r="I23" s="93">
        <v>1</v>
      </c>
      <c r="J23" s="122">
        <v>0</v>
      </c>
    </row>
    <row r="24" spans="1:10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1"/>
        <v>1</v>
      </c>
      <c r="F24" s="93">
        <v>0</v>
      </c>
      <c r="G24" s="93">
        <v>0</v>
      </c>
      <c r="H24" s="93">
        <v>0</v>
      </c>
      <c r="I24" s="93">
        <v>1</v>
      </c>
      <c r="J24" s="122">
        <v>0</v>
      </c>
    </row>
    <row r="25" spans="1:10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1"/>
        <v>1</v>
      </c>
      <c r="F25" s="93">
        <v>0</v>
      </c>
      <c r="G25" s="93">
        <v>0</v>
      </c>
      <c r="H25" s="93">
        <v>0</v>
      </c>
      <c r="I25" s="93">
        <v>1</v>
      </c>
      <c r="J25" s="122">
        <v>0</v>
      </c>
    </row>
    <row r="26" spans="1:10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1"/>
        <v>768</v>
      </c>
      <c r="F26" s="93">
        <v>17</v>
      </c>
      <c r="G26" s="93">
        <v>11</v>
      </c>
      <c r="H26" s="93">
        <v>352</v>
      </c>
      <c r="I26" s="93">
        <v>376</v>
      </c>
      <c r="J26" s="122">
        <v>12</v>
      </c>
    </row>
    <row r="27" spans="1:10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1"/>
        <v>704</v>
      </c>
      <c r="F27" s="93">
        <v>3</v>
      </c>
      <c r="G27" s="93">
        <v>2</v>
      </c>
      <c r="H27" s="93">
        <v>1</v>
      </c>
      <c r="I27" s="93">
        <v>320</v>
      </c>
      <c r="J27" s="122">
        <v>378</v>
      </c>
    </row>
    <row r="28" spans="1:10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2">SUM(F28:J28)</f>
        <v>816</v>
      </c>
      <c r="F28" s="93">
        <v>151</v>
      </c>
      <c r="G28" s="93">
        <v>47</v>
      </c>
      <c r="H28" s="93">
        <v>618</v>
      </c>
      <c r="I28" s="93">
        <v>0</v>
      </c>
      <c r="J28" s="122">
        <v>0</v>
      </c>
    </row>
    <row r="29" spans="1:10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122">
        <v>357</v>
      </c>
    </row>
    <row r="30" spans="1:10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122">
        <v>61</v>
      </c>
    </row>
    <row r="31" spans="1:10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122">
        <v>0</v>
      </c>
    </row>
    <row r="32" spans="1:10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122">
        <v>0</v>
      </c>
    </row>
    <row r="33" spans="1:10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261</v>
      </c>
      <c r="F33" s="93">
        <v>5</v>
      </c>
      <c r="G33" s="93">
        <v>2</v>
      </c>
      <c r="H33" s="93">
        <v>115</v>
      </c>
      <c r="I33" s="93">
        <v>20</v>
      </c>
      <c r="J33" s="122">
        <v>119</v>
      </c>
    </row>
    <row r="34" spans="1:10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122">
        <v>117</v>
      </c>
    </row>
    <row r="35" spans="1:10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122">
        <v>43</v>
      </c>
    </row>
    <row r="36" spans="1:10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"/>
        <v>40</v>
      </c>
      <c r="F36" s="93">
        <v>0</v>
      </c>
      <c r="G36" s="93">
        <v>0</v>
      </c>
      <c r="H36" s="93">
        <v>0</v>
      </c>
      <c r="I36" s="93">
        <v>0</v>
      </c>
      <c r="J36" s="122">
        <v>40</v>
      </c>
    </row>
    <row r="37" spans="1:10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122">
        <v>26</v>
      </c>
    </row>
    <row r="38" spans="1:10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"/>
        <v>44</v>
      </c>
      <c r="F38" s="93" t="s">
        <v>100</v>
      </c>
      <c r="G38" s="93">
        <v>1</v>
      </c>
      <c r="H38" s="93">
        <v>42</v>
      </c>
      <c r="I38" s="93">
        <v>0</v>
      </c>
      <c r="J38" s="122">
        <v>1</v>
      </c>
    </row>
    <row r="39" spans="1:10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"/>
        <v>11</v>
      </c>
      <c r="F39" s="93" t="s">
        <v>100</v>
      </c>
      <c r="G39" s="93">
        <v>5</v>
      </c>
      <c r="H39" s="93">
        <v>5</v>
      </c>
      <c r="I39" s="93">
        <v>0</v>
      </c>
      <c r="J39" s="122">
        <v>1</v>
      </c>
    </row>
    <row r="40" spans="1:10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"/>
        <v>31</v>
      </c>
      <c r="F40" s="93">
        <v>2</v>
      </c>
      <c r="G40" s="93">
        <v>1</v>
      </c>
      <c r="H40" s="93">
        <v>27</v>
      </c>
      <c r="I40" s="93">
        <v>0</v>
      </c>
      <c r="J40" s="122">
        <v>1</v>
      </c>
    </row>
    <row r="41" spans="1:10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"/>
        <v>43</v>
      </c>
      <c r="F41" s="93">
        <v>1</v>
      </c>
      <c r="G41" s="93" t="s">
        <v>100</v>
      </c>
      <c r="H41" s="93">
        <v>41</v>
      </c>
      <c r="I41" s="93">
        <v>0</v>
      </c>
      <c r="J41" s="122">
        <v>1</v>
      </c>
    </row>
    <row r="42" spans="1:10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"/>
        <v>30</v>
      </c>
      <c r="F42" s="93">
        <v>2</v>
      </c>
      <c r="G42" s="93">
        <v>3</v>
      </c>
      <c r="H42" s="93">
        <v>24</v>
      </c>
      <c r="I42" s="93">
        <v>0</v>
      </c>
      <c r="J42" s="122">
        <v>1</v>
      </c>
    </row>
    <row r="43" spans="1:10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"/>
        <v>7</v>
      </c>
      <c r="F43" s="93">
        <v>3</v>
      </c>
      <c r="G43" s="93">
        <v>3</v>
      </c>
      <c r="H43" s="93" t="s">
        <v>100</v>
      </c>
      <c r="I43" s="93">
        <v>0</v>
      </c>
      <c r="J43" s="122">
        <v>1</v>
      </c>
    </row>
    <row r="44" spans="1:10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"/>
        <v>288</v>
      </c>
      <c r="F44" s="93">
        <v>49</v>
      </c>
      <c r="G44" s="93">
        <v>16</v>
      </c>
      <c r="H44" s="93">
        <v>106</v>
      </c>
      <c r="I44" s="93">
        <v>0</v>
      </c>
      <c r="J44" s="122">
        <v>117</v>
      </c>
    </row>
    <row r="45" spans="1:10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"/>
        <v>196</v>
      </c>
      <c r="F45" s="93">
        <v>55</v>
      </c>
      <c r="G45" s="93">
        <v>17</v>
      </c>
      <c r="H45" s="93">
        <v>113</v>
      </c>
      <c r="I45" s="93">
        <v>0</v>
      </c>
      <c r="J45" s="122">
        <v>11</v>
      </c>
    </row>
    <row r="46" spans="1:10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"/>
        <v>1</v>
      </c>
      <c r="F46" s="93">
        <v>0</v>
      </c>
      <c r="G46" s="93">
        <v>0</v>
      </c>
      <c r="H46" s="93">
        <v>0</v>
      </c>
      <c r="I46" s="93">
        <v>0</v>
      </c>
      <c r="J46" s="122">
        <v>1</v>
      </c>
    </row>
    <row r="47" spans="1:10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"/>
        <v>66</v>
      </c>
      <c r="F47" s="93">
        <v>11</v>
      </c>
      <c r="G47" s="93">
        <v>1</v>
      </c>
      <c r="H47" s="93">
        <v>34</v>
      </c>
      <c r="I47" s="93">
        <v>0</v>
      </c>
      <c r="J47" s="122">
        <v>20</v>
      </c>
    </row>
    <row r="48" spans="1:10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"/>
        <v>293</v>
      </c>
      <c r="F48" s="93">
        <v>73</v>
      </c>
      <c r="G48" s="93">
        <v>29</v>
      </c>
      <c r="H48" s="93">
        <v>180</v>
      </c>
      <c r="I48" s="93">
        <v>0</v>
      </c>
      <c r="J48" s="122">
        <v>11</v>
      </c>
    </row>
    <row r="49" spans="1:10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"/>
        <v>345</v>
      </c>
      <c r="F49" s="93">
        <v>87</v>
      </c>
      <c r="G49" s="93">
        <v>27</v>
      </c>
      <c r="H49" s="93">
        <v>99</v>
      </c>
      <c r="I49" s="93">
        <v>0</v>
      </c>
      <c r="J49" s="122">
        <v>132</v>
      </c>
    </row>
    <row r="50" spans="1:10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"/>
        <v>579</v>
      </c>
      <c r="F50" s="93">
        <v>55</v>
      </c>
      <c r="G50" s="93">
        <v>11</v>
      </c>
      <c r="H50" s="93">
        <v>57</v>
      </c>
      <c r="I50" s="93">
        <v>0</v>
      </c>
      <c r="J50" s="122">
        <v>456</v>
      </c>
    </row>
    <row r="51" spans="1:10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"/>
        <v>166</v>
      </c>
      <c r="F51" s="93">
        <v>1</v>
      </c>
      <c r="G51" s="93" t="s">
        <v>100</v>
      </c>
      <c r="H51" s="93" t="s">
        <v>100</v>
      </c>
      <c r="I51" s="93">
        <v>0</v>
      </c>
      <c r="J51" s="122">
        <v>165</v>
      </c>
    </row>
    <row r="52" spans="1:10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"/>
        <v>30</v>
      </c>
      <c r="F52" s="93">
        <v>7</v>
      </c>
      <c r="G52" s="93">
        <v>3</v>
      </c>
      <c r="H52" s="93">
        <v>19</v>
      </c>
      <c r="I52" s="93">
        <v>0</v>
      </c>
      <c r="J52" s="122">
        <v>1</v>
      </c>
    </row>
    <row r="53" spans="1:10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"/>
        <v>38</v>
      </c>
      <c r="F53" s="93">
        <v>7</v>
      </c>
      <c r="G53" s="93">
        <v>4</v>
      </c>
      <c r="H53" s="93">
        <v>26</v>
      </c>
      <c r="I53" s="93">
        <v>0</v>
      </c>
      <c r="J53" s="122">
        <v>1</v>
      </c>
    </row>
    <row r="54" spans="1:10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5">SUM(F54:J54)</f>
        <v>26</v>
      </c>
      <c r="F54" s="93">
        <v>2</v>
      </c>
      <c r="G54" s="93">
        <v>7</v>
      </c>
      <c r="H54" s="93">
        <v>16</v>
      </c>
      <c r="I54" s="93">
        <v>0</v>
      </c>
      <c r="J54" s="122">
        <v>1</v>
      </c>
    </row>
    <row r="55" spans="1:10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5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122">
        <v>1</v>
      </c>
    </row>
    <row r="56" spans="1:10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5"/>
        <v>0</v>
      </c>
      <c r="F56" s="93">
        <v>0</v>
      </c>
      <c r="G56" s="93">
        <v>0</v>
      </c>
      <c r="H56" s="93">
        <v>0</v>
      </c>
      <c r="I56" s="93">
        <v>0</v>
      </c>
      <c r="J56" s="122">
        <v>0</v>
      </c>
    </row>
    <row r="57" spans="1:10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5"/>
        <v>41</v>
      </c>
      <c r="F57" s="93">
        <v>0</v>
      </c>
      <c r="G57" s="93">
        <v>0</v>
      </c>
      <c r="H57" s="93">
        <v>0</v>
      </c>
      <c r="I57" s="93">
        <v>0</v>
      </c>
      <c r="J57" s="122">
        <v>41</v>
      </c>
    </row>
    <row r="58" spans="1:10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5"/>
        <v>24</v>
      </c>
      <c r="F58" s="93">
        <v>3</v>
      </c>
      <c r="G58" s="93">
        <v>3</v>
      </c>
      <c r="H58" s="93">
        <v>17</v>
      </c>
      <c r="I58" s="93">
        <v>0</v>
      </c>
      <c r="J58" s="122">
        <v>1</v>
      </c>
    </row>
    <row r="59" spans="1:10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5"/>
        <v>35</v>
      </c>
      <c r="F59" s="93">
        <v>0</v>
      </c>
      <c r="G59" s="93">
        <v>0</v>
      </c>
      <c r="H59" s="93">
        <v>0</v>
      </c>
      <c r="I59" s="93">
        <v>0</v>
      </c>
      <c r="J59" s="122">
        <v>35</v>
      </c>
    </row>
    <row r="60" spans="1:10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5"/>
        <v>63</v>
      </c>
      <c r="F60" s="93">
        <v>1</v>
      </c>
      <c r="G60" s="93">
        <v>1</v>
      </c>
      <c r="H60" s="93">
        <v>20</v>
      </c>
      <c r="I60" s="93">
        <v>0</v>
      </c>
      <c r="J60" s="122">
        <v>41</v>
      </c>
    </row>
    <row r="61" spans="1:10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5"/>
        <v>479</v>
      </c>
      <c r="F61" s="93">
        <v>3</v>
      </c>
      <c r="G61" s="93" t="s">
        <v>100</v>
      </c>
      <c r="H61" s="93">
        <v>155</v>
      </c>
      <c r="I61" s="93">
        <v>0</v>
      </c>
      <c r="J61" s="122">
        <v>321</v>
      </c>
    </row>
    <row r="62" spans="1:10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5"/>
        <v>92</v>
      </c>
      <c r="F62" s="93">
        <v>0</v>
      </c>
      <c r="G62" s="93">
        <v>0</v>
      </c>
      <c r="H62" s="93">
        <v>0</v>
      </c>
      <c r="I62" s="93">
        <v>0</v>
      </c>
      <c r="J62" s="122">
        <v>92</v>
      </c>
    </row>
    <row r="63" spans="1:10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5"/>
        <v>3</v>
      </c>
      <c r="F63" s="93">
        <v>0</v>
      </c>
      <c r="G63" s="93">
        <v>0</v>
      </c>
      <c r="H63" s="93">
        <v>0</v>
      </c>
      <c r="I63" s="93">
        <v>0</v>
      </c>
      <c r="J63" s="122">
        <v>3</v>
      </c>
    </row>
    <row r="64" spans="1:10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5"/>
        <v>43</v>
      </c>
      <c r="F64" s="93">
        <v>0</v>
      </c>
      <c r="G64" s="93">
        <v>0</v>
      </c>
      <c r="H64" s="93">
        <v>0</v>
      </c>
      <c r="I64" s="93">
        <v>0</v>
      </c>
      <c r="J64" s="122">
        <v>43</v>
      </c>
    </row>
    <row r="65" spans="1:10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5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122">
        <v>94</v>
      </c>
    </row>
    <row r="66" spans="1:10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5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122">
        <v>93</v>
      </c>
    </row>
    <row r="67" spans="1:10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5"/>
        <v>1</v>
      </c>
      <c r="F67" s="93">
        <v>0</v>
      </c>
      <c r="G67" s="93">
        <v>0</v>
      </c>
      <c r="H67" s="93">
        <v>0</v>
      </c>
      <c r="I67" s="93">
        <v>0</v>
      </c>
      <c r="J67" s="122">
        <v>1</v>
      </c>
    </row>
    <row r="68" spans="1:10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5"/>
        <v>1</v>
      </c>
      <c r="F68" s="93">
        <v>0</v>
      </c>
      <c r="G68" s="93">
        <v>0</v>
      </c>
      <c r="H68" s="93">
        <v>0</v>
      </c>
      <c r="I68" s="93">
        <v>0</v>
      </c>
      <c r="J68" s="122">
        <v>1</v>
      </c>
    </row>
    <row r="69" spans="1:10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5"/>
        <v>8</v>
      </c>
      <c r="F69" s="93">
        <v>5</v>
      </c>
      <c r="G69" s="93" t="s">
        <v>100</v>
      </c>
      <c r="H69" s="93">
        <v>2</v>
      </c>
      <c r="I69" s="93">
        <v>0</v>
      </c>
      <c r="J69" s="122">
        <v>1</v>
      </c>
    </row>
    <row r="70" spans="1:10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5"/>
        <v>1</v>
      </c>
      <c r="F70" s="93">
        <v>0</v>
      </c>
      <c r="G70" s="93">
        <v>0</v>
      </c>
      <c r="H70" s="93">
        <v>0</v>
      </c>
      <c r="I70" s="93">
        <v>0</v>
      </c>
      <c r="J70" s="122">
        <v>1</v>
      </c>
    </row>
    <row r="71" spans="1:10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5"/>
        <v>27</v>
      </c>
      <c r="F71" s="93" t="s">
        <v>100</v>
      </c>
      <c r="G71" s="93">
        <v>1</v>
      </c>
      <c r="H71" s="93">
        <v>2</v>
      </c>
      <c r="I71" s="93">
        <v>0</v>
      </c>
      <c r="J71" s="122">
        <v>24</v>
      </c>
    </row>
    <row r="72" spans="1:10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5"/>
        <v>1</v>
      </c>
      <c r="F72" s="93">
        <v>0</v>
      </c>
      <c r="G72" s="93">
        <v>0</v>
      </c>
      <c r="H72" s="93">
        <v>0</v>
      </c>
      <c r="I72" s="93">
        <v>0</v>
      </c>
      <c r="J72" s="122">
        <v>1</v>
      </c>
    </row>
    <row r="73" spans="1:10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5"/>
        <v>4</v>
      </c>
      <c r="F73" s="93">
        <v>1</v>
      </c>
      <c r="G73" s="93">
        <v>1</v>
      </c>
      <c r="H73" s="93">
        <v>1</v>
      </c>
      <c r="I73" s="93">
        <v>0</v>
      </c>
      <c r="J73" s="122">
        <v>1</v>
      </c>
    </row>
    <row r="74" spans="1:10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122">
        <v>1</v>
      </c>
    </row>
    <row r="75" spans="1:10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5"/>
        <v>17</v>
      </c>
      <c r="F75" s="93">
        <v>7</v>
      </c>
      <c r="G75" s="93">
        <v>3</v>
      </c>
      <c r="H75" s="93">
        <v>6</v>
      </c>
      <c r="I75" s="93">
        <v>0</v>
      </c>
      <c r="J75" s="122">
        <v>1</v>
      </c>
    </row>
    <row r="76" spans="1:10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5"/>
        <v>39</v>
      </c>
      <c r="F76" s="93">
        <v>4</v>
      </c>
      <c r="G76" s="93">
        <v>7</v>
      </c>
      <c r="H76" s="93">
        <v>27</v>
      </c>
      <c r="I76" s="93">
        <v>0</v>
      </c>
      <c r="J76" s="122">
        <v>1</v>
      </c>
    </row>
    <row r="77" spans="1:10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5"/>
        <v>32</v>
      </c>
      <c r="F77" s="93">
        <v>6</v>
      </c>
      <c r="G77" s="93">
        <v>4</v>
      </c>
      <c r="H77" s="93">
        <v>18</v>
      </c>
      <c r="I77" s="93">
        <v>0</v>
      </c>
      <c r="J77" s="122">
        <v>4</v>
      </c>
    </row>
    <row r="78" spans="1:10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5"/>
        <v>19</v>
      </c>
      <c r="F78" s="93">
        <v>2</v>
      </c>
      <c r="G78" s="93">
        <v>4</v>
      </c>
      <c r="H78" s="93">
        <v>12</v>
      </c>
      <c r="I78" s="93">
        <v>0</v>
      </c>
      <c r="J78" s="122">
        <v>1</v>
      </c>
    </row>
    <row r="79" spans="1:10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5"/>
        <v>44</v>
      </c>
      <c r="F79" s="93">
        <v>5</v>
      </c>
      <c r="G79" s="93">
        <v>8</v>
      </c>
      <c r="H79" s="93">
        <v>30</v>
      </c>
      <c r="I79" s="93">
        <v>0</v>
      </c>
      <c r="J79" s="122">
        <v>1</v>
      </c>
    </row>
    <row r="80" spans="1:10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5"/>
        <v>28</v>
      </c>
      <c r="F80" s="93">
        <v>5</v>
      </c>
      <c r="G80" s="93">
        <v>1</v>
      </c>
      <c r="H80" s="93">
        <v>21</v>
      </c>
      <c r="I80" s="93">
        <v>0</v>
      </c>
      <c r="J80" s="122">
        <v>1</v>
      </c>
    </row>
    <row r="81" spans="1:10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5"/>
        <v>14</v>
      </c>
      <c r="F81" s="93">
        <v>1</v>
      </c>
      <c r="G81" s="93">
        <v>1</v>
      </c>
      <c r="H81" s="93">
        <v>11</v>
      </c>
      <c r="I81" s="93">
        <v>0</v>
      </c>
      <c r="J81" s="122">
        <v>1</v>
      </c>
    </row>
    <row r="82" spans="1:10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5"/>
        <v>44</v>
      </c>
      <c r="F82" s="93" t="s">
        <v>100</v>
      </c>
      <c r="G82" s="93" t="s">
        <v>100</v>
      </c>
      <c r="H82" s="93">
        <v>43</v>
      </c>
      <c r="I82" s="93">
        <v>0</v>
      </c>
      <c r="J82" s="122">
        <v>1</v>
      </c>
    </row>
    <row r="83" spans="1:10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5"/>
        <v>44</v>
      </c>
      <c r="F83" s="93">
        <v>1</v>
      </c>
      <c r="G83" s="93" t="s">
        <v>100</v>
      </c>
      <c r="H83" s="93">
        <v>42</v>
      </c>
      <c r="I83" s="93">
        <v>0</v>
      </c>
      <c r="J83" s="122">
        <v>1</v>
      </c>
    </row>
    <row r="84" spans="1:10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5"/>
        <v>42</v>
      </c>
      <c r="F84" s="93">
        <v>9</v>
      </c>
      <c r="G84" s="93">
        <v>5</v>
      </c>
      <c r="H84" s="93">
        <v>27</v>
      </c>
      <c r="I84" s="93">
        <v>0</v>
      </c>
      <c r="J84" s="122">
        <v>1</v>
      </c>
    </row>
    <row r="85" spans="1:10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5"/>
        <v>36</v>
      </c>
      <c r="F85" s="93">
        <v>2</v>
      </c>
      <c r="G85" s="93">
        <v>2</v>
      </c>
      <c r="H85" s="93">
        <v>31</v>
      </c>
      <c r="I85" s="93">
        <v>0</v>
      </c>
      <c r="J85" s="122">
        <v>1</v>
      </c>
    </row>
    <row r="86" spans="1:10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5"/>
        <v>43</v>
      </c>
      <c r="F86" s="93">
        <v>1</v>
      </c>
      <c r="G86" s="93">
        <v>4</v>
      </c>
      <c r="H86" s="93">
        <v>37</v>
      </c>
      <c r="I86" s="93">
        <v>0</v>
      </c>
      <c r="J86" s="122">
        <v>1</v>
      </c>
    </row>
    <row r="87" spans="1:10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5"/>
        <v>14</v>
      </c>
      <c r="F87" s="93">
        <v>8</v>
      </c>
      <c r="G87" s="93">
        <v>2</v>
      </c>
      <c r="H87" s="93">
        <v>3</v>
      </c>
      <c r="I87" s="93">
        <v>0</v>
      </c>
      <c r="J87" s="122">
        <v>1</v>
      </c>
    </row>
    <row r="88" spans="1:10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5"/>
        <v>3</v>
      </c>
      <c r="F88" s="93" t="s">
        <v>100</v>
      </c>
      <c r="G88" s="93">
        <v>1</v>
      </c>
      <c r="H88" s="93">
        <v>1</v>
      </c>
      <c r="I88" s="93">
        <v>0</v>
      </c>
      <c r="J88" s="122">
        <v>1</v>
      </c>
    </row>
    <row r="89" spans="1:10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5"/>
        <v>14</v>
      </c>
      <c r="F89" s="93">
        <v>4</v>
      </c>
      <c r="G89" s="93">
        <v>1</v>
      </c>
      <c r="H89" s="93">
        <v>8</v>
      </c>
      <c r="I89" s="93">
        <v>0</v>
      </c>
      <c r="J89" s="122">
        <v>1</v>
      </c>
    </row>
    <row r="90" spans="1:10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5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122">
        <v>1</v>
      </c>
    </row>
    <row r="91" spans="1:10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5"/>
        <v>34</v>
      </c>
      <c r="F91" s="93">
        <v>7</v>
      </c>
      <c r="G91" s="93">
        <v>4</v>
      </c>
      <c r="H91" s="93">
        <v>17</v>
      </c>
      <c r="I91" s="93">
        <v>0</v>
      </c>
      <c r="J91" s="122">
        <v>6</v>
      </c>
    </row>
    <row r="92" spans="1:10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5"/>
        <v>49</v>
      </c>
      <c r="F92" s="93">
        <v>8</v>
      </c>
      <c r="G92" s="93" t="s">
        <v>100</v>
      </c>
      <c r="H92" s="93">
        <v>40</v>
      </c>
      <c r="I92" s="93">
        <v>0</v>
      </c>
      <c r="J92" s="122">
        <v>1</v>
      </c>
    </row>
    <row r="93" spans="1:10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5"/>
        <v>40</v>
      </c>
      <c r="F93" s="93" t="s">
        <v>100</v>
      </c>
      <c r="G93" s="93" t="s">
        <v>100</v>
      </c>
      <c r="H93" s="93">
        <v>39</v>
      </c>
      <c r="I93" s="93">
        <v>0</v>
      </c>
      <c r="J93" s="122">
        <v>1</v>
      </c>
    </row>
    <row r="94" spans="1:10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5"/>
        <v>0</v>
      </c>
      <c r="F94" s="93">
        <v>0</v>
      </c>
      <c r="G94" s="93">
        <v>0</v>
      </c>
      <c r="H94" s="93">
        <v>0</v>
      </c>
      <c r="I94" s="93">
        <v>0</v>
      </c>
      <c r="J94" s="122">
        <v>0</v>
      </c>
    </row>
    <row r="95" spans="1:10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5"/>
        <v>0</v>
      </c>
      <c r="F95" s="93">
        <v>0</v>
      </c>
      <c r="G95" s="93">
        <v>0</v>
      </c>
      <c r="H95" s="93">
        <v>0</v>
      </c>
      <c r="I95" s="93">
        <v>0</v>
      </c>
      <c r="J95" s="122">
        <v>0</v>
      </c>
    </row>
    <row r="96" spans="1:10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5"/>
        <v>0</v>
      </c>
      <c r="F96" s="93">
        <v>0</v>
      </c>
      <c r="G96" s="93">
        <v>0</v>
      </c>
      <c r="H96" s="93">
        <v>0</v>
      </c>
      <c r="I96" s="93">
        <v>0</v>
      </c>
      <c r="J96" s="122">
        <v>0</v>
      </c>
    </row>
    <row r="97" spans="1:10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5"/>
        <v>2</v>
      </c>
      <c r="F97" s="93" t="s">
        <v>100</v>
      </c>
      <c r="G97" s="93" t="s">
        <v>100</v>
      </c>
      <c r="H97" s="93">
        <v>2</v>
      </c>
      <c r="I97" s="93">
        <v>0</v>
      </c>
      <c r="J97" s="122">
        <v>0</v>
      </c>
    </row>
    <row r="98" spans="1:10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5"/>
        <v>11</v>
      </c>
      <c r="F98" s="93">
        <v>2</v>
      </c>
      <c r="G98" s="93" t="s">
        <v>100</v>
      </c>
      <c r="H98" s="93">
        <v>9</v>
      </c>
      <c r="I98" s="93">
        <v>0</v>
      </c>
      <c r="J98" s="122">
        <v>0</v>
      </c>
    </row>
    <row r="99" spans="1:10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5"/>
        <v>0</v>
      </c>
      <c r="F99" s="93">
        <v>0</v>
      </c>
      <c r="G99" s="93">
        <v>0</v>
      </c>
      <c r="H99" s="93">
        <v>0</v>
      </c>
      <c r="I99" s="93">
        <v>0</v>
      </c>
      <c r="J99" s="122">
        <v>0</v>
      </c>
    </row>
    <row r="100" spans="1:10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5"/>
        <v>37</v>
      </c>
      <c r="F100" s="93">
        <v>2</v>
      </c>
      <c r="G100" s="93">
        <v>2</v>
      </c>
      <c r="H100" s="93">
        <v>33</v>
      </c>
      <c r="I100" s="93">
        <v>0</v>
      </c>
      <c r="J100" s="122">
        <v>0</v>
      </c>
    </row>
    <row r="101" spans="1:10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5"/>
        <v>0</v>
      </c>
      <c r="F101" s="93">
        <v>0</v>
      </c>
      <c r="G101" s="93">
        <v>0</v>
      </c>
      <c r="H101" s="93">
        <v>0</v>
      </c>
      <c r="I101" s="93">
        <v>0</v>
      </c>
      <c r="J101" s="122">
        <v>0</v>
      </c>
    </row>
    <row r="102" spans="1:10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5"/>
        <v>135</v>
      </c>
      <c r="F102" s="93">
        <v>24</v>
      </c>
      <c r="G102" s="93">
        <v>8</v>
      </c>
      <c r="H102" s="93">
        <v>103</v>
      </c>
      <c r="I102" s="93">
        <v>0</v>
      </c>
      <c r="J102" s="122">
        <v>0</v>
      </c>
    </row>
    <row r="103" spans="1:10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5"/>
        <v>0</v>
      </c>
      <c r="F103" s="93">
        <v>0</v>
      </c>
      <c r="G103" s="93">
        <v>0</v>
      </c>
      <c r="H103" s="93">
        <v>0</v>
      </c>
      <c r="I103" s="93">
        <v>0</v>
      </c>
      <c r="J103" s="122">
        <v>0</v>
      </c>
    </row>
    <row r="104" spans="1:10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7"/>
    </row>
    <row r="105" spans="1:10" s="120" customFormat="1">
      <c r="A105" s="114" t="s">
        <v>85</v>
      </c>
      <c r="B105" s="115"/>
      <c r="C105" s="116"/>
      <c r="D105" s="116"/>
      <c r="E105" s="238">
        <f t="shared" ref="E105:J105" si="6">SUM(E3:E103)</f>
        <v>66753</v>
      </c>
      <c r="F105" s="116">
        <f t="shared" si="6"/>
        <v>3328</v>
      </c>
      <c r="G105" s="116">
        <f t="shared" si="6"/>
        <v>892</v>
      </c>
      <c r="H105" s="116">
        <f t="shared" si="6"/>
        <v>9875</v>
      </c>
      <c r="I105" s="116">
        <f t="shared" si="6"/>
        <v>1461</v>
      </c>
      <c r="J105" s="421">
        <f t="shared" si="6"/>
        <v>51197</v>
      </c>
    </row>
    <row r="106" spans="1:10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122"/>
    </row>
    <row r="107" spans="1:10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122"/>
    </row>
    <row r="108" spans="1:10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122"/>
    </row>
    <row r="109" spans="1:10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122"/>
    </row>
    <row r="110" spans="1:10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122"/>
    </row>
    <row r="111" spans="1:10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122"/>
    </row>
    <row r="112" spans="1:10" hidden="1" outlineLevel="1">
      <c r="A112" s="89"/>
      <c r="B112" s="100"/>
      <c r="C112" s="100"/>
      <c r="D112" s="100"/>
      <c r="E112" s="100"/>
      <c r="H112" s="270"/>
    </row>
    <row r="113" spans="1:10" s="120" customFormat="1" hidden="1" outlineLevel="1">
      <c r="A113" s="247" t="s">
        <v>226</v>
      </c>
      <c r="B113" s="248"/>
      <c r="C113" s="249"/>
      <c r="D113" s="249"/>
      <c r="E113" s="250">
        <f t="shared" ref="E113:J113" si="7">SUM(E107:E111)</f>
        <v>0</v>
      </c>
      <c r="F113" s="249">
        <f t="shared" si="7"/>
        <v>0</v>
      </c>
      <c r="G113" s="249">
        <f t="shared" si="7"/>
        <v>0</v>
      </c>
      <c r="H113" s="249">
        <f t="shared" si="7"/>
        <v>0</v>
      </c>
      <c r="I113" s="249">
        <f t="shared" si="7"/>
        <v>0</v>
      </c>
      <c r="J113" s="423">
        <f t="shared" si="7"/>
        <v>0</v>
      </c>
    </row>
    <row r="114" spans="1:10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424"/>
    </row>
    <row r="115" spans="1:10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122"/>
    </row>
    <row r="116" spans="1:10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122"/>
    </row>
    <row r="117" spans="1:10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122"/>
    </row>
    <row r="118" spans="1:10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122"/>
    </row>
    <row r="119" spans="1:10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122"/>
    </row>
    <row r="120" spans="1:10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122"/>
    </row>
    <row r="121" spans="1:10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122"/>
    </row>
    <row r="122" spans="1:10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122"/>
    </row>
    <row r="123" spans="1:10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122"/>
    </row>
    <row r="124" spans="1:10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8">SUM(E115:E122)</f>
        <v>0</v>
      </c>
      <c r="F124" s="134">
        <f t="shared" si="8"/>
        <v>0</v>
      </c>
      <c r="G124" s="134">
        <f t="shared" si="8"/>
        <v>0</v>
      </c>
      <c r="H124" s="134">
        <f t="shared" si="8"/>
        <v>0</v>
      </c>
      <c r="I124" s="134">
        <f t="shared" si="8"/>
        <v>0</v>
      </c>
      <c r="J124" s="136">
        <f t="shared" si="8"/>
        <v>0</v>
      </c>
    </row>
    <row r="125" spans="1:10" s="143" customFormat="1" collapsed="1">
      <c r="A125" s="140"/>
      <c r="B125" s="141"/>
      <c r="C125" s="140"/>
      <c r="D125" s="142"/>
      <c r="E125" s="266"/>
      <c r="H125" s="144"/>
      <c r="J125" s="425"/>
    </row>
    <row r="126" spans="1:10" s="158" customFormat="1">
      <c r="A126" s="153" t="s">
        <v>6</v>
      </c>
      <c r="B126" s="154"/>
      <c r="C126" s="155"/>
      <c r="D126" s="155"/>
      <c r="E126" s="267">
        <f t="shared" ref="E126:J126" si="9">E105+E113+E124</f>
        <v>66753</v>
      </c>
      <c r="F126" s="267">
        <f t="shared" si="9"/>
        <v>3328</v>
      </c>
      <c r="G126" s="267">
        <f t="shared" si="9"/>
        <v>892</v>
      </c>
      <c r="H126" s="267">
        <f t="shared" si="9"/>
        <v>9875</v>
      </c>
      <c r="I126" s="267">
        <f t="shared" si="9"/>
        <v>1461</v>
      </c>
      <c r="J126" s="426">
        <f t="shared" si="9"/>
        <v>51197</v>
      </c>
    </row>
    <row r="127" spans="1:10" s="143" customFormat="1">
      <c r="A127" s="142"/>
      <c r="B127" s="141"/>
      <c r="C127" s="159"/>
      <c r="D127" s="142"/>
      <c r="E127" s="266"/>
      <c r="J127" s="425"/>
    </row>
    <row r="128" spans="1:10">
      <c r="C128" s="162"/>
      <c r="D128" s="162"/>
    </row>
    <row r="129" spans="3:4">
      <c r="C129" s="162"/>
      <c r="D129" s="162"/>
    </row>
  </sheetData>
  <mergeCells count="2">
    <mergeCell ref="F1:H1"/>
    <mergeCell ref="I1:J1"/>
  </mergeCells>
  <pageMargins left="0.7" right="0.7" top="0.75" bottom="0.75" header="0.3" footer="0.3"/>
  <pageSetup paperSize="9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0352-506E-402D-844E-74031B2801A9}">
  <dimension ref="A1:AZ129"/>
  <sheetViews>
    <sheetView zoomScale="70" zoomScaleNormal="70" workbookViewId="0">
      <pane xSplit="3" ySplit="2" topLeftCell="D105" activePane="bottomRight" state="frozen"/>
      <selection pane="topRight" activeCell="D1" sqref="D1"/>
      <selection pane="bottomLeft" activeCell="A3" sqref="A3"/>
      <selection pane="bottomRight" activeCell="C137" sqref="C13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308</v>
      </c>
      <c r="B1" s="73"/>
      <c r="C1" s="72"/>
      <c r="D1" s="72"/>
      <c r="E1" s="222"/>
      <c r="F1" s="539" t="s">
        <v>42</v>
      </c>
      <c r="G1" s="539"/>
      <c r="H1" s="539"/>
      <c r="I1" s="540" t="s">
        <v>115</v>
      </c>
      <c r="J1" s="541"/>
      <c r="M1" s="389" t="s">
        <v>43</v>
      </c>
      <c r="N1" s="539" t="s">
        <v>116</v>
      </c>
      <c r="O1" s="539"/>
      <c r="P1" s="539"/>
      <c r="R1" s="224"/>
      <c r="S1" s="542"/>
      <c r="T1" s="542"/>
      <c r="U1" s="224"/>
      <c r="V1" s="543"/>
      <c r="W1" s="544"/>
      <c r="X1" s="224"/>
      <c r="Y1" s="542"/>
      <c r="Z1" s="542"/>
      <c r="AA1" s="224"/>
      <c r="AB1" s="224"/>
      <c r="AC1" s="224"/>
      <c r="AD1" s="224"/>
      <c r="AE1" s="225"/>
      <c r="AF1" s="224"/>
      <c r="AG1" s="225"/>
      <c r="AH1" s="535"/>
      <c r="AI1" s="535"/>
      <c r="AJ1" s="283" t="s">
        <v>248</v>
      </c>
      <c r="AK1" s="388"/>
      <c r="AL1" s="390" t="s">
        <v>44</v>
      </c>
      <c r="AM1" s="225"/>
      <c r="AQ1" s="536" t="s">
        <v>45</v>
      </c>
      <c r="AR1" s="537"/>
      <c r="AS1" s="537"/>
      <c r="AT1" s="537"/>
      <c r="AU1" s="537"/>
      <c r="AV1" s="537"/>
      <c r="AW1" s="537"/>
      <c r="AX1" s="538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309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3395</v>
      </c>
      <c r="F3" s="93">
        <v>209</v>
      </c>
      <c r="G3" s="93">
        <v>46</v>
      </c>
      <c r="H3" s="93">
        <v>389</v>
      </c>
      <c r="I3" s="93">
        <v>1</v>
      </c>
      <c r="J3" s="93">
        <v>2750</v>
      </c>
      <c r="K3" s="92">
        <v>142.97999999999999</v>
      </c>
      <c r="L3" s="92">
        <f t="shared" ref="L3" si="0">E3*K3</f>
        <v>485417.1</v>
      </c>
      <c r="M3" s="89">
        <v>17</v>
      </c>
      <c r="N3" s="89">
        <v>293</v>
      </c>
      <c r="O3" s="89">
        <v>1585</v>
      </c>
      <c r="P3" s="89">
        <v>65</v>
      </c>
      <c r="Q3" s="233">
        <f>N3/7</f>
        <v>41.857142857142854</v>
      </c>
      <c r="R3" s="92">
        <f>U3/7</f>
        <v>24.714285714285715</v>
      </c>
      <c r="S3" s="93">
        <v>173</v>
      </c>
      <c r="T3" s="93">
        <v>0</v>
      </c>
      <c r="U3" s="92">
        <f t="shared" ref="U3" si="1">S3+T3</f>
        <v>173</v>
      </c>
      <c r="V3" s="93">
        <v>178228.21</v>
      </c>
      <c r="W3" s="93">
        <v>0</v>
      </c>
      <c r="X3" s="92">
        <f t="shared" ref="X3" si="2">V3+W3</f>
        <v>178228.21</v>
      </c>
      <c r="Y3" s="93">
        <v>271025.81000000011</v>
      </c>
      <c r="Z3" s="93">
        <v>0</v>
      </c>
      <c r="AA3" s="92">
        <f>Y3+Z3</f>
        <v>271025.81000000011</v>
      </c>
      <c r="AB3" s="92">
        <f>N3*O3*P3/100</f>
        <v>301863.25</v>
      </c>
      <c r="AC3" s="234">
        <f t="shared" ref="AC3" si="3">AA3/$AA$126</f>
        <v>6.1085222220883244E-2</v>
      </c>
      <c r="AD3" s="92">
        <f t="shared" ref="AD3" si="4">U3*K3</f>
        <v>24735.539999999997</v>
      </c>
      <c r="AE3" s="93">
        <v>101652.85000000006</v>
      </c>
      <c r="AF3" s="234">
        <f t="shared" ref="AF3" si="5">IF(AA3=0,0,AE3/AA3)</f>
        <v>0.37506704619755593</v>
      </c>
      <c r="AG3" s="93">
        <v>18914.690000000006</v>
      </c>
      <c r="AH3" s="93"/>
      <c r="AI3" s="93">
        <v>32984</v>
      </c>
      <c r="AJ3" s="93"/>
      <c r="AK3" s="93"/>
      <c r="AL3" s="122">
        <f t="shared" ref="AL3:AL66" si="6">IFERROR($AL$126*H3/$H$126,0)</f>
        <v>375.83960384833057</v>
      </c>
      <c r="AM3" s="93">
        <v>0</v>
      </c>
      <c r="AN3" s="94">
        <f>X3*5.71%</f>
        <v>10176.830790999998</v>
      </c>
      <c r="AO3" s="95">
        <f>AA3-AD3-AE3-AG3-AH3-AI3-AK3-AL3-AN3-AM3</f>
        <v>82186.059605151706</v>
      </c>
      <c r="AP3" s="96"/>
      <c r="AQ3" s="97">
        <f t="shared" ref="AQ3:AQ97" si="7">IF(U3=0,0,AA3/U3)</f>
        <v>1566.6231791907521</v>
      </c>
      <c r="AR3" s="98">
        <f t="shared" ref="AR3:AR19" si="8">K3</f>
        <v>142.97999999999999</v>
      </c>
      <c r="AS3" s="98">
        <f t="shared" ref="AS3:AS97" si="9">IF(U3=0,0,AE3/U3)</f>
        <v>587.5887283236998</v>
      </c>
      <c r="AT3" s="98">
        <f t="shared" ref="AT3:AT97" si="10">IF(S3=0,AG3/1,AG3/S3)</f>
        <v>109.33346820809253</v>
      </c>
      <c r="AU3" s="98">
        <f>IF(S3=0,0,(AH3+AI3+AJ3)/S3)</f>
        <v>190.65895953757226</v>
      </c>
      <c r="AV3" s="98">
        <f>_xlfn.IFS(U3=0,AO3,U3&lt;0,AO3/-U3,U3&gt;0,AO3/U3)</f>
        <v>475.06392835347805</v>
      </c>
      <c r="AW3" s="234">
        <f t="shared" ref="AW3" si="11">IF(AQ3=0,0,AV3/AQ3)</f>
        <v>0.30324071203828029</v>
      </c>
      <c r="AX3" s="234">
        <f t="shared" ref="AX3" si="12">IF(AR3=0,0,AV3/AR3)</f>
        <v>3.3225900710132752</v>
      </c>
      <c r="AY3" s="99"/>
      <c r="AZ3" s="94">
        <f t="shared" ref="AZ3:AZ97" si="13">AV3*E3</f>
        <v>1612842.036760058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5829</v>
      </c>
      <c r="F4" s="93">
        <v>487</v>
      </c>
      <c r="G4" s="93">
        <v>143</v>
      </c>
      <c r="H4" s="93">
        <v>640</v>
      </c>
      <c r="I4" s="93">
        <v>0</v>
      </c>
      <c r="J4" s="93">
        <v>4559</v>
      </c>
      <c r="K4" s="92">
        <v>123.09</v>
      </c>
      <c r="L4" s="92">
        <f>E4*K4</f>
        <v>717491.61</v>
      </c>
      <c r="M4" s="89">
        <v>9</v>
      </c>
      <c r="N4" s="89">
        <v>773</v>
      </c>
      <c r="O4" s="89">
        <v>1596</v>
      </c>
      <c r="P4" s="89">
        <v>59</v>
      </c>
      <c r="Q4" s="233">
        <f t="shared" ref="Q4:Q67" si="14">N4/7</f>
        <v>110.42857142857143</v>
      </c>
      <c r="R4" s="92">
        <f t="shared" ref="R4:R67" si="15">U4/7</f>
        <v>63.857142857142854</v>
      </c>
      <c r="S4" s="93">
        <v>457</v>
      </c>
      <c r="T4" s="93">
        <v>-10</v>
      </c>
      <c r="U4" s="92">
        <f t="shared" ref="U4:U67" si="16">S4+T4</f>
        <v>447</v>
      </c>
      <c r="V4" s="93">
        <v>478552.75999999989</v>
      </c>
      <c r="W4" s="93">
        <v>-10471</v>
      </c>
      <c r="X4" s="92">
        <f t="shared" ref="X4:X67" si="17">V4+W4</f>
        <v>468081.75999999989</v>
      </c>
      <c r="Y4" s="93">
        <v>727108.60999999952</v>
      </c>
      <c r="Z4" s="93">
        <v>-15864</v>
      </c>
      <c r="AA4" s="92">
        <f t="shared" ref="AA4:AA67" si="18">Y4+Z4</f>
        <v>711244.60999999952</v>
      </c>
      <c r="AB4" s="92">
        <f t="shared" ref="AB4:AB67" si="19">N4*O4*P4/100</f>
        <v>727887.72</v>
      </c>
      <c r="AC4" s="234">
        <f t="shared" ref="AC4:AC67" si="20">AA4/$AA$126</f>
        <v>0.16030405021298669</v>
      </c>
      <c r="AD4" s="92">
        <f t="shared" ref="AD4:AD67" si="21">U4*K4</f>
        <v>55021.23</v>
      </c>
      <c r="AE4" s="93">
        <v>268197.11999999866</v>
      </c>
      <c r="AF4" s="234">
        <f t="shared" ref="AF4:AF67" si="22">IF(AA4=0,0,AE4/AA4)</f>
        <v>0.37708140944646151</v>
      </c>
      <c r="AG4" s="93">
        <v>56773.510000000075</v>
      </c>
      <c r="AH4" s="93"/>
      <c r="AI4" s="93">
        <v>39637</v>
      </c>
      <c r="AJ4" s="93"/>
      <c r="AK4" s="93"/>
      <c r="AL4" s="122">
        <f t="shared" si="6"/>
        <v>618.34793435200902</v>
      </c>
      <c r="AM4" s="93">
        <v>50</v>
      </c>
      <c r="AN4" s="94">
        <f t="shared" ref="AN4:AN67" si="23">X4*5.71%</f>
        <v>26727.468495999994</v>
      </c>
      <c r="AO4" s="95">
        <f>AA4-AD4-AE4-AG4-AH4-AI4-AK4-AL4-AN4-AM4</f>
        <v>264219.93356964883</v>
      </c>
      <c r="AP4" s="96"/>
      <c r="AQ4" s="97">
        <f t="shared" si="7"/>
        <v>1591.1512527964196</v>
      </c>
      <c r="AR4" s="98">
        <f t="shared" si="8"/>
        <v>123.09</v>
      </c>
      <c r="AS4" s="98">
        <f t="shared" si="9"/>
        <v>599.99355704697689</v>
      </c>
      <c r="AT4" s="98">
        <f t="shared" si="10"/>
        <v>124.23087527352314</v>
      </c>
      <c r="AU4" s="98">
        <f t="shared" ref="AU4:AU70" si="24">IF(S4=0,0,(AH4+AI4+AJ4)/S4)</f>
        <v>86.733041575492337</v>
      </c>
      <c r="AV4" s="98">
        <f t="array" ref="AV4">_xlfn.IFS(U4=0,AO4,U4&lt;0,AO4/-U4,U4&gt;0,AO4/U4)</f>
        <v>591.09604825424799</v>
      </c>
      <c r="AW4" s="234">
        <f>IF(AQ4=0,0,AV4/AQ4)</f>
        <v>0.3714895408060091</v>
      </c>
      <c r="AX4" s="234">
        <f>IF(AR4=0,0,AV4/AR4)</f>
        <v>4.8021451641420745</v>
      </c>
      <c r="AY4" s="99"/>
      <c r="AZ4" s="94">
        <f t="shared" si="13"/>
        <v>3445498.8652740116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5109</v>
      </c>
      <c r="F5" s="93">
        <v>152</v>
      </c>
      <c r="G5" s="93">
        <v>50</v>
      </c>
      <c r="H5" s="93">
        <v>479</v>
      </c>
      <c r="I5" s="93">
        <v>0</v>
      </c>
      <c r="J5" s="93">
        <v>4428</v>
      </c>
      <c r="K5" s="92">
        <v>123.09</v>
      </c>
      <c r="L5" s="92">
        <f>E5*K5</f>
        <v>628866.81000000006</v>
      </c>
      <c r="M5" s="89">
        <v>15</v>
      </c>
      <c r="N5" s="89">
        <v>255</v>
      </c>
      <c r="O5" s="89">
        <v>1500</v>
      </c>
      <c r="P5" s="89">
        <v>70</v>
      </c>
      <c r="Q5" s="233">
        <f t="shared" si="14"/>
        <v>36.428571428571431</v>
      </c>
      <c r="R5" s="92">
        <f t="shared" si="15"/>
        <v>24</v>
      </c>
      <c r="S5" s="93">
        <v>171</v>
      </c>
      <c r="T5" s="93">
        <v>-3</v>
      </c>
      <c r="U5" s="92">
        <f t="shared" si="16"/>
        <v>168</v>
      </c>
      <c r="V5" s="93">
        <v>167048.73000000001</v>
      </c>
      <c r="W5" s="93">
        <v>-2940</v>
      </c>
      <c r="X5" s="92">
        <f t="shared" si="17"/>
        <v>164108.73000000001</v>
      </c>
      <c r="Y5" s="93">
        <v>253649.42999999996</v>
      </c>
      <c r="Z5" s="93">
        <v>-4500</v>
      </c>
      <c r="AA5" s="92">
        <f t="shared" si="18"/>
        <v>249149.42999999996</v>
      </c>
      <c r="AB5" s="92">
        <f t="shared" si="19"/>
        <v>267750</v>
      </c>
      <c r="AC5" s="234">
        <f t="shared" si="20"/>
        <v>5.6154608661648814E-2</v>
      </c>
      <c r="AD5" s="92">
        <f t="shared" si="21"/>
        <v>20679.12</v>
      </c>
      <c r="AE5" s="93">
        <v>93603.039999999979</v>
      </c>
      <c r="AF5" s="234">
        <f t="shared" si="22"/>
        <v>0.3756903638109868</v>
      </c>
      <c r="AG5" s="93">
        <v>16439.03999999999</v>
      </c>
      <c r="AH5" s="93"/>
      <c r="AI5" s="93">
        <v>32849</v>
      </c>
      <c r="AJ5" s="93"/>
      <c r="AK5" s="93"/>
      <c r="AL5" s="122">
        <f t="shared" si="6"/>
        <v>462.79478211658181</v>
      </c>
      <c r="AM5" s="93">
        <v>0</v>
      </c>
      <c r="AN5" s="94">
        <f t="shared" si="23"/>
        <v>9370.608483</v>
      </c>
      <c r="AO5" s="95">
        <f t="shared" ref="AO5:AO68" si="25">AA5-AD5-AE5-AG5-AH5-AI5-AK5-AL5-AN5-AM5</f>
        <v>75745.826734883405</v>
      </c>
      <c r="AP5" s="96"/>
      <c r="AQ5" s="97">
        <f t="shared" si="7"/>
        <v>1483.0323214285713</v>
      </c>
      <c r="AR5" s="98">
        <f t="shared" si="8"/>
        <v>123.09</v>
      </c>
      <c r="AS5" s="98">
        <f t="shared" si="9"/>
        <v>557.16095238095227</v>
      </c>
      <c r="AT5" s="98">
        <f t="shared" si="10"/>
        <v>96.134736842105198</v>
      </c>
      <c r="AU5" s="98">
        <f t="shared" si="24"/>
        <v>192.09941520467837</v>
      </c>
      <c r="AV5" s="98">
        <f t="array" ref="AV5">_xlfn.IFS(U5=0,AO5,U5&lt;0,AO5/-U5,U5&gt;0,AO5/U5)</f>
        <v>450.86801627906789</v>
      </c>
      <c r="AW5" s="234">
        <f>IF(AQ5=0,0,AV5/AQ5)</f>
        <v>0.30401766014428938</v>
      </c>
      <c r="AX5" s="234">
        <f>IF(AR5=0,0,AV5/AR5)</f>
        <v>3.6629134477136067</v>
      </c>
      <c r="AY5" s="99"/>
      <c r="AZ5" s="94">
        <f t="shared" si="13"/>
        <v>2303484.6951697581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10426</v>
      </c>
      <c r="F6" s="93">
        <v>86</v>
      </c>
      <c r="G6" s="93">
        <v>17</v>
      </c>
      <c r="H6" s="93">
        <v>539</v>
      </c>
      <c r="I6" s="93">
        <v>0</v>
      </c>
      <c r="J6" s="93">
        <v>9784</v>
      </c>
      <c r="K6" s="92">
        <v>123.09</v>
      </c>
      <c r="L6" s="92">
        <f t="shared" ref="L6" si="27">E6*K6</f>
        <v>1283336.3400000001</v>
      </c>
      <c r="M6" s="89">
        <v>23</v>
      </c>
      <c r="N6" s="89">
        <v>113</v>
      </c>
      <c r="O6" s="89">
        <v>1434</v>
      </c>
      <c r="P6" s="89">
        <v>55</v>
      </c>
      <c r="Q6" s="233">
        <f t="shared" si="14"/>
        <v>16.142857142857142</v>
      </c>
      <c r="R6" s="92">
        <f t="shared" si="15"/>
        <v>10.857142857142858</v>
      </c>
      <c r="S6" s="93">
        <v>78</v>
      </c>
      <c r="T6" s="93">
        <v>-2</v>
      </c>
      <c r="U6" s="92">
        <f t="shared" si="16"/>
        <v>76</v>
      </c>
      <c r="V6" s="93">
        <v>72626.599999999991</v>
      </c>
      <c r="W6" s="93">
        <v>-1832</v>
      </c>
      <c r="X6" s="92">
        <f t="shared" si="17"/>
        <v>70794.599999999991</v>
      </c>
      <c r="Y6" s="93">
        <v>110812.1</v>
      </c>
      <c r="Z6" s="93">
        <v>-2665.38</v>
      </c>
      <c r="AA6" s="92">
        <f t="shared" si="18"/>
        <v>108146.72</v>
      </c>
      <c r="AB6" s="92">
        <f t="shared" si="19"/>
        <v>89123.1</v>
      </c>
      <c r="AC6" s="234">
        <f t="shared" si="20"/>
        <v>2.4374676432697077E-2</v>
      </c>
      <c r="AD6" s="92">
        <f t="shared" si="21"/>
        <v>9354.84</v>
      </c>
      <c r="AE6" s="93">
        <v>40728.899999999987</v>
      </c>
      <c r="AF6" s="234">
        <f t="shared" si="22"/>
        <v>0.37660781575252572</v>
      </c>
      <c r="AG6" s="93">
        <v>9567.5099999999911</v>
      </c>
      <c r="AH6" s="93">
        <v>488</v>
      </c>
      <c r="AI6" s="93">
        <v>8410</v>
      </c>
      <c r="AJ6" s="93"/>
      <c r="AK6" s="93"/>
      <c r="AL6" s="122">
        <f t="shared" si="6"/>
        <v>520.76490096208272</v>
      </c>
      <c r="AM6" s="93">
        <v>0</v>
      </c>
      <c r="AN6" s="94">
        <f t="shared" si="23"/>
        <v>4042.3716599999993</v>
      </c>
      <c r="AO6" s="95">
        <f t="shared" si="25"/>
        <v>35034.333439037953</v>
      </c>
      <c r="AP6" s="96"/>
      <c r="AQ6" s="97">
        <f t="shared" si="7"/>
        <v>1422.9831578947369</v>
      </c>
      <c r="AR6" s="98">
        <f t="shared" si="8"/>
        <v>123.09</v>
      </c>
      <c r="AS6" s="98">
        <f t="shared" si="9"/>
        <v>535.9065789473683</v>
      </c>
      <c r="AT6" s="98">
        <f t="shared" si="10"/>
        <v>122.6603846153845</v>
      </c>
      <c r="AU6" s="98">
        <f t="shared" si="24"/>
        <v>114.07692307692308</v>
      </c>
      <c r="AV6" s="98">
        <f t="array" ref="AV6">_xlfn.IFS(U6=0,AO6,U6&lt;0,AO6/-U6,U6&gt;0,AO6/U6)</f>
        <v>460.97807156628886</v>
      </c>
      <c r="AW6" s="234">
        <f t="shared" ref="AW6" si="28">IF(AQ6=0,0,AV6/AQ6)</f>
        <v>0.32395188165704841</v>
      </c>
      <c r="AX6" s="234">
        <f t="shared" ref="AX6" si="29">IF(AR6=0,0,AV6/AR6)</f>
        <v>3.7450489200283439</v>
      </c>
      <c r="AY6" s="99"/>
      <c r="AZ6" s="94">
        <f t="shared" si="13"/>
        <v>4806157.3741501281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1893</v>
      </c>
      <c r="F7" s="93">
        <v>198</v>
      </c>
      <c r="G7" s="93">
        <v>63</v>
      </c>
      <c r="H7" s="93">
        <v>573</v>
      </c>
      <c r="I7" s="93">
        <v>3</v>
      </c>
      <c r="J7" s="93">
        <v>1056</v>
      </c>
      <c r="K7" s="92">
        <v>117.24</v>
      </c>
      <c r="L7" s="92">
        <f>E7*K7</f>
        <v>221935.31999999998</v>
      </c>
      <c r="M7" s="89">
        <v>24</v>
      </c>
      <c r="N7" s="89">
        <v>327</v>
      </c>
      <c r="O7" s="89">
        <v>1473</v>
      </c>
      <c r="P7" s="89">
        <v>58</v>
      </c>
      <c r="Q7" s="233">
        <f t="shared" si="14"/>
        <v>46.714285714285715</v>
      </c>
      <c r="R7" s="92">
        <f t="shared" si="15"/>
        <v>27.285714285714285</v>
      </c>
      <c r="S7" s="93">
        <v>197</v>
      </c>
      <c r="T7" s="93">
        <v>-6</v>
      </c>
      <c r="U7" s="92">
        <f t="shared" si="16"/>
        <v>191</v>
      </c>
      <c r="V7" s="93">
        <v>190299.64</v>
      </c>
      <c r="W7" s="93">
        <v>-5761</v>
      </c>
      <c r="X7" s="92">
        <f t="shared" si="17"/>
        <v>184538.64</v>
      </c>
      <c r="Y7" s="93">
        <v>288563.11999999976</v>
      </c>
      <c r="Z7" s="93">
        <v>-8838</v>
      </c>
      <c r="AA7" s="92">
        <f t="shared" si="18"/>
        <v>279725.11999999976</v>
      </c>
      <c r="AB7" s="92">
        <f t="shared" si="19"/>
        <v>279369.18</v>
      </c>
      <c r="AC7" s="234">
        <f t="shared" si="20"/>
        <v>6.3045918453165803E-2</v>
      </c>
      <c r="AD7" s="92">
        <f t="shared" si="21"/>
        <v>22392.84</v>
      </c>
      <c r="AE7" s="93">
        <v>105459.81999999951</v>
      </c>
      <c r="AF7" s="234">
        <f t="shared" si="22"/>
        <v>0.37701233267859391</v>
      </c>
      <c r="AG7" s="93">
        <v>23752.700000000004</v>
      </c>
      <c r="AH7" s="93"/>
      <c r="AI7" s="93">
        <v>39781</v>
      </c>
      <c r="AJ7" s="93"/>
      <c r="AK7" s="93"/>
      <c r="AL7" s="122">
        <f t="shared" si="6"/>
        <v>553.61463497453303</v>
      </c>
      <c r="AM7" s="93">
        <v>0</v>
      </c>
      <c r="AN7" s="94">
        <f t="shared" si="23"/>
        <v>10537.156344000001</v>
      </c>
      <c r="AO7" s="95">
        <f t="shared" si="25"/>
        <v>77247.9890210257</v>
      </c>
      <c r="AP7" s="96"/>
      <c r="AQ7" s="97">
        <f t="shared" si="7"/>
        <v>1464.5294240837684</v>
      </c>
      <c r="AR7" s="98">
        <f t="shared" si="8"/>
        <v>117.24</v>
      </c>
      <c r="AS7" s="98">
        <f t="shared" si="9"/>
        <v>552.14565445025926</v>
      </c>
      <c r="AT7" s="98">
        <f t="shared" si="10"/>
        <v>120.57208121827414</v>
      </c>
      <c r="AU7" s="98">
        <f t="shared" si="24"/>
        <v>201.93401015228426</v>
      </c>
      <c r="AV7" s="98">
        <f t="array" ref="AV7">_xlfn.IFS(U7=0,AO7,U7&lt;0,AO7/-U7,U7&gt;0,AO7/U7)</f>
        <v>404.43973309437541</v>
      </c>
      <c r="AW7" s="234">
        <f>IF(AQ7=0,0,AV7/AQ7)</f>
        <v>0.2761567821332091</v>
      </c>
      <c r="AX7" s="234">
        <f>IF(AR7=0,0,AV7/AR7)</f>
        <v>3.4496736019649901</v>
      </c>
      <c r="AY7" s="99"/>
      <c r="AZ7" s="94">
        <f t="shared" si="13"/>
        <v>765604.41474765271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197</v>
      </c>
      <c r="F8" s="93">
        <v>55</v>
      </c>
      <c r="G8" s="93">
        <v>25</v>
      </c>
      <c r="H8" s="93">
        <v>117</v>
      </c>
      <c r="I8" s="93">
        <v>0</v>
      </c>
      <c r="J8" s="93">
        <v>0</v>
      </c>
      <c r="K8" s="92">
        <v>169.89</v>
      </c>
      <c r="L8" s="92">
        <f>E8*K8</f>
        <v>33468.329999999994</v>
      </c>
      <c r="M8" s="89">
        <v>37</v>
      </c>
      <c r="N8" s="89">
        <v>70</v>
      </c>
      <c r="O8" s="89">
        <v>1464</v>
      </c>
      <c r="P8" s="89">
        <v>43</v>
      </c>
      <c r="Q8" s="233">
        <f t="shared" si="14"/>
        <v>10</v>
      </c>
      <c r="R8" s="92">
        <f t="shared" si="15"/>
        <v>5.4285714285714288</v>
      </c>
      <c r="S8" s="93">
        <v>39</v>
      </c>
      <c r="T8" s="93">
        <v>-1</v>
      </c>
      <c r="U8" s="92">
        <f t="shared" si="16"/>
        <v>38</v>
      </c>
      <c r="V8" s="93">
        <v>37244.26</v>
      </c>
      <c r="W8" s="93">
        <v>-1078.2</v>
      </c>
      <c r="X8" s="92">
        <f t="shared" si="17"/>
        <v>36166.060000000005</v>
      </c>
      <c r="Y8" s="93">
        <v>57096.12</v>
      </c>
      <c r="Z8" s="93">
        <v>-1464</v>
      </c>
      <c r="AA8" s="92">
        <f t="shared" si="18"/>
        <v>55632.12</v>
      </c>
      <c r="AB8" s="92">
        <f t="shared" si="19"/>
        <v>44066.400000000001</v>
      </c>
      <c r="AC8" s="234">
        <f t="shared" si="20"/>
        <v>1.2538659741737667E-2</v>
      </c>
      <c r="AD8" s="92">
        <f t="shared" si="21"/>
        <v>6455.82</v>
      </c>
      <c r="AE8" s="93">
        <v>20994.92</v>
      </c>
      <c r="AF8" s="234">
        <f t="shared" si="22"/>
        <v>0.37738845832227852</v>
      </c>
      <c r="AG8" s="93">
        <v>5434.0099999999975</v>
      </c>
      <c r="AH8" s="93">
        <v>574</v>
      </c>
      <c r="AI8" s="93">
        <v>2880</v>
      </c>
      <c r="AJ8" s="93"/>
      <c r="AK8" s="93"/>
      <c r="AL8" s="122">
        <f t="shared" si="6"/>
        <v>113.04173174872666</v>
      </c>
      <c r="AM8" s="93">
        <v>0</v>
      </c>
      <c r="AN8" s="94">
        <f t="shared" si="23"/>
        <v>2065.082026</v>
      </c>
      <c r="AO8" s="95">
        <f t="shared" si="25"/>
        <v>17115.24624225128</v>
      </c>
      <c r="AP8" s="96"/>
      <c r="AQ8" s="97">
        <f t="shared" si="7"/>
        <v>1464.0031578947369</v>
      </c>
      <c r="AR8" s="98">
        <f t="shared" si="8"/>
        <v>169.89</v>
      </c>
      <c r="AS8" s="98">
        <f t="shared" si="9"/>
        <v>552.49789473684211</v>
      </c>
      <c r="AT8" s="98">
        <f t="shared" si="10"/>
        <v>139.33358974358967</v>
      </c>
      <c r="AU8" s="98">
        <f t="shared" si="24"/>
        <v>88.564102564102569</v>
      </c>
      <c r="AV8" s="98">
        <f t="array" ref="AV8">_xlfn.IFS(U8=0,AO8,U8&lt;0,AO8/-U8,U8&gt;0,AO8/U8)</f>
        <v>450.40121690134947</v>
      </c>
      <c r="AW8" s="234">
        <f>IF(AQ8=0,0,AV8/AQ8)</f>
        <v>0.30765044082899012</v>
      </c>
      <c r="AX8" s="234">
        <f>IF(AR8=0,0,AV8/AR8)</f>
        <v>2.6511343628309465</v>
      </c>
      <c r="AY8" s="99"/>
      <c r="AZ8" s="94">
        <f t="shared" si="13"/>
        <v>88729.039729565848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9992</v>
      </c>
      <c r="F9" s="93">
        <v>329</v>
      </c>
      <c r="G9" s="93">
        <v>94</v>
      </c>
      <c r="H9" s="93">
        <v>322</v>
      </c>
      <c r="I9" s="93">
        <v>0</v>
      </c>
      <c r="J9" s="93">
        <v>9247</v>
      </c>
      <c r="K9" s="92">
        <v>123.09</v>
      </c>
      <c r="L9" s="92">
        <f>E9*K9</f>
        <v>1229915.28</v>
      </c>
      <c r="M9" s="89">
        <v>10</v>
      </c>
      <c r="N9" s="89">
        <v>523</v>
      </c>
      <c r="O9" s="89">
        <v>1685</v>
      </c>
      <c r="P9" s="89">
        <v>51</v>
      </c>
      <c r="Q9" s="233">
        <f t="shared" si="14"/>
        <v>74.714285714285708</v>
      </c>
      <c r="R9" s="92">
        <f t="shared" si="15"/>
        <v>36.142857142857146</v>
      </c>
      <c r="S9" s="93">
        <v>257</v>
      </c>
      <c r="T9" s="93">
        <v>-4</v>
      </c>
      <c r="U9" s="92">
        <f t="shared" si="16"/>
        <v>253</v>
      </c>
      <c r="V9" s="93">
        <v>285251.37000000023</v>
      </c>
      <c r="W9" s="93">
        <v>-4415</v>
      </c>
      <c r="X9" s="92">
        <f t="shared" si="17"/>
        <v>280836.37000000023</v>
      </c>
      <c r="Y9" s="93">
        <v>431011.33999999991</v>
      </c>
      <c r="Z9" s="93">
        <v>-6740</v>
      </c>
      <c r="AA9" s="92">
        <f t="shared" si="18"/>
        <v>424271.33999999991</v>
      </c>
      <c r="AB9" s="92">
        <f t="shared" si="19"/>
        <v>449440.05</v>
      </c>
      <c r="AC9" s="234">
        <f t="shared" si="20"/>
        <v>9.562450559912318E-2</v>
      </c>
      <c r="AD9" s="92">
        <f t="shared" si="21"/>
        <v>31141.77</v>
      </c>
      <c r="AE9" s="93">
        <v>159455.83999999997</v>
      </c>
      <c r="AF9" s="234">
        <f t="shared" si="22"/>
        <v>0.37583457793778857</v>
      </c>
      <c r="AG9" s="93">
        <v>36715.499999999985</v>
      </c>
      <c r="AH9" s="93">
        <v>165</v>
      </c>
      <c r="AI9" s="93">
        <v>55986</v>
      </c>
      <c r="AJ9" s="93"/>
      <c r="AK9" s="93"/>
      <c r="AL9" s="122">
        <f t="shared" si="6"/>
        <v>311.10630447085458</v>
      </c>
      <c r="AM9" s="93">
        <v>100</v>
      </c>
      <c r="AN9" s="94">
        <f t="shared" si="23"/>
        <v>16035.756727000013</v>
      </c>
      <c r="AO9" s="95">
        <f t="shared" si="25"/>
        <v>124360.36696852905</v>
      </c>
      <c r="AP9" s="96"/>
      <c r="AQ9" s="97">
        <f t="shared" si="7"/>
        <v>1676.9618181818178</v>
      </c>
      <c r="AR9" s="98">
        <f t="shared" si="8"/>
        <v>123.09</v>
      </c>
      <c r="AS9" s="98">
        <f t="shared" si="9"/>
        <v>630.2602371541501</v>
      </c>
      <c r="AT9" s="98">
        <f t="shared" si="10"/>
        <v>142.86186770428009</v>
      </c>
      <c r="AU9" s="98">
        <f t="shared" si="24"/>
        <v>218.48638132295719</v>
      </c>
      <c r="AV9" s="98">
        <f t="array" ref="AV9">_xlfn.IFS(U9=0,AO9,U9&lt;0,AO9/-U9,U9&gt;0,AO9/U9)</f>
        <v>491.54295244477885</v>
      </c>
      <c r="AW9" s="234">
        <f>IF(AQ9=0,0,AV9/AQ9)</f>
        <v>0.29311517240011797</v>
      </c>
      <c r="AX9" s="234">
        <f>IF(AR9=0,0,AV9/AR9)</f>
        <v>3.9933621938807282</v>
      </c>
      <c r="AY9" s="99"/>
      <c r="AZ9" s="94">
        <f t="shared" si="13"/>
        <v>4911497.1808282305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8738</v>
      </c>
      <c r="F10" s="93">
        <v>212</v>
      </c>
      <c r="G10" s="93">
        <v>68</v>
      </c>
      <c r="H10" s="93">
        <v>475</v>
      </c>
      <c r="I10" s="93">
        <v>0</v>
      </c>
      <c r="J10" s="93">
        <v>7983</v>
      </c>
      <c r="K10" s="92">
        <v>123.09</v>
      </c>
      <c r="L10" s="92">
        <f>E10*K10</f>
        <v>1075560.42</v>
      </c>
      <c r="M10" s="89">
        <v>20</v>
      </c>
      <c r="N10" s="89">
        <v>349</v>
      </c>
      <c r="O10" s="89">
        <v>1388</v>
      </c>
      <c r="P10" s="89">
        <v>53</v>
      </c>
      <c r="Q10" s="233">
        <f t="shared" si="14"/>
        <v>49.857142857142854</v>
      </c>
      <c r="R10" s="92">
        <f t="shared" si="15"/>
        <v>26.857142857142858</v>
      </c>
      <c r="S10" s="93">
        <v>192</v>
      </c>
      <c r="T10" s="93">
        <v>-4</v>
      </c>
      <c r="U10" s="92">
        <f t="shared" si="16"/>
        <v>188</v>
      </c>
      <c r="V10" s="93">
        <v>174069.23999999993</v>
      </c>
      <c r="W10" s="93">
        <v>-3604</v>
      </c>
      <c r="X10" s="92">
        <f t="shared" si="17"/>
        <v>170465.23999999993</v>
      </c>
      <c r="Y10" s="93">
        <v>265236.23</v>
      </c>
      <c r="Z10" s="93">
        <v>-5552</v>
      </c>
      <c r="AA10" s="92">
        <f t="shared" si="18"/>
        <v>259684.22999999998</v>
      </c>
      <c r="AB10" s="92">
        <f t="shared" si="19"/>
        <v>256738.36</v>
      </c>
      <c r="AC10" s="234">
        <f t="shared" si="20"/>
        <v>5.852899728187861E-2</v>
      </c>
      <c r="AD10" s="92">
        <f t="shared" si="21"/>
        <v>23140.920000000002</v>
      </c>
      <c r="AE10" s="93">
        <v>98159.090000000055</v>
      </c>
      <c r="AF10" s="234">
        <f t="shared" si="22"/>
        <v>0.37799403529432674</v>
      </c>
      <c r="AG10" s="93">
        <v>23412.929999999975</v>
      </c>
      <c r="AH10" s="93"/>
      <c r="AI10" s="93">
        <v>43768</v>
      </c>
      <c r="AJ10" s="93"/>
      <c r="AK10" s="93"/>
      <c r="AL10" s="122">
        <f t="shared" si="6"/>
        <v>458.93010752688173</v>
      </c>
      <c r="AM10" s="93">
        <v>30</v>
      </c>
      <c r="AN10" s="94">
        <f t="shared" si="23"/>
        <v>9733.565203999995</v>
      </c>
      <c r="AO10" s="95">
        <f t="shared" si="25"/>
        <v>60980.794688473048</v>
      </c>
      <c r="AP10" s="96"/>
      <c r="AQ10" s="97">
        <f t="shared" si="7"/>
        <v>1381.2990957446807</v>
      </c>
      <c r="AR10" s="98">
        <f t="shared" si="8"/>
        <v>123.09</v>
      </c>
      <c r="AS10" s="98">
        <f t="shared" si="9"/>
        <v>522.12281914893651</v>
      </c>
      <c r="AT10" s="98">
        <f t="shared" si="10"/>
        <v>121.94234374999986</v>
      </c>
      <c r="AU10" s="98">
        <f t="shared" si="24"/>
        <v>227.95833333333334</v>
      </c>
      <c r="AV10" s="98">
        <f t="array" ref="AV10">_xlfn.IFS(U10=0,AO10,U10&lt;0,AO10/-U10,U10&gt;0,AO10/U10)</f>
        <v>324.36592919400556</v>
      </c>
      <c r="AW10" s="234">
        <f>IF(AQ10=0,0,AV10/AQ10)</f>
        <v>0.23482671507805095</v>
      </c>
      <c r="AX10" s="234">
        <f>IF(AR10=0,0,AV10/AR10)</f>
        <v>2.6351931854253436</v>
      </c>
      <c r="AY10" s="99"/>
      <c r="AZ10" s="94">
        <f t="shared" si="13"/>
        <v>2834309.4892972205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1544</v>
      </c>
      <c r="F11" s="93">
        <v>105</v>
      </c>
      <c r="G11" s="93">
        <v>23</v>
      </c>
      <c r="H11" s="93">
        <v>190</v>
      </c>
      <c r="I11" s="93">
        <v>0</v>
      </c>
      <c r="J11" s="93">
        <v>1226</v>
      </c>
      <c r="K11" s="92">
        <v>123.09</v>
      </c>
      <c r="L11" s="92">
        <f t="shared" ref="L11" si="31">E11*K11</f>
        <v>190050.96</v>
      </c>
      <c r="M11" s="89">
        <v>13</v>
      </c>
      <c r="N11" s="89">
        <v>176</v>
      </c>
      <c r="O11" s="89">
        <v>1343</v>
      </c>
      <c r="P11" s="89">
        <v>69</v>
      </c>
      <c r="Q11" s="233">
        <f t="shared" si="14"/>
        <v>25.142857142857142</v>
      </c>
      <c r="R11" s="92">
        <f t="shared" si="15"/>
        <v>16</v>
      </c>
      <c r="S11" s="93">
        <v>116</v>
      </c>
      <c r="T11" s="93">
        <v>-4</v>
      </c>
      <c r="U11" s="92">
        <f t="shared" si="16"/>
        <v>112</v>
      </c>
      <c r="V11" s="93">
        <v>102912.29</v>
      </c>
      <c r="W11" s="93">
        <v>-3531</v>
      </c>
      <c r="X11" s="92">
        <f t="shared" si="17"/>
        <v>99381.29</v>
      </c>
      <c r="Y11" s="93">
        <v>155696.98000000001</v>
      </c>
      <c r="Z11" s="93">
        <v>-5372</v>
      </c>
      <c r="AA11" s="92">
        <f t="shared" si="18"/>
        <v>150324.98000000001</v>
      </c>
      <c r="AB11" s="92">
        <f t="shared" si="19"/>
        <v>163093.92000000001</v>
      </c>
      <c r="AC11" s="234">
        <f t="shared" si="20"/>
        <v>3.388103446180947E-2</v>
      </c>
      <c r="AD11" s="92">
        <f t="shared" si="21"/>
        <v>13786.08</v>
      </c>
      <c r="AE11" s="93">
        <v>56930.52999999997</v>
      </c>
      <c r="AF11" s="234">
        <f t="shared" si="22"/>
        <v>0.37871636503793293</v>
      </c>
      <c r="AG11" s="93">
        <v>11731.600000000002</v>
      </c>
      <c r="AH11" s="93">
        <v>959</v>
      </c>
      <c r="AI11" s="93">
        <v>9822</v>
      </c>
      <c r="AJ11" s="93"/>
      <c r="AK11" s="93"/>
      <c r="AL11" s="122">
        <f t="shared" si="6"/>
        <v>183.57204301075268</v>
      </c>
      <c r="AM11" s="93">
        <v>0</v>
      </c>
      <c r="AN11" s="94">
        <f t="shared" si="23"/>
        <v>5674.6716589999996</v>
      </c>
      <c r="AO11" s="95">
        <f t="shared" si="25"/>
        <v>51237.526297989294</v>
      </c>
      <c r="AP11" s="96"/>
      <c r="AQ11" s="97">
        <f t="shared" si="7"/>
        <v>1342.1873214285715</v>
      </c>
      <c r="AR11" s="98">
        <f t="shared" si="8"/>
        <v>123.09</v>
      </c>
      <c r="AS11" s="98">
        <f t="shared" si="9"/>
        <v>508.30830357142833</v>
      </c>
      <c r="AT11" s="98">
        <f t="shared" si="10"/>
        <v>101.13448275862071</v>
      </c>
      <c r="AU11" s="98">
        <f t="shared" si="24"/>
        <v>92.939655172413794</v>
      </c>
      <c r="AV11" s="98">
        <f t="array" ref="AV11">_xlfn.IFS(U11=0,AO11,U11&lt;0,AO11/-U11,U11&gt;0,AO11/U11)</f>
        <v>457.4779133749044</v>
      </c>
      <c r="AW11" s="234">
        <f t="shared" ref="AW11:AW28" si="32">IF(AQ11=0,0,AV11/AQ11)</f>
        <v>0.34084505647690283</v>
      </c>
      <c r="AX11" s="234">
        <f t="shared" ref="AX11:AX28" si="33">IF(AR11=0,0,AV11/AR11)</f>
        <v>3.7166131560232709</v>
      </c>
      <c r="AY11" s="99"/>
      <c r="AZ11" s="94">
        <f t="shared" si="13"/>
        <v>706345.89825085236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6446</v>
      </c>
      <c r="F12" s="93">
        <v>175</v>
      </c>
      <c r="G12" s="93">
        <v>54</v>
      </c>
      <c r="H12" s="93">
        <v>235</v>
      </c>
      <c r="I12" s="93">
        <v>1</v>
      </c>
      <c r="J12" s="93">
        <v>5981</v>
      </c>
      <c r="K12" s="92">
        <v>117.24</v>
      </c>
      <c r="L12" s="92">
        <f>E12*K12</f>
        <v>755729.03999999992</v>
      </c>
      <c r="M12" s="89">
        <v>13</v>
      </c>
      <c r="N12" s="89">
        <v>265</v>
      </c>
      <c r="O12" s="89">
        <v>1378</v>
      </c>
      <c r="P12" s="89">
        <v>55</v>
      </c>
      <c r="Q12" s="233">
        <f t="shared" si="14"/>
        <v>37.857142857142854</v>
      </c>
      <c r="R12" s="92">
        <f t="shared" si="15"/>
        <v>19.285714285714285</v>
      </c>
      <c r="S12" s="93">
        <v>137</v>
      </c>
      <c r="T12" s="93">
        <v>-2</v>
      </c>
      <c r="U12" s="92">
        <f t="shared" si="16"/>
        <v>135</v>
      </c>
      <c r="V12" s="93">
        <v>123408.18999999999</v>
      </c>
      <c r="W12" s="93">
        <v>-1773</v>
      </c>
      <c r="X12" s="92">
        <f t="shared" si="17"/>
        <v>121635.18999999999</v>
      </c>
      <c r="Y12" s="93">
        <v>187344.68000000008</v>
      </c>
      <c r="Z12" s="93">
        <v>-2756</v>
      </c>
      <c r="AA12" s="92">
        <f t="shared" si="18"/>
        <v>184588.68000000008</v>
      </c>
      <c r="AB12" s="92">
        <f t="shared" si="19"/>
        <v>200843.5</v>
      </c>
      <c r="AC12" s="234">
        <f t="shared" si="20"/>
        <v>4.1603567340171427E-2</v>
      </c>
      <c r="AD12" s="92">
        <f t="shared" si="21"/>
        <v>15827.4</v>
      </c>
      <c r="AE12" s="93">
        <v>69485.830000000104</v>
      </c>
      <c r="AF12" s="234">
        <f t="shared" si="22"/>
        <v>0.3764360306384989</v>
      </c>
      <c r="AG12" s="93">
        <v>18655.649999999987</v>
      </c>
      <c r="AH12" s="93">
        <v>758</v>
      </c>
      <c r="AI12" s="93">
        <v>22942</v>
      </c>
      <c r="AJ12" s="93"/>
      <c r="AK12" s="93"/>
      <c r="AL12" s="122">
        <f t="shared" si="6"/>
        <v>227.04963214487833</v>
      </c>
      <c r="AM12" s="93">
        <v>90</v>
      </c>
      <c r="AN12" s="94">
        <f t="shared" si="23"/>
        <v>6945.3693489999987</v>
      </c>
      <c r="AO12" s="95">
        <f t="shared" si="25"/>
        <v>49657.381018855107</v>
      </c>
      <c r="AP12" s="96"/>
      <c r="AQ12" s="97">
        <f t="shared" si="7"/>
        <v>1367.3235555555561</v>
      </c>
      <c r="AR12" s="98">
        <f t="shared" si="8"/>
        <v>117.24</v>
      </c>
      <c r="AS12" s="98">
        <f t="shared" si="9"/>
        <v>514.70985185185259</v>
      </c>
      <c r="AT12" s="98">
        <f t="shared" si="10"/>
        <v>136.17262773722618</v>
      </c>
      <c r="AU12" s="98">
        <f t="shared" si="24"/>
        <v>172.99270072992701</v>
      </c>
      <c r="AV12" s="98">
        <f t="array" ref="AV12">_xlfn.IFS(U12=0,AO12,U12&lt;0,AO12/-U12,U12&gt;0,AO12/U12)</f>
        <v>367.83245199151929</v>
      </c>
      <c r="AW12" s="234">
        <f t="shared" si="32"/>
        <v>0.2690163937401529</v>
      </c>
      <c r="AX12" s="234">
        <f t="shared" si="33"/>
        <v>3.1374313544141872</v>
      </c>
      <c r="AY12" s="99"/>
      <c r="AZ12" s="94">
        <f t="shared" si="13"/>
        <v>2371047.9855373334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3918</v>
      </c>
      <c r="F13" s="93">
        <v>300</v>
      </c>
      <c r="G13" s="93">
        <v>92</v>
      </c>
      <c r="H13" s="93">
        <v>584</v>
      </c>
      <c r="I13" s="93">
        <v>1</v>
      </c>
      <c r="J13" s="93">
        <v>2941</v>
      </c>
      <c r="K13" s="92">
        <v>123.09</v>
      </c>
      <c r="L13" s="92">
        <f t="shared" ref="L13:L28" si="34">E13*K13</f>
        <v>482266.62</v>
      </c>
      <c r="M13" s="89">
        <v>10</v>
      </c>
      <c r="N13" s="89">
        <v>503</v>
      </c>
      <c r="O13" s="89">
        <v>1732</v>
      </c>
      <c r="P13" s="89">
        <v>63</v>
      </c>
      <c r="Q13" s="233">
        <f t="shared" si="14"/>
        <v>71.857142857142861</v>
      </c>
      <c r="R13" s="92">
        <f t="shared" si="15"/>
        <v>39.285714285714285</v>
      </c>
      <c r="S13" s="93">
        <v>281</v>
      </c>
      <c r="T13" s="93">
        <v>-6</v>
      </c>
      <c r="U13" s="92">
        <f t="shared" si="16"/>
        <v>275</v>
      </c>
      <c r="V13" s="93">
        <v>320354.64000000013</v>
      </c>
      <c r="W13" s="93">
        <v>-7034.4</v>
      </c>
      <c r="X13" s="92">
        <f t="shared" si="17"/>
        <v>313320.24000000011</v>
      </c>
      <c r="Y13" s="93">
        <v>484654.42999999993</v>
      </c>
      <c r="Z13" s="93">
        <v>-10391.950000000001</v>
      </c>
      <c r="AA13" s="92">
        <f t="shared" si="18"/>
        <v>474262.47999999992</v>
      </c>
      <c r="AB13" s="92">
        <f t="shared" si="19"/>
        <v>548853.48</v>
      </c>
      <c r="AC13" s="234">
        <f t="shared" si="20"/>
        <v>0.10689177160591155</v>
      </c>
      <c r="AD13" s="92">
        <f t="shared" si="21"/>
        <v>33849.75</v>
      </c>
      <c r="AE13" s="93">
        <v>178686.45999999985</v>
      </c>
      <c r="AF13" s="234">
        <f t="shared" si="22"/>
        <v>0.37676701728544892</v>
      </c>
      <c r="AG13" s="93">
        <v>34439.310000000019</v>
      </c>
      <c r="AH13" s="93"/>
      <c r="AI13" s="93">
        <v>56811</v>
      </c>
      <c r="AJ13" s="93"/>
      <c r="AK13" s="93"/>
      <c r="AL13" s="122">
        <f t="shared" si="6"/>
        <v>564.24249009620826</v>
      </c>
      <c r="AM13" s="93">
        <v>90</v>
      </c>
      <c r="AN13" s="94">
        <f t="shared" si="23"/>
        <v>17890.585704000005</v>
      </c>
      <c r="AO13" s="95">
        <f t="shared" si="25"/>
        <v>151931.13180590383</v>
      </c>
      <c r="AP13" s="96"/>
      <c r="AQ13" s="97">
        <f t="shared" si="7"/>
        <v>1724.5908363636361</v>
      </c>
      <c r="AR13" s="98">
        <f t="shared" si="8"/>
        <v>123.09</v>
      </c>
      <c r="AS13" s="98">
        <f t="shared" si="9"/>
        <v>649.76894545454491</v>
      </c>
      <c r="AT13" s="98">
        <f t="shared" si="10"/>
        <v>122.559822064057</v>
      </c>
      <c r="AU13" s="98">
        <f t="shared" si="24"/>
        <v>202.17437722419928</v>
      </c>
      <c r="AV13" s="98">
        <f t="array" ref="AV13">_xlfn.IFS(U13=0,AO13,U13&lt;0,AO13/-U13,U13&gt;0,AO13/U13)</f>
        <v>552.47684293055943</v>
      </c>
      <c r="AW13" s="234">
        <f t="shared" si="32"/>
        <v>0.32035241709591672</v>
      </c>
      <c r="AX13" s="234">
        <f t="shared" si="33"/>
        <v>4.4883974565810334</v>
      </c>
      <c r="AY13" s="99"/>
      <c r="AZ13" s="94">
        <f t="shared" si="13"/>
        <v>2164604.270601932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2573</v>
      </c>
      <c r="F14" s="93">
        <v>64</v>
      </c>
      <c r="G14" s="93">
        <v>25</v>
      </c>
      <c r="H14" s="93">
        <v>183</v>
      </c>
      <c r="I14" s="93">
        <v>2</v>
      </c>
      <c r="J14" s="93">
        <v>2299</v>
      </c>
      <c r="K14" s="92">
        <v>123.09</v>
      </c>
      <c r="L14" s="92">
        <f t="shared" si="34"/>
        <v>316710.57</v>
      </c>
      <c r="M14" s="89">
        <v>23</v>
      </c>
      <c r="N14" s="89">
        <v>94</v>
      </c>
      <c r="O14" s="89">
        <v>1324</v>
      </c>
      <c r="P14" s="89">
        <v>58</v>
      </c>
      <c r="Q14" s="233">
        <f t="shared" si="14"/>
        <v>13.428571428571429</v>
      </c>
      <c r="R14" s="92">
        <f t="shared" si="15"/>
        <v>7.8571428571428568</v>
      </c>
      <c r="S14" s="93">
        <v>55</v>
      </c>
      <c r="T14" s="93">
        <v>0</v>
      </c>
      <c r="U14" s="92">
        <f t="shared" si="16"/>
        <v>55</v>
      </c>
      <c r="V14" s="93">
        <v>47780.509999999995</v>
      </c>
      <c r="W14" s="93">
        <v>0</v>
      </c>
      <c r="X14" s="92">
        <f t="shared" si="17"/>
        <v>47780.509999999995</v>
      </c>
      <c r="Y14" s="93">
        <v>72459.61</v>
      </c>
      <c r="Z14" s="93">
        <v>0</v>
      </c>
      <c r="AA14" s="92">
        <f t="shared" si="18"/>
        <v>72459.61</v>
      </c>
      <c r="AB14" s="92">
        <f t="shared" si="19"/>
        <v>72184.479999999996</v>
      </c>
      <c r="AC14" s="234">
        <f t="shared" si="20"/>
        <v>1.6331327923670931E-2</v>
      </c>
      <c r="AD14" s="92">
        <f t="shared" si="21"/>
        <v>6769.95</v>
      </c>
      <c r="AE14" s="93">
        <v>27369.869999999988</v>
      </c>
      <c r="AF14" s="234">
        <f t="shared" si="22"/>
        <v>0.37772588066648422</v>
      </c>
      <c r="AG14" s="93">
        <v>7126.529999999997</v>
      </c>
      <c r="AH14" s="93">
        <v>949</v>
      </c>
      <c r="AI14" s="93">
        <v>6198</v>
      </c>
      <c r="AJ14" s="93"/>
      <c r="AK14" s="93"/>
      <c r="AL14" s="122">
        <f t="shared" si="6"/>
        <v>176.8088624787776</v>
      </c>
      <c r="AM14" s="93">
        <v>0</v>
      </c>
      <c r="AN14" s="94">
        <f t="shared" si="23"/>
        <v>2728.2671209999994</v>
      </c>
      <c r="AO14" s="95">
        <f t="shared" si="25"/>
        <v>21141.184016521238</v>
      </c>
      <c r="AP14" s="96"/>
      <c r="AQ14" s="97">
        <f t="shared" si="7"/>
        <v>1317.4474545454545</v>
      </c>
      <c r="AR14" s="98">
        <f t="shared" si="8"/>
        <v>123.09</v>
      </c>
      <c r="AS14" s="98">
        <f t="shared" si="9"/>
        <v>497.63399999999979</v>
      </c>
      <c r="AT14" s="98">
        <f t="shared" si="10"/>
        <v>129.57327272727267</v>
      </c>
      <c r="AU14" s="98">
        <f t="shared" si="24"/>
        <v>129.94545454545454</v>
      </c>
      <c r="AV14" s="98">
        <f t="array" ref="AV14">_xlfn.IFS(U14=0,AO14,U14&lt;0,AO14/-U14,U14&gt;0,AO14/U14)</f>
        <v>384.38516393674979</v>
      </c>
      <c r="AW14" s="234">
        <f t="shared" si="32"/>
        <v>0.29176508149189928</v>
      </c>
      <c r="AX14" s="234">
        <f t="shared" si="33"/>
        <v>3.1227976597347453</v>
      </c>
      <c r="AY14" s="99"/>
      <c r="AZ14" s="94">
        <f t="shared" si="13"/>
        <v>989023.02680925722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4812</v>
      </c>
      <c r="F15" s="93">
        <v>57</v>
      </c>
      <c r="G15" s="93">
        <v>14</v>
      </c>
      <c r="H15" s="93">
        <v>357</v>
      </c>
      <c r="I15" s="93">
        <v>0</v>
      </c>
      <c r="J15" s="93">
        <v>4384</v>
      </c>
      <c r="K15" s="92">
        <v>123.09</v>
      </c>
      <c r="L15" s="92">
        <f t="shared" si="34"/>
        <v>592309.08000000007</v>
      </c>
      <c r="M15" s="89">
        <v>39</v>
      </c>
      <c r="N15" s="89">
        <v>86</v>
      </c>
      <c r="O15" s="89">
        <v>1325</v>
      </c>
      <c r="P15" s="89">
        <v>70</v>
      </c>
      <c r="Q15" s="233">
        <f t="shared" si="14"/>
        <v>12.285714285714286</v>
      </c>
      <c r="R15" s="92">
        <f t="shared" si="15"/>
        <v>8.1428571428571423</v>
      </c>
      <c r="S15" s="93">
        <v>57</v>
      </c>
      <c r="T15" s="93">
        <v>0</v>
      </c>
      <c r="U15" s="92">
        <f t="shared" si="16"/>
        <v>57</v>
      </c>
      <c r="V15" s="93">
        <v>50364.98</v>
      </c>
      <c r="W15" s="93">
        <v>0</v>
      </c>
      <c r="X15" s="92">
        <f t="shared" si="17"/>
        <v>50364.98</v>
      </c>
      <c r="Y15" s="93">
        <v>75500.75999999998</v>
      </c>
      <c r="Z15" s="93">
        <v>0</v>
      </c>
      <c r="AA15" s="92">
        <f t="shared" si="18"/>
        <v>75500.75999999998</v>
      </c>
      <c r="AB15" s="92">
        <f t="shared" si="19"/>
        <v>79765</v>
      </c>
      <c r="AC15" s="234">
        <f t="shared" si="20"/>
        <v>1.70167583022649E-2</v>
      </c>
      <c r="AD15" s="92">
        <f t="shared" si="21"/>
        <v>7016.13</v>
      </c>
      <c r="AE15" s="93">
        <v>28417.229999999989</v>
      </c>
      <c r="AF15" s="234">
        <f t="shared" si="22"/>
        <v>0.37638336355819457</v>
      </c>
      <c r="AG15" s="93">
        <v>6724.1399999999994</v>
      </c>
      <c r="AH15" s="93">
        <v>595</v>
      </c>
      <c r="AI15" s="93">
        <v>3916</v>
      </c>
      <c r="AJ15" s="93"/>
      <c r="AK15" s="93"/>
      <c r="AL15" s="122">
        <f t="shared" si="6"/>
        <v>344.92220713073004</v>
      </c>
      <c r="AM15" s="93">
        <v>20</v>
      </c>
      <c r="AN15" s="94">
        <f t="shared" si="23"/>
        <v>2875.8403579999999</v>
      </c>
      <c r="AO15" s="95">
        <f t="shared" si="25"/>
        <v>25591.497434869256</v>
      </c>
      <c r="AP15" s="96"/>
      <c r="AQ15" s="97">
        <f t="shared" si="7"/>
        <v>1324.5747368421048</v>
      </c>
      <c r="AR15" s="98">
        <f t="shared" si="8"/>
        <v>123.09</v>
      </c>
      <c r="AS15" s="98">
        <f t="shared" si="9"/>
        <v>498.5478947368419</v>
      </c>
      <c r="AT15" s="98">
        <f t="shared" si="10"/>
        <v>117.96736842105263</v>
      </c>
      <c r="AU15" s="98">
        <f t="shared" si="24"/>
        <v>79.140350877192986</v>
      </c>
      <c r="AV15" s="98">
        <f t="array" ref="AV15">_xlfn.IFS(U15=0,AO15,U15&lt;0,AO15/-U15,U15&gt;0,AO15/U15)</f>
        <v>448.97363920823256</v>
      </c>
      <c r="AW15" s="234">
        <f t="shared" si="32"/>
        <v>0.33895681890976015</v>
      </c>
      <c r="AX15" s="234">
        <f t="shared" si="33"/>
        <v>3.6475232692195347</v>
      </c>
      <c r="AY15" s="99"/>
      <c r="AZ15" s="94">
        <f t="shared" si="13"/>
        <v>2160461.1518700151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3319</v>
      </c>
      <c r="F16" s="93">
        <v>198</v>
      </c>
      <c r="G16" s="93">
        <v>46</v>
      </c>
      <c r="H16" s="93">
        <v>484</v>
      </c>
      <c r="I16" s="93">
        <v>2</v>
      </c>
      <c r="J16" s="93">
        <v>2589</v>
      </c>
      <c r="K16" s="92">
        <v>117.24</v>
      </c>
      <c r="L16" s="92">
        <f t="shared" si="34"/>
        <v>389119.56</v>
      </c>
      <c r="M16" s="89">
        <v>11</v>
      </c>
      <c r="N16" s="89">
        <v>302</v>
      </c>
      <c r="O16" s="89">
        <v>1513</v>
      </c>
      <c r="P16" s="89">
        <v>67</v>
      </c>
      <c r="Q16" s="233">
        <f t="shared" si="14"/>
        <v>43.142857142857146</v>
      </c>
      <c r="R16" s="92">
        <f t="shared" si="15"/>
        <v>29.857142857142858</v>
      </c>
      <c r="S16" s="93">
        <v>213</v>
      </c>
      <c r="T16" s="93">
        <v>-4</v>
      </c>
      <c r="U16" s="92">
        <f t="shared" si="16"/>
        <v>209</v>
      </c>
      <c r="V16" s="93">
        <v>212533.81000000006</v>
      </c>
      <c r="W16" s="93">
        <v>-3893</v>
      </c>
      <c r="X16" s="92">
        <f t="shared" si="17"/>
        <v>208640.81000000006</v>
      </c>
      <c r="Y16" s="93">
        <v>321818.3600000001</v>
      </c>
      <c r="Z16" s="93">
        <v>-5939</v>
      </c>
      <c r="AA16" s="92">
        <f t="shared" si="18"/>
        <v>315879.3600000001</v>
      </c>
      <c r="AB16" s="92">
        <f t="shared" si="19"/>
        <v>306140.42</v>
      </c>
      <c r="AC16" s="234">
        <f t="shared" si="20"/>
        <v>7.119455117795008E-2</v>
      </c>
      <c r="AD16" s="92">
        <f t="shared" si="21"/>
        <v>24503.16</v>
      </c>
      <c r="AE16" s="93">
        <v>119116.02000000014</v>
      </c>
      <c r="AF16" s="234">
        <f t="shared" si="22"/>
        <v>0.37709339413629334</v>
      </c>
      <c r="AG16" s="93">
        <v>20532.590000000015</v>
      </c>
      <c r="AH16" s="93"/>
      <c r="AI16" s="93">
        <v>33884</v>
      </c>
      <c r="AJ16" s="93"/>
      <c r="AK16" s="93"/>
      <c r="AL16" s="122">
        <f t="shared" si="6"/>
        <v>467.62562535370688</v>
      </c>
      <c r="AM16" s="93">
        <v>0</v>
      </c>
      <c r="AN16" s="94">
        <f t="shared" si="23"/>
        <v>11913.390251000003</v>
      </c>
      <c r="AO16" s="95">
        <f t="shared" si="25"/>
        <v>105462.57412364625</v>
      </c>
      <c r="AP16" s="96"/>
      <c r="AQ16" s="97">
        <f t="shared" si="7"/>
        <v>1511.3844976076559</v>
      </c>
      <c r="AR16" s="98">
        <f t="shared" si="8"/>
        <v>117.24</v>
      </c>
      <c r="AS16" s="98">
        <f t="shared" si="9"/>
        <v>569.93311004784755</v>
      </c>
      <c r="AT16" s="98">
        <f t="shared" si="10"/>
        <v>96.397136150234815</v>
      </c>
      <c r="AU16" s="98">
        <f t="shared" si="24"/>
        <v>159.07981220657277</v>
      </c>
      <c r="AV16" s="98">
        <f t="array" ref="AV16">_xlfn.IFS(U16=0,AO16,U16&lt;0,AO16/-U16,U16&gt;0,AO16/U16)</f>
        <v>504.60561781648926</v>
      </c>
      <c r="AW16" s="234">
        <f t="shared" si="32"/>
        <v>0.33386978536250744</v>
      </c>
      <c r="AX16" s="234">
        <f t="shared" si="33"/>
        <v>4.3040397289021604</v>
      </c>
      <c r="AY16" s="99"/>
      <c r="AZ16" s="94">
        <f t="shared" si="13"/>
        <v>1674786.0455329278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2035</v>
      </c>
      <c r="F17" s="93">
        <v>38</v>
      </c>
      <c r="G17" s="93">
        <v>21</v>
      </c>
      <c r="H17" s="93">
        <v>62</v>
      </c>
      <c r="I17" s="93">
        <v>1</v>
      </c>
      <c r="J17" s="93">
        <v>1913</v>
      </c>
      <c r="K17" s="93">
        <v>123.09</v>
      </c>
      <c r="L17" s="92">
        <f t="shared" si="34"/>
        <v>250488.15</v>
      </c>
      <c r="M17" s="89">
        <v>27</v>
      </c>
      <c r="N17" s="89">
        <v>70</v>
      </c>
      <c r="O17" s="89">
        <v>1480</v>
      </c>
      <c r="P17" s="89">
        <v>50</v>
      </c>
      <c r="Q17" s="233">
        <f t="shared" si="14"/>
        <v>10</v>
      </c>
      <c r="R17" s="92">
        <f t="shared" si="15"/>
        <v>5</v>
      </c>
      <c r="S17" s="93">
        <v>39</v>
      </c>
      <c r="T17" s="93">
        <v>-4</v>
      </c>
      <c r="U17" s="92">
        <f t="shared" si="16"/>
        <v>35</v>
      </c>
      <c r="V17" s="93">
        <v>37766.370000000003</v>
      </c>
      <c r="W17" s="93">
        <v>-3857</v>
      </c>
      <c r="X17" s="92">
        <f t="shared" si="17"/>
        <v>33909.370000000003</v>
      </c>
      <c r="Y17" s="93">
        <v>57481.579999999994</v>
      </c>
      <c r="Z17" s="93">
        <v>-5920</v>
      </c>
      <c r="AA17" s="92">
        <f t="shared" si="18"/>
        <v>51561.579999999994</v>
      </c>
      <c r="AB17" s="92">
        <f t="shared" si="19"/>
        <v>51800</v>
      </c>
      <c r="AC17" s="234">
        <f t="shared" si="20"/>
        <v>1.1621220031995652E-2</v>
      </c>
      <c r="AD17" s="92">
        <f t="shared" si="21"/>
        <v>4308.1500000000005</v>
      </c>
      <c r="AE17" s="93">
        <v>19463.37999999999</v>
      </c>
      <c r="AF17" s="234">
        <f t="shared" si="22"/>
        <v>0.37747834725002594</v>
      </c>
      <c r="AG17" s="93">
        <v>5146.25</v>
      </c>
      <c r="AH17" s="93">
        <v>6</v>
      </c>
      <c r="AI17" s="93">
        <v>4351</v>
      </c>
      <c r="AJ17" s="93"/>
      <c r="AK17" s="93"/>
      <c r="AL17" s="122">
        <f t="shared" si="6"/>
        <v>59.902456140350886</v>
      </c>
      <c r="AM17" s="93">
        <v>0</v>
      </c>
      <c r="AN17" s="94">
        <f t="shared" si="23"/>
        <v>1936.2250270000002</v>
      </c>
      <c r="AO17" s="95">
        <f t="shared" si="25"/>
        <v>16290.672516859653</v>
      </c>
      <c r="AP17" s="96"/>
      <c r="AQ17" s="97">
        <f t="shared" si="7"/>
        <v>1473.1879999999999</v>
      </c>
      <c r="AR17" s="98">
        <f t="shared" si="8"/>
        <v>123.09</v>
      </c>
      <c r="AS17" s="98">
        <f t="shared" si="9"/>
        <v>556.09657142857111</v>
      </c>
      <c r="AT17" s="98">
        <f t="shared" si="10"/>
        <v>131.9551282051282</v>
      </c>
      <c r="AU17" s="98">
        <f t="shared" si="24"/>
        <v>111.71794871794872</v>
      </c>
      <c r="AV17" s="98">
        <f t="array" ref="AV17">_xlfn.IFS(U17=0,AO17,U17&lt;0,AO17/-U17,U17&gt;0,AO17/U17)</f>
        <v>465.44778619599009</v>
      </c>
      <c r="AW17" s="234">
        <f t="shared" si="32"/>
        <v>0.31594595272021636</v>
      </c>
      <c r="AX17" s="234">
        <f t="shared" si="33"/>
        <v>3.7813614931837685</v>
      </c>
      <c r="AY17" s="99"/>
      <c r="AZ17" s="94">
        <f t="shared" si="13"/>
        <v>947186.24490883981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1773</v>
      </c>
      <c r="F18" s="93">
        <v>55</v>
      </c>
      <c r="G18" s="93">
        <v>26</v>
      </c>
      <c r="H18" s="93">
        <v>326</v>
      </c>
      <c r="I18" s="93">
        <v>2</v>
      </c>
      <c r="J18" s="93">
        <v>1364</v>
      </c>
      <c r="K18" s="93">
        <v>123.09</v>
      </c>
      <c r="L18" s="92">
        <f t="shared" si="34"/>
        <v>218238.57</v>
      </c>
      <c r="M18" s="89">
        <v>18</v>
      </c>
      <c r="N18" s="89">
        <v>113</v>
      </c>
      <c r="O18" s="89">
        <v>1829</v>
      </c>
      <c r="P18" s="89">
        <v>36</v>
      </c>
      <c r="Q18" s="233">
        <f t="shared" si="14"/>
        <v>16.142857142857142</v>
      </c>
      <c r="R18" s="92">
        <f t="shared" si="15"/>
        <v>6.7142857142857144</v>
      </c>
      <c r="S18" s="93">
        <v>49</v>
      </c>
      <c r="T18" s="93">
        <v>-2</v>
      </c>
      <c r="U18" s="92">
        <f t="shared" si="16"/>
        <v>47</v>
      </c>
      <c r="V18" s="93">
        <v>58056.280000000006</v>
      </c>
      <c r="W18" s="93">
        <v>-2399</v>
      </c>
      <c r="X18" s="92">
        <f t="shared" si="17"/>
        <v>55657.280000000006</v>
      </c>
      <c r="Y18" s="93">
        <v>88256.529999999984</v>
      </c>
      <c r="Z18" s="93">
        <v>-3602</v>
      </c>
      <c r="AA18" s="92">
        <f t="shared" si="18"/>
        <v>84654.529999999984</v>
      </c>
      <c r="AB18" s="92">
        <f t="shared" si="19"/>
        <v>74403.72</v>
      </c>
      <c r="AC18" s="234">
        <f t="shared" si="20"/>
        <v>1.9079883119081625E-2</v>
      </c>
      <c r="AD18" s="92">
        <f t="shared" si="21"/>
        <v>5785.2300000000005</v>
      </c>
      <c r="AE18" s="93">
        <v>32038.849999999969</v>
      </c>
      <c r="AF18" s="234">
        <f t="shared" si="22"/>
        <v>0.37846586591408604</v>
      </c>
      <c r="AG18" s="93">
        <v>10340.670000000004</v>
      </c>
      <c r="AH18" s="93"/>
      <c r="AI18" s="93">
        <v>12456</v>
      </c>
      <c r="AJ18" s="93"/>
      <c r="AK18" s="93"/>
      <c r="AL18" s="122">
        <f t="shared" si="6"/>
        <v>314.97097906055461</v>
      </c>
      <c r="AM18" s="93">
        <v>0</v>
      </c>
      <c r="AN18" s="94">
        <f t="shared" si="23"/>
        <v>3178.0306880000003</v>
      </c>
      <c r="AO18" s="95">
        <f t="shared" si="25"/>
        <v>20540.778332939459</v>
      </c>
      <c r="AP18" s="96"/>
      <c r="AQ18" s="97">
        <f t="shared" si="7"/>
        <v>1801.1602127659571</v>
      </c>
      <c r="AR18" s="98">
        <f t="shared" si="8"/>
        <v>123.09</v>
      </c>
      <c r="AS18" s="98">
        <f t="shared" si="9"/>
        <v>681.67765957446738</v>
      </c>
      <c r="AT18" s="98">
        <f t="shared" si="10"/>
        <v>211.03408163265314</v>
      </c>
      <c r="AU18" s="98">
        <f t="shared" si="24"/>
        <v>254.20408163265307</v>
      </c>
      <c r="AV18" s="98">
        <f t="array" ref="AV18">_xlfn.IFS(U18=0,AO18,U18&lt;0,AO18/-U18,U18&gt;0,AO18/U18)</f>
        <v>437.03783687105232</v>
      </c>
      <c r="AW18" s="234">
        <f t="shared" si="32"/>
        <v>0.24264240003387252</v>
      </c>
      <c r="AX18" s="234">
        <f t="shared" si="33"/>
        <v>3.5505551780896281</v>
      </c>
      <c r="AY18" s="99"/>
      <c r="AZ18" s="94">
        <f t="shared" si="13"/>
        <v>774868.08477237576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364</v>
      </c>
      <c r="F20" s="93">
        <v>10</v>
      </c>
      <c r="G20" s="93">
        <v>1</v>
      </c>
      <c r="H20" s="93">
        <v>102</v>
      </c>
      <c r="I20" s="93">
        <v>1</v>
      </c>
      <c r="J20" s="93">
        <v>250</v>
      </c>
      <c r="K20" s="93">
        <v>117.24</v>
      </c>
      <c r="L20" s="92">
        <f t="shared" si="34"/>
        <v>42675.360000000001</v>
      </c>
      <c r="M20" s="89">
        <v>31</v>
      </c>
      <c r="N20" s="89">
        <v>12</v>
      </c>
      <c r="O20" s="89">
        <v>1243</v>
      </c>
      <c r="P20" s="89">
        <v>60</v>
      </c>
      <c r="Q20" s="233">
        <f t="shared" si="14"/>
        <v>1.7142857142857142</v>
      </c>
      <c r="R20" s="92">
        <f t="shared" si="15"/>
        <v>0.7142857142857143</v>
      </c>
      <c r="S20" s="93">
        <v>5</v>
      </c>
      <c r="T20" s="93">
        <v>0</v>
      </c>
      <c r="U20" s="92">
        <f t="shared" si="16"/>
        <v>5</v>
      </c>
      <c r="V20" s="93">
        <v>4301</v>
      </c>
      <c r="W20" s="93">
        <v>0</v>
      </c>
      <c r="X20" s="92">
        <f t="shared" si="17"/>
        <v>4301</v>
      </c>
      <c r="Y20" s="93">
        <v>6565</v>
      </c>
      <c r="Z20" s="93">
        <v>0</v>
      </c>
      <c r="AA20" s="92">
        <f t="shared" si="18"/>
        <v>6565</v>
      </c>
      <c r="AB20" s="92">
        <f t="shared" si="19"/>
        <v>8949.6</v>
      </c>
      <c r="AC20" s="234">
        <f t="shared" si="20"/>
        <v>1.4796542214193487E-3</v>
      </c>
      <c r="AD20" s="92">
        <f t="shared" si="21"/>
        <v>586.19999999999993</v>
      </c>
      <c r="AE20" s="93">
        <v>2494.63</v>
      </c>
      <c r="AF20" s="234">
        <f t="shared" si="22"/>
        <v>0.37998933739527802</v>
      </c>
      <c r="AG20" s="93">
        <v>435.89999999999992</v>
      </c>
      <c r="AH20" s="93"/>
      <c r="AI20" s="93">
        <v>4767</v>
      </c>
      <c r="AJ20" s="93"/>
      <c r="AK20" s="93"/>
      <c r="AL20" s="122">
        <f t="shared" si="6"/>
        <v>98.549202037351449</v>
      </c>
      <c r="AM20" s="93">
        <v>0</v>
      </c>
      <c r="AN20" s="94">
        <f t="shared" si="23"/>
        <v>245.58709999999999</v>
      </c>
      <c r="AO20" s="95">
        <f t="shared" si="25"/>
        <v>-2062.8663020373515</v>
      </c>
      <c r="AP20" s="96"/>
      <c r="AQ20" s="97">
        <f t="shared" si="7"/>
        <v>1313</v>
      </c>
      <c r="AR20" s="98">
        <f>K20</f>
        <v>117.24</v>
      </c>
      <c r="AS20" s="98">
        <f t="shared" si="9"/>
        <v>498.92600000000004</v>
      </c>
      <c r="AT20" s="98">
        <f t="shared" si="10"/>
        <v>87.179999999999978</v>
      </c>
      <c r="AU20" s="98">
        <f t="shared" si="24"/>
        <v>953.4</v>
      </c>
      <c r="AV20" s="98">
        <f t="array" ref="AV20">_xlfn.IFS(U20=0,AO20,U20&lt;0,AO20/-U20,U20&gt;0,AO20/U20)</f>
        <v>-412.57326040747029</v>
      </c>
      <c r="AW20" s="234">
        <f t="shared" si="32"/>
        <v>-0.31422182818543054</v>
      </c>
      <c r="AX20" s="234">
        <f t="shared" si="33"/>
        <v>-3.5190486216945609</v>
      </c>
      <c r="AY20" s="99"/>
      <c r="AZ20" s="94">
        <f t="shared" si="13"/>
        <v>-150176.66678831918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364</v>
      </c>
      <c r="F21" s="93">
        <v>9</v>
      </c>
      <c r="G21" s="93">
        <v>1</v>
      </c>
      <c r="H21" s="93">
        <v>88</v>
      </c>
      <c r="I21" s="93">
        <v>1</v>
      </c>
      <c r="J21" s="93">
        <v>265</v>
      </c>
      <c r="K21" s="93">
        <v>117.24</v>
      </c>
      <c r="L21" s="92">
        <f t="shared" si="34"/>
        <v>42675.360000000001</v>
      </c>
      <c r="M21" s="89">
        <v>28</v>
      </c>
      <c r="N21" s="89">
        <v>16</v>
      </c>
      <c r="O21" s="89">
        <v>1250</v>
      </c>
      <c r="P21" s="89">
        <v>56</v>
      </c>
      <c r="Q21" s="233">
        <f t="shared" si="14"/>
        <v>2.2857142857142856</v>
      </c>
      <c r="R21" s="92">
        <f t="shared" si="15"/>
        <v>1</v>
      </c>
      <c r="S21" s="93">
        <v>7</v>
      </c>
      <c r="T21" s="93">
        <v>0</v>
      </c>
      <c r="U21" s="92">
        <f t="shared" si="16"/>
        <v>7</v>
      </c>
      <c r="V21" s="93">
        <v>5718</v>
      </c>
      <c r="W21" s="93">
        <v>0</v>
      </c>
      <c r="X21" s="92">
        <f t="shared" si="17"/>
        <v>5718</v>
      </c>
      <c r="Y21" s="93">
        <v>9010.09</v>
      </c>
      <c r="Z21" s="93">
        <v>0</v>
      </c>
      <c r="AA21" s="92">
        <f t="shared" si="18"/>
        <v>9010.09</v>
      </c>
      <c r="AB21" s="92">
        <f t="shared" si="19"/>
        <v>11200</v>
      </c>
      <c r="AC21" s="234">
        <f t="shared" si="20"/>
        <v>2.0307414628893006E-3</v>
      </c>
      <c r="AD21" s="92">
        <f t="shared" si="21"/>
        <v>820.68</v>
      </c>
      <c r="AE21" s="93">
        <v>3412.24</v>
      </c>
      <c r="AF21" s="234">
        <f t="shared" si="22"/>
        <v>0.37871319820334753</v>
      </c>
      <c r="AG21" s="93">
        <v>842.34</v>
      </c>
      <c r="AH21" s="93"/>
      <c r="AI21" s="93">
        <v>6500</v>
      </c>
      <c r="AJ21" s="93"/>
      <c r="AK21" s="93"/>
      <c r="AL21" s="122">
        <f t="shared" si="6"/>
        <v>85.022840973401244</v>
      </c>
      <c r="AM21" s="93">
        <v>0</v>
      </c>
      <c r="AN21" s="94">
        <f t="shared" si="23"/>
        <v>326.49779999999998</v>
      </c>
      <c r="AO21" s="95">
        <f t="shared" si="25"/>
        <v>-2976.6906409734015</v>
      </c>
      <c r="AP21" s="96"/>
      <c r="AQ21" s="97">
        <f t="shared" si="7"/>
        <v>1287.1557142857143</v>
      </c>
      <c r="AR21" s="98">
        <f t="shared" ref="AR21:AR98" si="35">K21</f>
        <v>117.24</v>
      </c>
      <c r="AS21" s="98">
        <f t="shared" si="9"/>
        <v>487.4628571428571</v>
      </c>
      <c r="AT21" s="98">
        <f t="shared" si="10"/>
        <v>120.33428571428571</v>
      </c>
      <c r="AU21" s="98">
        <f t="shared" si="24"/>
        <v>928.57142857142856</v>
      </c>
      <c r="AV21" s="98">
        <f t="array" ref="AV21">_xlfn.IFS(U21=0,AO21,U21&lt;0,AO21/-U21,U21&gt;0,AO21/U21)</f>
        <v>-425.24152013905734</v>
      </c>
      <c r="AW21" s="234">
        <f t="shared" si="32"/>
        <v>-0.33037301968941502</v>
      </c>
      <c r="AX21" s="234">
        <f t="shared" si="33"/>
        <v>-3.6271026965119186</v>
      </c>
      <c r="AY21" s="99"/>
      <c r="AZ21" s="94">
        <f t="shared" si="13"/>
        <v>-154787.91333061687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369</v>
      </c>
      <c r="F22" s="93">
        <v>7</v>
      </c>
      <c r="G22" s="93">
        <v>3</v>
      </c>
      <c r="H22" s="93">
        <v>98</v>
      </c>
      <c r="I22" s="93">
        <v>1</v>
      </c>
      <c r="J22" s="93">
        <v>260</v>
      </c>
      <c r="K22" s="93">
        <v>117.24</v>
      </c>
      <c r="L22" s="92">
        <f t="shared" si="34"/>
        <v>43261.56</v>
      </c>
      <c r="M22" s="89">
        <v>23</v>
      </c>
      <c r="N22" s="89">
        <v>19</v>
      </c>
      <c r="O22" s="89">
        <v>1253</v>
      </c>
      <c r="P22" s="89">
        <v>67</v>
      </c>
      <c r="Q22" s="233">
        <f t="shared" si="14"/>
        <v>2.7142857142857144</v>
      </c>
      <c r="R22" s="92">
        <f t="shared" si="15"/>
        <v>1.5714285714285714</v>
      </c>
      <c r="S22" s="93">
        <v>11</v>
      </c>
      <c r="T22" s="93">
        <v>0</v>
      </c>
      <c r="U22" s="92">
        <f t="shared" si="16"/>
        <v>11</v>
      </c>
      <c r="V22" s="93">
        <v>9208.119999999999</v>
      </c>
      <c r="W22" s="93">
        <v>0</v>
      </c>
      <c r="X22" s="92">
        <f t="shared" si="17"/>
        <v>9208.119999999999</v>
      </c>
      <c r="Y22" s="93">
        <v>14114.49</v>
      </c>
      <c r="Z22" s="93">
        <v>0</v>
      </c>
      <c r="AA22" s="92">
        <f t="shared" si="18"/>
        <v>14114.49</v>
      </c>
      <c r="AB22" s="92">
        <f t="shared" si="19"/>
        <v>15950.69</v>
      </c>
      <c r="AC22" s="234">
        <f t="shared" si="20"/>
        <v>3.1811979758844147E-3</v>
      </c>
      <c r="AD22" s="92">
        <f t="shared" si="21"/>
        <v>1289.6399999999999</v>
      </c>
      <c r="AE22" s="93">
        <v>5334.16</v>
      </c>
      <c r="AF22" s="234">
        <f t="shared" si="22"/>
        <v>0.37792084588249381</v>
      </c>
      <c r="AG22" s="93">
        <v>886.47</v>
      </c>
      <c r="AH22" s="93"/>
      <c r="AI22" s="93">
        <v>5000</v>
      </c>
      <c r="AJ22" s="93"/>
      <c r="AK22" s="93"/>
      <c r="AL22" s="122">
        <f t="shared" si="6"/>
        <v>94.684527447651391</v>
      </c>
      <c r="AM22" s="93">
        <v>0</v>
      </c>
      <c r="AN22" s="94">
        <f t="shared" si="23"/>
        <v>525.78365199999996</v>
      </c>
      <c r="AO22" s="95">
        <f t="shared" si="25"/>
        <v>983.75182055234893</v>
      </c>
      <c r="AP22" s="96"/>
      <c r="AQ22" s="97">
        <f t="shared" si="7"/>
        <v>1283.1354545454544</v>
      </c>
      <c r="AR22" s="98">
        <f t="shared" si="35"/>
        <v>117.24</v>
      </c>
      <c r="AS22" s="98">
        <f t="shared" si="9"/>
        <v>484.92363636363638</v>
      </c>
      <c r="AT22" s="98">
        <f t="shared" si="10"/>
        <v>80.588181818181823</v>
      </c>
      <c r="AU22" s="98">
        <f t="shared" si="24"/>
        <v>454.54545454545456</v>
      </c>
      <c r="AV22" s="98">
        <f t="array" ref="AV22">_xlfn.IFS(U22=0,AO22,U22&lt;0,AO22/-U22,U22&gt;0,AO22/U22)</f>
        <v>89.431983686577169</v>
      </c>
      <c r="AW22" s="234">
        <f t="shared" si="32"/>
        <v>6.9698006839237478E-2</v>
      </c>
      <c r="AX22" s="234">
        <f t="shared" si="33"/>
        <v>0.76281118804654702</v>
      </c>
      <c r="AY22" s="99"/>
      <c r="AZ22" s="94">
        <f t="shared" si="13"/>
        <v>33000.401980346978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28</v>
      </c>
      <c r="F24" s="93">
        <v>0</v>
      </c>
      <c r="G24" s="93">
        <v>0</v>
      </c>
      <c r="H24" s="93">
        <v>0</v>
      </c>
      <c r="I24" s="93">
        <v>1</v>
      </c>
      <c r="J24" s="93">
        <v>27</v>
      </c>
      <c r="K24" s="93">
        <v>117.24</v>
      </c>
      <c r="L24" s="92">
        <f t="shared" si="34"/>
        <v>3282.72</v>
      </c>
      <c r="M24" s="89">
        <v>999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770</v>
      </c>
      <c r="F26" s="93">
        <v>24</v>
      </c>
      <c r="G26" s="93">
        <v>14</v>
      </c>
      <c r="H26" s="93">
        <v>344</v>
      </c>
      <c r="I26" s="93">
        <v>376</v>
      </c>
      <c r="J26" s="93">
        <v>12</v>
      </c>
      <c r="K26" s="93">
        <v>123.09</v>
      </c>
      <c r="L26" s="92">
        <f t="shared" si="34"/>
        <v>94779.3</v>
      </c>
      <c r="M26" s="89">
        <v>678</v>
      </c>
      <c r="N26" s="89">
        <v>38</v>
      </c>
      <c r="O26" s="89">
        <v>1240</v>
      </c>
      <c r="P26" s="89">
        <v>23</v>
      </c>
      <c r="Q26" s="233">
        <f t="shared" si="14"/>
        <v>5.4285714285714288</v>
      </c>
      <c r="R26" s="92">
        <f t="shared" si="15"/>
        <v>2</v>
      </c>
      <c r="S26" s="93">
        <v>14</v>
      </c>
      <c r="T26" s="93">
        <v>0</v>
      </c>
      <c r="U26" s="92">
        <f t="shared" si="16"/>
        <v>14</v>
      </c>
      <c r="V26" s="93">
        <v>11275.96</v>
      </c>
      <c r="W26" s="93">
        <v>0</v>
      </c>
      <c r="X26" s="92">
        <f t="shared" si="17"/>
        <v>11275.96</v>
      </c>
      <c r="Y26" s="93">
        <v>17360.439999999999</v>
      </c>
      <c r="Z26" s="93">
        <v>0</v>
      </c>
      <c r="AA26" s="92">
        <f t="shared" si="18"/>
        <v>17360.439999999999</v>
      </c>
      <c r="AB26" s="92">
        <f t="shared" si="19"/>
        <v>10837.6</v>
      </c>
      <c r="AC26" s="234">
        <f t="shared" si="20"/>
        <v>3.9127872553994386E-3</v>
      </c>
      <c r="AD26" s="92">
        <f t="shared" si="21"/>
        <v>1723.26</v>
      </c>
      <c r="AE26" s="93">
        <v>6477.7800000000007</v>
      </c>
      <c r="AF26" s="234">
        <f t="shared" si="22"/>
        <v>0.37313455188923789</v>
      </c>
      <c r="AG26" s="93">
        <v>4290.6499999999987</v>
      </c>
      <c r="AH26" s="93">
        <v>755</v>
      </c>
      <c r="AI26" s="93">
        <v>876</v>
      </c>
      <c r="AJ26" s="93"/>
      <c r="AK26" s="93"/>
      <c r="AL26" s="122">
        <f t="shared" si="6"/>
        <v>332.36201471420486</v>
      </c>
      <c r="AM26" s="93">
        <v>0</v>
      </c>
      <c r="AN26" s="94">
        <f t="shared" si="23"/>
        <v>643.85731599999997</v>
      </c>
      <c r="AO26" s="95">
        <f t="shared" si="25"/>
        <v>2261.5306692857944</v>
      </c>
      <c r="AP26" s="96"/>
      <c r="AQ26" s="97">
        <f t="shared" si="7"/>
        <v>1240.0314285714285</v>
      </c>
      <c r="AR26" s="98">
        <f t="shared" si="35"/>
        <v>123.09</v>
      </c>
      <c r="AS26" s="98">
        <f t="shared" si="9"/>
        <v>462.69857142857148</v>
      </c>
      <c r="AT26" s="98">
        <f t="shared" si="10"/>
        <v>306.47499999999991</v>
      </c>
      <c r="AU26" s="98">
        <f t="shared" si="24"/>
        <v>116.5</v>
      </c>
      <c r="AV26" s="98">
        <f t="array" ref="AV26">_xlfn.IFS(U26=0,AO26,U26&lt;0,AO26/-U26,U26&gt;0,AO26/U26)</f>
        <v>161.5379049489853</v>
      </c>
      <c r="AW26" s="234">
        <f t="shared" si="32"/>
        <v>0.13026920223714344</v>
      </c>
      <c r="AX26" s="234">
        <f t="shared" si="33"/>
        <v>1.3123560398812681</v>
      </c>
      <c r="AY26" s="99"/>
      <c r="AZ26" s="94">
        <f t="shared" si="13"/>
        <v>124384.18681071867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705</v>
      </c>
      <c r="F27" s="93">
        <v>5</v>
      </c>
      <c r="G27" s="93">
        <v>1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4"/>
        <v>128020.95</v>
      </c>
      <c r="M27" s="89">
        <v>8</v>
      </c>
      <c r="N27" s="89">
        <v>3</v>
      </c>
      <c r="O27" s="89">
        <v>478</v>
      </c>
      <c r="P27" s="89">
        <v>0</v>
      </c>
      <c r="Q27" s="233">
        <f t="shared" si="14"/>
        <v>0.42857142857142855</v>
      </c>
      <c r="R27" s="92">
        <f t="shared" si="15"/>
        <v>0.42857142857142855</v>
      </c>
      <c r="S27" s="93">
        <v>3</v>
      </c>
      <c r="T27" s="93">
        <v>0</v>
      </c>
      <c r="U27" s="92">
        <f t="shared" si="16"/>
        <v>3</v>
      </c>
      <c r="V27" s="93">
        <v>874</v>
      </c>
      <c r="W27" s="93">
        <v>0</v>
      </c>
      <c r="X27" s="92">
        <f t="shared" si="17"/>
        <v>874</v>
      </c>
      <c r="Y27" s="93">
        <v>1434</v>
      </c>
      <c r="Z27" s="93">
        <v>0</v>
      </c>
      <c r="AA27" s="92">
        <f t="shared" si="18"/>
        <v>1434</v>
      </c>
      <c r="AB27" s="92">
        <f t="shared" si="19"/>
        <v>0</v>
      </c>
      <c r="AC27" s="234">
        <f t="shared" si="20"/>
        <v>3.2320246055070009E-4</v>
      </c>
      <c r="AD27" s="92">
        <f t="shared" si="21"/>
        <v>544.77</v>
      </c>
      <c r="AE27" s="93">
        <v>529.95000000000005</v>
      </c>
      <c r="AF27" s="234">
        <f t="shared" si="22"/>
        <v>0.36956066945606697</v>
      </c>
      <c r="AG27" s="93">
        <v>359.94</v>
      </c>
      <c r="AH27" s="93"/>
      <c r="AI27" s="93"/>
      <c r="AJ27" s="93"/>
      <c r="AK27" s="93"/>
      <c r="AL27" s="122">
        <f t="shared" si="6"/>
        <v>0.96616864742501418</v>
      </c>
      <c r="AM27" s="93">
        <v>0</v>
      </c>
      <c r="AN27" s="94">
        <f t="shared" si="23"/>
        <v>49.9054</v>
      </c>
      <c r="AO27" s="95">
        <f t="shared" si="25"/>
        <v>-51.53156864742504</v>
      </c>
      <c r="AP27" s="96"/>
      <c r="AQ27" s="97">
        <f t="shared" si="7"/>
        <v>478</v>
      </c>
      <c r="AR27" s="98">
        <f t="shared" si="35"/>
        <v>181.59</v>
      </c>
      <c r="AS27" s="98">
        <f t="shared" si="9"/>
        <v>176.65</v>
      </c>
      <c r="AT27" s="98">
        <f t="shared" si="10"/>
        <v>119.98</v>
      </c>
      <c r="AU27" s="98">
        <f t="shared" si="24"/>
        <v>0</v>
      </c>
      <c r="AV27" s="98">
        <f t="array" ref="AV27">_xlfn.IFS(U27=0,AO27,U27&lt;0,AO27/-U27,U27&gt;0,AO27/U27)</f>
        <v>-17.17718954914168</v>
      </c>
      <c r="AW27" s="234">
        <f t="shared" si="32"/>
        <v>-3.5935542989836151E-2</v>
      </c>
      <c r="AX27" s="234">
        <f t="shared" si="33"/>
        <v>-9.459325705788689E-2</v>
      </c>
      <c r="AY27" s="99"/>
      <c r="AZ27" s="94">
        <f t="shared" si="13"/>
        <v>-12109.918632144885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895</v>
      </c>
      <c r="F28" s="93">
        <v>160</v>
      </c>
      <c r="G28" s="93">
        <v>43</v>
      </c>
      <c r="H28" s="93">
        <v>570</v>
      </c>
      <c r="I28" s="93">
        <v>0</v>
      </c>
      <c r="J28" s="93">
        <v>122</v>
      </c>
      <c r="K28" s="93">
        <v>133.62</v>
      </c>
      <c r="L28" s="92">
        <f t="shared" si="34"/>
        <v>119589.90000000001</v>
      </c>
      <c r="M28" s="89">
        <v>21</v>
      </c>
      <c r="N28" s="89">
        <v>197</v>
      </c>
      <c r="O28" s="89">
        <v>1686</v>
      </c>
      <c r="P28" s="89">
        <v>42</v>
      </c>
      <c r="Q28" s="233">
        <f t="shared" si="14"/>
        <v>28.142857142857142</v>
      </c>
      <c r="R28" s="92">
        <f t="shared" si="15"/>
        <v>11.285714285714286</v>
      </c>
      <c r="S28" s="93">
        <v>83</v>
      </c>
      <c r="T28" s="93">
        <v>-4</v>
      </c>
      <c r="U28" s="92">
        <f t="shared" si="16"/>
        <v>79</v>
      </c>
      <c r="V28" s="93">
        <v>87678.550000000017</v>
      </c>
      <c r="W28" s="93">
        <v>-4350</v>
      </c>
      <c r="X28" s="92">
        <f t="shared" si="17"/>
        <v>83328.550000000017</v>
      </c>
      <c r="Y28" s="93">
        <v>134078.01</v>
      </c>
      <c r="Z28" s="93">
        <v>-6566</v>
      </c>
      <c r="AA28" s="92">
        <f t="shared" si="18"/>
        <v>127512.01000000001</v>
      </c>
      <c r="AB28" s="92">
        <f t="shared" si="19"/>
        <v>139499.64000000001</v>
      </c>
      <c r="AC28" s="234">
        <f t="shared" si="20"/>
        <v>2.873932732340689E-2</v>
      </c>
      <c r="AD28" s="92">
        <f t="shared" si="21"/>
        <v>10555.98</v>
      </c>
      <c r="AE28" s="93">
        <v>46781.929999999964</v>
      </c>
      <c r="AF28" s="234">
        <f t="shared" si="22"/>
        <v>0.36688253914278318</v>
      </c>
      <c r="AG28" s="93">
        <v>23684.260000000031</v>
      </c>
      <c r="AH28" s="93"/>
      <c r="AI28" s="93">
        <v>10760</v>
      </c>
      <c r="AJ28" s="93"/>
      <c r="AK28" s="93"/>
      <c r="AL28" s="122">
        <f t="shared" si="6"/>
        <v>550.7161290322581</v>
      </c>
      <c r="AM28" s="93">
        <v>530</v>
      </c>
      <c r="AN28" s="94">
        <f t="shared" si="23"/>
        <v>4758.0602050000007</v>
      </c>
      <c r="AO28" s="95">
        <f t="shared" si="25"/>
        <v>29891.063665967762</v>
      </c>
      <c r="AP28" s="96"/>
      <c r="AQ28" s="97">
        <f t="shared" si="7"/>
        <v>1614.0760759493671</v>
      </c>
      <c r="AR28" s="98">
        <f t="shared" si="35"/>
        <v>133.62</v>
      </c>
      <c r="AS28" s="98">
        <f t="shared" si="9"/>
        <v>592.17632911392354</v>
      </c>
      <c r="AT28" s="98">
        <f t="shared" si="10"/>
        <v>285.3525301204823</v>
      </c>
      <c r="AU28" s="98">
        <f t="shared" si="24"/>
        <v>129.63855421686748</v>
      </c>
      <c r="AV28" s="98">
        <f>_xlfn.IFS(U28=0,AO28,U28&lt;0,AO28/-U28,U28&gt;0,AO28/U28)</f>
        <v>378.36789450592102</v>
      </c>
      <c r="AW28" s="234">
        <f t="shared" si="32"/>
        <v>0.23441763380537847</v>
      </c>
      <c r="AX28" s="234">
        <f t="shared" si="33"/>
        <v>2.8316711158952326</v>
      </c>
      <c r="AY28" s="99"/>
      <c r="AZ28" s="94">
        <f t="shared" si="13"/>
        <v>338639.26558279933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0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0</v>
      </c>
      <c r="AU30" s="98">
        <f t="shared" si="24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262</v>
      </c>
      <c r="F33" s="93">
        <v>5</v>
      </c>
      <c r="G33" s="93">
        <v>5</v>
      </c>
      <c r="H33" s="93">
        <v>113</v>
      </c>
      <c r="I33" s="93">
        <v>20</v>
      </c>
      <c r="J33" s="93">
        <v>119</v>
      </c>
      <c r="K33" s="93">
        <v>123.09</v>
      </c>
      <c r="L33" s="92">
        <f>E33*K33</f>
        <v>32249.58</v>
      </c>
      <c r="M33" s="89">
        <v>168</v>
      </c>
      <c r="N33" s="89">
        <v>8</v>
      </c>
      <c r="O33" s="89">
        <v>1500</v>
      </c>
      <c r="P33" s="89">
        <v>60</v>
      </c>
      <c r="Q33" s="233">
        <f t="shared" si="14"/>
        <v>1.1428571428571428</v>
      </c>
      <c r="R33" s="92">
        <f t="shared" si="15"/>
        <v>1</v>
      </c>
      <c r="S33" s="93">
        <v>8</v>
      </c>
      <c r="T33" s="93">
        <v>-1</v>
      </c>
      <c r="U33" s="92">
        <f t="shared" si="16"/>
        <v>7</v>
      </c>
      <c r="V33" s="93">
        <v>7773</v>
      </c>
      <c r="W33" s="93">
        <v>-934</v>
      </c>
      <c r="X33" s="92">
        <f t="shared" si="17"/>
        <v>6839</v>
      </c>
      <c r="Y33" s="93">
        <v>12000</v>
      </c>
      <c r="Z33" s="93">
        <v>-1500</v>
      </c>
      <c r="AA33" s="92">
        <f t="shared" si="18"/>
        <v>10500</v>
      </c>
      <c r="AB33" s="92">
        <f t="shared" si="19"/>
        <v>7200</v>
      </c>
      <c r="AC33" s="234">
        <f t="shared" si="20"/>
        <v>2.3665452132373439E-3</v>
      </c>
      <c r="AD33" s="92">
        <f t="shared" si="21"/>
        <v>861.63</v>
      </c>
      <c r="AE33" s="93">
        <v>3947.599999999999</v>
      </c>
      <c r="AF33" s="234">
        <f t="shared" si="22"/>
        <v>0.37596190476190466</v>
      </c>
      <c r="AG33" s="93">
        <v>1224.4099999999999</v>
      </c>
      <c r="AH33" s="93"/>
      <c r="AI33" s="93">
        <v>2024</v>
      </c>
      <c r="AJ33" s="93"/>
      <c r="AK33" s="93"/>
      <c r="AL33" s="122">
        <f t="shared" si="6"/>
        <v>109.1770571590266</v>
      </c>
      <c r="AM33" s="93">
        <v>0</v>
      </c>
      <c r="AN33" s="94">
        <f t="shared" si="23"/>
        <v>390.50689999999997</v>
      </c>
      <c r="AO33" s="95">
        <f t="shared" si="25"/>
        <v>1942.6760428409762</v>
      </c>
      <c r="AP33" s="96"/>
      <c r="AQ33" s="97">
        <f t="shared" si="7"/>
        <v>1500</v>
      </c>
      <c r="AR33" s="98">
        <f t="shared" si="35"/>
        <v>123.09</v>
      </c>
      <c r="AS33" s="98">
        <f t="shared" si="9"/>
        <v>563.94285714285695</v>
      </c>
      <c r="AT33" s="98">
        <f t="shared" si="10"/>
        <v>153.05124999999998</v>
      </c>
      <c r="AU33" s="98">
        <f t="shared" si="24"/>
        <v>253</v>
      </c>
      <c r="AV33" s="98">
        <f t="array" ref="AV33">_xlfn.IFS(U33=0,AO33,U33&lt;0,AO33/-U33,U33&gt;0,AO33/U33)</f>
        <v>277.5251489772823</v>
      </c>
      <c r="AW33" s="234">
        <f>IF(AQ33=0,0,AV33/AQ33)</f>
        <v>0.18501676598485486</v>
      </c>
      <c r="AX33" s="234">
        <f>IF(AR33=0,0,AV33/AR33)</f>
        <v>2.2546522786358136</v>
      </c>
      <c r="AY33" s="99"/>
      <c r="AZ33" s="94">
        <f t="shared" si="13"/>
        <v>72711.589032047967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117</v>
      </c>
      <c r="K34" s="93">
        <v>117.24</v>
      </c>
      <c r="L34" s="92">
        <f>E34*K34</f>
        <v>13951.56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0.14285714285714285</v>
      </c>
      <c r="S34" s="93">
        <v>1</v>
      </c>
      <c r="T34" s="93">
        <v>0</v>
      </c>
      <c r="U34" s="92">
        <f t="shared" si="16"/>
        <v>1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117.24</v>
      </c>
      <c r="AE34" s="93">
        <v>-450.48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0</v>
      </c>
      <c r="AO34" s="95">
        <f t="shared" si="25"/>
        <v>333.24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-450.48</v>
      </c>
      <c r="AT34" s="98">
        <f t="shared" si="10"/>
        <v>0</v>
      </c>
      <c r="AU34" s="98">
        <f t="shared" si="24"/>
        <v>0</v>
      </c>
      <c r="AV34" s="98">
        <f t="array" ref="AV34">_xlfn.IFS(U34=0,AO34,U34&lt;0,AO34/-U34,U34&gt;0,AO34/U34)</f>
        <v>333.24</v>
      </c>
      <c r="AW34" s="234">
        <f>IF(AQ34=0,0,AV34/AQ34)</f>
        <v>0</v>
      </c>
      <c r="AX34" s="234">
        <f>IF(AR34=0,0,AV34/AR34)</f>
        <v>2.8423746161719552</v>
      </c>
      <c r="AY34" s="99"/>
      <c r="AZ34" s="94">
        <f t="shared" si="13"/>
        <v>39655.56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2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2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27</v>
      </c>
      <c r="F37" s="93" t="s">
        <v>100</v>
      </c>
      <c r="G37" s="93" t="s">
        <v>100</v>
      </c>
      <c r="H37" s="93">
        <v>1</v>
      </c>
      <c r="I37" s="93">
        <v>0</v>
      </c>
      <c r="J37" s="93">
        <v>26</v>
      </c>
      <c r="K37" s="93">
        <v>169.89</v>
      </c>
      <c r="L37" s="92">
        <f t="shared" si="42"/>
        <v>4587.03</v>
      </c>
      <c r="M37" s="89">
        <v>999</v>
      </c>
      <c r="N37" s="89">
        <v>0</v>
      </c>
      <c r="O37" s="89">
        <v>0</v>
      </c>
      <c r="P37" s="89">
        <v>0</v>
      </c>
      <c r="Q37" s="233">
        <f t="shared" si="14"/>
        <v>0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93.43</v>
      </c>
      <c r="AH37" s="93"/>
      <c r="AI37" s="93"/>
      <c r="AJ37" s="93"/>
      <c r="AK37" s="93"/>
      <c r="AL37" s="122">
        <f t="shared" si="6"/>
        <v>0.96616864742501418</v>
      </c>
      <c r="AM37" s="93">
        <v>0</v>
      </c>
      <c r="AN37" s="94">
        <f t="shared" si="23"/>
        <v>0</v>
      </c>
      <c r="AO37" s="95">
        <f t="shared" si="25"/>
        <v>-94.396168647425014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93.43</v>
      </c>
      <c r="AU37" s="98">
        <f t="shared" si="24"/>
        <v>0</v>
      </c>
      <c r="AV37" s="98">
        <f t="array" ref="AV37">_xlfn.IFS(U37=0,AO37,U37&lt;0,AO37/-U37,U37&gt;0,AO37/U37)</f>
        <v>-94.396168647425014</v>
      </c>
      <c r="AW37" s="234">
        <f t="shared" si="43"/>
        <v>0</v>
      </c>
      <c r="AX37" s="234">
        <f t="shared" si="44"/>
        <v>-0.55563110628892243</v>
      </c>
      <c r="AY37" s="99"/>
      <c r="AZ37" s="94">
        <f t="shared" si="13"/>
        <v>-2548.6965534804754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44</v>
      </c>
      <c r="F38" s="93">
        <v>2</v>
      </c>
      <c r="G38" s="93">
        <v>1</v>
      </c>
      <c r="H38" s="93">
        <v>40</v>
      </c>
      <c r="I38" s="93">
        <v>0</v>
      </c>
      <c r="J38" s="93">
        <v>1</v>
      </c>
      <c r="K38" s="92">
        <v>105.54</v>
      </c>
      <c r="L38" s="92">
        <f t="shared" si="42"/>
        <v>4643.76</v>
      </c>
      <c r="M38" s="89">
        <v>396</v>
      </c>
      <c r="N38" s="89">
        <v>3</v>
      </c>
      <c r="O38" s="89">
        <v>1197</v>
      </c>
      <c r="P38" s="89">
        <v>100</v>
      </c>
      <c r="Q38" s="233">
        <f t="shared" si="14"/>
        <v>0.42857142857142855</v>
      </c>
      <c r="R38" s="92">
        <f t="shared" si="15"/>
        <v>0.14285714285714285</v>
      </c>
      <c r="S38" s="93">
        <v>1</v>
      </c>
      <c r="T38" s="93">
        <v>0</v>
      </c>
      <c r="U38" s="92">
        <f t="shared" si="16"/>
        <v>1</v>
      </c>
      <c r="V38" s="93">
        <v>792</v>
      </c>
      <c r="W38" s="93">
        <v>0</v>
      </c>
      <c r="X38" s="92">
        <f t="shared" si="17"/>
        <v>792</v>
      </c>
      <c r="Y38" s="93">
        <v>1197</v>
      </c>
      <c r="Z38" s="93">
        <v>0</v>
      </c>
      <c r="AA38" s="92">
        <f t="shared" si="18"/>
        <v>1197</v>
      </c>
      <c r="AB38" s="92">
        <f t="shared" si="19"/>
        <v>3591</v>
      </c>
      <c r="AC38" s="234">
        <f t="shared" si="20"/>
        <v>2.6978615430905717E-4</v>
      </c>
      <c r="AD38" s="92">
        <f t="shared" si="21"/>
        <v>105.54</v>
      </c>
      <c r="AE38" s="93">
        <v>460.59000000000003</v>
      </c>
      <c r="AF38" s="234">
        <f t="shared" si="22"/>
        <v>0.3847869674185464</v>
      </c>
      <c r="AG38" s="93">
        <v>244.18</v>
      </c>
      <c r="AH38" s="93"/>
      <c r="AI38" s="93"/>
      <c r="AJ38" s="93"/>
      <c r="AK38" s="93"/>
      <c r="AL38" s="122">
        <f t="shared" si="6"/>
        <v>38.646745897000564</v>
      </c>
      <c r="AM38" s="93">
        <v>0</v>
      </c>
      <c r="AN38" s="94">
        <f t="shared" si="23"/>
        <v>45.223199999999999</v>
      </c>
      <c r="AO38" s="95">
        <f t="shared" si="25"/>
        <v>302.82005410299939</v>
      </c>
      <c r="AP38" s="96"/>
      <c r="AQ38" s="97">
        <f t="shared" si="7"/>
        <v>1197</v>
      </c>
      <c r="AR38" s="98">
        <f t="shared" si="35"/>
        <v>105.54</v>
      </c>
      <c r="AS38" s="98">
        <f t="shared" si="9"/>
        <v>460.59000000000003</v>
      </c>
      <c r="AT38" s="98">
        <f t="shared" si="10"/>
        <v>244.18</v>
      </c>
      <c r="AU38" s="98">
        <f t="shared" si="24"/>
        <v>0</v>
      </c>
      <c r="AV38" s="98">
        <f t="array" ref="AV38">_xlfn.IFS(U38=0,AO38,U38&lt;0,AO38/-U38,U38&gt;0,AO38/U38)</f>
        <v>302.82005410299939</v>
      </c>
      <c r="AW38" s="234">
        <f t="shared" si="43"/>
        <v>0.25298250133918077</v>
      </c>
      <c r="AX38" s="234">
        <f t="shared" si="44"/>
        <v>2.8692444012033294</v>
      </c>
      <c r="AY38" s="99"/>
      <c r="AZ38" s="94">
        <f t="shared" si="13"/>
        <v>13324.082380531974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12</v>
      </c>
      <c r="F39" s="93">
        <v>2</v>
      </c>
      <c r="G39" s="93">
        <v>6</v>
      </c>
      <c r="H39" s="93">
        <v>3</v>
      </c>
      <c r="I39" s="93">
        <v>0</v>
      </c>
      <c r="J39" s="93">
        <v>1</v>
      </c>
      <c r="K39" s="92">
        <v>105.54</v>
      </c>
      <c r="L39" s="92">
        <f t="shared" si="42"/>
        <v>1266.48</v>
      </c>
      <c r="M39" s="89">
        <v>999</v>
      </c>
      <c r="N39" s="89">
        <v>4</v>
      </c>
      <c r="O39" s="89">
        <v>1077</v>
      </c>
      <c r="P39" s="89">
        <v>0</v>
      </c>
      <c r="Q39" s="233">
        <f t="shared" si="14"/>
        <v>0.5714285714285714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717</v>
      </c>
      <c r="W39" s="93">
        <v>0</v>
      </c>
      <c r="X39" s="92">
        <f t="shared" si="17"/>
        <v>717</v>
      </c>
      <c r="Y39" s="93">
        <v>1077</v>
      </c>
      <c r="Z39" s="93">
        <v>0</v>
      </c>
      <c r="AA39" s="92">
        <f t="shared" si="18"/>
        <v>1077</v>
      </c>
      <c r="AB39" s="92">
        <f t="shared" si="19"/>
        <v>0</v>
      </c>
      <c r="AC39" s="234">
        <f t="shared" si="20"/>
        <v>2.427399233006304E-4</v>
      </c>
      <c r="AD39" s="92">
        <f t="shared" si="21"/>
        <v>105.54</v>
      </c>
      <c r="AE39" s="93">
        <v>408.32000000000005</v>
      </c>
      <c r="AF39" s="234">
        <f t="shared" si="22"/>
        <v>0.37912720519962867</v>
      </c>
      <c r="AG39" s="93">
        <v>675.20999999999992</v>
      </c>
      <c r="AH39" s="93"/>
      <c r="AI39" s="93"/>
      <c r="AJ39" s="93"/>
      <c r="AK39" s="93"/>
      <c r="AL39" s="122">
        <f t="shared" si="6"/>
        <v>2.898505942275043</v>
      </c>
      <c r="AM39" s="93">
        <v>0</v>
      </c>
      <c r="AN39" s="94">
        <f t="shared" si="23"/>
        <v>40.9407</v>
      </c>
      <c r="AO39" s="95">
        <f t="shared" si="25"/>
        <v>-155.90920594227498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408.32000000000005</v>
      </c>
      <c r="AT39" s="98">
        <f t="shared" si="10"/>
        <v>675.20999999999992</v>
      </c>
      <c r="AU39" s="98">
        <f t="shared" si="24"/>
        <v>0</v>
      </c>
      <c r="AV39" s="98">
        <f t="array" ref="AV39">_xlfn.IFS(U39=0,AO39,U39&lt;0,AO39/-U39,U39&gt;0,AO39/U39)</f>
        <v>-155.90920594227498</v>
      </c>
      <c r="AW39" s="234">
        <f t="shared" si="43"/>
        <v>-0.14476249391111884</v>
      </c>
      <c r="AX39" s="234">
        <f t="shared" si="44"/>
        <v>-1.4772522829474604</v>
      </c>
      <c r="AY39" s="99"/>
      <c r="AZ39" s="94">
        <f t="shared" si="13"/>
        <v>-1870.9104713072998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32</v>
      </c>
      <c r="F40" s="93">
        <v>3</v>
      </c>
      <c r="G40" s="93">
        <v>3</v>
      </c>
      <c r="H40" s="93">
        <v>25</v>
      </c>
      <c r="I40" s="93">
        <v>0</v>
      </c>
      <c r="J40" s="93">
        <v>1</v>
      </c>
      <c r="K40" s="92">
        <v>105.54</v>
      </c>
      <c r="L40" s="92">
        <f t="shared" si="42"/>
        <v>3377.28</v>
      </c>
      <c r="M40" s="89">
        <v>56</v>
      </c>
      <c r="N40" s="89">
        <v>8</v>
      </c>
      <c r="O40" s="89">
        <v>1197</v>
      </c>
      <c r="P40" s="89">
        <v>40</v>
      </c>
      <c r="Q40" s="233">
        <f t="shared" si="14"/>
        <v>1.1428571428571428</v>
      </c>
      <c r="R40" s="92">
        <f t="shared" si="15"/>
        <v>0.2857142857142857</v>
      </c>
      <c r="S40" s="93">
        <v>2</v>
      </c>
      <c r="T40" s="93">
        <v>0</v>
      </c>
      <c r="U40" s="92">
        <f t="shared" si="16"/>
        <v>2</v>
      </c>
      <c r="V40" s="93">
        <v>1548</v>
      </c>
      <c r="W40" s="93">
        <v>0</v>
      </c>
      <c r="X40" s="92">
        <f t="shared" si="17"/>
        <v>1548</v>
      </c>
      <c r="Y40" s="93">
        <v>2394</v>
      </c>
      <c r="Z40" s="93">
        <v>0</v>
      </c>
      <c r="AA40" s="92">
        <f t="shared" si="18"/>
        <v>2394</v>
      </c>
      <c r="AB40" s="92">
        <f t="shared" si="19"/>
        <v>3830.4</v>
      </c>
      <c r="AC40" s="234">
        <f t="shared" si="20"/>
        <v>5.3957230861811434E-4</v>
      </c>
      <c r="AD40" s="92">
        <f t="shared" si="21"/>
        <v>211.08</v>
      </c>
      <c r="AE40" s="93">
        <v>905.8</v>
      </c>
      <c r="AF40" s="234">
        <f t="shared" si="22"/>
        <v>0.37836257309941518</v>
      </c>
      <c r="AG40" s="93">
        <v>520.79</v>
      </c>
      <c r="AH40" s="93"/>
      <c r="AI40" s="93"/>
      <c r="AJ40" s="93"/>
      <c r="AK40" s="93"/>
      <c r="AL40" s="122">
        <f t="shared" si="6"/>
        <v>24.154216185625355</v>
      </c>
      <c r="AM40" s="93">
        <v>0</v>
      </c>
      <c r="AN40" s="94">
        <f t="shared" si="23"/>
        <v>88.390799999999999</v>
      </c>
      <c r="AO40" s="95">
        <f t="shared" si="25"/>
        <v>643.78498381437475</v>
      </c>
      <c r="AP40" s="96"/>
      <c r="AQ40" s="97">
        <f t="shared" si="7"/>
        <v>1197</v>
      </c>
      <c r="AR40" s="98">
        <f t="shared" si="35"/>
        <v>105.54</v>
      </c>
      <c r="AS40" s="98">
        <f t="shared" si="9"/>
        <v>452.9</v>
      </c>
      <c r="AT40" s="98">
        <f t="shared" si="10"/>
        <v>260.39499999999998</v>
      </c>
      <c r="AU40" s="98">
        <f t="shared" si="24"/>
        <v>0</v>
      </c>
      <c r="AV40" s="98">
        <f t="array" ref="AV40">_xlfn.IFS(U40=0,AO40,U40&lt;0,AO40/-U40,U40&gt;0,AO40/U40)</f>
        <v>321.89249190718738</v>
      </c>
      <c r="AW40" s="234">
        <f t="shared" si="43"/>
        <v>0.26891603333933783</v>
      </c>
      <c r="AX40" s="234">
        <f t="shared" si="44"/>
        <v>3.0499572854575265</v>
      </c>
      <c r="AY40" s="99"/>
      <c r="AZ40" s="94">
        <f t="shared" si="13"/>
        <v>10300.559741029996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43</v>
      </c>
      <c r="F41" s="93" t="s">
        <v>100</v>
      </c>
      <c r="G41" s="93">
        <v>1</v>
      </c>
      <c r="H41" s="93">
        <v>41</v>
      </c>
      <c r="I41" s="93">
        <v>0</v>
      </c>
      <c r="J41" s="93">
        <v>1</v>
      </c>
      <c r="K41" s="92">
        <v>123.09</v>
      </c>
      <c r="L41" s="92">
        <f t="shared" si="42"/>
        <v>5292.87</v>
      </c>
      <c r="M41" s="89">
        <v>615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185.01999999999998</v>
      </c>
      <c r="AH41" s="93"/>
      <c r="AI41" s="93"/>
      <c r="AJ41" s="93"/>
      <c r="AK41" s="93"/>
      <c r="AL41" s="122">
        <f t="shared" si="6"/>
        <v>39.612914544425585</v>
      </c>
      <c r="AM41" s="93">
        <v>0</v>
      </c>
      <c r="AN41" s="94">
        <f t="shared" si="23"/>
        <v>0</v>
      </c>
      <c r="AO41" s="95">
        <f t="shared" si="25"/>
        <v>-224.63291454442557</v>
      </c>
      <c r="AP41" s="96"/>
      <c r="AQ41" s="97">
        <f t="shared" si="7"/>
        <v>0</v>
      </c>
      <c r="AR41" s="98">
        <f t="shared" si="35"/>
        <v>123.09</v>
      </c>
      <c r="AS41" s="98">
        <f t="shared" si="9"/>
        <v>0</v>
      </c>
      <c r="AT41" s="98">
        <f t="shared" si="10"/>
        <v>185.01999999999998</v>
      </c>
      <c r="AU41" s="98">
        <f t="shared" si="24"/>
        <v>0</v>
      </c>
      <c r="AV41" s="98">
        <f t="array" ref="AV41">_xlfn.IFS(U41=0,AO41,U41&lt;0,AO41/-U41,U41&gt;0,AO41/U41)</f>
        <v>-224.63291454442557</v>
      </c>
      <c r="AW41" s="234">
        <f t="shared" si="43"/>
        <v>0</v>
      </c>
      <c r="AX41" s="234">
        <f t="shared" si="44"/>
        <v>-1.8249485298921566</v>
      </c>
      <c r="AY41" s="99"/>
      <c r="AZ41" s="94">
        <f t="shared" si="13"/>
        <v>-9659.2153254102996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30</v>
      </c>
      <c r="F42" s="93">
        <v>4</v>
      </c>
      <c r="G42" s="93">
        <v>5</v>
      </c>
      <c r="H42" s="93">
        <v>20</v>
      </c>
      <c r="I42" s="93">
        <v>0</v>
      </c>
      <c r="J42" s="93">
        <v>1</v>
      </c>
      <c r="K42" s="92">
        <v>123.09</v>
      </c>
      <c r="L42" s="92">
        <f t="shared" si="42"/>
        <v>3692.7000000000003</v>
      </c>
      <c r="M42" s="89">
        <v>41</v>
      </c>
      <c r="N42" s="89">
        <v>8</v>
      </c>
      <c r="O42" s="89">
        <v>1176</v>
      </c>
      <c r="P42" s="89">
        <v>20</v>
      </c>
      <c r="Q42" s="233">
        <f t="shared" si="14"/>
        <v>1.1428571428571428</v>
      </c>
      <c r="R42" s="92">
        <f t="shared" si="15"/>
        <v>0.42857142857142855</v>
      </c>
      <c r="S42" s="93">
        <v>3</v>
      </c>
      <c r="T42" s="93">
        <v>0</v>
      </c>
      <c r="U42" s="92">
        <f t="shared" si="16"/>
        <v>3</v>
      </c>
      <c r="V42" s="93">
        <v>2426.9499999999998</v>
      </c>
      <c r="W42" s="93">
        <v>0</v>
      </c>
      <c r="X42" s="92">
        <f t="shared" si="17"/>
        <v>2426.9499999999998</v>
      </c>
      <c r="Y42" s="93">
        <v>3527.6</v>
      </c>
      <c r="Z42" s="93">
        <v>0</v>
      </c>
      <c r="AA42" s="92">
        <f t="shared" si="18"/>
        <v>3527.6</v>
      </c>
      <c r="AB42" s="92">
        <f t="shared" si="19"/>
        <v>1881.6</v>
      </c>
      <c r="AC42" s="234">
        <f t="shared" si="20"/>
        <v>7.9506903754438603E-4</v>
      </c>
      <c r="AD42" s="92">
        <f t="shared" si="21"/>
        <v>369.27</v>
      </c>
      <c r="AE42" s="93">
        <v>1333.5499999999997</v>
      </c>
      <c r="AF42" s="234">
        <f t="shared" si="22"/>
        <v>0.37803322372151033</v>
      </c>
      <c r="AG42" s="93">
        <v>1060.6300000000001</v>
      </c>
      <c r="AH42" s="93"/>
      <c r="AI42" s="93"/>
      <c r="AJ42" s="93"/>
      <c r="AK42" s="93"/>
      <c r="AL42" s="122">
        <f t="shared" si="6"/>
        <v>19.323372948500282</v>
      </c>
      <c r="AM42" s="93">
        <v>0</v>
      </c>
      <c r="AN42" s="94">
        <f t="shared" si="23"/>
        <v>138.57884499999997</v>
      </c>
      <c r="AO42" s="95">
        <f t="shared" si="25"/>
        <v>606.24778205149983</v>
      </c>
      <c r="AP42" s="96"/>
      <c r="AQ42" s="97">
        <f t="shared" si="7"/>
        <v>1175.8666666666666</v>
      </c>
      <c r="AR42" s="98">
        <f t="shared" si="35"/>
        <v>123.09</v>
      </c>
      <c r="AS42" s="98">
        <f t="shared" si="9"/>
        <v>444.51666666666659</v>
      </c>
      <c r="AT42" s="98">
        <f t="shared" si="10"/>
        <v>353.54333333333335</v>
      </c>
      <c r="AU42" s="98">
        <f t="shared" si="24"/>
        <v>0</v>
      </c>
      <c r="AV42" s="98">
        <f t="array" ref="AV42">_xlfn.IFS(U42=0,AO42,U42&lt;0,AO42/-U42,U42&gt;0,AO42/U42)</f>
        <v>202.0825940171666</v>
      </c>
      <c r="AW42" s="234">
        <f t="shared" si="43"/>
        <v>0.17185842557305245</v>
      </c>
      <c r="AX42" s="234">
        <f t="shared" si="44"/>
        <v>1.6417466408088925</v>
      </c>
      <c r="AY42" s="99"/>
      <c r="AZ42" s="94">
        <f t="shared" si="13"/>
        <v>6062.4778205149978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6</v>
      </c>
      <c r="F43" s="93">
        <v>1</v>
      </c>
      <c r="G43" s="93">
        <v>2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2"/>
        <v>738.54</v>
      </c>
      <c r="M43" s="89">
        <v>999</v>
      </c>
      <c r="N43" s="89">
        <v>3</v>
      </c>
      <c r="O43" s="89">
        <v>1102</v>
      </c>
      <c r="P43" s="89">
        <v>0</v>
      </c>
      <c r="Q43" s="233">
        <f t="shared" si="14"/>
        <v>0.42857142857142855</v>
      </c>
      <c r="R43" s="92">
        <f t="shared" si="15"/>
        <v>0.2857142857142857</v>
      </c>
      <c r="S43" s="93">
        <v>3</v>
      </c>
      <c r="T43" s="93">
        <v>-1</v>
      </c>
      <c r="U43" s="92">
        <f t="shared" si="16"/>
        <v>2</v>
      </c>
      <c r="V43" s="93">
        <v>2118</v>
      </c>
      <c r="W43" s="93">
        <v>-711</v>
      </c>
      <c r="X43" s="92">
        <f t="shared" si="17"/>
        <v>1407</v>
      </c>
      <c r="Y43" s="93">
        <v>3283</v>
      </c>
      <c r="Z43" s="93">
        <v>-1102</v>
      </c>
      <c r="AA43" s="92">
        <f t="shared" si="18"/>
        <v>2181</v>
      </c>
      <c r="AB43" s="92">
        <f t="shared" si="19"/>
        <v>0</v>
      </c>
      <c r="AC43" s="234">
        <f t="shared" si="20"/>
        <v>4.9156524857815688E-4</v>
      </c>
      <c r="AD43" s="92">
        <f t="shared" si="21"/>
        <v>246.18</v>
      </c>
      <c r="AE43" s="93">
        <v>831.71999999999991</v>
      </c>
      <c r="AF43" s="234">
        <f t="shared" si="22"/>
        <v>0.38134800550206321</v>
      </c>
      <c r="AG43" s="93">
        <v>508.39</v>
      </c>
      <c r="AH43" s="93"/>
      <c r="AI43" s="93"/>
      <c r="AJ43" s="93"/>
      <c r="AK43" s="93"/>
      <c r="AL43" s="122">
        <f t="shared" si="6"/>
        <v>1.9323372948500284</v>
      </c>
      <c r="AM43" s="93">
        <v>0</v>
      </c>
      <c r="AN43" s="94">
        <f t="shared" si="23"/>
        <v>80.339699999999993</v>
      </c>
      <c r="AO43" s="95">
        <f t="shared" si="25"/>
        <v>512.43796270514986</v>
      </c>
      <c r="AP43" s="96"/>
      <c r="AQ43" s="97">
        <f t="shared" si="7"/>
        <v>1090.5</v>
      </c>
      <c r="AR43" s="98">
        <f t="shared" si="35"/>
        <v>123.09</v>
      </c>
      <c r="AS43" s="98">
        <f t="shared" si="9"/>
        <v>415.85999999999996</v>
      </c>
      <c r="AT43" s="98">
        <f t="shared" si="10"/>
        <v>169.46333333333334</v>
      </c>
      <c r="AU43" s="98">
        <f t="shared" si="24"/>
        <v>0</v>
      </c>
      <c r="AV43" s="98">
        <f t="array" ref="AV43">_xlfn.IFS(U43=0,AO43,U43&lt;0,AO43/-U43,U43&gt;0,AO43/U43)</f>
        <v>256.21898135257493</v>
      </c>
      <c r="AW43" s="234">
        <f t="shared" si="43"/>
        <v>0.23495550788865194</v>
      </c>
      <c r="AX43" s="234">
        <f t="shared" si="44"/>
        <v>2.0815580579460145</v>
      </c>
      <c r="AY43" s="99"/>
      <c r="AZ43" s="94">
        <f t="shared" si="13"/>
        <v>1537.3138881154496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1177</v>
      </c>
      <c r="F44" s="93">
        <v>42</v>
      </c>
      <c r="G44" s="93">
        <v>32</v>
      </c>
      <c r="H44" s="93">
        <v>106</v>
      </c>
      <c r="I44" s="93">
        <v>0</v>
      </c>
      <c r="J44" s="93">
        <v>997</v>
      </c>
      <c r="K44" s="92">
        <v>111.39</v>
      </c>
      <c r="L44" s="92">
        <f t="shared" si="42"/>
        <v>131106.03</v>
      </c>
      <c r="M44" s="89">
        <v>12</v>
      </c>
      <c r="N44" s="89">
        <v>91</v>
      </c>
      <c r="O44" s="89">
        <v>1260</v>
      </c>
      <c r="P44" s="89">
        <v>37</v>
      </c>
      <c r="Q44" s="233">
        <f t="shared" si="14"/>
        <v>13</v>
      </c>
      <c r="R44" s="92">
        <f t="shared" si="15"/>
        <v>5.2857142857142856</v>
      </c>
      <c r="S44" s="93">
        <v>38</v>
      </c>
      <c r="T44" s="93">
        <v>-1</v>
      </c>
      <c r="U44" s="92">
        <f t="shared" si="16"/>
        <v>37</v>
      </c>
      <c r="V44" s="93">
        <v>31201.769999999997</v>
      </c>
      <c r="W44" s="93">
        <v>-777</v>
      </c>
      <c r="X44" s="92">
        <f t="shared" si="17"/>
        <v>30424.769999999997</v>
      </c>
      <c r="Y44" s="93">
        <v>47437.640000000007</v>
      </c>
      <c r="Z44" s="93">
        <v>-1234</v>
      </c>
      <c r="AA44" s="92">
        <f t="shared" si="18"/>
        <v>46203.640000000007</v>
      </c>
      <c r="AB44" s="92">
        <f t="shared" si="19"/>
        <v>42424.2</v>
      </c>
      <c r="AC44" s="234">
        <f t="shared" si="20"/>
        <v>1.0413619340584903E-2</v>
      </c>
      <c r="AD44" s="92">
        <f t="shared" si="21"/>
        <v>4121.43</v>
      </c>
      <c r="AE44" s="93">
        <v>17452.640000000007</v>
      </c>
      <c r="AF44" s="234">
        <f t="shared" si="22"/>
        <v>0.37773300978018193</v>
      </c>
      <c r="AG44" s="93">
        <v>7057.7599999999966</v>
      </c>
      <c r="AH44" s="93">
        <v>446</v>
      </c>
      <c r="AI44" s="93">
        <v>3774</v>
      </c>
      <c r="AJ44" s="93"/>
      <c r="AK44" s="93"/>
      <c r="AL44" s="122">
        <f t="shared" si="6"/>
        <v>102.41387662705151</v>
      </c>
      <c r="AM44" s="93">
        <v>10</v>
      </c>
      <c r="AN44" s="94">
        <f t="shared" si="23"/>
        <v>1737.2543669999998</v>
      </c>
      <c r="AO44" s="95">
        <f t="shared" si="25"/>
        <v>11502.141756372954</v>
      </c>
      <c r="AP44" s="96"/>
      <c r="AQ44" s="97">
        <f t="shared" si="7"/>
        <v>1248.7470270270271</v>
      </c>
      <c r="AR44" s="98">
        <f t="shared" si="35"/>
        <v>111.39</v>
      </c>
      <c r="AS44" s="98">
        <f t="shared" si="9"/>
        <v>471.69297297297317</v>
      </c>
      <c r="AT44" s="98">
        <f t="shared" si="10"/>
        <v>185.73052631578938</v>
      </c>
      <c r="AU44" s="98">
        <f t="shared" si="24"/>
        <v>111.05263157894737</v>
      </c>
      <c r="AV44" s="98">
        <f t="array" ref="AV44">_xlfn.IFS(U44=0,AO44,U44&lt;0,AO44/-U44,U44&gt;0,AO44/U44)</f>
        <v>310.86869611818793</v>
      </c>
      <c r="AW44" s="234">
        <f t="shared" si="43"/>
        <v>0.24894449347222325</v>
      </c>
      <c r="AX44" s="234">
        <f t="shared" si="44"/>
        <v>2.7908133236214017</v>
      </c>
      <c r="AY44" s="99"/>
      <c r="AZ44" s="94">
        <f t="shared" si="13"/>
        <v>365892.45533110719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345</v>
      </c>
      <c r="F45" s="93">
        <v>46</v>
      </c>
      <c r="G45" s="93">
        <v>11</v>
      </c>
      <c r="H45" s="93">
        <v>133</v>
      </c>
      <c r="I45" s="93">
        <v>0</v>
      </c>
      <c r="J45" s="93">
        <v>155</v>
      </c>
      <c r="K45" s="92">
        <v>107.88</v>
      </c>
      <c r="L45" s="92">
        <f t="shared" si="42"/>
        <v>37218.6</v>
      </c>
      <c r="M45" s="89">
        <v>22</v>
      </c>
      <c r="N45" s="89">
        <v>50</v>
      </c>
      <c r="O45" s="89">
        <v>1913</v>
      </c>
      <c r="P45" s="89">
        <v>41</v>
      </c>
      <c r="Q45" s="233">
        <f t="shared" si="14"/>
        <v>7.1428571428571432</v>
      </c>
      <c r="R45" s="92">
        <f t="shared" si="15"/>
        <v>2.4285714285714284</v>
      </c>
      <c r="S45" s="93">
        <v>17</v>
      </c>
      <c r="T45" s="93">
        <v>0</v>
      </c>
      <c r="U45" s="92">
        <f t="shared" si="16"/>
        <v>17</v>
      </c>
      <c r="V45" s="93">
        <v>21297.279999999999</v>
      </c>
      <c r="W45" s="93">
        <v>0</v>
      </c>
      <c r="X45" s="92">
        <f t="shared" si="17"/>
        <v>21297.279999999999</v>
      </c>
      <c r="Y45" s="93">
        <v>32050.59</v>
      </c>
      <c r="Z45" s="93">
        <v>0</v>
      </c>
      <c r="AA45" s="92">
        <f t="shared" si="18"/>
        <v>32050.59</v>
      </c>
      <c r="AB45" s="92">
        <f t="shared" si="19"/>
        <v>39216.5</v>
      </c>
      <c r="AC45" s="234">
        <f t="shared" si="20"/>
        <v>7.2237305091364451E-3</v>
      </c>
      <c r="AD45" s="92">
        <f t="shared" si="21"/>
        <v>1833.96</v>
      </c>
      <c r="AE45" s="93">
        <v>12087.380000000005</v>
      </c>
      <c r="AF45" s="234">
        <f t="shared" si="22"/>
        <v>0.3771343990859452</v>
      </c>
      <c r="AG45" s="93">
        <v>3215.7900000000004</v>
      </c>
      <c r="AH45" s="93"/>
      <c r="AI45" s="93"/>
      <c r="AJ45" s="93"/>
      <c r="AK45" s="93"/>
      <c r="AL45" s="122">
        <f t="shared" si="6"/>
        <v>128.50043010752688</v>
      </c>
      <c r="AM45" s="93">
        <v>0</v>
      </c>
      <c r="AN45" s="94">
        <f t="shared" si="23"/>
        <v>1216.0746879999999</v>
      </c>
      <c r="AO45" s="95">
        <f t="shared" si="25"/>
        <v>13568.884881892467</v>
      </c>
      <c r="AP45" s="96"/>
      <c r="AQ45" s="97">
        <f t="shared" si="7"/>
        <v>1885.3288235294117</v>
      </c>
      <c r="AR45" s="98">
        <f t="shared" si="35"/>
        <v>107.88</v>
      </c>
      <c r="AS45" s="98">
        <f t="shared" si="9"/>
        <v>711.02235294117679</v>
      </c>
      <c r="AT45" s="98">
        <f t="shared" si="10"/>
        <v>189.16411764705884</v>
      </c>
      <c r="AU45" s="98">
        <f t="shared" si="24"/>
        <v>0</v>
      </c>
      <c r="AV45" s="98">
        <f t="array" ref="AV45">_xlfn.IFS(U45=0,AO45,U45&lt;0,AO45/-U45,U45&gt;0,AO45/U45)</f>
        <v>798.169698934851</v>
      </c>
      <c r="AW45" s="234">
        <f t="shared" si="43"/>
        <v>0.42335834946852668</v>
      </c>
      <c r="AX45" s="234">
        <f t="shared" si="44"/>
        <v>7.3986809319137103</v>
      </c>
      <c r="AY45" s="99"/>
      <c r="AZ45" s="94">
        <f t="shared" si="13"/>
        <v>275368.54613252357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66</v>
      </c>
      <c r="F47" s="93">
        <v>7</v>
      </c>
      <c r="G47" s="93">
        <v>1</v>
      </c>
      <c r="H47" s="93">
        <v>38</v>
      </c>
      <c r="I47" s="93">
        <v>0</v>
      </c>
      <c r="J47" s="93">
        <v>20</v>
      </c>
      <c r="K47" s="92">
        <v>123.09</v>
      </c>
      <c r="L47" s="92">
        <f t="shared" si="42"/>
        <v>8123.9400000000005</v>
      </c>
      <c r="M47" s="89">
        <v>24</v>
      </c>
      <c r="N47" s="89">
        <v>9</v>
      </c>
      <c r="O47" s="89">
        <v>1404</v>
      </c>
      <c r="P47" s="89">
        <v>25</v>
      </c>
      <c r="Q47" s="233">
        <f t="shared" si="14"/>
        <v>1.2857142857142858</v>
      </c>
      <c r="R47" s="92">
        <f t="shared" si="15"/>
        <v>0.42857142857142855</v>
      </c>
      <c r="S47" s="93">
        <v>4</v>
      </c>
      <c r="T47" s="93">
        <v>-1</v>
      </c>
      <c r="U47" s="92">
        <f t="shared" si="16"/>
        <v>3</v>
      </c>
      <c r="V47" s="93">
        <v>3811.88</v>
      </c>
      <c r="W47" s="93">
        <v>-873</v>
      </c>
      <c r="X47" s="92">
        <f t="shared" si="17"/>
        <v>2938.88</v>
      </c>
      <c r="Y47" s="93">
        <v>5586.91</v>
      </c>
      <c r="Z47" s="93">
        <v>-1361.88</v>
      </c>
      <c r="AA47" s="92">
        <f t="shared" si="18"/>
        <v>4225.03</v>
      </c>
      <c r="AB47" s="92">
        <f t="shared" si="19"/>
        <v>3159</v>
      </c>
      <c r="AC47" s="234">
        <f t="shared" si="20"/>
        <v>9.522594783127785E-4</v>
      </c>
      <c r="AD47" s="92">
        <f t="shared" si="21"/>
        <v>369.27</v>
      </c>
      <c r="AE47" s="93">
        <v>1590.7799999999997</v>
      </c>
      <c r="AF47" s="234">
        <f t="shared" si="22"/>
        <v>0.37651330286412166</v>
      </c>
      <c r="AG47" s="93">
        <v>1400.9999999999998</v>
      </c>
      <c r="AH47" s="93"/>
      <c r="AI47" s="93"/>
      <c r="AJ47" s="93"/>
      <c r="AK47" s="93"/>
      <c r="AL47" s="122">
        <f t="shared" si="6"/>
        <v>36.714408602150534</v>
      </c>
      <c r="AM47" s="93">
        <v>20</v>
      </c>
      <c r="AN47" s="94">
        <f t="shared" si="23"/>
        <v>167.81004799999999</v>
      </c>
      <c r="AO47" s="95">
        <f t="shared" si="25"/>
        <v>639.45554339784962</v>
      </c>
      <c r="AP47" s="96"/>
      <c r="AQ47" s="97">
        <f t="shared" si="7"/>
        <v>1408.3433333333332</v>
      </c>
      <c r="AR47" s="98">
        <f t="shared" si="35"/>
        <v>123.09</v>
      </c>
      <c r="AS47" s="98">
        <f t="shared" si="9"/>
        <v>530.25999999999988</v>
      </c>
      <c r="AT47" s="98">
        <f t="shared" si="10"/>
        <v>350.24999999999994</v>
      </c>
      <c r="AU47" s="98">
        <f t="shared" si="24"/>
        <v>0</v>
      </c>
      <c r="AV47" s="98">
        <f t="array" ref="AV47">_xlfn.IFS(U47=0,AO47,U47&lt;0,AO47/-U47,U47&gt;0,AO47/U47)</f>
        <v>213.15184779928322</v>
      </c>
      <c r="AW47" s="234">
        <f t="shared" si="43"/>
        <v>0.15134934980292442</v>
      </c>
      <c r="AX47" s="234">
        <f t="shared" si="44"/>
        <v>1.731674772924553</v>
      </c>
      <c r="AY47" s="99"/>
      <c r="AZ47" s="94">
        <f t="shared" si="13"/>
        <v>14068.021954752692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461</v>
      </c>
      <c r="F48" s="93">
        <v>84</v>
      </c>
      <c r="G48" s="93">
        <v>25</v>
      </c>
      <c r="H48" s="93">
        <v>146</v>
      </c>
      <c r="I48" s="93">
        <v>0</v>
      </c>
      <c r="J48" s="93">
        <v>206</v>
      </c>
      <c r="K48" s="92">
        <v>107.88</v>
      </c>
      <c r="L48" s="92">
        <f t="shared" si="42"/>
        <v>49732.68</v>
      </c>
      <c r="M48" s="89">
        <v>19</v>
      </c>
      <c r="N48" s="89">
        <v>152</v>
      </c>
      <c r="O48" s="89">
        <v>1356</v>
      </c>
      <c r="P48" s="89">
        <v>52</v>
      </c>
      <c r="Q48" s="233">
        <f t="shared" si="14"/>
        <v>21.714285714285715</v>
      </c>
      <c r="R48" s="92">
        <f t="shared" si="15"/>
        <v>9.5714285714285712</v>
      </c>
      <c r="S48" s="93">
        <v>74</v>
      </c>
      <c r="T48" s="93">
        <v>-7</v>
      </c>
      <c r="U48" s="92">
        <f t="shared" si="16"/>
        <v>67</v>
      </c>
      <c r="V48" s="93">
        <v>64742</v>
      </c>
      <c r="W48" s="93">
        <v>-6211.43</v>
      </c>
      <c r="X48" s="92">
        <f t="shared" si="17"/>
        <v>58530.57</v>
      </c>
      <c r="Y48" s="93">
        <v>98914.34</v>
      </c>
      <c r="Z48" s="93">
        <v>-9386.59</v>
      </c>
      <c r="AA48" s="92">
        <f t="shared" si="18"/>
        <v>89527.75</v>
      </c>
      <c r="AB48" s="92">
        <f t="shared" si="19"/>
        <v>107178.24000000001</v>
      </c>
      <c r="AC48" s="234">
        <f t="shared" si="20"/>
        <v>2.0178235068039011E-2</v>
      </c>
      <c r="AD48" s="92">
        <f t="shared" si="21"/>
        <v>7227.96</v>
      </c>
      <c r="AE48" s="93">
        <v>33685.179999999993</v>
      </c>
      <c r="AF48" s="234">
        <f t="shared" si="22"/>
        <v>0.37625406647659515</v>
      </c>
      <c r="AG48" s="93">
        <v>10635.919999999993</v>
      </c>
      <c r="AH48" s="93"/>
      <c r="AI48" s="93">
        <v>12500</v>
      </c>
      <c r="AJ48" s="93"/>
      <c r="AK48" s="93"/>
      <c r="AL48" s="122">
        <f t="shared" si="6"/>
        <v>141.06062252405206</v>
      </c>
      <c r="AM48" s="93">
        <v>0</v>
      </c>
      <c r="AN48" s="94">
        <f t="shared" si="23"/>
        <v>3342.0955469999999</v>
      </c>
      <c r="AO48" s="95">
        <f t="shared" si="25"/>
        <v>21995.533830475957</v>
      </c>
      <c r="AP48" s="96"/>
      <c r="AQ48" s="97">
        <f t="shared" si="7"/>
        <v>1336.2350746268658</v>
      </c>
      <c r="AR48" s="98">
        <f t="shared" si="35"/>
        <v>107.88</v>
      </c>
      <c r="AS48" s="98">
        <f t="shared" si="9"/>
        <v>502.7638805970148</v>
      </c>
      <c r="AT48" s="98">
        <f t="shared" si="10"/>
        <v>143.72864864864854</v>
      </c>
      <c r="AU48" s="98">
        <f t="shared" si="24"/>
        <v>168.91891891891891</v>
      </c>
      <c r="AV48" s="98">
        <f t="array" ref="AV48">_xlfn.IFS(U48=0,AO48,U48&lt;0,AO48/-U48,U48&gt;0,AO48/U48)</f>
        <v>328.29154970859639</v>
      </c>
      <c r="AW48" s="234">
        <f t="shared" si="43"/>
        <v>0.24568397877167647</v>
      </c>
      <c r="AX48" s="234">
        <f t="shared" si="44"/>
        <v>3.0431178133907713</v>
      </c>
      <c r="AY48" s="99"/>
      <c r="AZ48" s="94">
        <f t="shared" si="13"/>
        <v>151342.40441566292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1153</v>
      </c>
      <c r="F49" s="93">
        <v>95</v>
      </c>
      <c r="G49" s="93">
        <v>36</v>
      </c>
      <c r="H49" s="93">
        <v>100</v>
      </c>
      <c r="I49" s="93">
        <v>0</v>
      </c>
      <c r="J49" s="93">
        <v>922</v>
      </c>
      <c r="K49" s="92">
        <v>123.09</v>
      </c>
      <c r="L49" s="92">
        <f t="shared" si="42"/>
        <v>141922.76999999999</v>
      </c>
      <c r="M49" s="89">
        <v>8</v>
      </c>
      <c r="N49" s="89">
        <v>166</v>
      </c>
      <c r="O49" s="89">
        <v>1926</v>
      </c>
      <c r="P49" s="89">
        <v>27</v>
      </c>
      <c r="Q49" s="233">
        <f t="shared" si="14"/>
        <v>23.714285714285715</v>
      </c>
      <c r="R49" s="92">
        <f t="shared" si="15"/>
        <v>7.4285714285714288</v>
      </c>
      <c r="S49" s="93">
        <v>55</v>
      </c>
      <c r="T49" s="93">
        <v>-3</v>
      </c>
      <c r="U49" s="92">
        <f t="shared" si="16"/>
        <v>52</v>
      </c>
      <c r="V49" s="93">
        <v>69807.89</v>
      </c>
      <c r="W49" s="93">
        <v>-3872</v>
      </c>
      <c r="X49" s="92">
        <f t="shared" si="17"/>
        <v>65935.89</v>
      </c>
      <c r="Y49" s="93">
        <v>104096.99</v>
      </c>
      <c r="Z49" s="93">
        <v>-5543</v>
      </c>
      <c r="AA49" s="92">
        <f t="shared" si="18"/>
        <v>98553.99</v>
      </c>
      <c r="AB49" s="92">
        <f t="shared" si="19"/>
        <v>86323.32</v>
      </c>
      <c r="AC49" s="234">
        <f t="shared" si="20"/>
        <v>2.2212616502851529E-2</v>
      </c>
      <c r="AD49" s="92">
        <f t="shared" si="21"/>
        <v>6400.68</v>
      </c>
      <c r="AE49" s="93">
        <v>36994.93</v>
      </c>
      <c r="AF49" s="234">
        <f t="shared" si="22"/>
        <v>0.37537729319736318</v>
      </c>
      <c r="AG49" s="93">
        <v>12196.439999999997</v>
      </c>
      <c r="AH49" s="93"/>
      <c r="AI49" s="93">
        <v>19486</v>
      </c>
      <c r="AJ49" s="93"/>
      <c r="AK49" s="93"/>
      <c r="AL49" s="122">
        <f t="shared" si="6"/>
        <v>96.61686474250142</v>
      </c>
      <c r="AM49" s="93">
        <v>20</v>
      </c>
      <c r="AN49" s="94">
        <f t="shared" si="23"/>
        <v>3764.9393189999996</v>
      </c>
      <c r="AO49" s="95">
        <f t="shared" si="25"/>
        <v>19594.383816257501</v>
      </c>
      <c r="AP49" s="96"/>
      <c r="AQ49" s="97">
        <f t="shared" si="7"/>
        <v>1895.2690384615385</v>
      </c>
      <c r="AR49" s="98">
        <f t="shared" si="35"/>
        <v>123.09</v>
      </c>
      <c r="AS49" s="98">
        <f t="shared" si="9"/>
        <v>711.44096153846158</v>
      </c>
      <c r="AT49" s="98">
        <f t="shared" si="10"/>
        <v>221.7534545454545</v>
      </c>
      <c r="AU49" s="98">
        <f t="shared" si="24"/>
        <v>354.29090909090911</v>
      </c>
      <c r="AV49" s="98">
        <f t="array" ref="AV49">_xlfn.IFS(U49=0,AO49,U49&lt;0,AO49/-U49,U49&gt;0,AO49/U49)</f>
        <v>376.81507338956732</v>
      </c>
      <c r="AW49" s="234">
        <f t="shared" si="43"/>
        <v>0.1988187775680873</v>
      </c>
      <c r="AX49" s="234">
        <f t="shared" si="44"/>
        <v>3.0612972084618355</v>
      </c>
      <c r="AY49" s="99"/>
      <c r="AZ49" s="94">
        <f t="shared" si="13"/>
        <v>434467.7796181711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1159</v>
      </c>
      <c r="F50" s="93">
        <v>47</v>
      </c>
      <c r="G50" s="93">
        <v>16</v>
      </c>
      <c r="H50" s="93">
        <v>70</v>
      </c>
      <c r="I50" s="93">
        <v>0</v>
      </c>
      <c r="J50" s="93">
        <v>1026</v>
      </c>
      <c r="K50" s="92">
        <v>134.79</v>
      </c>
      <c r="L50" s="92">
        <f t="shared" si="42"/>
        <v>156221.60999999999</v>
      </c>
      <c r="M50" s="89">
        <v>10</v>
      </c>
      <c r="N50" s="89">
        <v>85</v>
      </c>
      <c r="O50" s="89">
        <v>1501</v>
      </c>
      <c r="P50" s="89">
        <v>71</v>
      </c>
      <c r="Q50" s="233">
        <f t="shared" si="14"/>
        <v>12.142857142857142</v>
      </c>
      <c r="R50" s="92">
        <f t="shared" si="15"/>
        <v>8.8571428571428577</v>
      </c>
      <c r="S50" s="93">
        <v>66</v>
      </c>
      <c r="T50" s="93">
        <v>-4</v>
      </c>
      <c r="U50" s="92">
        <f t="shared" si="16"/>
        <v>62</v>
      </c>
      <c r="V50" s="93">
        <v>65790.320000000007</v>
      </c>
      <c r="W50" s="93">
        <v>-3969</v>
      </c>
      <c r="X50" s="92">
        <f t="shared" si="17"/>
        <v>61821.320000000007</v>
      </c>
      <c r="Y50" s="93">
        <v>97931.060000000012</v>
      </c>
      <c r="Z50" s="93">
        <v>-6004</v>
      </c>
      <c r="AA50" s="92">
        <f t="shared" si="18"/>
        <v>91927.060000000012</v>
      </c>
      <c r="AB50" s="92">
        <f t="shared" si="19"/>
        <v>90585.35</v>
      </c>
      <c r="AC50" s="234">
        <f t="shared" si="20"/>
        <v>2.0719004172379249E-2</v>
      </c>
      <c r="AD50" s="92">
        <f t="shared" si="21"/>
        <v>8356.98</v>
      </c>
      <c r="AE50" s="93">
        <v>34788.24000000002</v>
      </c>
      <c r="AF50" s="234">
        <f t="shared" si="22"/>
        <v>0.37843307509236146</v>
      </c>
      <c r="AG50" s="93">
        <v>6644.1900000000023</v>
      </c>
      <c r="AH50" s="93"/>
      <c r="AI50" s="93">
        <v>5933</v>
      </c>
      <c r="AJ50" s="93"/>
      <c r="AK50" s="93"/>
      <c r="AL50" s="122">
        <f t="shared" si="6"/>
        <v>67.631805319750995</v>
      </c>
      <c r="AM50" s="93">
        <v>0</v>
      </c>
      <c r="AN50" s="94">
        <f t="shared" si="23"/>
        <v>3529.9973720000003</v>
      </c>
      <c r="AO50" s="95">
        <f t="shared" si="25"/>
        <v>32607.020822680239</v>
      </c>
      <c r="AP50" s="96"/>
      <c r="AQ50" s="97">
        <f t="shared" si="7"/>
        <v>1482.6945161290325</v>
      </c>
      <c r="AR50" s="98">
        <f t="shared" si="35"/>
        <v>134.79</v>
      </c>
      <c r="AS50" s="98">
        <f t="shared" si="9"/>
        <v>561.10064516129069</v>
      </c>
      <c r="AT50" s="98">
        <f t="shared" si="10"/>
        <v>100.66954545454549</v>
      </c>
      <c r="AU50" s="98">
        <f t="shared" si="24"/>
        <v>89.893939393939391</v>
      </c>
      <c r="AV50" s="98">
        <f t="array" ref="AV50">_xlfn.IFS(U50=0,AO50,U50&lt;0,AO50/-U50,U50&gt;0,AO50/U50)</f>
        <v>525.91969068839092</v>
      </c>
      <c r="AW50" s="234">
        <f t="shared" si="43"/>
        <v>0.35470535903878825</v>
      </c>
      <c r="AX50" s="234">
        <f t="shared" si="44"/>
        <v>3.9017708338036274</v>
      </c>
      <c r="AY50" s="99"/>
      <c r="AZ50" s="94">
        <f t="shared" si="13"/>
        <v>609540.92150784505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206</v>
      </c>
      <c r="F51" s="93">
        <v>1</v>
      </c>
      <c r="G51" s="93" t="s">
        <v>100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2"/>
        <v>29694.9</v>
      </c>
      <c r="M51" s="89">
        <v>7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/>
      <c r="AJ51" s="93"/>
      <c r="AK51" s="93"/>
      <c r="AL51" s="122">
        <f t="shared" si="6"/>
        <v>0</v>
      </c>
      <c r="AM51" s="93">
        <v>0</v>
      </c>
      <c r="AN51" s="94">
        <f t="shared" si="23"/>
        <v>0</v>
      </c>
      <c r="AO51" s="95">
        <f t="shared" si="25"/>
        <v>0</v>
      </c>
      <c r="AP51" s="96"/>
      <c r="AQ51" s="97">
        <f t="shared" si="7"/>
        <v>0</v>
      </c>
      <c r="AR51" s="98">
        <f t="shared" si="35"/>
        <v>144.15</v>
      </c>
      <c r="AS51" s="98">
        <f t="shared" si="9"/>
        <v>0</v>
      </c>
      <c r="AT51" s="98">
        <f t="shared" si="10"/>
        <v>0</v>
      </c>
      <c r="AU51" s="98">
        <f t="shared" si="24"/>
        <v>0</v>
      </c>
      <c r="AV51" s="98">
        <f t="array" ref="AV51">_xlfn.IFS(U51=0,AO51,U51&lt;0,AO51/-U51,U51&gt;0,AO51/U51)</f>
        <v>0</v>
      </c>
      <c r="AW51" s="234">
        <f t="shared" si="43"/>
        <v>0</v>
      </c>
      <c r="AX51" s="234">
        <f t="shared" si="44"/>
        <v>0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30</v>
      </c>
      <c r="F52" s="93">
        <v>5</v>
      </c>
      <c r="G52" s="93">
        <v>8</v>
      </c>
      <c r="H52" s="93">
        <v>16</v>
      </c>
      <c r="I52" s="93">
        <v>0</v>
      </c>
      <c r="J52" s="93">
        <v>1</v>
      </c>
      <c r="K52" s="92">
        <v>96.18</v>
      </c>
      <c r="L52" s="92">
        <f t="shared" si="42"/>
        <v>2885.4</v>
      </c>
      <c r="M52" s="89">
        <v>20</v>
      </c>
      <c r="N52" s="89">
        <v>11</v>
      </c>
      <c r="O52" s="89">
        <v>1302</v>
      </c>
      <c r="P52" s="89">
        <v>14</v>
      </c>
      <c r="Q52" s="233">
        <f t="shared" si="14"/>
        <v>1.5714285714285714</v>
      </c>
      <c r="R52" s="92">
        <f t="shared" si="15"/>
        <v>0.5714285714285714</v>
      </c>
      <c r="S52" s="93">
        <v>6</v>
      </c>
      <c r="T52" s="93">
        <v>-2</v>
      </c>
      <c r="U52" s="92">
        <f t="shared" si="16"/>
        <v>4</v>
      </c>
      <c r="V52" s="93">
        <v>5018</v>
      </c>
      <c r="W52" s="93">
        <v>-1777.1399999999999</v>
      </c>
      <c r="X52" s="92">
        <f t="shared" si="17"/>
        <v>3240.86</v>
      </c>
      <c r="Y52" s="93">
        <v>7744.9400000000005</v>
      </c>
      <c r="Z52" s="93">
        <v>-2407.98</v>
      </c>
      <c r="AA52" s="92">
        <f t="shared" si="18"/>
        <v>5336.9600000000009</v>
      </c>
      <c r="AB52" s="92">
        <f t="shared" si="19"/>
        <v>2005.08</v>
      </c>
      <c r="AC52" s="234">
        <f t="shared" si="20"/>
        <v>1.2028721086894453E-3</v>
      </c>
      <c r="AD52" s="92">
        <f t="shared" si="21"/>
        <v>384.72</v>
      </c>
      <c r="AE52" s="93">
        <v>2023.0800000000004</v>
      </c>
      <c r="AF52" s="234">
        <f t="shared" si="22"/>
        <v>0.37906973258184434</v>
      </c>
      <c r="AG52" s="93">
        <v>2371.8599999999997</v>
      </c>
      <c r="AH52" s="93"/>
      <c r="AI52" s="93">
        <v>296</v>
      </c>
      <c r="AJ52" s="93"/>
      <c r="AK52" s="93"/>
      <c r="AL52" s="122">
        <f t="shared" si="6"/>
        <v>15.458698358800227</v>
      </c>
      <c r="AM52" s="93">
        <v>0</v>
      </c>
      <c r="AN52" s="94">
        <f t="shared" si="23"/>
        <v>185.05310600000001</v>
      </c>
      <c r="AO52" s="95">
        <f t="shared" si="25"/>
        <v>60.788195641200389</v>
      </c>
      <c r="AP52" s="96"/>
      <c r="AQ52" s="97">
        <f t="shared" si="7"/>
        <v>1334.2400000000002</v>
      </c>
      <c r="AR52" s="98">
        <f t="shared" si="35"/>
        <v>96.18</v>
      </c>
      <c r="AS52" s="98">
        <f t="shared" si="9"/>
        <v>505.7700000000001</v>
      </c>
      <c r="AT52" s="98">
        <f t="shared" si="10"/>
        <v>395.30999999999995</v>
      </c>
      <c r="AU52" s="98">
        <f t="shared" si="24"/>
        <v>49.333333333333336</v>
      </c>
      <c r="AV52" s="98">
        <f t="array" ref="AV52">_xlfn.IFS(U52=0,AO52,U52&lt;0,AO52/-U52,U52&gt;0,AO52/U52)</f>
        <v>15.197048910300097</v>
      </c>
      <c r="AW52" s="234">
        <f t="shared" si="43"/>
        <v>1.1390041454535987E-2</v>
      </c>
      <c r="AX52" s="234">
        <f t="shared" si="44"/>
        <v>0.15800633094510394</v>
      </c>
      <c r="AY52" s="99"/>
      <c r="AZ52" s="94">
        <f t="shared" si="13"/>
        <v>455.91146730900289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40</v>
      </c>
      <c r="F53" s="93">
        <v>12</v>
      </c>
      <c r="G53" s="93">
        <v>4</v>
      </c>
      <c r="H53" s="93">
        <v>23</v>
      </c>
      <c r="I53" s="93">
        <v>0</v>
      </c>
      <c r="J53" s="93">
        <v>1</v>
      </c>
      <c r="K53" s="92">
        <v>96.18</v>
      </c>
      <c r="L53" s="92">
        <f t="shared" si="42"/>
        <v>3847.2000000000003</v>
      </c>
      <c r="M53" s="89">
        <v>38</v>
      </c>
      <c r="N53" s="89">
        <v>16</v>
      </c>
      <c r="O53" s="89">
        <v>1106</v>
      </c>
      <c r="P53" s="89">
        <v>20</v>
      </c>
      <c r="Q53" s="233">
        <f t="shared" si="14"/>
        <v>2.2857142857142856</v>
      </c>
      <c r="R53" s="92">
        <f t="shared" si="15"/>
        <v>0.14285714285714285</v>
      </c>
      <c r="S53" s="93">
        <v>2</v>
      </c>
      <c r="T53" s="93">
        <v>-1</v>
      </c>
      <c r="U53" s="92">
        <f t="shared" si="16"/>
        <v>1</v>
      </c>
      <c r="V53" s="93">
        <v>1429</v>
      </c>
      <c r="W53" s="93">
        <v>-714</v>
      </c>
      <c r="X53" s="92">
        <f t="shared" si="17"/>
        <v>715</v>
      </c>
      <c r="Y53" s="93">
        <v>2212</v>
      </c>
      <c r="Z53" s="93">
        <v>-1106</v>
      </c>
      <c r="AA53" s="92">
        <f t="shared" si="18"/>
        <v>1106</v>
      </c>
      <c r="AB53" s="92">
        <f t="shared" si="19"/>
        <v>3539.2</v>
      </c>
      <c r="AC53" s="234">
        <f t="shared" si="20"/>
        <v>2.4927609579433356E-4</v>
      </c>
      <c r="AD53" s="92">
        <f t="shared" si="21"/>
        <v>96.18</v>
      </c>
      <c r="AE53" s="93">
        <v>424.7600000000001</v>
      </c>
      <c r="AF53" s="234">
        <f t="shared" si="22"/>
        <v>0.38405063291139252</v>
      </c>
      <c r="AG53" s="93">
        <v>1484.4799999999996</v>
      </c>
      <c r="AH53" s="93">
        <v>383</v>
      </c>
      <c r="AI53" s="93">
        <v>2552</v>
      </c>
      <c r="AJ53" s="93"/>
      <c r="AK53" s="93"/>
      <c r="AL53" s="122">
        <f t="shared" si="6"/>
        <v>22.221878890775326</v>
      </c>
      <c r="AM53" s="93">
        <v>0</v>
      </c>
      <c r="AN53" s="94">
        <f t="shared" si="23"/>
        <v>40.826499999999996</v>
      </c>
      <c r="AO53" s="95">
        <f t="shared" si="25"/>
        <v>-3897.4683788907751</v>
      </c>
      <c r="AP53" s="96"/>
      <c r="AQ53" s="97">
        <f t="shared" si="7"/>
        <v>1106</v>
      </c>
      <c r="AR53" s="98">
        <f t="shared" si="35"/>
        <v>96.18</v>
      </c>
      <c r="AS53" s="98">
        <f t="shared" si="9"/>
        <v>424.7600000000001</v>
      </c>
      <c r="AT53" s="98">
        <f t="shared" si="10"/>
        <v>742.23999999999978</v>
      </c>
      <c r="AU53" s="98">
        <f t="shared" si="24"/>
        <v>1467.5</v>
      </c>
      <c r="AV53" s="98">
        <f t="array" ref="AV53">_xlfn.IFS(U53=0,AO53,U53&lt;0,AO53/-U53,U53&gt;0,AO53/U53)</f>
        <v>-3897.4683788907751</v>
      </c>
      <c r="AW53" s="234">
        <f t="shared" si="43"/>
        <v>-3.5239316264835217</v>
      </c>
      <c r="AX53" s="234">
        <f t="shared" si="44"/>
        <v>-40.522648979941515</v>
      </c>
      <c r="AY53" s="99"/>
      <c r="AZ53" s="94">
        <f t="shared" si="13"/>
        <v>-155898.735155631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28</v>
      </c>
      <c r="F54" s="93">
        <v>8</v>
      </c>
      <c r="G54" s="93">
        <v>5</v>
      </c>
      <c r="H54" s="93">
        <v>14</v>
      </c>
      <c r="I54" s="93">
        <v>0</v>
      </c>
      <c r="J54" s="93">
        <v>1</v>
      </c>
      <c r="K54" s="93">
        <v>123.09</v>
      </c>
      <c r="L54" s="92">
        <f t="shared" si="42"/>
        <v>3446.52</v>
      </c>
      <c r="M54" s="89">
        <v>27</v>
      </c>
      <c r="N54" s="89">
        <v>11</v>
      </c>
      <c r="O54" s="89">
        <v>998</v>
      </c>
      <c r="P54" s="89">
        <v>50</v>
      </c>
      <c r="Q54" s="233">
        <f t="shared" si="14"/>
        <v>1.5714285714285714</v>
      </c>
      <c r="R54" s="92">
        <f t="shared" si="15"/>
        <v>0.7142857142857143</v>
      </c>
      <c r="S54" s="93">
        <v>5</v>
      </c>
      <c r="T54" s="93">
        <v>0</v>
      </c>
      <c r="U54" s="92">
        <f t="shared" si="16"/>
        <v>5</v>
      </c>
      <c r="V54" s="93">
        <v>3369</v>
      </c>
      <c r="W54" s="93">
        <v>0</v>
      </c>
      <c r="X54" s="92">
        <f t="shared" si="17"/>
        <v>3369</v>
      </c>
      <c r="Y54" s="93">
        <v>4970</v>
      </c>
      <c r="Z54" s="93">
        <v>0</v>
      </c>
      <c r="AA54" s="92">
        <f t="shared" si="18"/>
        <v>4970</v>
      </c>
      <c r="AB54" s="92">
        <f t="shared" si="19"/>
        <v>5489</v>
      </c>
      <c r="AC54" s="234">
        <f t="shared" si="20"/>
        <v>1.1201647342656761E-3</v>
      </c>
      <c r="AD54" s="92">
        <f t="shared" si="21"/>
        <v>615.45000000000005</v>
      </c>
      <c r="AE54" s="93">
        <v>1880.6499999999996</v>
      </c>
      <c r="AF54" s="234">
        <f t="shared" si="22"/>
        <v>0.37840040241448686</v>
      </c>
      <c r="AG54" s="93">
        <v>1064.2099999999998</v>
      </c>
      <c r="AH54" s="93"/>
      <c r="AI54" s="93"/>
      <c r="AJ54" s="93"/>
      <c r="AK54" s="93"/>
      <c r="AL54" s="122">
        <f t="shared" si="6"/>
        <v>13.526361063950199</v>
      </c>
      <c r="AM54" s="93">
        <v>0</v>
      </c>
      <c r="AN54" s="94">
        <f t="shared" si="23"/>
        <v>192.3699</v>
      </c>
      <c r="AO54" s="95">
        <f t="shared" si="25"/>
        <v>1203.7937389360507</v>
      </c>
      <c r="AP54" s="96"/>
      <c r="AQ54" s="97">
        <f t="shared" si="7"/>
        <v>994</v>
      </c>
      <c r="AR54" s="98">
        <f t="shared" si="35"/>
        <v>123.09</v>
      </c>
      <c r="AS54" s="98">
        <f t="shared" si="9"/>
        <v>376.12999999999994</v>
      </c>
      <c r="AT54" s="98">
        <f t="shared" si="10"/>
        <v>212.84199999999996</v>
      </c>
      <c r="AU54" s="98">
        <f t="shared" si="24"/>
        <v>0</v>
      </c>
      <c r="AV54" s="98">
        <f t="array" ref="AV54">_xlfn.IFS(U54=0,AO54,U54&lt;0,AO54/-U54,U54&gt;0,AO54/U54)</f>
        <v>240.75874778721013</v>
      </c>
      <c r="AW54" s="234">
        <f t="shared" si="43"/>
        <v>0.24221201990665003</v>
      </c>
      <c r="AX54" s="234">
        <f t="shared" si="44"/>
        <v>1.955957005339265</v>
      </c>
      <c r="AY54" s="99"/>
      <c r="AZ54" s="94">
        <f t="shared" si="13"/>
        <v>6741.2449380418839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3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94.37</v>
      </c>
      <c r="AH55" s="93"/>
      <c r="AI55" s="93"/>
      <c r="AJ55" s="93"/>
      <c r="AK55" s="93"/>
      <c r="AL55" s="122">
        <f t="shared" si="6"/>
        <v>0</v>
      </c>
      <c r="AM55" s="93">
        <v>0</v>
      </c>
      <c r="AN55" s="94">
        <f t="shared" si="23"/>
        <v>0</v>
      </c>
      <c r="AO55" s="95">
        <f t="shared" si="25"/>
        <v>-94.37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94.37</v>
      </c>
      <c r="AU55" s="98">
        <f t="shared" si="24"/>
        <v>0</v>
      </c>
      <c r="AV55" s="98">
        <f t="array" ref="AV55">_xlfn.IFS(U55=0,AO55,U55&lt;0,AO55/-U55,U55&gt;0,AO55/U55)</f>
        <v>-94.37</v>
      </c>
      <c r="AW55" s="234">
        <f t="shared" si="43"/>
        <v>0</v>
      </c>
      <c r="AX55" s="234">
        <f t="shared" si="44"/>
        <v>-0.59656109741450158</v>
      </c>
      <c r="AY55" s="99"/>
      <c r="AZ55" s="94">
        <f t="shared" si="13"/>
        <v>-188.74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2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24</v>
      </c>
      <c r="F58" s="93">
        <v>8</v>
      </c>
      <c r="G58" s="93">
        <v>2</v>
      </c>
      <c r="H58" s="93">
        <v>13</v>
      </c>
      <c r="I58" s="93">
        <v>0</v>
      </c>
      <c r="J58" s="93">
        <v>1</v>
      </c>
      <c r="K58" s="93">
        <v>169.89</v>
      </c>
      <c r="L58" s="92">
        <f t="shared" si="42"/>
        <v>4077.3599999999997</v>
      </c>
      <c r="M58" s="89">
        <v>45</v>
      </c>
      <c r="N58" s="89">
        <v>10</v>
      </c>
      <c r="O58" s="89">
        <v>1039</v>
      </c>
      <c r="P58" s="89">
        <v>0</v>
      </c>
      <c r="Q58" s="233">
        <f t="shared" si="14"/>
        <v>1.4285714285714286</v>
      </c>
      <c r="R58" s="92">
        <f t="shared" si="15"/>
        <v>0.14285714285714285</v>
      </c>
      <c r="S58" s="93">
        <v>1</v>
      </c>
      <c r="T58" s="93">
        <v>0</v>
      </c>
      <c r="U58" s="92">
        <f t="shared" si="16"/>
        <v>1</v>
      </c>
      <c r="V58" s="93">
        <v>677</v>
      </c>
      <c r="W58" s="93">
        <v>0</v>
      </c>
      <c r="X58" s="92">
        <f t="shared" si="17"/>
        <v>677</v>
      </c>
      <c r="Y58" s="93">
        <v>1039</v>
      </c>
      <c r="Z58" s="93">
        <v>0</v>
      </c>
      <c r="AA58" s="92">
        <f t="shared" si="18"/>
        <v>1039</v>
      </c>
      <c r="AB58" s="92">
        <f t="shared" si="19"/>
        <v>0</v>
      </c>
      <c r="AC58" s="234">
        <f t="shared" si="20"/>
        <v>2.3417528348129525E-4</v>
      </c>
      <c r="AD58" s="92">
        <f t="shared" si="21"/>
        <v>169.89</v>
      </c>
      <c r="AE58" s="93">
        <v>399.28</v>
      </c>
      <c r="AF58" s="234">
        <f t="shared" si="22"/>
        <v>0.38429258902791141</v>
      </c>
      <c r="AG58" s="93">
        <v>369.21999999999997</v>
      </c>
      <c r="AH58" s="93"/>
      <c r="AI58" s="93">
        <v>300</v>
      </c>
      <c r="AJ58" s="93"/>
      <c r="AK58" s="93"/>
      <c r="AL58" s="122">
        <f t="shared" si="6"/>
        <v>12.560192416525185</v>
      </c>
      <c r="AM58" s="93">
        <v>0</v>
      </c>
      <c r="AN58" s="94">
        <f t="shared" si="23"/>
        <v>38.656700000000001</v>
      </c>
      <c r="AO58" s="95">
        <f t="shared" si="25"/>
        <v>-250.60689241652511</v>
      </c>
      <c r="AP58" s="96"/>
      <c r="AQ58" s="97">
        <f t="shared" si="7"/>
        <v>1039</v>
      </c>
      <c r="AR58" s="98">
        <f t="shared" si="35"/>
        <v>169.89</v>
      </c>
      <c r="AS58" s="98">
        <f t="shared" si="9"/>
        <v>399.28</v>
      </c>
      <c r="AT58" s="98">
        <f t="shared" si="10"/>
        <v>369.21999999999997</v>
      </c>
      <c r="AU58" s="98">
        <f t="shared" si="24"/>
        <v>300</v>
      </c>
      <c r="AV58" s="98">
        <f t="array" ref="AV58">_xlfn.IFS(U58=0,AO58,U58&lt;0,AO58/-U58,U58&gt;0,AO58/U58)</f>
        <v>-250.60689241652511</v>
      </c>
      <c r="AW58" s="234">
        <f t="shared" si="43"/>
        <v>-0.24120008894756989</v>
      </c>
      <c r="AX58" s="234">
        <f t="shared" si="44"/>
        <v>-1.4751126753577322</v>
      </c>
      <c r="AY58" s="99"/>
      <c r="AZ58" s="94">
        <f t="shared" si="13"/>
        <v>-6014.5654179966023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2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63</v>
      </c>
      <c r="F60" s="93">
        <v>1</v>
      </c>
      <c r="G60" s="93" t="s">
        <v>100</v>
      </c>
      <c r="H60" s="93">
        <v>21</v>
      </c>
      <c r="I60" s="93">
        <v>0</v>
      </c>
      <c r="J60" s="93">
        <v>41</v>
      </c>
      <c r="K60" s="93">
        <v>158.19</v>
      </c>
      <c r="L60" s="92">
        <f t="shared" si="42"/>
        <v>9965.9699999999993</v>
      </c>
      <c r="M60" s="89">
        <v>598</v>
      </c>
      <c r="N60" s="89">
        <v>1</v>
      </c>
      <c r="O60" s="89">
        <v>1048</v>
      </c>
      <c r="P60" s="89">
        <v>0</v>
      </c>
      <c r="Q60" s="233">
        <f t="shared" si="14"/>
        <v>0.14285714285714285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0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0</v>
      </c>
      <c r="AH60" s="93"/>
      <c r="AI60" s="93"/>
      <c r="AJ60" s="93"/>
      <c r="AK60" s="93"/>
      <c r="AL60" s="122">
        <f t="shared" si="6"/>
        <v>20.289541595925296</v>
      </c>
      <c r="AM60" s="93">
        <v>0</v>
      </c>
      <c r="AN60" s="94">
        <f t="shared" si="23"/>
        <v>0</v>
      </c>
      <c r="AO60" s="95">
        <f t="shared" si="25"/>
        <v>-20.289541595925296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0</v>
      </c>
      <c r="AU60" s="98">
        <f t="shared" si="24"/>
        <v>0</v>
      </c>
      <c r="AV60" s="98">
        <f t="array" ref="AV60">_xlfn.IFS(U60=0,AO60,U60&lt;0,AO60/-U60,U60&gt;0,AO60/U60)</f>
        <v>-20.289541595925296</v>
      </c>
      <c r="AW60" s="234">
        <f t="shared" si="43"/>
        <v>0</v>
      </c>
      <c r="AX60" s="234">
        <f t="shared" si="44"/>
        <v>-0.12826058281765787</v>
      </c>
      <c r="AY60" s="99"/>
      <c r="AZ60" s="94">
        <f t="shared" si="13"/>
        <v>-1278.2411205432936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479</v>
      </c>
      <c r="F61" s="93">
        <v>3</v>
      </c>
      <c r="G61" s="93">
        <v>2</v>
      </c>
      <c r="H61" s="93">
        <v>153</v>
      </c>
      <c r="I61" s="93">
        <v>0</v>
      </c>
      <c r="J61" s="93">
        <v>321</v>
      </c>
      <c r="K61" s="93">
        <v>128.94</v>
      </c>
      <c r="L61" s="92">
        <f t="shared" si="42"/>
        <v>61762.26</v>
      </c>
      <c r="M61" s="89">
        <v>396</v>
      </c>
      <c r="N61" s="89">
        <v>5</v>
      </c>
      <c r="O61" s="89">
        <v>948</v>
      </c>
      <c r="P61" s="89">
        <v>33</v>
      </c>
      <c r="Q61" s="233">
        <f t="shared" si="14"/>
        <v>0.7142857142857143</v>
      </c>
      <c r="R61" s="92">
        <f t="shared" si="15"/>
        <v>0.42857142857142855</v>
      </c>
      <c r="S61" s="93">
        <v>3</v>
      </c>
      <c r="T61" s="93">
        <v>0</v>
      </c>
      <c r="U61" s="92">
        <f t="shared" si="16"/>
        <v>3</v>
      </c>
      <c r="V61" s="93">
        <v>2127.9299999999998</v>
      </c>
      <c r="W61" s="93">
        <v>0</v>
      </c>
      <c r="X61" s="92">
        <f t="shared" si="17"/>
        <v>2127.9299999999998</v>
      </c>
      <c r="Y61" s="93">
        <v>2816.3</v>
      </c>
      <c r="Z61" s="93">
        <v>0</v>
      </c>
      <c r="AA61" s="92">
        <f t="shared" si="18"/>
        <v>2816.3</v>
      </c>
      <c r="AB61" s="92">
        <f t="shared" si="19"/>
        <v>1564.2</v>
      </c>
      <c r="AC61" s="234">
        <f t="shared" si="20"/>
        <v>6.3475250324193633E-4</v>
      </c>
      <c r="AD61" s="92">
        <f t="shared" si="21"/>
        <v>386.82</v>
      </c>
      <c r="AE61" s="93">
        <v>1071.67</v>
      </c>
      <c r="AF61" s="234">
        <f t="shared" si="22"/>
        <v>0.3805240918936193</v>
      </c>
      <c r="AG61" s="93">
        <v>557.29999999999995</v>
      </c>
      <c r="AH61" s="93"/>
      <c r="AI61" s="93"/>
      <c r="AJ61" s="93"/>
      <c r="AK61" s="93"/>
      <c r="AL61" s="122">
        <f t="shared" si="6"/>
        <v>147.82380305602717</v>
      </c>
      <c r="AM61" s="93">
        <v>0</v>
      </c>
      <c r="AN61" s="94">
        <f t="shared" si="23"/>
        <v>121.50480299999998</v>
      </c>
      <c r="AO61" s="95">
        <f t="shared" si="25"/>
        <v>531.18139394397281</v>
      </c>
      <c r="AP61" s="96"/>
      <c r="AQ61" s="97">
        <f t="shared" si="7"/>
        <v>938.76666666666677</v>
      </c>
      <c r="AR61" s="98">
        <f t="shared" si="35"/>
        <v>128.94</v>
      </c>
      <c r="AS61" s="98">
        <f t="shared" si="9"/>
        <v>357.22333333333336</v>
      </c>
      <c r="AT61" s="98">
        <f t="shared" si="10"/>
        <v>185.76666666666665</v>
      </c>
      <c r="AU61" s="98">
        <f t="shared" si="24"/>
        <v>0</v>
      </c>
      <c r="AV61" s="98">
        <f t="array" ref="AV61">_xlfn.IFS(U61=0,AO61,U61&lt;0,AO61/-U61,U61&gt;0,AO61/U61)</f>
        <v>177.06046464799093</v>
      </c>
      <c r="AW61" s="234">
        <f t="shared" si="43"/>
        <v>0.18860966301316362</v>
      </c>
      <c r="AX61" s="234">
        <f t="shared" si="44"/>
        <v>1.3732004393360551</v>
      </c>
      <c r="AY61" s="99"/>
      <c r="AZ61" s="94">
        <f t="shared" si="13"/>
        <v>84811.96256638765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2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2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2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0.96616864742501418</v>
      </c>
      <c r="AM65" s="93">
        <v>0</v>
      </c>
      <c r="AN65" s="94">
        <f t="shared" si="23"/>
        <v>0</v>
      </c>
      <c r="AO65" s="95">
        <f t="shared" si="25"/>
        <v>-0.96616864742501418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-0.96616864742501418</v>
      </c>
      <c r="AW65" s="234">
        <f t="shared" si="43"/>
        <v>0</v>
      </c>
      <c r="AX65" s="234">
        <f t="shared" si="44"/>
        <v>-9.6917308398536892E-3</v>
      </c>
      <c r="AY65" s="99"/>
      <c r="AZ65" s="94">
        <f t="shared" si="13"/>
        <v>-91.786021505376354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2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1.9323372948500284</v>
      </c>
      <c r="AM66" s="93">
        <v>0</v>
      </c>
      <c r="AN66" s="94">
        <f t="shared" si="23"/>
        <v>0</v>
      </c>
      <c r="AO66" s="95">
        <f t="shared" si="25"/>
        <v>-1.9323372948500284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-1.9323372948500284</v>
      </c>
      <c r="AW66" s="234">
        <f t="shared" si="43"/>
        <v>0</v>
      </c>
      <c r="AX66" s="234">
        <f t="shared" si="44"/>
        <v>-1.9849381559835937E-2</v>
      </c>
      <c r="AY66" s="99"/>
      <c r="AZ66" s="94">
        <f t="shared" si="13"/>
        <v>-183.57204301075271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2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8</v>
      </c>
      <c r="F69" s="93">
        <v>5</v>
      </c>
      <c r="G69" s="93" t="s">
        <v>100</v>
      </c>
      <c r="H69" s="93">
        <v>2</v>
      </c>
      <c r="I69" s="93">
        <v>0</v>
      </c>
      <c r="J69" s="93">
        <v>1</v>
      </c>
      <c r="K69" s="93">
        <v>140.63999999999999</v>
      </c>
      <c r="L69" s="92">
        <f t="shared" si="42"/>
        <v>1125.1199999999999</v>
      </c>
      <c r="M69" s="89">
        <v>24</v>
      </c>
      <c r="N69" s="89">
        <v>7</v>
      </c>
      <c r="O69" s="89">
        <v>998</v>
      </c>
      <c r="P69" s="89">
        <v>0</v>
      </c>
      <c r="Q69" s="233">
        <f t="shared" si="47"/>
        <v>1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1282</v>
      </c>
      <c r="W69" s="93">
        <v>0</v>
      </c>
      <c r="X69" s="92">
        <f t="shared" si="50"/>
        <v>1282</v>
      </c>
      <c r="Y69" s="93">
        <v>1975</v>
      </c>
      <c r="Z69" s="93">
        <v>0</v>
      </c>
      <c r="AA69" s="92">
        <f t="shared" si="51"/>
        <v>1975</v>
      </c>
      <c r="AB69" s="92">
        <f t="shared" si="52"/>
        <v>0</v>
      </c>
      <c r="AC69" s="234">
        <f t="shared" si="53"/>
        <v>4.4513588534702419E-4</v>
      </c>
      <c r="AD69" s="92">
        <f t="shared" si="54"/>
        <v>281.27999999999997</v>
      </c>
      <c r="AE69" s="93">
        <v>747.47</v>
      </c>
      <c r="AF69" s="234">
        <f t="shared" si="55"/>
        <v>0.37846582278481011</v>
      </c>
      <c r="AG69" s="93">
        <v>328.62</v>
      </c>
      <c r="AH69" s="93"/>
      <c r="AI69" s="93"/>
      <c r="AJ69" s="93"/>
      <c r="AK69" s="93"/>
      <c r="AL69" s="122">
        <f t="shared" si="46"/>
        <v>1.9323372948500284</v>
      </c>
      <c r="AM69" s="93">
        <v>0</v>
      </c>
      <c r="AN69" s="94">
        <f t="shared" si="56"/>
        <v>73.202199999999991</v>
      </c>
      <c r="AO69" s="95">
        <f t="shared" ref="AO69:AO103" si="57">AA69-AD69-AE69-AG69-AH69-AI69-AK69-AL69-AN69-AM69</f>
        <v>542.49546270514998</v>
      </c>
      <c r="AP69" s="96"/>
      <c r="AQ69" s="97">
        <f t="shared" si="7"/>
        <v>987.5</v>
      </c>
      <c r="AR69" s="98">
        <f t="shared" si="35"/>
        <v>140.63999999999999</v>
      </c>
      <c r="AS69" s="98">
        <f t="shared" si="9"/>
        <v>373.73500000000001</v>
      </c>
      <c r="AT69" s="98">
        <f t="shared" si="10"/>
        <v>164.31</v>
      </c>
      <c r="AU69" s="98">
        <f t="shared" si="24"/>
        <v>0</v>
      </c>
      <c r="AV69" s="98">
        <f t="array" ref="AV69">_xlfn.IFS(U69=0,AO69,U69&lt;0,AO69/-U69,U69&gt;0,AO69/U69)</f>
        <v>271.24773135257499</v>
      </c>
      <c r="AW69" s="234">
        <f t="shared" si="43"/>
        <v>0.27468124693931645</v>
      </c>
      <c r="AX69" s="234">
        <f t="shared" si="44"/>
        <v>1.9286670318015857</v>
      </c>
      <c r="AY69" s="99"/>
      <c r="AZ69" s="94">
        <f t="shared" si="13"/>
        <v>2169.9818508205999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2"/>
        <v>117.24</v>
      </c>
      <c r="M70" s="89">
        <v>6</v>
      </c>
      <c r="N70" s="89">
        <v>1</v>
      </c>
      <c r="O70" s="89">
        <v>1048</v>
      </c>
      <c r="P70" s="89">
        <v>100</v>
      </c>
      <c r="Q70" s="233">
        <f t="shared" si="47"/>
        <v>0.14285714285714285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1379</v>
      </c>
      <c r="W70" s="93">
        <v>0</v>
      </c>
      <c r="X70" s="92">
        <f t="shared" si="50"/>
        <v>1379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1048</v>
      </c>
      <c r="AC70" s="234">
        <f t="shared" si="53"/>
        <v>4.724075016138545E-4</v>
      </c>
      <c r="AD70" s="92">
        <f t="shared" si="54"/>
        <v>234.48</v>
      </c>
      <c r="AE70" s="93">
        <v>794</v>
      </c>
      <c r="AF70" s="234">
        <f t="shared" si="55"/>
        <v>0.37881679389312978</v>
      </c>
      <c r="AG70" s="93">
        <v>108.25</v>
      </c>
      <c r="AH70" s="93"/>
      <c r="AI70" s="93"/>
      <c r="AJ70" s="93"/>
      <c r="AK70" s="93"/>
      <c r="AL70" s="122">
        <f t="shared" si="46"/>
        <v>0</v>
      </c>
      <c r="AM70" s="93">
        <v>0</v>
      </c>
      <c r="AN70" s="94">
        <f t="shared" si="56"/>
        <v>78.740899999999996</v>
      </c>
      <c r="AO70" s="95">
        <f t="shared" si="57"/>
        <v>880.52909999999997</v>
      </c>
      <c r="AP70" s="96"/>
      <c r="AQ70" s="97">
        <f t="shared" si="7"/>
        <v>1048</v>
      </c>
      <c r="AR70" s="98">
        <f t="shared" si="35"/>
        <v>117.24</v>
      </c>
      <c r="AS70" s="98">
        <f t="shared" si="9"/>
        <v>397</v>
      </c>
      <c r="AT70" s="98">
        <f t="shared" si="10"/>
        <v>54.125</v>
      </c>
      <c r="AU70" s="98">
        <f t="shared" si="24"/>
        <v>0</v>
      </c>
      <c r="AV70" s="98">
        <f t="array" ref="AV70">_xlfn.IFS(U70=0,AO70,U70&lt;0,AO70/-U70,U70&gt;0,AO70/U70)</f>
        <v>440.26454999999999</v>
      </c>
      <c r="AW70" s="234">
        <f t="shared" si="43"/>
        <v>0.42009976145038169</v>
      </c>
      <c r="AX70" s="234">
        <f t="shared" si="44"/>
        <v>3.7552418116683728</v>
      </c>
      <c r="AY70" s="99"/>
      <c r="AZ70" s="94">
        <f t="shared" si="13"/>
        <v>440.26454999999999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27</v>
      </c>
      <c r="F71" s="93" t="s">
        <v>100</v>
      </c>
      <c r="G71" s="93">
        <v>3</v>
      </c>
      <c r="H71" s="93" t="s">
        <v>100</v>
      </c>
      <c r="I71" s="93">
        <v>0</v>
      </c>
      <c r="J71" s="93">
        <v>24</v>
      </c>
      <c r="K71" s="93">
        <v>123.09</v>
      </c>
      <c r="L71" s="92">
        <f t="shared" si="42"/>
        <v>3323.4300000000003</v>
      </c>
      <c r="M71" s="89">
        <v>21</v>
      </c>
      <c r="N71" s="89">
        <v>1</v>
      </c>
      <c r="O71" s="89">
        <v>702</v>
      </c>
      <c r="P71" s="89">
        <v>0</v>
      </c>
      <c r="Q71" s="233">
        <f t="shared" si="47"/>
        <v>0.14285714285714285</v>
      </c>
      <c r="R71" s="92">
        <f t="shared" si="48"/>
        <v>0.14285714285714285</v>
      </c>
      <c r="S71" s="93">
        <v>2</v>
      </c>
      <c r="T71" s="93">
        <v>-1</v>
      </c>
      <c r="U71" s="92">
        <f t="shared" si="49"/>
        <v>1</v>
      </c>
      <c r="V71" s="93">
        <v>970</v>
      </c>
      <c r="W71" s="93">
        <v>-470</v>
      </c>
      <c r="X71" s="92">
        <f t="shared" si="50"/>
        <v>500</v>
      </c>
      <c r="Y71" s="93">
        <v>1404</v>
      </c>
      <c r="Z71" s="93">
        <v>-702</v>
      </c>
      <c r="AA71" s="92">
        <f t="shared" si="51"/>
        <v>702</v>
      </c>
      <c r="AB71" s="92">
        <f t="shared" si="52"/>
        <v>0</v>
      </c>
      <c r="AC71" s="234">
        <f t="shared" si="53"/>
        <v>1.582204513992967E-4</v>
      </c>
      <c r="AD71" s="92">
        <f t="shared" si="54"/>
        <v>123.09</v>
      </c>
      <c r="AE71" s="93">
        <v>267.68000000000006</v>
      </c>
      <c r="AF71" s="234">
        <f t="shared" si="55"/>
        <v>0.38131054131054143</v>
      </c>
      <c r="AG71" s="93">
        <v>252.15</v>
      </c>
      <c r="AH71" s="93"/>
      <c r="AI71" s="93"/>
      <c r="AJ71" s="93"/>
      <c r="AK71" s="93"/>
      <c r="AL71" s="122">
        <f t="shared" si="46"/>
        <v>0</v>
      </c>
      <c r="AM71" s="93">
        <v>0</v>
      </c>
      <c r="AN71" s="94">
        <f t="shared" si="56"/>
        <v>28.55</v>
      </c>
      <c r="AO71" s="95">
        <f t="shared" si="57"/>
        <v>30.529999999999898</v>
      </c>
      <c r="AP71" s="96"/>
      <c r="AQ71" s="97">
        <f t="shared" si="7"/>
        <v>702</v>
      </c>
      <c r="AR71" s="98">
        <f t="shared" si="35"/>
        <v>123.09</v>
      </c>
      <c r="AS71" s="98">
        <f t="shared" si="9"/>
        <v>267.68000000000006</v>
      </c>
      <c r="AT71" s="98">
        <f t="shared" si="10"/>
        <v>126.075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30.529999999999898</v>
      </c>
      <c r="AW71" s="234">
        <f t="shared" si="43"/>
        <v>4.3490028490028344E-2</v>
      </c>
      <c r="AX71" s="234">
        <f t="shared" si="44"/>
        <v>0.24802989682346166</v>
      </c>
      <c r="AY71" s="99"/>
      <c r="AZ71" s="94">
        <f t="shared" si="13"/>
        <v>824.30999999999722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2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7"/>
        <v>0</v>
      </c>
      <c r="R72" s="92">
        <f t="shared" si="48"/>
        <v>0.14285714285714285</v>
      </c>
      <c r="S72" s="93">
        <v>1</v>
      </c>
      <c r="T72" s="93">
        <v>0</v>
      </c>
      <c r="U72" s="92">
        <f t="shared" si="49"/>
        <v>1</v>
      </c>
      <c r="V72" s="93">
        <v>573</v>
      </c>
      <c r="W72" s="93">
        <v>0</v>
      </c>
      <c r="X72" s="92">
        <f t="shared" si="50"/>
        <v>573</v>
      </c>
      <c r="Y72" s="93">
        <v>837</v>
      </c>
      <c r="Z72" s="93">
        <v>0</v>
      </c>
      <c r="AA72" s="92">
        <f t="shared" si="51"/>
        <v>837</v>
      </c>
      <c r="AB72" s="92">
        <f t="shared" si="52"/>
        <v>0</v>
      </c>
      <c r="AC72" s="234">
        <f t="shared" si="53"/>
        <v>1.8864746128377684E-4</v>
      </c>
      <c r="AD72" s="92">
        <f t="shared" si="54"/>
        <v>123.09</v>
      </c>
      <c r="AE72" s="93">
        <v>317.96000000000004</v>
      </c>
      <c r="AF72" s="234">
        <f t="shared" si="55"/>
        <v>0.37988052568697733</v>
      </c>
      <c r="AG72" s="93">
        <v>59.66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32.718299999999999</v>
      </c>
      <c r="AO72" s="95">
        <f t="shared" si="57"/>
        <v>303.57169999999996</v>
      </c>
      <c r="AP72" s="96"/>
      <c r="AQ72" s="97">
        <f t="shared" si="7"/>
        <v>837</v>
      </c>
      <c r="AR72" s="98">
        <f t="shared" si="35"/>
        <v>123.09</v>
      </c>
      <c r="AS72" s="98">
        <f t="shared" si="9"/>
        <v>317.96000000000004</v>
      </c>
      <c r="AT72" s="98">
        <f t="shared" si="10"/>
        <v>59.66</v>
      </c>
      <c r="AU72" s="98">
        <f t="shared" si="58"/>
        <v>0</v>
      </c>
      <c r="AV72" s="98">
        <f t="array" ref="AV72">_xlfn.IFS(U72=0,AO72,U72&lt;0,AO72/-U72,U72&gt;0,AO72/U72)</f>
        <v>303.57169999999996</v>
      </c>
      <c r="AW72" s="234">
        <f t="shared" si="43"/>
        <v>0.3626902031063321</v>
      </c>
      <c r="AX72" s="234">
        <f t="shared" si="44"/>
        <v>2.4662580225850999</v>
      </c>
      <c r="AY72" s="99"/>
      <c r="AZ72" s="94">
        <f t="shared" si="13"/>
        <v>303.57169999999996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4</v>
      </c>
      <c r="F73" s="93" t="s">
        <v>100</v>
      </c>
      <c r="G73" s="93">
        <v>2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2"/>
        <v>492.36</v>
      </c>
      <c r="M73" s="89">
        <v>999</v>
      </c>
      <c r="N73" s="89">
        <v>0</v>
      </c>
      <c r="O73" s="89">
        <v>0</v>
      </c>
      <c r="P73" s="89">
        <v>0</v>
      </c>
      <c r="Q73" s="233">
        <f t="shared" si="47"/>
        <v>0</v>
      </c>
      <c r="R73" s="92">
        <f t="shared" si="48"/>
        <v>0.2857142857142857</v>
      </c>
      <c r="S73" s="93">
        <v>2</v>
      </c>
      <c r="T73" s="93">
        <v>0</v>
      </c>
      <c r="U73" s="92">
        <f t="shared" si="49"/>
        <v>2</v>
      </c>
      <c r="V73" s="93">
        <v>1178.48</v>
      </c>
      <c r="W73" s="93">
        <v>0</v>
      </c>
      <c r="X73" s="92">
        <f t="shared" si="50"/>
        <v>1178.48</v>
      </c>
      <c r="Y73" s="93">
        <v>1613.67</v>
      </c>
      <c r="Z73" s="93">
        <v>0</v>
      </c>
      <c r="AA73" s="92">
        <f t="shared" si="51"/>
        <v>1613.67</v>
      </c>
      <c r="AB73" s="92">
        <f t="shared" si="52"/>
        <v>0</v>
      </c>
      <c r="AC73" s="234">
        <f t="shared" si="53"/>
        <v>3.6369742992806712E-4</v>
      </c>
      <c r="AD73" s="92">
        <f t="shared" si="54"/>
        <v>246.18</v>
      </c>
      <c r="AE73" s="93">
        <v>605.30000000000007</v>
      </c>
      <c r="AF73" s="234">
        <f t="shared" si="55"/>
        <v>0.37510767381186988</v>
      </c>
      <c r="AG73" s="93">
        <v>281.21000000000004</v>
      </c>
      <c r="AH73" s="93"/>
      <c r="AI73" s="93"/>
      <c r="AJ73" s="93"/>
      <c r="AK73" s="93"/>
      <c r="AL73" s="122">
        <f t="shared" si="46"/>
        <v>0.96616864742501418</v>
      </c>
      <c r="AM73" s="93">
        <v>0</v>
      </c>
      <c r="AN73" s="94">
        <f t="shared" si="56"/>
        <v>67.291207999999997</v>
      </c>
      <c r="AO73" s="95">
        <f t="shared" si="57"/>
        <v>412.72262335257489</v>
      </c>
      <c r="AP73" s="96"/>
      <c r="AQ73" s="97">
        <f t="shared" si="7"/>
        <v>806.83500000000004</v>
      </c>
      <c r="AR73" s="98">
        <f t="shared" si="35"/>
        <v>123.09</v>
      </c>
      <c r="AS73" s="98">
        <f t="shared" si="9"/>
        <v>302.65000000000003</v>
      </c>
      <c r="AT73" s="98">
        <f t="shared" si="10"/>
        <v>140.60500000000002</v>
      </c>
      <c r="AU73" s="98">
        <f t="shared" si="58"/>
        <v>0</v>
      </c>
      <c r="AV73" s="98">
        <f t="array" ref="AV73">_xlfn.IFS(U73=0,AO73,U73&lt;0,AO73/-U73,U73&gt;0,AO73/U73)</f>
        <v>206.36131167628744</v>
      </c>
      <c r="AW73" s="234">
        <f t="shared" si="43"/>
        <v>0.25576643511534258</v>
      </c>
      <c r="AX73" s="234">
        <f t="shared" si="44"/>
        <v>1.6765075284449382</v>
      </c>
      <c r="AY73" s="99"/>
      <c r="AZ73" s="94">
        <f t="shared" si="13"/>
        <v>825.44524670514977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8"/>
        <v>0</v>
      </c>
      <c r="AV74" s="98">
        <f t="array" ref="AV74">_xlfn.IFS(U74=0,AO74,U74&lt;0,AO74/-U74,U74&gt;0,AO74/U74)</f>
        <v>0</v>
      </c>
      <c r="AW74" s="234">
        <f t="shared" si="43"/>
        <v>0</v>
      </c>
      <c r="AX74" s="234">
        <f t="shared" si="44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17</v>
      </c>
      <c r="F75" s="93">
        <v>7</v>
      </c>
      <c r="G75" s="93">
        <v>3</v>
      </c>
      <c r="H75" s="93">
        <v>6</v>
      </c>
      <c r="I75" s="93">
        <v>0</v>
      </c>
      <c r="J75" s="93">
        <v>1</v>
      </c>
      <c r="K75" s="93">
        <v>134.79</v>
      </c>
      <c r="L75" s="92">
        <f t="shared" si="42"/>
        <v>2291.4299999999998</v>
      </c>
      <c r="M75" s="89">
        <v>14</v>
      </c>
      <c r="N75" s="89">
        <v>14</v>
      </c>
      <c r="O75" s="89">
        <v>763</v>
      </c>
      <c r="P75" s="89">
        <v>38</v>
      </c>
      <c r="Q75" s="233">
        <f t="shared" si="47"/>
        <v>2</v>
      </c>
      <c r="R75" s="92">
        <f t="shared" si="48"/>
        <v>0.7142857142857143</v>
      </c>
      <c r="S75" s="93">
        <v>6</v>
      </c>
      <c r="T75" s="93">
        <v>-1</v>
      </c>
      <c r="U75" s="92">
        <f t="shared" si="49"/>
        <v>5</v>
      </c>
      <c r="V75" s="93">
        <v>3058</v>
      </c>
      <c r="W75" s="93">
        <v>-521</v>
      </c>
      <c r="X75" s="92">
        <f t="shared" si="50"/>
        <v>2537</v>
      </c>
      <c r="Y75" s="93">
        <v>4555.1100000000006</v>
      </c>
      <c r="Z75" s="93">
        <v>-763</v>
      </c>
      <c r="AA75" s="92">
        <f t="shared" si="51"/>
        <v>3792.1100000000006</v>
      </c>
      <c r="AB75" s="92">
        <f t="shared" si="52"/>
        <v>4059.16</v>
      </c>
      <c r="AC75" s="234">
        <f t="shared" si="53"/>
        <v>8.5468569224471098E-4</v>
      </c>
      <c r="AD75" s="92">
        <f t="shared" si="54"/>
        <v>673.94999999999993</v>
      </c>
      <c r="AE75" s="93">
        <v>1424.2400000000007</v>
      </c>
      <c r="AF75" s="234">
        <f t="shared" si="55"/>
        <v>0.37557982231528109</v>
      </c>
      <c r="AG75" s="93">
        <v>1058.5899999999999</v>
      </c>
      <c r="AH75" s="93"/>
      <c r="AI75" s="93"/>
      <c r="AJ75" s="93"/>
      <c r="AK75" s="93"/>
      <c r="AL75" s="122">
        <f t="shared" si="46"/>
        <v>5.797011884550086</v>
      </c>
      <c r="AM75" s="93">
        <v>0</v>
      </c>
      <c r="AN75" s="94">
        <f t="shared" si="56"/>
        <v>144.86269999999999</v>
      </c>
      <c r="AO75" s="95">
        <f t="shared" si="57"/>
        <v>484.67028811545003</v>
      </c>
      <c r="AP75" s="96"/>
      <c r="AQ75" s="97">
        <f t="shared" si="7"/>
        <v>758.42200000000014</v>
      </c>
      <c r="AR75" s="98">
        <f t="shared" si="35"/>
        <v>134.79</v>
      </c>
      <c r="AS75" s="98">
        <f t="shared" si="9"/>
        <v>284.84800000000013</v>
      </c>
      <c r="AT75" s="98">
        <f t="shared" si="10"/>
        <v>176.43166666666664</v>
      </c>
      <c r="AU75" s="98">
        <f t="shared" si="58"/>
        <v>0</v>
      </c>
      <c r="AV75" s="98">
        <f t="array" ref="AV75">_xlfn.IFS(U75=0,AO75,U75&lt;0,AO75/-U75,U75&gt;0,AO75/U75)</f>
        <v>96.934057623090013</v>
      </c>
      <c r="AW75" s="234">
        <f t="shared" si="43"/>
        <v>0.12781018697122445</v>
      </c>
      <c r="AX75" s="234">
        <f t="shared" si="44"/>
        <v>0.71914873227309162</v>
      </c>
      <c r="AY75" s="99"/>
      <c r="AZ75" s="94">
        <f t="shared" si="13"/>
        <v>1647.8789795925302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39</v>
      </c>
      <c r="F76" s="93">
        <v>12</v>
      </c>
      <c r="G76" s="93">
        <v>1</v>
      </c>
      <c r="H76" s="93">
        <v>25</v>
      </c>
      <c r="I76" s="93">
        <v>0</v>
      </c>
      <c r="J76" s="93">
        <v>1</v>
      </c>
      <c r="K76" s="93">
        <v>123.09</v>
      </c>
      <c r="L76" s="92">
        <f t="shared" si="42"/>
        <v>4800.51</v>
      </c>
      <c r="M76" s="89">
        <v>35</v>
      </c>
      <c r="N76" s="89">
        <v>20</v>
      </c>
      <c r="O76" s="89">
        <v>1050</v>
      </c>
      <c r="P76" s="89">
        <v>25</v>
      </c>
      <c r="Q76" s="233">
        <f t="shared" si="47"/>
        <v>2.8571428571428572</v>
      </c>
      <c r="R76" s="92">
        <f t="shared" si="48"/>
        <v>0.5714285714285714</v>
      </c>
      <c r="S76" s="93">
        <v>5</v>
      </c>
      <c r="T76" s="93">
        <v>-1</v>
      </c>
      <c r="U76" s="92">
        <f t="shared" si="49"/>
        <v>4</v>
      </c>
      <c r="V76" s="93">
        <v>3577.15</v>
      </c>
      <c r="W76" s="93">
        <v>-694</v>
      </c>
      <c r="X76" s="92">
        <f t="shared" si="50"/>
        <v>2883.15</v>
      </c>
      <c r="Y76" s="93">
        <v>5249.77</v>
      </c>
      <c r="Z76" s="93">
        <v>-1050</v>
      </c>
      <c r="AA76" s="92">
        <f t="shared" si="51"/>
        <v>4199.7700000000004</v>
      </c>
      <c r="AB76" s="92">
        <f t="shared" si="52"/>
        <v>5250</v>
      </c>
      <c r="AC76" s="234">
        <f t="shared" si="53"/>
        <v>9.4656624668550474E-4</v>
      </c>
      <c r="AD76" s="92">
        <f t="shared" si="54"/>
        <v>492.36</v>
      </c>
      <c r="AE76" s="93">
        <v>1589.8100000000004</v>
      </c>
      <c r="AF76" s="234">
        <f t="shared" si="55"/>
        <v>0.37854692042659482</v>
      </c>
      <c r="AG76" s="93">
        <v>2307.9499999999994</v>
      </c>
      <c r="AH76" s="93">
        <v>566</v>
      </c>
      <c r="AI76" s="93">
        <v>1319</v>
      </c>
      <c r="AJ76" s="93"/>
      <c r="AK76" s="93"/>
      <c r="AL76" s="122">
        <f t="shared" si="46"/>
        <v>24.154216185625355</v>
      </c>
      <c r="AM76" s="93">
        <v>0</v>
      </c>
      <c r="AN76" s="94">
        <f t="shared" si="56"/>
        <v>164.62786499999999</v>
      </c>
      <c r="AO76" s="95">
        <f t="shared" si="57"/>
        <v>-2264.1320811856249</v>
      </c>
      <c r="AP76" s="96"/>
      <c r="AQ76" s="97">
        <f t="shared" si="7"/>
        <v>1049.9425000000001</v>
      </c>
      <c r="AR76" s="98">
        <f t="shared" si="35"/>
        <v>123.09</v>
      </c>
      <c r="AS76" s="98">
        <f t="shared" si="9"/>
        <v>397.4525000000001</v>
      </c>
      <c r="AT76" s="98">
        <f t="shared" si="10"/>
        <v>461.58999999999986</v>
      </c>
      <c r="AU76" s="98">
        <f t="shared" si="58"/>
        <v>377</v>
      </c>
      <c r="AV76" s="98">
        <f t="array" ref="AV76">_xlfn.IFS(U76=0,AO76,U76&lt;0,AO76/-U76,U76&gt;0,AO76/U76)</f>
        <v>-566.03302029640622</v>
      </c>
      <c r="AW76" s="234">
        <f t="shared" si="43"/>
        <v>-0.53910858956219621</v>
      </c>
      <c r="AX76" s="234">
        <f t="shared" si="44"/>
        <v>-4.5985296961280868</v>
      </c>
      <c r="AY76" s="99"/>
      <c r="AZ76" s="94">
        <f t="shared" si="13"/>
        <v>-22075.287791559844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34</v>
      </c>
      <c r="F77" s="93">
        <v>10</v>
      </c>
      <c r="G77" s="93" t="s">
        <v>100</v>
      </c>
      <c r="H77" s="93">
        <v>20</v>
      </c>
      <c r="I77" s="93">
        <v>0</v>
      </c>
      <c r="J77" s="93">
        <v>4</v>
      </c>
      <c r="K77" s="93">
        <v>123.09</v>
      </c>
      <c r="L77" s="92">
        <f t="shared" si="42"/>
        <v>4185.0600000000004</v>
      </c>
      <c r="M77" s="89">
        <v>58</v>
      </c>
      <c r="N77" s="89">
        <v>10</v>
      </c>
      <c r="O77" s="89">
        <v>1150</v>
      </c>
      <c r="P77" s="89">
        <v>100</v>
      </c>
      <c r="Q77" s="233">
        <f t="shared" si="47"/>
        <v>1.4285714285714286</v>
      </c>
      <c r="R77" s="92">
        <f t="shared" si="48"/>
        <v>0.8571428571428571</v>
      </c>
      <c r="S77" s="93">
        <v>6</v>
      </c>
      <c r="T77" s="93">
        <v>0</v>
      </c>
      <c r="U77" s="92">
        <f t="shared" si="49"/>
        <v>6</v>
      </c>
      <c r="V77" s="93">
        <v>4383</v>
      </c>
      <c r="W77" s="93">
        <v>0</v>
      </c>
      <c r="X77" s="92">
        <f t="shared" si="50"/>
        <v>4383</v>
      </c>
      <c r="Y77" s="93">
        <v>6853</v>
      </c>
      <c r="Z77" s="93">
        <v>0</v>
      </c>
      <c r="AA77" s="92">
        <f t="shared" si="51"/>
        <v>6853</v>
      </c>
      <c r="AB77" s="92">
        <f t="shared" si="52"/>
        <v>11500</v>
      </c>
      <c r="AC77" s="234">
        <f t="shared" si="53"/>
        <v>1.5445651758395731E-3</v>
      </c>
      <c r="AD77" s="92">
        <f t="shared" si="54"/>
        <v>738.54</v>
      </c>
      <c r="AE77" s="93">
        <v>2591.0199999999995</v>
      </c>
      <c r="AF77" s="234">
        <f t="shared" si="55"/>
        <v>0.37808550999562229</v>
      </c>
      <c r="AG77" s="93">
        <v>970.81</v>
      </c>
      <c r="AH77" s="93">
        <v>880</v>
      </c>
      <c r="AI77" s="93">
        <v>1172</v>
      </c>
      <c r="AJ77" s="93"/>
      <c r="AK77" s="93"/>
      <c r="AL77" s="122">
        <f t="shared" si="46"/>
        <v>19.323372948500282</v>
      </c>
      <c r="AM77" s="93">
        <v>0</v>
      </c>
      <c r="AN77" s="94">
        <f t="shared" si="56"/>
        <v>250.26929999999999</v>
      </c>
      <c r="AO77" s="95">
        <f t="shared" si="57"/>
        <v>231.03732705150031</v>
      </c>
      <c r="AP77" s="96"/>
      <c r="AQ77" s="97">
        <f t="shared" si="7"/>
        <v>1142.1666666666667</v>
      </c>
      <c r="AR77" s="98">
        <f t="shared" si="35"/>
        <v>123.09</v>
      </c>
      <c r="AS77" s="98">
        <f t="shared" si="9"/>
        <v>431.83666666666659</v>
      </c>
      <c r="AT77" s="98">
        <f t="shared" si="10"/>
        <v>161.80166666666665</v>
      </c>
      <c r="AU77" s="98">
        <f t="shared" si="58"/>
        <v>342</v>
      </c>
      <c r="AV77" s="98">
        <f t="array" ref="AV77">_xlfn.IFS(U77=0,AO77,U77&lt;0,AO77/-U77,U77&gt;0,AO77/U77)</f>
        <v>38.506221175250055</v>
      </c>
      <c r="AW77" s="234">
        <f t="shared" si="43"/>
        <v>3.3713311987669678E-2</v>
      </c>
      <c r="AX77" s="234">
        <f t="shared" si="44"/>
        <v>0.31282980888171302</v>
      </c>
      <c r="AY77" s="99"/>
      <c r="AZ77" s="94">
        <f t="shared" si="13"/>
        <v>1309.2115199585019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19</v>
      </c>
      <c r="F78" s="93">
        <v>6</v>
      </c>
      <c r="G78" s="93">
        <v>6</v>
      </c>
      <c r="H78" s="93">
        <v>6</v>
      </c>
      <c r="I78" s="93">
        <v>0</v>
      </c>
      <c r="J78" s="93">
        <v>1</v>
      </c>
      <c r="K78" s="93">
        <v>123.09</v>
      </c>
      <c r="L78" s="92">
        <f t="shared" si="42"/>
        <v>2338.71</v>
      </c>
      <c r="M78" s="89">
        <v>32</v>
      </c>
      <c r="N78" s="89">
        <v>14</v>
      </c>
      <c r="O78" s="89">
        <v>1000</v>
      </c>
      <c r="P78" s="89">
        <v>33</v>
      </c>
      <c r="Q78" s="233">
        <f t="shared" si="47"/>
        <v>2</v>
      </c>
      <c r="R78" s="92">
        <f t="shared" si="48"/>
        <v>0.42857142857142855</v>
      </c>
      <c r="S78" s="93">
        <v>4</v>
      </c>
      <c r="T78" s="93">
        <v>-1</v>
      </c>
      <c r="U78" s="92">
        <f t="shared" si="49"/>
        <v>3</v>
      </c>
      <c r="V78" s="93">
        <v>2582</v>
      </c>
      <c r="W78" s="93">
        <v>-677</v>
      </c>
      <c r="X78" s="92">
        <f t="shared" si="50"/>
        <v>1905</v>
      </c>
      <c r="Y78" s="93">
        <v>3980</v>
      </c>
      <c r="Z78" s="93">
        <v>-1000</v>
      </c>
      <c r="AA78" s="92">
        <f t="shared" si="51"/>
        <v>2980</v>
      </c>
      <c r="AB78" s="92">
        <f t="shared" si="52"/>
        <v>4620</v>
      </c>
      <c r="AC78" s="234">
        <f t="shared" si="53"/>
        <v>6.7164807004259852E-4</v>
      </c>
      <c r="AD78" s="92">
        <f t="shared" si="54"/>
        <v>369.27</v>
      </c>
      <c r="AE78" s="93">
        <v>1126.6500000000001</v>
      </c>
      <c r="AF78" s="234">
        <f t="shared" si="55"/>
        <v>0.37807046979865777</v>
      </c>
      <c r="AG78" s="93">
        <v>842.26</v>
      </c>
      <c r="AH78" s="93">
        <v>680</v>
      </c>
      <c r="AI78" s="93">
        <v>1360</v>
      </c>
      <c r="AJ78" s="93"/>
      <c r="AK78" s="93"/>
      <c r="AL78" s="122">
        <f t="shared" si="46"/>
        <v>5.797011884550086</v>
      </c>
      <c r="AM78" s="93">
        <v>0</v>
      </c>
      <c r="AN78" s="94">
        <f t="shared" si="56"/>
        <v>108.77549999999999</v>
      </c>
      <c r="AO78" s="95">
        <f t="shared" si="57"/>
        <v>-1512.7525118845501</v>
      </c>
      <c r="AP78" s="96"/>
      <c r="AQ78" s="97">
        <f t="shared" si="7"/>
        <v>993.33333333333337</v>
      </c>
      <c r="AR78" s="98">
        <f t="shared" si="35"/>
        <v>123.09</v>
      </c>
      <c r="AS78" s="98">
        <f t="shared" si="9"/>
        <v>375.55</v>
      </c>
      <c r="AT78" s="98">
        <f t="shared" si="10"/>
        <v>210.565</v>
      </c>
      <c r="AU78" s="98">
        <f t="shared" si="58"/>
        <v>510</v>
      </c>
      <c r="AV78" s="98">
        <f t="array" ref="AV78">_xlfn.IFS(U78=0,AO78,U78&lt;0,AO78/-U78,U78&gt;0,AO78/U78)</f>
        <v>-504.25083729485004</v>
      </c>
      <c r="AW78" s="234">
        <f t="shared" si="43"/>
        <v>-0.50763507110219797</v>
      </c>
      <c r="AX78" s="234">
        <f t="shared" si="44"/>
        <v>-4.0966027889743284</v>
      </c>
      <c r="AY78" s="99"/>
      <c r="AZ78" s="94">
        <f t="shared" si="13"/>
        <v>-9580.7659086021504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44</v>
      </c>
      <c r="F79" s="93">
        <v>4</v>
      </c>
      <c r="G79" s="93">
        <v>7</v>
      </c>
      <c r="H79" s="93">
        <v>32</v>
      </c>
      <c r="I79" s="93">
        <v>0</v>
      </c>
      <c r="J79" s="93">
        <v>1</v>
      </c>
      <c r="K79" s="93">
        <v>164.04</v>
      </c>
      <c r="L79" s="92">
        <f t="shared" si="42"/>
        <v>7217.7599999999993</v>
      </c>
      <c r="M79" s="89">
        <v>94</v>
      </c>
      <c r="N79" s="89">
        <v>8</v>
      </c>
      <c r="O79" s="89">
        <v>1325</v>
      </c>
      <c r="P79" s="89">
        <v>25</v>
      </c>
      <c r="Q79" s="233">
        <f t="shared" si="47"/>
        <v>1.1428571428571428</v>
      </c>
      <c r="R79" s="92">
        <f t="shared" si="48"/>
        <v>0.42857142857142855</v>
      </c>
      <c r="S79" s="93">
        <v>3</v>
      </c>
      <c r="T79" s="93">
        <v>0</v>
      </c>
      <c r="U79" s="92">
        <f t="shared" si="49"/>
        <v>3</v>
      </c>
      <c r="V79" s="93">
        <v>2710</v>
      </c>
      <c r="W79" s="93">
        <v>0</v>
      </c>
      <c r="X79" s="92">
        <f t="shared" si="50"/>
        <v>2710</v>
      </c>
      <c r="Y79" s="93">
        <v>4261</v>
      </c>
      <c r="Z79" s="93">
        <v>0</v>
      </c>
      <c r="AA79" s="92">
        <f t="shared" si="51"/>
        <v>4261</v>
      </c>
      <c r="AB79" s="92">
        <f t="shared" si="52"/>
        <v>2650</v>
      </c>
      <c r="AC79" s="234">
        <f t="shared" si="53"/>
        <v>9.6036658605755441E-4</v>
      </c>
      <c r="AD79" s="92">
        <f t="shared" si="54"/>
        <v>492.12</v>
      </c>
      <c r="AE79" s="93">
        <v>1597.31</v>
      </c>
      <c r="AF79" s="234">
        <f t="shared" si="55"/>
        <v>0.37486740201830554</v>
      </c>
      <c r="AG79" s="93">
        <v>1109.6100000000001</v>
      </c>
      <c r="AH79" s="93"/>
      <c r="AI79" s="93">
        <v>1888</v>
      </c>
      <c r="AJ79" s="93"/>
      <c r="AK79" s="93"/>
      <c r="AL79" s="122">
        <f t="shared" si="46"/>
        <v>30.917396717600454</v>
      </c>
      <c r="AM79" s="93">
        <v>0</v>
      </c>
      <c r="AN79" s="94">
        <f t="shared" si="56"/>
        <v>154.74099999999999</v>
      </c>
      <c r="AO79" s="95">
        <f t="shared" si="57"/>
        <v>-1011.6983967176004</v>
      </c>
      <c r="AP79" s="96"/>
      <c r="AQ79" s="97">
        <f t="shared" si="7"/>
        <v>1420.3333333333333</v>
      </c>
      <c r="AR79" s="98">
        <f t="shared" si="35"/>
        <v>164.04</v>
      </c>
      <c r="AS79" s="98">
        <f t="shared" si="9"/>
        <v>532.43666666666661</v>
      </c>
      <c r="AT79" s="98">
        <f t="shared" si="10"/>
        <v>369.87000000000006</v>
      </c>
      <c r="AU79" s="98">
        <f t="shared" si="58"/>
        <v>629.33333333333337</v>
      </c>
      <c r="AV79" s="98">
        <f t="array" ref="AV79">_xlfn.IFS(U79=0,AO79,U79&lt;0,AO79/-U79,U79&gt;0,AO79/U79)</f>
        <v>-337.23279890586679</v>
      </c>
      <c r="AW79" s="234">
        <f t="shared" si="43"/>
        <v>-0.23743215130664172</v>
      </c>
      <c r="AX79" s="234">
        <f t="shared" si="44"/>
        <v>-2.0557961406112337</v>
      </c>
      <c r="AY79" s="99"/>
      <c r="AZ79" s="94">
        <f t="shared" si="13"/>
        <v>-14838.243151858138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28</v>
      </c>
      <c r="F80" s="93">
        <v>5</v>
      </c>
      <c r="G80" s="93">
        <v>1</v>
      </c>
      <c r="H80" s="93">
        <v>21</v>
      </c>
      <c r="I80" s="93">
        <v>0</v>
      </c>
      <c r="J80" s="93">
        <v>1</v>
      </c>
      <c r="K80" s="93">
        <v>164.04</v>
      </c>
      <c r="L80" s="92">
        <f t="shared" si="42"/>
        <v>4593.12</v>
      </c>
      <c r="M80" s="89">
        <v>60</v>
      </c>
      <c r="N80" s="89">
        <v>9</v>
      </c>
      <c r="O80" s="89">
        <v>987</v>
      </c>
      <c r="P80" s="89">
        <v>75</v>
      </c>
      <c r="Q80" s="233">
        <f t="shared" si="47"/>
        <v>1.2857142857142858</v>
      </c>
      <c r="R80" s="92">
        <f t="shared" si="48"/>
        <v>0.7142857142857143</v>
      </c>
      <c r="S80" s="93">
        <v>5</v>
      </c>
      <c r="T80" s="93">
        <v>0</v>
      </c>
      <c r="U80" s="92">
        <f t="shared" si="49"/>
        <v>5</v>
      </c>
      <c r="V80" s="93">
        <v>3273</v>
      </c>
      <c r="W80" s="93">
        <v>0</v>
      </c>
      <c r="X80" s="92">
        <f t="shared" si="50"/>
        <v>3273</v>
      </c>
      <c r="Y80" s="93">
        <v>4914</v>
      </c>
      <c r="Z80" s="93">
        <v>0</v>
      </c>
      <c r="AA80" s="92">
        <f t="shared" si="51"/>
        <v>4914</v>
      </c>
      <c r="AB80" s="92">
        <f t="shared" si="52"/>
        <v>6662.25</v>
      </c>
      <c r="AC80" s="234">
        <f t="shared" si="53"/>
        <v>1.1075431597950768E-3</v>
      </c>
      <c r="AD80" s="92">
        <f t="shared" si="54"/>
        <v>820.19999999999993</v>
      </c>
      <c r="AE80" s="93">
        <v>1863.08</v>
      </c>
      <c r="AF80" s="234">
        <f t="shared" si="55"/>
        <v>0.37913715913715912</v>
      </c>
      <c r="AG80" s="93">
        <v>588.85</v>
      </c>
      <c r="AH80" s="93"/>
      <c r="AI80" s="93"/>
      <c r="AJ80" s="93"/>
      <c r="AK80" s="93"/>
      <c r="AL80" s="122">
        <f t="shared" si="46"/>
        <v>20.289541595925296</v>
      </c>
      <c r="AM80" s="93">
        <v>0</v>
      </c>
      <c r="AN80" s="94">
        <f t="shared" si="56"/>
        <v>186.88829999999999</v>
      </c>
      <c r="AO80" s="95">
        <f t="shared" si="57"/>
        <v>1434.6921584040749</v>
      </c>
      <c r="AP80" s="96"/>
      <c r="AQ80" s="97">
        <f t="shared" si="7"/>
        <v>982.8</v>
      </c>
      <c r="AR80" s="98">
        <f t="shared" si="35"/>
        <v>164.04</v>
      </c>
      <c r="AS80" s="98">
        <f t="shared" si="9"/>
        <v>372.61599999999999</v>
      </c>
      <c r="AT80" s="98">
        <f t="shared" si="10"/>
        <v>117.77000000000001</v>
      </c>
      <c r="AU80" s="98">
        <f t="shared" si="58"/>
        <v>0</v>
      </c>
      <c r="AV80" s="98">
        <f t="array" ref="AV80">_xlfn.IFS(U80=0,AO80,U80&lt;0,AO80/-U80,U80&gt;0,AO80/U80)</f>
        <v>286.93843168081497</v>
      </c>
      <c r="AW80" s="234">
        <f t="shared" si="43"/>
        <v>0.29196014619537547</v>
      </c>
      <c r="AX80" s="234">
        <f t="shared" si="44"/>
        <v>1.7491979497733174</v>
      </c>
      <c r="AY80" s="99"/>
      <c r="AZ80" s="94">
        <f t="shared" si="13"/>
        <v>8034.276087062819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15</v>
      </c>
      <c r="F81" s="93">
        <v>2</v>
      </c>
      <c r="G81" s="93">
        <v>2</v>
      </c>
      <c r="H81" s="93">
        <v>10</v>
      </c>
      <c r="I81" s="93">
        <v>0</v>
      </c>
      <c r="J81" s="93">
        <v>1</v>
      </c>
      <c r="K81" s="93">
        <v>128.94</v>
      </c>
      <c r="L81" s="92">
        <f t="shared" si="42"/>
        <v>1934.1</v>
      </c>
      <c r="M81" s="89">
        <v>33</v>
      </c>
      <c r="N81" s="89">
        <v>2</v>
      </c>
      <c r="O81" s="89">
        <v>1167</v>
      </c>
      <c r="P81" s="89">
        <v>0</v>
      </c>
      <c r="Q81" s="233">
        <f t="shared" si="47"/>
        <v>0.2857142857142857</v>
      </c>
      <c r="R81" s="92">
        <f t="shared" si="48"/>
        <v>0.14285714285714285</v>
      </c>
      <c r="S81" s="93">
        <v>1</v>
      </c>
      <c r="T81" s="93">
        <v>0</v>
      </c>
      <c r="U81" s="92">
        <f t="shared" si="49"/>
        <v>1</v>
      </c>
      <c r="V81" s="93">
        <v>790</v>
      </c>
      <c r="W81" s="93">
        <v>0</v>
      </c>
      <c r="X81" s="92">
        <f t="shared" si="50"/>
        <v>790</v>
      </c>
      <c r="Y81" s="93">
        <v>1167</v>
      </c>
      <c r="Z81" s="93">
        <v>0</v>
      </c>
      <c r="AA81" s="92">
        <f t="shared" si="51"/>
        <v>1167</v>
      </c>
      <c r="AB81" s="92">
        <f t="shared" si="52"/>
        <v>0</v>
      </c>
      <c r="AC81" s="234">
        <f t="shared" si="53"/>
        <v>2.6302459655695048E-4</v>
      </c>
      <c r="AD81" s="92">
        <f t="shared" si="54"/>
        <v>128.94</v>
      </c>
      <c r="AE81" s="93">
        <v>449.90999999999997</v>
      </c>
      <c r="AF81" s="234">
        <f t="shared" si="55"/>
        <v>0.3855269922879177</v>
      </c>
      <c r="AG81" s="93">
        <v>401.13</v>
      </c>
      <c r="AH81" s="93"/>
      <c r="AI81" s="93"/>
      <c r="AJ81" s="93"/>
      <c r="AK81" s="93"/>
      <c r="AL81" s="122">
        <f t="shared" si="46"/>
        <v>9.6616864742501409</v>
      </c>
      <c r="AM81" s="93">
        <v>0</v>
      </c>
      <c r="AN81" s="94">
        <f t="shared" si="56"/>
        <v>45.109000000000002</v>
      </c>
      <c r="AO81" s="95">
        <f t="shared" si="57"/>
        <v>132.24931352574984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449.90999999999997</v>
      </c>
      <c r="AT81" s="98">
        <f t="shared" si="10"/>
        <v>401.13</v>
      </c>
      <c r="AU81" s="98">
        <f t="shared" si="58"/>
        <v>0</v>
      </c>
      <c r="AV81" s="98">
        <f t="array" ref="AV81">_xlfn.IFS(U81=0,AO81,U81&lt;0,AO81/-U81,U81&gt;0,AO81/U81)</f>
        <v>132.24931352574984</v>
      </c>
      <c r="AW81" s="234">
        <f t="shared" si="43"/>
        <v>0.11332417611460997</v>
      </c>
      <c r="AX81" s="234">
        <f t="shared" si="44"/>
        <v>1.0256655306789968</v>
      </c>
      <c r="AY81" s="99"/>
      <c r="AZ81" s="94">
        <f t="shared" si="13"/>
        <v>1983.7397028862476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44</v>
      </c>
      <c r="F82" s="93" t="s">
        <v>100</v>
      </c>
      <c r="G82" s="93" t="s">
        <v>100</v>
      </c>
      <c r="H82" s="93">
        <v>43</v>
      </c>
      <c r="I82" s="93">
        <v>0</v>
      </c>
      <c r="J82" s="93">
        <v>1</v>
      </c>
      <c r="K82" s="93">
        <v>128.94</v>
      </c>
      <c r="L82" s="92">
        <f t="shared" si="42"/>
        <v>5673.36</v>
      </c>
      <c r="M82" s="89">
        <v>336</v>
      </c>
      <c r="N82" s="89">
        <v>2</v>
      </c>
      <c r="O82" s="89">
        <v>1174</v>
      </c>
      <c r="P82" s="89">
        <v>50</v>
      </c>
      <c r="Q82" s="233">
        <f t="shared" si="47"/>
        <v>0.2857142857142857</v>
      </c>
      <c r="R82" s="92">
        <f t="shared" si="48"/>
        <v>0.2857142857142857</v>
      </c>
      <c r="S82" s="93">
        <v>2</v>
      </c>
      <c r="T82" s="93">
        <v>0</v>
      </c>
      <c r="U82" s="92">
        <f t="shared" si="49"/>
        <v>2</v>
      </c>
      <c r="V82" s="93">
        <v>1647.03</v>
      </c>
      <c r="W82" s="93">
        <v>0</v>
      </c>
      <c r="X82" s="92">
        <f t="shared" si="50"/>
        <v>1647.03</v>
      </c>
      <c r="Y82" s="93">
        <v>2312.46</v>
      </c>
      <c r="Z82" s="93">
        <v>0</v>
      </c>
      <c r="AA82" s="92">
        <f t="shared" si="51"/>
        <v>2312.46</v>
      </c>
      <c r="AB82" s="92">
        <f t="shared" si="52"/>
        <v>1174</v>
      </c>
      <c r="AC82" s="234">
        <f t="shared" si="53"/>
        <v>5.2119439464788837E-4</v>
      </c>
      <c r="AD82" s="92">
        <f t="shared" si="54"/>
        <v>257.88</v>
      </c>
      <c r="AE82" s="93">
        <v>873.77</v>
      </c>
      <c r="AF82" s="234">
        <f t="shared" si="55"/>
        <v>0.37785302232254825</v>
      </c>
      <c r="AG82" s="93">
        <v>193.2</v>
      </c>
      <c r="AH82" s="93"/>
      <c r="AI82" s="93"/>
      <c r="AJ82" s="93"/>
      <c r="AK82" s="93"/>
      <c r="AL82" s="122">
        <f t="shared" si="46"/>
        <v>41.545251839275608</v>
      </c>
      <c r="AM82" s="93">
        <v>0</v>
      </c>
      <c r="AN82" s="94">
        <f t="shared" si="56"/>
        <v>94.045412999999996</v>
      </c>
      <c r="AO82" s="95">
        <f t="shared" si="57"/>
        <v>852.01933516072427</v>
      </c>
      <c r="AP82" s="96"/>
      <c r="AQ82" s="97">
        <f t="shared" si="7"/>
        <v>1156.23</v>
      </c>
      <c r="AR82" s="98">
        <f t="shared" si="35"/>
        <v>128.94</v>
      </c>
      <c r="AS82" s="98">
        <f t="shared" si="9"/>
        <v>436.88499999999999</v>
      </c>
      <c r="AT82" s="98">
        <f t="shared" si="10"/>
        <v>96.6</v>
      </c>
      <c r="AU82" s="98">
        <f t="shared" si="58"/>
        <v>0</v>
      </c>
      <c r="AV82" s="98">
        <f t="array" ref="AV82">_xlfn.IFS(U82=0,AO82,U82&lt;0,AO82/-U82,U82&gt;0,AO82/U82)</f>
        <v>426.00966758036213</v>
      </c>
      <c r="AW82" s="234">
        <f t="shared" si="43"/>
        <v>0.36844716672319705</v>
      </c>
      <c r="AX82" s="234">
        <f t="shared" si="44"/>
        <v>3.3039372388736012</v>
      </c>
      <c r="AY82" s="99"/>
      <c r="AZ82" s="94">
        <f t="shared" si="13"/>
        <v>18744.425373535934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44</v>
      </c>
      <c r="F83" s="93">
        <v>2</v>
      </c>
      <c r="G83" s="93" t="s">
        <v>100</v>
      </c>
      <c r="H83" s="93">
        <v>41</v>
      </c>
      <c r="I83" s="93">
        <v>0</v>
      </c>
      <c r="J83" s="93">
        <v>1</v>
      </c>
      <c r="K83" s="93">
        <v>123.09</v>
      </c>
      <c r="L83" s="92">
        <f t="shared" si="42"/>
        <v>5415.96</v>
      </c>
      <c r="M83" s="89">
        <v>999</v>
      </c>
      <c r="N83" s="89">
        <v>3</v>
      </c>
      <c r="O83" s="89">
        <v>1375</v>
      </c>
      <c r="P83" s="89">
        <v>50</v>
      </c>
      <c r="Q83" s="233">
        <f t="shared" si="47"/>
        <v>0.42857142857142855</v>
      </c>
      <c r="R83" s="92">
        <f t="shared" si="48"/>
        <v>0.14285714285714285</v>
      </c>
      <c r="S83" s="93">
        <v>1</v>
      </c>
      <c r="T83" s="93">
        <v>0</v>
      </c>
      <c r="U83" s="92">
        <f t="shared" si="49"/>
        <v>1</v>
      </c>
      <c r="V83" s="93">
        <v>930</v>
      </c>
      <c r="W83" s="93">
        <v>0</v>
      </c>
      <c r="X83" s="92">
        <f t="shared" si="50"/>
        <v>930</v>
      </c>
      <c r="Y83" s="93">
        <v>1375</v>
      </c>
      <c r="Z83" s="93">
        <v>0</v>
      </c>
      <c r="AA83" s="92">
        <f t="shared" si="51"/>
        <v>1375</v>
      </c>
      <c r="AB83" s="92">
        <f t="shared" si="52"/>
        <v>2062.5</v>
      </c>
      <c r="AC83" s="234">
        <f t="shared" si="53"/>
        <v>3.0990473030489024E-4</v>
      </c>
      <c r="AD83" s="92">
        <f t="shared" si="54"/>
        <v>123.09</v>
      </c>
      <c r="AE83" s="93">
        <v>530.05999999999995</v>
      </c>
      <c r="AF83" s="234">
        <f t="shared" si="55"/>
        <v>0.3854981818181818</v>
      </c>
      <c r="AG83" s="93">
        <v>308.58999999999997</v>
      </c>
      <c r="AH83" s="93"/>
      <c r="AI83" s="93"/>
      <c r="AJ83" s="93"/>
      <c r="AK83" s="93"/>
      <c r="AL83" s="122">
        <f t="shared" si="46"/>
        <v>39.612914544425585</v>
      </c>
      <c r="AM83" s="93">
        <v>0</v>
      </c>
      <c r="AN83" s="94">
        <f t="shared" si="56"/>
        <v>53.103000000000002</v>
      </c>
      <c r="AO83" s="95">
        <f t="shared" si="57"/>
        <v>320.54408545557459</v>
      </c>
      <c r="AP83" s="96"/>
      <c r="AQ83" s="97">
        <f t="shared" si="7"/>
        <v>1375</v>
      </c>
      <c r="AR83" s="98">
        <f t="shared" si="35"/>
        <v>123.09</v>
      </c>
      <c r="AS83" s="98">
        <f t="shared" si="9"/>
        <v>530.05999999999995</v>
      </c>
      <c r="AT83" s="98">
        <f t="shared" si="10"/>
        <v>308.58999999999997</v>
      </c>
      <c r="AU83" s="98">
        <f t="shared" si="58"/>
        <v>0</v>
      </c>
      <c r="AV83" s="98">
        <f t="array" ref="AV83">_xlfn.IFS(U83=0,AO83,U83&lt;0,AO83/-U83,U83&gt;0,AO83/U83)</f>
        <v>320.54408545557459</v>
      </c>
      <c r="AW83" s="234">
        <f t="shared" si="43"/>
        <v>0.23312297124041789</v>
      </c>
      <c r="AX83" s="234">
        <f t="shared" si="44"/>
        <v>2.6041440040261157</v>
      </c>
      <c r="AY83" s="99"/>
      <c r="AZ83" s="94">
        <f t="shared" si="13"/>
        <v>14103.939760045281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44</v>
      </c>
      <c r="F84" s="93">
        <v>9</v>
      </c>
      <c r="G84" s="93">
        <v>5</v>
      </c>
      <c r="H84" s="93">
        <v>29</v>
      </c>
      <c r="I84" s="93">
        <v>0</v>
      </c>
      <c r="J84" s="93">
        <v>1</v>
      </c>
      <c r="K84" s="93">
        <v>146.49</v>
      </c>
      <c r="L84" s="92">
        <f t="shared" si="42"/>
        <v>6445.56</v>
      </c>
      <c r="M84" s="89">
        <v>49</v>
      </c>
      <c r="N84" s="89">
        <v>21</v>
      </c>
      <c r="O84" s="89">
        <v>1438</v>
      </c>
      <c r="P84" s="89">
        <v>23</v>
      </c>
      <c r="Q84" s="233">
        <f t="shared" si="47"/>
        <v>3</v>
      </c>
      <c r="R84" s="92">
        <f t="shared" si="48"/>
        <v>0.5714285714285714</v>
      </c>
      <c r="S84" s="93">
        <v>5</v>
      </c>
      <c r="T84" s="93">
        <v>-1</v>
      </c>
      <c r="U84" s="92">
        <f t="shared" si="49"/>
        <v>4</v>
      </c>
      <c r="V84" s="93">
        <v>4642</v>
      </c>
      <c r="W84" s="93">
        <v>-840</v>
      </c>
      <c r="X84" s="92">
        <f t="shared" si="50"/>
        <v>3802</v>
      </c>
      <c r="Y84" s="93">
        <v>7133</v>
      </c>
      <c r="Z84" s="93">
        <v>-1410</v>
      </c>
      <c r="AA84" s="92">
        <f t="shared" si="51"/>
        <v>5723</v>
      </c>
      <c r="AB84" s="92">
        <f t="shared" si="52"/>
        <v>6945.54</v>
      </c>
      <c r="AC84" s="234">
        <f t="shared" si="53"/>
        <v>1.2898798338435542E-3</v>
      </c>
      <c r="AD84" s="92">
        <f t="shared" si="54"/>
        <v>585.96</v>
      </c>
      <c r="AE84" s="93">
        <v>2193.9899999999998</v>
      </c>
      <c r="AF84" s="234">
        <f t="shared" si="55"/>
        <v>0.38336362047876982</v>
      </c>
      <c r="AG84" s="93">
        <v>1973.2699999999995</v>
      </c>
      <c r="AH84" s="93"/>
      <c r="AI84" s="93">
        <v>2360</v>
      </c>
      <c r="AJ84" s="93"/>
      <c r="AK84" s="93"/>
      <c r="AL84" s="122">
        <f t="shared" si="46"/>
        <v>28.018890775325414</v>
      </c>
      <c r="AM84" s="93">
        <v>0</v>
      </c>
      <c r="AN84" s="94">
        <f t="shared" si="56"/>
        <v>217.0942</v>
      </c>
      <c r="AO84" s="95">
        <f t="shared" si="57"/>
        <v>-1635.3330907753248</v>
      </c>
      <c r="AP84" s="96"/>
      <c r="AQ84" s="97">
        <f t="shared" si="7"/>
        <v>1430.75</v>
      </c>
      <c r="AR84" s="98">
        <f t="shared" si="35"/>
        <v>146.49</v>
      </c>
      <c r="AS84" s="98">
        <f t="shared" si="9"/>
        <v>548.49749999999995</v>
      </c>
      <c r="AT84" s="98">
        <f t="shared" si="10"/>
        <v>394.65399999999988</v>
      </c>
      <c r="AU84" s="98">
        <f t="shared" si="58"/>
        <v>472</v>
      </c>
      <c r="AV84" s="98">
        <f t="array" ref="AV84">_xlfn.IFS(U84=0,AO84,U84&lt;0,AO84/-U84,U84&gt;0,AO84/U84)</f>
        <v>-408.83327269383119</v>
      </c>
      <c r="AW84" s="234">
        <f t="shared" si="43"/>
        <v>-0.28574752590867109</v>
      </c>
      <c r="AX84" s="234">
        <f t="shared" si="44"/>
        <v>-2.7908613058490763</v>
      </c>
      <c r="AY84" s="99"/>
      <c r="AZ84" s="94">
        <f t="shared" si="13"/>
        <v>-17988.663998528573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36</v>
      </c>
      <c r="F85" s="93">
        <v>3</v>
      </c>
      <c r="G85" s="93">
        <v>2</v>
      </c>
      <c r="H85" s="93">
        <v>30</v>
      </c>
      <c r="I85" s="93">
        <v>0</v>
      </c>
      <c r="J85" s="93">
        <v>1</v>
      </c>
      <c r="K85" s="93">
        <v>103.2</v>
      </c>
      <c r="L85" s="92">
        <f t="shared" si="42"/>
        <v>3715.2000000000003</v>
      </c>
      <c r="M85" s="89">
        <v>145</v>
      </c>
      <c r="N85" s="89">
        <v>6</v>
      </c>
      <c r="O85" s="89">
        <v>1008</v>
      </c>
      <c r="P85" s="89">
        <v>0</v>
      </c>
      <c r="Q85" s="233">
        <f t="shared" si="47"/>
        <v>0.8571428571428571</v>
      </c>
      <c r="R85" s="92">
        <f t="shared" si="48"/>
        <v>0</v>
      </c>
      <c r="S85" s="93">
        <v>0</v>
      </c>
      <c r="T85" s="93">
        <v>0</v>
      </c>
      <c r="U85" s="92">
        <f t="shared" si="49"/>
        <v>0</v>
      </c>
      <c r="V85" s="93">
        <v>0</v>
      </c>
      <c r="W85" s="93">
        <v>0</v>
      </c>
      <c r="X85" s="92">
        <f t="shared" si="50"/>
        <v>0</v>
      </c>
      <c r="Y85" s="93">
        <v>0</v>
      </c>
      <c r="Z85" s="93">
        <v>0</v>
      </c>
      <c r="AA85" s="92">
        <f t="shared" si="51"/>
        <v>0</v>
      </c>
      <c r="AB85" s="92">
        <f t="shared" si="52"/>
        <v>0</v>
      </c>
      <c r="AC85" s="234">
        <f t="shared" si="53"/>
        <v>0</v>
      </c>
      <c r="AD85" s="92">
        <f t="shared" si="54"/>
        <v>0</v>
      </c>
      <c r="AE85" s="93">
        <v>0</v>
      </c>
      <c r="AF85" s="234">
        <f t="shared" si="55"/>
        <v>0</v>
      </c>
      <c r="AG85" s="93">
        <v>628.45999999999992</v>
      </c>
      <c r="AH85" s="93">
        <v>480</v>
      </c>
      <c r="AI85" s="93">
        <v>1184</v>
      </c>
      <c r="AJ85" s="93"/>
      <c r="AK85" s="93"/>
      <c r="AL85" s="122">
        <f t="shared" si="46"/>
        <v>28.985059422750425</v>
      </c>
      <c r="AM85" s="93">
        <v>0</v>
      </c>
      <c r="AN85" s="94">
        <f t="shared" si="56"/>
        <v>0</v>
      </c>
      <c r="AO85" s="95">
        <f t="shared" si="57"/>
        <v>-2321.4450594227505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628.45999999999992</v>
      </c>
      <c r="AU85" s="98">
        <f t="shared" si="58"/>
        <v>0</v>
      </c>
      <c r="AV85" s="98">
        <f t="array" ref="AV85">_xlfn.IFS(U85=0,AO85,U85&lt;0,AO85/-U85,U85&gt;0,AO85/U85)</f>
        <v>-2321.4450594227505</v>
      </c>
      <c r="AW85" s="234">
        <f t="shared" si="43"/>
        <v>0</v>
      </c>
      <c r="AX85" s="234">
        <f t="shared" si="44"/>
        <v>-22.494622668825102</v>
      </c>
      <c r="AY85" s="99"/>
      <c r="AZ85" s="94">
        <f t="shared" si="13"/>
        <v>-83572.022139219014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43</v>
      </c>
      <c r="F86" s="93">
        <v>2</v>
      </c>
      <c r="G86" s="93">
        <v>4</v>
      </c>
      <c r="H86" s="93">
        <v>36</v>
      </c>
      <c r="I86" s="93">
        <v>0</v>
      </c>
      <c r="J86" s="93">
        <v>1</v>
      </c>
      <c r="K86" s="93">
        <v>150</v>
      </c>
      <c r="L86" s="92">
        <f t="shared" si="42"/>
        <v>6450</v>
      </c>
      <c r="M86" s="89">
        <v>102</v>
      </c>
      <c r="N86" s="89">
        <v>4</v>
      </c>
      <c r="O86" s="89">
        <v>1313</v>
      </c>
      <c r="P86" s="89">
        <v>0</v>
      </c>
      <c r="Q86" s="233">
        <f t="shared" si="47"/>
        <v>0.5714285714285714</v>
      </c>
      <c r="R86" s="92">
        <f t="shared" si="48"/>
        <v>0.14285714285714285</v>
      </c>
      <c r="S86" s="93">
        <v>1</v>
      </c>
      <c r="T86" s="93">
        <v>0</v>
      </c>
      <c r="U86" s="92">
        <f t="shared" si="49"/>
        <v>1</v>
      </c>
      <c r="V86" s="93">
        <v>913</v>
      </c>
      <c r="W86" s="93">
        <v>0</v>
      </c>
      <c r="X86" s="92">
        <f t="shared" si="50"/>
        <v>913</v>
      </c>
      <c r="Y86" s="93">
        <v>1392</v>
      </c>
      <c r="Z86" s="93">
        <v>0</v>
      </c>
      <c r="AA86" s="92">
        <f t="shared" si="51"/>
        <v>1392</v>
      </c>
      <c r="AB86" s="92">
        <f t="shared" si="52"/>
        <v>0</v>
      </c>
      <c r="AC86" s="234">
        <f t="shared" si="53"/>
        <v>3.137362796977507E-4</v>
      </c>
      <c r="AD86" s="92">
        <f t="shared" si="54"/>
        <v>150</v>
      </c>
      <c r="AE86" s="93">
        <v>527.20000000000005</v>
      </c>
      <c r="AF86" s="234">
        <f t="shared" si="55"/>
        <v>0.3787356321839081</v>
      </c>
      <c r="AG86" s="93">
        <v>902.29</v>
      </c>
      <c r="AH86" s="93"/>
      <c r="AI86" s="93">
        <v>410</v>
      </c>
      <c r="AJ86" s="93"/>
      <c r="AK86" s="93"/>
      <c r="AL86" s="122">
        <f t="shared" si="46"/>
        <v>34.782071307300512</v>
      </c>
      <c r="AM86" s="93">
        <v>0</v>
      </c>
      <c r="AN86" s="94">
        <f t="shared" si="56"/>
        <v>52.132300000000001</v>
      </c>
      <c r="AO86" s="95">
        <f t="shared" si="57"/>
        <v>-684.40437130730049</v>
      </c>
      <c r="AP86" s="96"/>
      <c r="AQ86" s="97">
        <f t="shared" si="7"/>
        <v>1392</v>
      </c>
      <c r="AR86" s="98">
        <f t="shared" si="35"/>
        <v>150</v>
      </c>
      <c r="AS86" s="98">
        <f t="shared" si="9"/>
        <v>527.20000000000005</v>
      </c>
      <c r="AT86" s="98">
        <f t="shared" si="10"/>
        <v>902.29</v>
      </c>
      <c r="AU86" s="98">
        <f t="shared" si="58"/>
        <v>410</v>
      </c>
      <c r="AV86" s="98">
        <f t="array" ref="AV86">_xlfn.IFS(U86=0,AO86,U86&lt;0,AO86/-U86,U86&gt;0,AO86/U86)</f>
        <v>-684.40437130730049</v>
      </c>
      <c r="AW86" s="234">
        <f t="shared" si="43"/>
        <v>-0.49166980697363544</v>
      </c>
      <c r="AX86" s="234">
        <f t="shared" si="44"/>
        <v>-4.5626958087153362</v>
      </c>
      <c r="AY86" s="99"/>
      <c r="AZ86" s="94">
        <f t="shared" si="13"/>
        <v>-29429.387966213922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15</v>
      </c>
      <c r="F87" s="93">
        <v>4</v>
      </c>
      <c r="G87" s="93">
        <v>6</v>
      </c>
      <c r="H87" s="93">
        <v>4</v>
      </c>
      <c r="I87" s="93">
        <v>0</v>
      </c>
      <c r="J87" s="93">
        <v>1</v>
      </c>
      <c r="K87" s="93">
        <v>150</v>
      </c>
      <c r="L87" s="92">
        <f t="shared" si="42"/>
        <v>2250</v>
      </c>
      <c r="M87" s="89">
        <v>6</v>
      </c>
      <c r="N87" s="89">
        <v>8</v>
      </c>
      <c r="O87" s="89">
        <v>1056</v>
      </c>
      <c r="P87" s="89">
        <v>17</v>
      </c>
      <c r="Q87" s="233">
        <f t="shared" si="47"/>
        <v>1.1428571428571428</v>
      </c>
      <c r="R87" s="92">
        <f t="shared" si="48"/>
        <v>0.14285714285714285</v>
      </c>
      <c r="S87" s="93">
        <v>2</v>
      </c>
      <c r="T87" s="93">
        <v>-1</v>
      </c>
      <c r="U87" s="92">
        <f t="shared" si="49"/>
        <v>1</v>
      </c>
      <c r="V87" s="93">
        <v>1390</v>
      </c>
      <c r="W87" s="93">
        <v>-778</v>
      </c>
      <c r="X87" s="92">
        <f t="shared" si="50"/>
        <v>612</v>
      </c>
      <c r="Y87" s="93">
        <v>2112</v>
      </c>
      <c r="Z87" s="93">
        <v>-1056</v>
      </c>
      <c r="AA87" s="92">
        <f t="shared" si="51"/>
        <v>1056</v>
      </c>
      <c r="AB87" s="92">
        <f t="shared" si="52"/>
        <v>1436.16</v>
      </c>
      <c r="AC87" s="234">
        <f t="shared" si="53"/>
        <v>2.3800683287415571E-4</v>
      </c>
      <c r="AD87" s="92">
        <f t="shared" si="54"/>
        <v>150</v>
      </c>
      <c r="AE87" s="93">
        <v>402.62</v>
      </c>
      <c r="AF87" s="234">
        <f t="shared" si="55"/>
        <v>0.38126893939393941</v>
      </c>
      <c r="AG87" s="93">
        <v>999.16</v>
      </c>
      <c r="AH87" s="93"/>
      <c r="AI87" s="93"/>
      <c r="AJ87" s="93"/>
      <c r="AK87" s="93"/>
      <c r="AL87" s="122">
        <f t="shared" si="46"/>
        <v>3.8646745897000567</v>
      </c>
      <c r="AM87" s="93">
        <v>0</v>
      </c>
      <c r="AN87" s="94">
        <f t="shared" si="56"/>
        <v>34.9452</v>
      </c>
      <c r="AO87" s="95">
        <f t="shared" si="57"/>
        <v>-534.5898745897</v>
      </c>
      <c r="AP87" s="96"/>
      <c r="AQ87" s="97">
        <f t="shared" si="7"/>
        <v>1056</v>
      </c>
      <c r="AR87" s="98">
        <f t="shared" si="35"/>
        <v>150</v>
      </c>
      <c r="AS87" s="98">
        <f t="shared" si="9"/>
        <v>402.62</v>
      </c>
      <c r="AT87" s="98">
        <f t="shared" si="10"/>
        <v>499.58</v>
      </c>
      <c r="AU87" s="98">
        <f t="shared" si="58"/>
        <v>0</v>
      </c>
      <c r="AV87" s="98">
        <f t="array" ref="AV87">_xlfn.IFS(U87=0,AO87,U87&lt;0,AO87/-U87,U87&gt;0,AO87/U87)</f>
        <v>-534.5898745897</v>
      </c>
      <c r="AW87" s="234">
        <f t="shared" si="43"/>
        <v>-0.50624041154327648</v>
      </c>
      <c r="AX87" s="234">
        <f t="shared" si="44"/>
        <v>-3.5639324972646667</v>
      </c>
      <c r="AY87" s="99"/>
      <c r="AZ87" s="94">
        <f t="shared" si="13"/>
        <v>-8018.8481188454998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4</v>
      </c>
      <c r="F88" s="93">
        <v>1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600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7"/>
        <v>0.14285714285714285</v>
      </c>
      <c r="R88" s="92">
        <f t="shared" si="48"/>
        <v>0</v>
      </c>
      <c r="S88" s="93">
        <v>0</v>
      </c>
      <c r="T88" s="93">
        <v>0</v>
      </c>
      <c r="U88" s="92">
        <f t="shared" si="49"/>
        <v>0</v>
      </c>
      <c r="V88" s="93">
        <v>0</v>
      </c>
      <c r="W88" s="93">
        <v>0</v>
      </c>
      <c r="X88" s="92">
        <f t="shared" si="50"/>
        <v>0</v>
      </c>
      <c r="Y88" s="93">
        <v>0</v>
      </c>
      <c r="Z88" s="93">
        <v>0</v>
      </c>
      <c r="AA88" s="92">
        <f t="shared" si="51"/>
        <v>0</v>
      </c>
      <c r="AB88" s="92">
        <f t="shared" si="52"/>
        <v>0</v>
      </c>
      <c r="AC88" s="234">
        <f t="shared" si="53"/>
        <v>0</v>
      </c>
      <c r="AD88" s="92">
        <f t="shared" si="54"/>
        <v>0</v>
      </c>
      <c r="AE88" s="93">
        <v>0</v>
      </c>
      <c r="AF88" s="234">
        <f t="shared" si="55"/>
        <v>0</v>
      </c>
      <c r="AG88" s="93">
        <v>164.9</v>
      </c>
      <c r="AH88" s="93"/>
      <c r="AI88" s="93"/>
      <c r="AJ88" s="93"/>
      <c r="AK88" s="93"/>
      <c r="AL88" s="122">
        <f t="shared" si="46"/>
        <v>0.96616864742501418</v>
      </c>
      <c r="AM88" s="93">
        <v>0</v>
      </c>
      <c r="AN88" s="94">
        <f t="shared" si="56"/>
        <v>0</v>
      </c>
      <c r="AO88" s="95">
        <f t="shared" si="57"/>
        <v>-165.86616864742501</v>
      </c>
      <c r="AP88" s="96"/>
      <c r="AQ88" s="97">
        <f t="shared" si="7"/>
        <v>0</v>
      </c>
      <c r="AR88" s="98">
        <f t="shared" si="35"/>
        <v>150</v>
      </c>
      <c r="AS88" s="98">
        <f t="shared" si="9"/>
        <v>0</v>
      </c>
      <c r="AT88" s="98">
        <f t="shared" si="10"/>
        <v>164.9</v>
      </c>
      <c r="AU88" s="98">
        <f t="shared" si="58"/>
        <v>0</v>
      </c>
      <c r="AV88" s="98">
        <f t="array" ref="AV88">_xlfn.IFS(U88=0,AO88,U88&lt;0,AO88/-U88,U88&gt;0,AO88/U88)</f>
        <v>-165.86616864742501</v>
      </c>
      <c r="AW88" s="234">
        <f t="shared" si="43"/>
        <v>0</v>
      </c>
      <c r="AX88" s="234">
        <f t="shared" si="44"/>
        <v>-1.1057744576495001</v>
      </c>
      <c r="AY88" s="99"/>
      <c r="AZ88" s="94">
        <f t="shared" si="13"/>
        <v>-663.46467458970005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16</v>
      </c>
      <c r="F89" s="93">
        <v>4</v>
      </c>
      <c r="G89" s="93">
        <v>2</v>
      </c>
      <c r="H89" s="93">
        <v>9</v>
      </c>
      <c r="I89" s="93">
        <v>0</v>
      </c>
      <c r="J89" s="93">
        <v>1</v>
      </c>
      <c r="K89" s="93">
        <v>169.89</v>
      </c>
      <c r="L89" s="92">
        <f t="shared" si="42"/>
        <v>2718.24</v>
      </c>
      <c r="M89" s="89">
        <v>22</v>
      </c>
      <c r="N89" s="89">
        <v>9</v>
      </c>
      <c r="O89" s="89">
        <v>1504</v>
      </c>
      <c r="P89" s="89">
        <v>50</v>
      </c>
      <c r="Q89" s="233">
        <f t="shared" si="47"/>
        <v>1.2857142857142858</v>
      </c>
      <c r="R89" s="92">
        <f t="shared" si="48"/>
        <v>0.8571428571428571</v>
      </c>
      <c r="S89" s="93">
        <v>6</v>
      </c>
      <c r="T89" s="93">
        <v>0</v>
      </c>
      <c r="U89" s="92">
        <f t="shared" si="49"/>
        <v>6</v>
      </c>
      <c r="V89" s="93">
        <v>5903</v>
      </c>
      <c r="W89" s="93">
        <v>0</v>
      </c>
      <c r="X89" s="92">
        <f t="shared" si="50"/>
        <v>5903</v>
      </c>
      <c r="Y89" s="93">
        <v>8960</v>
      </c>
      <c r="Z89" s="93">
        <v>0</v>
      </c>
      <c r="AA89" s="92">
        <f t="shared" si="51"/>
        <v>8960</v>
      </c>
      <c r="AB89" s="92">
        <f t="shared" si="52"/>
        <v>6768</v>
      </c>
      <c r="AC89" s="234">
        <f t="shared" si="53"/>
        <v>2.0194519152958667E-3</v>
      </c>
      <c r="AD89" s="92">
        <f t="shared" si="54"/>
        <v>1019.3399999999999</v>
      </c>
      <c r="AE89" s="93">
        <v>3403.6399999999994</v>
      </c>
      <c r="AF89" s="234">
        <f t="shared" si="55"/>
        <v>0.37987053571428564</v>
      </c>
      <c r="AG89" s="93">
        <v>1172.9100000000001</v>
      </c>
      <c r="AH89" s="93"/>
      <c r="AI89" s="93"/>
      <c r="AJ89" s="93"/>
      <c r="AK89" s="93"/>
      <c r="AL89" s="122">
        <f t="shared" si="46"/>
        <v>8.6955178268251281</v>
      </c>
      <c r="AM89" s="93">
        <v>0</v>
      </c>
      <c r="AN89" s="94">
        <f t="shared" si="56"/>
        <v>337.06129999999996</v>
      </c>
      <c r="AO89" s="95">
        <f t="shared" si="57"/>
        <v>3018.3531821731758</v>
      </c>
      <c r="AP89" s="96"/>
      <c r="AQ89" s="97">
        <f t="shared" si="7"/>
        <v>1493.3333333333333</v>
      </c>
      <c r="AR89" s="98">
        <f t="shared" si="35"/>
        <v>169.89</v>
      </c>
      <c r="AS89" s="98">
        <f t="shared" si="9"/>
        <v>567.2733333333332</v>
      </c>
      <c r="AT89" s="98">
        <f t="shared" si="10"/>
        <v>195.48500000000001</v>
      </c>
      <c r="AU89" s="98">
        <f t="shared" si="58"/>
        <v>0</v>
      </c>
      <c r="AV89" s="98">
        <f t="array" ref="AV89">_xlfn.IFS(U89=0,AO89,U89&lt;0,AO89/-U89,U89&gt;0,AO89/U89)</f>
        <v>503.05886369552928</v>
      </c>
      <c r="AW89" s="234">
        <f t="shared" si="43"/>
        <v>0.33686977479611335</v>
      </c>
      <c r="AX89" s="234">
        <f t="shared" si="44"/>
        <v>2.9610857831274902</v>
      </c>
      <c r="AY89" s="99"/>
      <c r="AZ89" s="94">
        <f t="shared" si="13"/>
        <v>8048.9418191284685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2"/>
        <v>5286.12</v>
      </c>
      <c r="M90" s="89">
        <v>745</v>
      </c>
      <c r="N90" s="89">
        <v>1</v>
      </c>
      <c r="O90" s="89">
        <v>1077</v>
      </c>
      <c r="P90" s="89">
        <v>100</v>
      </c>
      <c r="Q90" s="233">
        <f t="shared" si="47"/>
        <v>0.14285714285714285</v>
      </c>
      <c r="R90" s="92">
        <f t="shared" si="48"/>
        <v>0.2857142857142857</v>
      </c>
      <c r="S90" s="93">
        <v>2</v>
      </c>
      <c r="T90" s="93">
        <v>0</v>
      </c>
      <c r="U90" s="92">
        <f t="shared" si="49"/>
        <v>2</v>
      </c>
      <c r="V90" s="93">
        <v>1387</v>
      </c>
      <c r="W90" s="93">
        <v>0</v>
      </c>
      <c r="X90" s="92">
        <f t="shared" si="50"/>
        <v>1387</v>
      </c>
      <c r="Y90" s="93">
        <v>2154</v>
      </c>
      <c r="Z90" s="93">
        <v>0</v>
      </c>
      <c r="AA90" s="92">
        <f t="shared" si="51"/>
        <v>2154</v>
      </c>
      <c r="AB90" s="92">
        <f t="shared" si="52"/>
        <v>1077</v>
      </c>
      <c r="AC90" s="234">
        <f t="shared" si="53"/>
        <v>4.8547984660126081E-4</v>
      </c>
      <c r="AD90" s="92">
        <f t="shared" si="54"/>
        <v>215.76</v>
      </c>
      <c r="AE90" s="93">
        <v>814.76</v>
      </c>
      <c r="AF90" s="234">
        <f t="shared" si="55"/>
        <v>0.37825441039925717</v>
      </c>
      <c r="AG90" s="93">
        <v>120.06</v>
      </c>
      <c r="AH90" s="93"/>
      <c r="AI90" s="93"/>
      <c r="AJ90" s="93"/>
      <c r="AK90" s="93"/>
      <c r="AL90" s="122">
        <f t="shared" si="46"/>
        <v>46.376095076400688</v>
      </c>
      <c r="AM90" s="93">
        <v>0</v>
      </c>
      <c r="AN90" s="94">
        <f t="shared" si="56"/>
        <v>79.197699999999998</v>
      </c>
      <c r="AO90" s="95">
        <f t="shared" si="57"/>
        <v>877.84620492359932</v>
      </c>
      <c r="AP90" s="96"/>
      <c r="AQ90" s="97">
        <f t="shared" si="7"/>
        <v>1077</v>
      </c>
      <c r="AR90" s="98">
        <f t="shared" si="35"/>
        <v>107.88</v>
      </c>
      <c r="AS90" s="98">
        <f t="shared" si="9"/>
        <v>407.38</v>
      </c>
      <c r="AT90" s="98">
        <f t="shared" si="10"/>
        <v>60.03</v>
      </c>
      <c r="AU90" s="98">
        <f t="shared" si="58"/>
        <v>0</v>
      </c>
      <c r="AV90" s="98">
        <f t="array" ref="AV90">_xlfn.IFS(U90=0,AO90,U90&lt;0,AO90/-U90,U90&gt;0,AO90/U90)</f>
        <v>438.92310246179966</v>
      </c>
      <c r="AW90" s="234">
        <f t="shared" si="43"/>
        <v>0.40754234211866264</v>
      </c>
      <c r="AX90" s="234">
        <f t="shared" si="44"/>
        <v>4.0686234933426002</v>
      </c>
      <c r="AY90" s="99"/>
      <c r="AZ90" s="94">
        <f t="shared" si="13"/>
        <v>21507.232020628184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34</v>
      </c>
      <c r="F91" s="93">
        <v>5</v>
      </c>
      <c r="G91" s="93">
        <v>2</v>
      </c>
      <c r="H91" s="93">
        <v>21</v>
      </c>
      <c r="I91" s="93">
        <v>0</v>
      </c>
      <c r="J91" s="93">
        <v>6</v>
      </c>
      <c r="K91" s="93">
        <v>93.84</v>
      </c>
      <c r="L91" s="92">
        <f t="shared" si="42"/>
        <v>3190.56</v>
      </c>
      <c r="M91" s="89">
        <v>63</v>
      </c>
      <c r="N91" s="89">
        <v>8</v>
      </c>
      <c r="O91" s="89">
        <v>1075</v>
      </c>
      <c r="P91" s="89">
        <v>20</v>
      </c>
      <c r="Q91" s="233">
        <f t="shared" si="47"/>
        <v>1.1428571428571428</v>
      </c>
      <c r="R91" s="92">
        <f t="shared" si="48"/>
        <v>0.14285714285714285</v>
      </c>
      <c r="S91" s="93">
        <v>1</v>
      </c>
      <c r="T91" s="93">
        <v>0</v>
      </c>
      <c r="U91" s="92">
        <f t="shared" si="49"/>
        <v>1</v>
      </c>
      <c r="V91" s="93">
        <v>638</v>
      </c>
      <c r="W91" s="93">
        <v>0</v>
      </c>
      <c r="X91" s="92">
        <f t="shared" si="50"/>
        <v>638</v>
      </c>
      <c r="Y91" s="93">
        <v>1054</v>
      </c>
      <c r="Z91" s="93">
        <v>0</v>
      </c>
      <c r="AA91" s="92">
        <f t="shared" si="51"/>
        <v>1054</v>
      </c>
      <c r="AB91" s="92">
        <f t="shared" si="52"/>
        <v>1720</v>
      </c>
      <c r="AC91" s="234">
        <f t="shared" si="53"/>
        <v>2.375560623573486E-4</v>
      </c>
      <c r="AD91" s="92">
        <f t="shared" si="54"/>
        <v>93.84</v>
      </c>
      <c r="AE91" s="93">
        <v>397.05999999999995</v>
      </c>
      <c r="AF91" s="234">
        <f t="shared" si="55"/>
        <v>0.3767172675521821</v>
      </c>
      <c r="AG91" s="93">
        <v>919.4100000000002</v>
      </c>
      <c r="AH91" s="93"/>
      <c r="AI91" s="93"/>
      <c r="AJ91" s="93"/>
      <c r="AK91" s="93"/>
      <c r="AL91" s="122">
        <f t="shared" si="46"/>
        <v>20.289541595925296</v>
      </c>
      <c r="AM91" s="93">
        <v>0</v>
      </c>
      <c r="AN91" s="94">
        <f t="shared" si="56"/>
        <v>36.4298</v>
      </c>
      <c r="AO91" s="95">
        <f t="shared" si="57"/>
        <v>-413.02934159592547</v>
      </c>
      <c r="AP91" s="96"/>
      <c r="AQ91" s="97">
        <f t="shared" si="7"/>
        <v>1054</v>
      </c>
      <c r="AR91" s="98">
        <f t="shared" si="35"/>
        <v>93.84</v>
      </c>
      <c r="AS91" s="98">
        <f t="shared" si="9"/>
        <v>397.05999999999995</v>
      </c>
      <c r="AT91" s="98">
        <f t="shared" si="10"/>
        <v>919.4100000000002</v>
      </c>
      <c r="AU91" s="98">
        <f t="shared" si="58"/>
        <v>0</v>
      </c>
      <c r="AV91" s="98">
        <f t="array" ref="AV91">_xlfn.IFS(U91=0,AO91,U91&lt;0,AO91/-U91,U91&gt;0,AO91/U91)</f>
        <v>-413.02934159592547</v>
      </c>
      <c r="AW91" s="234">
        <f t="shared" si="43"/>
        <v>-0.39186844553693118</v>
      </c>
      <c r="AX91" s="234">
        <f t="shared" si="44"/>
        <v>-4.4014209462481402</v>
      </c>
      <c r="AY91" s="99"/>
      <c r="AZ91" s="94">
        <f t="shared" si="13"/>
        <v>-14042.997614261467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49</v>
      </c>
      <c r="F92" s="93">
        <v>6</v>
      </c>
      <c r="G92" s="93">
        <v>2</v>
      </c>
      <c r="H92" s="93">
        <v>40</v>
      </c>
      <c r="I92" s="93">
        <v>0</v>
      </c>
      <c r="J92" s="93">
        <v>1</v>
      </c>
      <c r="K92" s="93">
        <v>139.47</v>
      </c>
      <c r="L92" s="92">
        <f t="shared" si="42"/>
        <v>6834.03</v>
      </c>
      <c r="M92" s="89">
        <v>142</v>
      </c>
      <c r="N92" s="89">
        <v>9</v>
      </c>
      <c r="O92" s="89">
        <v>1250</v>
      </c>
      <c r="P92" s="89">
        <v>0</v>
      </c>
      <c r="Q92" s="233">
        <f t="shared" si="47"/>
        <v>1.2857142857142858</v>
      </c>
      <c r="R92" s="92">
        <f t="shared" si="48"/>
        <v>0.14285714285714285</v>
      </c>
      <c r="S92" s="93">
        <v>1</v>
      </c>
      <c r="T92" s="93">
        <v>0</v>
      </c>
      <c r="U92" s="92">
        <f t="shared" si="49"/>
        <v>1</v>
      </c>
      <c r="V92" s="93">
        <v>885</v>
      </c>
      <c r="W92" s="93">
        <v>0</v>
      </c>
      <c r="X92" s="92">
        <f t="shared" si="50"/>
        <v>885</v>
      </c>
      <c r="Y92" s="93">
        <v>1350</v>
      </c>
      <c r="Z92" s="93">
        <v>0</v>
      </c>
      <c r="AA92" s="92">
        <f t="shared" si="51"/>
        <v>1350</v>
      </c>
      <c r="AB92" s="92">
        <f t="shared" si="52"/>
        <v>0</v>
      </c>
      <c r="AC92" s="234">
        <f t="shared" si="53"/>
        <v>3.0427009884480136E-4</v>
      </c>
      <c r="AD92" s="92">
        <f t="shared" si="54"/>
        <v>139.47</v>
      </c>
      <c r="AE92" s="93">
        <v>511.28</v>
      </c>
      <c r="AF92" s="234">
        <f t="shared" si="55"/>
        <v>0.37872592592592591</v>
      </c>
      <c r="AG92" s="93">
        <v>413.56999999999994</v>
      </c>
      <c r="AH92" s="93"/>
      <c r="AI92" s="93">
        <v>2252</v>
      </c>
      <c r="AJ92" s="93"/>
      <c r="AK92" s="93"/>
      <c r="AL92" s="122">
        <f t="shared" si="46"/>
        <v>38.646745897000564</v>
      </c>
      <c r="AM92" s="93">
        <v>0</v>
      </c>
      <c r="AN92" s="94">
        <f t="shared" si="56"/>
        <v>50.533499999999997</v>
      </c>
      <c r="AO92" s="95">
        <f t="shared" si="57"/>
        <v>-2055.5002458970002</v>
      </c>
      <c r="AP92" s="96"/>
      <c r="AQ92" s="97">
        <f t="shared" si="7"/>
        <v>1350</v>
      </c>
      <c r="AR92" s="98">
        <f t="shared" si="35"/>
        <v>139.47</v>
      </c>
      <c r="AS92" s="98">
        <f t="shared" si="9"/>
        <v>511.28</v>
      </c>
      <c r="AT92" s="98">
        <f t="shared" si="10"/>
        <v>413.56999999999994</v>
      </c>
      <c r="AU92" s="98">
        <f t="shared" si="58"/>
        <v>2252</v>
      </c>
      <c r="AV92" s="98">
        <f t="array" ref="AV92">_xlfn.IFS(U92=0,AO92,U92&lt;0,AO92/-U92,U92&gt;0,AO92/U92)</f>
        <v>-2055.5002458970002</v>
      </c>
      <c r="AW92" s="234">
        <f t="shared" si="43"/>
        <v>-1.5225927747385186</v>
      </c>
      <c r="AX92" s="234">
        <f t="shared" si="44"/>
        <v>-14.737938236875316</v>
      </c>
      <c r="AY92" s="99"/>
      <c r="AZ92" s="94">
        <f t="shared" si="13"/>
        <v>-100719.51204895301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40</v>
      </c>
      <c r="F93" s="93" t="s">
        <v>100</v>
      </c>
      <c r="G93" s="93">
        <v>1</v>
      </c>
      <c r="H93" s="93">
        <v>38</v>
      </c>
      <c r="I93" s="93">
        <v>0</v>
      </c>
      <c r="J93" s="93">
        <v>1</v>
      </c>
      <c r="K93" s="93">
        <v>139.47</v>
      </c>
      <c r="L93" s="92">
        <f t="shared" si="42"/>
        <v>5578.8</v>
      </c>
      <c r="M93" s="89">
        <v>150</v>
      </c>
      <c r="N93" s="89">
        <v>2</v>
      </c>
      <c r="O93" s="89">
        <v>1296</v>
      </c>
      <c r="P93" s="89">
        <v>50</v>
      </c>
      <c r="Q93" s="233">
        <f t="shared" si="47"/>
        <v>0.2857142857142857</v>
      </c>
      <c r="R93" s="92">
        <f t="shared" si="48"/>
        <v>0.42857142857142855</v>
      </c>
      <c r="S93" s="93">
        <v>3</v>
      </c>
      <c r="T93" s="93">
        <v>0</v>
      </c>
      <c r="U93" s="92">
        <f t="shared" si="49"/>
        <v>3</v>
      </c>
      <c r="V93" s="93">
        <v>2494</v>
      </c>
      <c r="W93" s="93">
        <v>0</v>
      </c>
      <c r="X93" s="92">
        <f t="shared" si="50"/>
        <v>2494</v>
      </c>
      <c r="Y93" s="93">
        <v>3862</v>
      </c>
      <c r="Z93" s="93">
        <v>0</v>
      </c>
      <c r="AA93" s="92">
        <f t="shared" si="51"/>
        <v>3862</v>
      </c>
      <c r="AB93" s="92">
        <f t="shared" si="52"/>
        <v>1296</v>
      </c>
      <c r="AC93" s="234">
        <f t="shared" si="53"/>
        <v>8.7043786795453534E-4</v>
      </c>
      <c r="AD93" s="92">
        <f t="shared" si="54"/>
        <v>418.40999999999997</v>
      </c>
      <c r="AE93" s="93">
        <v>1461.12</v>
      </c>
      <c r="AF93" s="234">
        <f t="shared" si="55"/>
        <v>0.37833247022268252</v>
      </c>
      <c r="AG93" s="93">
        <v>332.58000000000004</v>
      </c>
      <c r="AH93" s="93"/>
      <c r="AI93" s="93"/>
      <c r="AJ93" s="93"/>
      <c r="AK93" s="93"/>
      <c r="AL93" s="122">
        <f t="shared" si="46"/>
        <v>36.714408602150534</v>
      </c>
      <c r="AM93" s="93">
        <v>0</v>
      </c>
      <c r="AN93" s="94">
        <f t="shared" si="56"/>
        <v>142.4074</v>
      </c>
      <c r="AO93" s="95">
        <f t="shared" si="57"/>
        <v>1470.7681913978497</v>
      </c>
      <c r="AP93" s="96"/>
      <c r="AQ93" s="97">
        <f t="shared" si="7"/>
        <v>1287.3333333333333</v>
      </c>
      <c r="AR93" s="98">
        <f t="shared" si="35"/>
        <v>139.47</v>
      </c>
      <c r="AS93" s="98">
        <f t="shared" si="9"/>
        <v>487.03999999999996</v>
      </c>
      <c r="AT93" s="98">
        <f t="shared" si="10"/>
        <v>110.86000000000001</v>
      </c>
      <c r="AU93" s="98">
        <f t="shared" si="58"/>
        <v>0</v>
      </c>
      <c r="AV93" s="98">
        <f t="array" ref="AV93">_xlfn.IFS(U93=0,AO93,U93&lt;0,AO93/-U93,U93&gt;0,AO93/U93)</f>
        <v>490.25606379928325</v>
      </c>
      <c r="AW93" s="234">
        <f t="shared" si="43"/>
        <v>0.38083070724957274</v>
      </c>
      <c r="AX93" s="234">
        <f t="shared" si="44"/>
        <v>3.5151363289544939</v>
      </c>
      <c r="AY93" s="99"/>
      <c r="AZ93" s="94">
        <f t="shared" si="13"/>
        <v>19610.242551971329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2</v>
      </c>
      <c r="F97" s="93">
        <v>1</v>
      </c>
      <c r="G97" s="93" t="s">
        <v>100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800.16</v>
      </c>
      <c r="M97" s="89">
        <v>12</v>
      </c>
      <c r="N97" s="89">
        <v>1</v>
      </c>
      <c r="O97" s="89">
        <v>1509</v>
      </c>
      <c r="P97" s="89">
        <v>0</v>
      </c>
      <c r="Q97" s="233">
        <f t="shared" si="47"/>
        <v>0.14285714285714285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164.9</v>
      </c>
      <c r="AH97" s="93"/>
      <c r="AI97" s="93"/>
      <c r="AJ97" s="93"/>
      <c r="AK97" s="93"/>
      <c r="AL97" s="122">
        <f t="shared" si="46"/>
        <v>0.96616864742501418</v>
      </c>
      <c r="AM97" s="93">
        <v>0</v>
      </c>
      <c r="AN97" s="94">
        <f t="shared" si="56"/>
        <v>0</v>
      </c>
      <c r="AO97" s="95">
        <f t="shared" si="57"/>
        <v>-165.86616864742501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164.9</v>
      </c>
      <c r="AU97" s="98">
        <f t="shared" si="58"/>
        <v>0</v>
      </c>
      <c r="AV97" s="98">
        <f t="array" ref="AV97">_xlfn.IFS(U97=0,AO97,U97&lt;0,AO97/-U97,U97&gt;0,AO97/U97)</f>
        <v>-165.86616864742501</v>
      </c>
      <c r="AW97" s="234">
        <f t="shared" si="43"/>
        <v>0</v>
      </c>
      <c r="AX97" s="234">
        <f t="shared" si="44"/>
        <v>-0.41458250511753902</v>
      </c>
      <c r="AY97" s="99"/>
      <c r="AZ97" s="94">
        <f t="shared" si="13"/>
        <v>-331.73233729485003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11</v>
      </c>
      <c r="F98" s="93">
        <v>2</v>
      </c>
      <c r="G98" s="93" t="s">
        <v>100</v>
      </c>
      <c r="H98" s="93">
        <v>9</v>
      </c>
      <c r="I98" s="93">
        <v>0</v>
      </c>
      <c r="J98" s="93">
        <v>0</v>
      </c>
      <c r="K98" s="93">
        <v>300.08</v>
      </c>
      <c r="L98" s="92">
        <f t="shared" si="42"/>
        <v>3300.8799999999997</v>
      </c>
      <c r="M98" s="89">
        <v>170</v>
      </c>
      <c r="N98" s="89">
        <v>3</v>
      </c>
      <c r="O98" s="89">
        <v>878</v>
      </c>
      <c r="P98" s="89">
        <v>0</v>
      </c>
      <c r="Q98" s="233">
        <f t="shared" si="47"/>
        <v>0.42857142857142855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620</v>
      </c>
      <c r="W98" s="93">
        <v>0</v>
      </c>
      <c r="X98" s="92">
        <f t="shared" si="50"/>
        <v>620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1.9788825687832264E-4</v>
      </c>
      <c r="AD98" s="92">
        <f t="shared" si="54"/>
        <v>300.08</v>
      </c>
      <c r="AE98" s="93">
        <v>339.76</v>
      </c>
      <c r="AF98" s="234">
        <f t="shared" si="55"/>
        <v>0.38697038724373573</v>
      </c>
      <c r="AG98" s="93">
        <v>120.93</v>
      </c>
      <c r="AH98" s="93"/>
      <c r="AI98" s="93"/>
      <c r="AJ98" s="93"/>
      <c r="AK98" s="93"/>
      <c r="AL98" s="122">
        <f t="shared" si="46"/>
        <v>8.6955178268251281</v>
      </c>
      <c r="AM98" s="93">
        <v>0</v>
      </c>
      <c r="AN98" s="94">
        <f t="shared" si="56"/>
        <v>35.402000000000001</v>
      </c>
      <c r="AO98" s="95">
        <f t="shared" si="57"/>
        <v>73.132482173174949</v>
      </c>
      <c r="AP98" s="96"/>
      <c r="AQ98" s="97">
        <f t="shared" ref="AQ98:AQ103" si="59">IF(U98=0,0,AA98/U98)</f>
        <v>878</v>
      </c>
      <c r="AR98" s="98">
        <f t="shared" si="35"/>
        <v>300.08</v>
      </c>
      <c r="AS98" s="98">
        <f t="shared" ref="AS98:AS103" si="60">IF(U98=0,0,AE98/U98)</f>
        <v>339.76</v>
      </c>
      <c r="AT98" s="98">
        <f t="shared" ref="AT98:AT103" si="61">IF(S98=0,AG98/1,AG98/S98)</f>
        <v>120.93</v>
      </c>
      <c r="AU98" s="98">
        <f t="shared" si="58"/>
        <v>0</v>
      </c>
      <c r="AV98" s="98">
        <f t="array" ref="AV98">_xlfn.IFS(U98=0,AO98,U98&lt;0,AO98/-U98,U98&gt;0,AO98/U98)</f>
        <v>73.132482173174949</v>
      </c>
      <c r="AW98" s="234">
        <f t="shared" si="43"/>
        <v>8.3294398830495386E-2</v>
      </c>
      <c r="AX98" s="234">
        <f t="shared" si="44"/>
        <v>0.24370995125691466</v>
      </c>
      <c r="AY98" s="99"/>
      <c r="AZ98" s="94">
        <f t="shared" ref="AZ98:AZ103" si="62">AV98*E98</f>
        <v>804.4573039049244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37</v>
      </c>
      <c r="F100" s="93">
        <v>4</v>
      </c>
      <c r="G100" s="93" t="s">
        <v>100</v>
      </c>
      <c r="H100" s="93">
        <v>33</v>
      </c>
      <c r="I100" s="93">
        <v>0</v>
      </c>
      <c r="J100" s="93">
        <v>0</v>
      </c>
      <c r="K100" s="93">
        <v>142.97999999999999</v>
      </c>
      <c r="L100" s="92">
        <f t="shared" si="63"/>
        <v>5290.2599999999993</v>
      </c>
      <c r="M100" s="89">
        <v>76</v>
      </c>
      <c r="N100" s="89">
        <v>7</v>
      </c>
      <c r="O100" s="89">
        <v>1300</v>
      </c>
      <c r="P100" s="89">
        <v>67</v>
      </c>
      <c r="Q100" s="233">
        <f t="shared" si="47"/>
        <v>1</v>
      </c>
      <c r="R100" s="92">
        <f t="shared" si="48"/>
        <v>0.5714285714285714</v>
      </c>
      <c r="S100" s="93">
        <v>4</v>
      </c>
      <c r="T100" s="93">
        <v>0</v>
      </c>
      <c r="U100" s="92">
        <f t="shared" si="49"/>
        <v>4</v>
      </c>
      <c r="V100" s="93">
        <v>3413</v>
      </c>
      <c r="W100" s="93">
        <v>0</v>
      </c>
      <c r="X100" s="92">
        <f t="shared" si="50"/>
        <v>3413</v>
      </c>
      <c r="Y100" s="93">
        <v>5200</v>
      </c>
      <c r="Z100" s="93">
        <v>0</v>
      </c>
      <c r="AA100" s="92">
        <f t="shared" si="51"/>
        <v>5200</v>
      </c>
      <c r="AB100" s="92">
        <f t="shared" si="52"/>
        <v>6097</v>
      </c>
      <c r="AC100" s="234">
        <f t="shared" si="53"/>
        <v>1.1720033436984939E-3</v>
      </c>
      <c r="AD100" s="92">
        <f t="shared" si="54"/>
        <v>571.91999999999996</v>
      </c>
      <c r="AE100" s="93">
        <v>1977.1499999999996</v>
      </c>
      <c r="AF100" s="234">
        <f t="shared" si="55"/>
        <v>0.38022115384615379</v>
      </c>
      <c r="AG100" s="93">
        <v>422.04</v>
      </c>
      <c r="AH100" s="93"/>
      <c r="AI100" s="93"/>
      <c r="AJ100" s="93"/>
      <c r="AK100" s="93"/>
      <c r="AL100" s="122">
        <f t="shared" si="46"/>
        <v>31.883565365025465</v>
      </c>
      <c r="AM100" s="93">
        <v>0</v>
      </c>
      <c r="AN100" s="94">
        <f t="shared" si="56"/>
        <v>194.88229999999999</v>
      </c>
      <c r="AO100" s="95">
        <f t="shared" si="57"/>
        <v>2002.124134634975</v>
      </c>
      <c r="AP100" s="96"/>
      <c r="AQ100" s="97">
        <f t="shared" si="59"/>
        <v>1300</v>
      </c>
      <c r="AR100" s="98">
        <f t="shared" si="64"/>
        <v>142.97999999999999</v>
      </c>
      <c r="AS100" s="98">
        <f t="shared" si="60"/>
        <v>494.28749999999991</v>
      </c>
      <c r="AT100" s="98">
        <f t="shared" si="61"/>
        <v>105.51</v>
      </c>
      <c r="AU100" s="98">
        <f t="shared" si="58"/>
        <v>0</v>
      </c>
      <c r="AV100" s="98">
        <f t="array" ref="AV100">_xlfn.IFS(U100=0,AO100,U100&lt;0,AO100/-U100,U100&gt;0,AO100/U100)</f>
        <v>500.53103365874375</v>
      </c>
      <c r="AW100" s="234">
        <f t="shared" si="65"/>
        <v>0.38502387204518751</v>
      </c>
      <c r="AX100" s="234">
        <f t="shared" si="66"/>
        <v>3.5007066279112027</v>
      </c>
      <c r="AY100" s="99"/>
      <c r="AZ100" s="94">
        <f t="shared" si="62"/>
        <v>18519.648245373519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137</v>
      </c>
      <c r="F102" s="93">
        <v>36</v>
      </c>
      <c r="G102" s="93">
        <v>11</v>
      </c>
      <c r="H102" s="93">
        <v>90</v>
      </c>
      <c r="I102" s="93">
        <v>0</v>
      </c>
      <c r="J102" s="93">
        <v>0</v>
      </c>
      <c r="K102" s="92">
        <v>123.09</v>
      </c>
      <c r="L102" s="92">
        <f t="shared" si="63"/>
        <v>16863.330000000002</v>
      </c>
      <c r="M102" s="89">
        <v>18</v>
      </c>
      <c r="N102" s="89">
        <v>65</v>
      </c>
      <c r="O102" s="89">
        <v>1300</v>
      </c>
      <c r="P102" s="89">
        <v>29</v>
      </c>
      <c r="Q102" s="233">
        <f t="shared" si="47"/>
        <v>9.2857142857142865</v>
      </c>
      <c r="R102" s="92">
        <f t="shared" si="48"/>
        <v>2.5714285714285716</v>
      </c>
      <c r="S102" s="93">
        <v>20</v>
      </c>
      <c r="T102" s="93">
        <v>-2</v>
      </c>
      <c r="U102" s="92">
        <f t="shared" si="49"/>
        <v>18</v>
      </c>
      <c r="V102" s="93">
        <v>17113.91</v>
      </c>
      <c r="W102" s="93">
        <v>-1655</v>
      </c>
      <c r="X102" s="92">
        <f t="shared" si="50"/>
        <v>15458.91</v>
      </c>
      <c r="Y102" s="93">
        <v>26000.09</v>
      </c>
      <c r="Z102" s="93">
        <v>-2600</v>
      </c>
      <c r="AA102" s="92">
        <f t="shared" si="51"/>
        <v>23400.09</v>
      </c>
      <c r="AB102" s="92">
        <f t="shared" si="52"/>
        <v>24505</v>
      </c>
      <c r="AC102" s="234">
        <f t="shared" si="53"/>
        <v>5.2740353313164793E-3</v>
      </c>
      <c r="AD102" s="92">
        <f t="shared" si="54"/>
        <v>2215.62</v>
      </c>
      <c r="AE102" s="93">
        <v>8845.0400000000027</v>
      </c>
      <c r="AF102" s="234">
        <f t="shared" si="55"/>
        <v>0.37799170857889874</v>
      </c>
      <c r="AG102" s="93">
        <v>4718.859999999996</v>
      </c>
      <c r="AH102" s="93">
        <v>998</v>
      </c>
      <c r="AI102" s="93">
        <v>7500</v>
      </c>
      <c r="AJ102" s="93"/>
      <c r="AK102" s="93"/>
      <c r="AL102" s="122">
        <f t="shared" si="46"/>
        <v>86.955178268251274</v>
      </c>
      <c r="AM102" s="93">
        <v>0</v>
      </c>
      <c r="AN102" s="94">
        <f t="shared" si="56"/>
        <v>882.70376099999999</v>
      </c>
      <c r="AO102" s="95">
        <f t="shared" si="57"/>
        <v>-1847.0889392682489</v>
      </c>
      <c r="AP102" s="96"/>
      <c r="AQ102" s="97">
        <f t="shared" si="59"/>
        <v>1300.0050000000001</v>
      </c>
      <c r="AR102" s="98">
        <f t="shared" si="64"/>
        <v>123.09</v>
      </c>
      <c r="AS102" s="98">
        <f t="shared" si="60"/>
        <v>491.39111111111129</v>
      </c>
      <c r="AT102" s="98">
        <f t="shared" si="61"/>
        <v>235.94299999999981</v>
      </c>
      <c r="AU102" s="98">
        <f t="shared" si="58"/>
        <v>424.9</v>
      </c>
      <c r="AV102" s="98">
        <f t="array" ref="AV102">_xlfn.IFS(U102=0,AO102,U102&lt;0,AO102/-U102,U102&gt;0,AO102/U102)</f>
        <v>-102.61605218156939</v>
      </c>
      <c r="AW102" s="234">
        <f t="shared" si="65"/>
        <v>-7.8935121158433527E-2</v>
      </c>
      <c r="AX102" s="234">
        <f t="shared" si="66"/>
        <v>-0.83366684687277104</v>
      </c>
      <c r="AY102" s="99"/>
      <c r="AZ102" s="94">
        <f t="shared" si="62"/>
        <v>-14058.399148875005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787.11977642180909</v>
      </c>
      <c r="AR104" s="111">
        <f t="shared" si="67"/>
        <v>141.22217391304349</v>
      </c>
      <c r="AS104" s="111">
        <f t="shared" si="67"/>
        <v>292.8517899263606</v>
      </c>
      <c r="AT104" s="111">
        <f t="shared" si="67"/>
        <v>166.53200009829894</v>
      </c>
      <c r="AU104" s="111">
        <f t="shared" si="67"/>
        <v>133.78386642893665</v>
      </c>
      <c r="AV104" s="111">
        <f t="shared" si="67"/>
        <v>9.8288021768347029</v>
      </c>
      <c r="AW104" s="112">
        <f t="shared" si="67"/>
        <v>1.9991876154617262E-2</v>
      </c>
      <c r="AX104" s="112">
        <f t="shared" si="67"/>
        <v>-6.0467604134491143E-3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83781</v>
      </c>
      <c r="F105" s="116">
        <f t="shared" si="68"/>
        <v>3442</v>
      </c>
      <c r="G105" s="116">
        <f t="shared" si="68"/>
        <v>1098</v>
      </c>
      <c r="H105" s="116">
        <f t="shared" si="68"/>
        <v>8835</v>
      </c>
      <c r="I105" s="116">
        <f t="shared" si="68"/>
        <v>1461</v>
      </c>
      <c r="J105" s="116">
        <f t="shared" si="68"/>
        <v>68945</v>
      </c>
      <c r="K105" s="116"/>
      <c r="L105" s="116">
        <f>SUM(L3:L103)</f>
        <v>10360307.109999994</v>
      </c>
      <c r="M105" s="116"/>
      <c r="N105" s="116">
        <f>SUM(N3:N103)</f>
        <v>5475</v>
      </c>
      <c r="O105" s="116"/>
      <c r="P105" s="116"/>
      <c r="Q105" s="212"/>
      <c r="R105" s="116"/>
      <c r="S105" s="116">
        <f t="shared" ref="S105:AE105" si="69">SUM(S3:S103)</f>
        <v>3012</v>
      </c>
      <c r="T105" s="116">
        <f t="shared" si="69"/>
        <v>-85</v>
      </c>
      <c r="U105" s="116">
        <f t="shared" si="69"/>
        <v>2927</v>
      </c>
      <c r="V105" s="116">
        <f t="shared" si="69"/>
        <v>3007932.1</v>
      </c>
      <c r="W105" s="116">
        <f t="shared" si="69"/>
        <v>-82412.17</v>
      </c>
      <c r="X105" s="116">
        <f t="shared" si="69"/>
        <v>2925519.9299999992</v>
      </c>
      <c r="Y105" s="116">
        <f t="shared" si="69"/>
        <v>4561244.1899999985</v>
      </c>
      <c r="Z105" s="116">
        <f t="shared" si="69"/>
        <v>-124396.78</v>
      </c>
      <c r="AA105" s="116">
        <f t="shared" si="69"/>
        <v>4436847.4099999974</v>
      </c>
      <c r="AB105" s="116">
        <f t="shared" si="69"/>
        <v>4586617.8100000015</v>
      </c>
      <c r="AC105" s="239">
        <f t="shared" si="69"/>
        <v>1.0000000000000004</v>
      </c>
      <c r="AD105" s="117">
        <f t="shared" si="69"/>
        <v>363233.15000000014</v>
      </c>
      <c r="AE105" s="116">
        <f t="shared" si="69"/>
        <v>1670278.0099999977</v>
      </c>
      <c r="AF105" s="239">
        <f>AE105/AA105</f>
        <v>0.3764560408896277</v>
      </c>
      <c r="AG105" s="116">
        <f t="shared" ref="AG105:AO105" si="70">SUM(AG3:AG103)</f>
        <v>409675.01000000007</v>
      </c>
      <c r="AH105" s="117">
        <f t="shared" si="70"/>
        <v>9682</v>
      </c>
      <c r="AI105" s="117">
        <f t="shared" si="70"/>
        <v>500888</v>
      </c>
      <c r="AJ105" s="117">
        <f t="shared" si="70"/>
        <v>0</v>
      </c>
      <c r="AK105" s="117">
        <f t="shared" si="70"/>
        <v>0</v>
      </c>
      <c r="AL105" s="117">
        <f t="shared" si="70"/>
        <v>8536.0999999999985</v>
      </c>
      <c r="AM105" s="116">
        <f t="shared" si="70"/>
        <v>960</v>
      </c>
      <c r="AN105" s="117">
        <f t="shared" si="70"/>
        <v>167047.18800300005</v>
      </c>
      <c r="AO105" s="117">
        <f t="shared" si="70"/>
        <v>1306547.9519970014</v>
      </c>
      <c r="AP105" s="118"/>
      <c r="AQ105" s="116"/>
      <c r="AR105" s="116"/>
      <c r="AS105" s="116"/>
      <c r="AT105" s="116"/>
      <c r="AU105" s="240">
        <f>(AH105+AI105+AJ105)/S105</f>
        <v>169.51195219123505</v>
      </c>
      <c r="AV105" s="116"/>
      <c r="AW105" s="116"/>
      <c r="AX105" s="116"/>
      <c r="AY105" s="119"/>
      <c r="AZ105" s="116">
        <f>SUM(AZ3:AZ103)</f>
        <v>34447499.770360887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45"/>
      <c r="AI106" s="545"/>
      <c r="AJ106" s="391"/>
      <c r="AK106" s="391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91"/>
      <c r="AI112" s="391"/>
      <c r="AJ112" s="391"/>
      <c r="AK112" s="391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46"/>
      <c r="AI114" s="547"/>
      <c r="AJ114" s="392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20" customFormat="1" collapsed="1">
      <c r="A125" s="429" t="s">
        <v>333</v>
      </c>
      <c r="B125" s="430"/>
      <c r="C125" s="431"/>
      <c r="D125" s="431"/>
      <c r="E125" s="432">
        <f>SUM(E3:E18)+E28+E45+E47+E48+E49+E50</f>
        <v>76078</v>
      </c>
      <c r="F125" s="431">
        <f t="shared" ref="F125:N125" si="79">SUM(F3:F18)+F28+F45+F47+F48+F49+F50</f>
        <v>3159</v>
      </c>
      <c r="G125" s="431">
        <f t="shared" si="79"/>
        <v>939</v>
      </c>
      <c r="H125" s="431">
        <f t="shared" si="79"/>
        <v>7012</v>
      </c>
      <c r="I125" s="431">
        <f t="shared" si="79"/>
        <v>13</v>
      </c>
      <c r="J125" s="431">
        <f t="shared" si="79"/>
        <v>64955</v>
      </c>
      <c r="K125" s="431"/>
      <c r="L125" s="431">
        <f t="shared" si="79"/>
        <v>9383713.2599999998</v>
      </c>
      <c r="M125" s="431"/>
      <c r="N125" s="431">
        <f t="shared" si="79"/>
        <v>4971</v>
      </c>
      <c r="O125" s="431"/>
      <c r="P125" s="431"/>
      <c r="Q125" s="433"/>
      <c r="R125" s="431"/>
      <c r="S125" s="431">
        <f t="shared" ref="S125:AN125" si="80">SUM(S3:S18)+S28+S45+S47+S48+S49+S50</f>
        <v>2810</v>
      </c>
      <c r="T125" s="431">
        <f t="shared" si="80"/>
        <v>-71</v>
      </c>
      <c r="U125" s="431">
        <f t="shared" si="80"/>
        <v>2739</v>
      </c>
      <c r="V125" s="431">
        <f t="shared" si="80"/>
        <v>2849625.8</v>
      </c>
      <c r="W125" s="431">
        <f t="shared" si="80"/>
        <v>-71864.03</v>
      </c>
      <c r="X125" s="431">
        <f t="shared" si="80"/>
        <v>2777761.7699999991</v>
      </c>
      <c r="Y125" s="431">
        <f t="shared" si="80"/>
        <v>4320373.5899999989</v>
      </c>
      <c r="Z125" s="431">
        <f t="shared" si="80"/>
        <v>-108465.8</v>
      </c>
      <c r="AA125" s="431">
        <f t="shared" si="80"/>
        <v>4211907.7899999991</v>
      </c>
      <c r="AB125" s="431">
        <f t="shared" si="80"/>
        <v>4379284.63</v>
      </c>
      <c r="AC125" s="434">
        <f t="shared" si="80"/>
        <v>0.94930192562110283</v>
      </c>
      <c r="AD125" s="435">
        <f t="shared" si="80"/>
        <v>339512.76</v>
      </c>
      <c r="AE125" s="431">
        <f t="shared" si="80"/>
        <v>1585688.1899999976</v>
      </c>
      <c r="AF125" s="434">
        <f>AE125/AA125</f>
        <v>0.3764774228355075</v>
      </c>
      <c r="AG125" s="431">
        <f t="shared" si="80"/>
        <v>363484.23000000004</v>
      </c>
      <c r="AH125" s="435">
        <f t="shared" si="80"/>
        <v>4494</v>
      </c>
      <c r="AI125" s="435">
        <f t="shared" si="80"/>
        <v>455354</v>
      </c>
      <c r="AJ125" s="435">
        <f t="shared" si="80"/>
        <v>0</v>
      </c>
      <c r="AK125" s="435">
        <f t="shared" si="80"/>
        <v>0</v>
      </c>
      <c r="AL125" s="435">
        <f t="shared" si="80"/>
        <v>6774.7745557441995</v>
      </c>
      <c r="AM125" s="431">
        <f t="shared" si="80"/>
        <v>950</v>
      </c>
      <c r="AN125" s="435">
        <f t="shared" si="80"/>
        <v>158610.19706700003</v>
      </c>
      <c r="AO125" s="435">
        <f>SUM(AO3:AO18)+AO28+AO45+AO47+AO48+AO49+AO50</f>
        <v>1297039.6383772569</v>
      </c>
      <c r="AP125" s="436"/>
      <c r="AQ125" s="431"/>
      <c r="AR125" s="431"/>
      <c r="AS125" s="431"/>
      <c r="AT125" s="431"/>
      <c r="AU125" s="437">
        <f>(AH125+AI125+AJ125)/S125</f>
        <v>163.64697508896796</v>
      </c>
      <c r="AV125" s="431"/>
      <c r="AW125" s="431"/>
      <c r="AX125" s="431"/>
      <c r="AY125" s="438"/>
      <c r="AZ125" s="431">
        <f>SUM(AZ3:AZ18)</f>
        <v>32556445.804240152</v>
      </c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1">E105+E113+E124</f>
        <v>83781</v>
      </c>
      <c r="F126" s="267">
        <f t="shared" si="81"/>
        <v>3442</v>
      </c>
      <c r="G126" s="267">
        <f t="shared" si="81"/>
        <v>1098</v>
      </c>
      <c r="H126" s="267">
        <f t="shared" si="81"/>
        <v>8835</v>
      </c>
      <c r="I126" s="267">
        <f t="shared" si="81"/>
        <v>1461</v>
      </c>
      <c r="J126" s="267">
        <f t="shared" si="81"/>
        <v>68945</v>
      </c>
      <c r="K126" s="267">
        <f t="shared" si="81"/>
        <v>0</v>
      </c>
      <c r="L126" s="267">
        <f t="shared" si="81"/>
        <v>10360307.109999994</v>
      </c>
      <c r="M126" s="267">
        <f t="shared" si="81"/>
        <v>0</v>
      </c>
      <c r="N126" s="267">
        <f t="shared" si="81"/>
        <v>5475</v>
      </c>
      <c r="O126" s="267">
        <f t="shared" si="81"/>
        <v>0</v>
      </c>
      <c r="P126" s="267">
        <f t="shared" si="81"/>
        <v>0</v>
      </c>
      <c r="Q126" s="215">
        <f t="shared" si="81"/>
        <v>0</v>
      </c>
      <c r="R126" s="267">
        <f t="shared" si="81"/>
        <v>0</v>
      </c>
      <c r="S126" s="267">
        <f t="shared" si="81"/>
        <v>3012</v>
      </c>
      <c r="T126" s="267">
        <f t="shared" si="81"/>
        <v>-85</v>
      </c>
      <c r="U126" s="267">
        <f t="shared" si="81"/>
        <v>2927</v>
      </c>
      <c r="V126" s="267">
        <f t="shared" si="81"/>
        <v>3007932.1</v>
      </c>
      <c r="W126" s="267">
        <f t="shared" si="81"/>
        <v>-82412.17</v>
      </c>
      <c r="X126" s="267">
        <f t="shared" si="81"/>
        <v>2925519.9299999992</v>
      </c>
      <c r="Y126" s="267">
        <f t="shared" si="81"/>
        <v>4561244.1899999985</v>
      </c>
      <c r="Z126" s="267">
        <f t="shared" si="81"/>
        <v>-124396.78</v>
      </c>
      <c r="AA126" s="267">
        <f t="shared" si="81"/>
        <v>4436847.4099999974</v>
      </c>
      <c r="AB126" s="267">
        <f t="shared" si="81"/>
        <v>4586617.8100000015</v>
      </c>
      <c r="AC126" s="267">
        <f t="shared" si="81"/>
        <v>1.0000000000000004</v>
      </c>
      <c r="AD126" s="267">
        <f t="shared" si="81"/>
        <v>363233.15000000014</v>
      </c>
      <c r="AE126" s="267">
        <f t="shared" si="81"/>
        <v>1670278.0099999977</v>
      </c>
      <c r="AF126" s="268">
        <f>AE126/AA126</f>
        <v>0.3764560408896277</v>
      </c>
      <c r="AG126" s="267">
        <f>AG105+AG113+AG124+AG125</f>
        <v>773159.24000000011</v>
      </c>
      <c r="AH126" s="267">
        <f>AH105+AH113+AH124</f>
        <v>9682</v>
      </c>
      <c r="AI126" s="267">
        <f>AI105+AI113+AI124</f>
        <v>500888</v>
      </c>
      <c r="AJ126" s="267">
        <f>AJ105+AJ113+AJ124</f>
        <v>0</v>
      </c>
      <c r="AK126" s="267">
        <f>AK105+AK113+AK124</f>
        <v>0</v>
      </c>
      <c r="AL126" s="156">
        <v>8536.1</v>
      </c>
      <c r="AM126" s="267">
        <f>AM105+AM113+AM124</f>
        <v>960</v>
      </c>
      <c r="AN126" s="267">
        <f>AN105+AN113+AN124</f>
        <v>167047.18800300005</v>
      </c>
      <c r="AO126" s="267">
        <f>AO105+AO113+AO124</f>
        <v>1306547.9519970014</v>
      </c>
      <c r="AP126" s="155"/>
      <c r="AQ126" s="155"/>
      <c r="AR126" s="155"/>
      <c r="AS126" s="155"/>
      <c r="AT126" s="155"/>
      <c r="AU126" s="155">
        <f>(AH126+AI126)/S126</f>
        <v>169.51195219123505</v>
      </c>
      <c r="AV126" s="155"/>
      <c r="AW126" s="155"/>
      <c r="AX126" s="155"/>
      <c r="AY126" s="157"/>
      <c r="AZ126" s="155">
        <f>AZ105+AZ124</f>
        <v>34447499.770360887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93"/>
      <c r="AK127" s="393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88" priority="15" operator="greaterThan">
      <formula>0.23</formula>
    </cfRule>
  </conditionalFormatting>
  <conditionalFormatting sqref="M123:O123 M106:M112 M3:M104">
    <cfRule type="cellIs" dxfId="87" priority="26" operator="greaterThan">
      <formula>120</formula>
    </cfRule>
  </conditionalFormatting>
  <conditionalFormatting sqref="AC127">
    <cfRule type="cellIs" dxfId="86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{B55094DC-6791-4A5A-AAD2-074BDB650211}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{BFB1458E-E251-4879-97B6-4634217F0BC0}</x14:id>
        </ext>
      </extLst>
    </cfRule>
  </conditionalFormatting>
  <conditionalFormatting sqref="AC1">
    <cfRule type="cellIs" dxfId="85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{C78C77B6-B3A5-49EA-A8EC-CE53ED627866}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{EDE80AED-49DF-4A10-A27C-7D05D388AE06}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{B98B21C7-4084-4EE3-82E7-7F5A9BA01570}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{8937F8D3-35BC-41C6-8581-7968BE9EC0D7}</x14:id>
        </ext>
      </extLst>
    </cfRule>
  </conditionalFormatting>
  <conditionalFormatting sqref="Q123">
    <cfRule type="cellIs" dxfId="84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{8E1B7C0F-9335-480E-AD68-B737397D04A5}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{20795883-9CC1-4362-B02A-FA68E7063E8E}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{149B084D-7196-49B3-B7A0-2BFF85462841}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{624EA630-2C04-4D64-B484-991BF11284DB}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{BBB8B017-A022-4779-939A-72B4B1696995}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{2B380633-9EE8-4E23-AD94-D642CA0A64E3}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{8D8DC955-60CD-4AB8-A1F2-273D6C343B91}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{B4E1D977-C455-4B62-8892-43A0172F1C3F}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{91F0427F-EFD1-4D54-BD02-0D556497D45D}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{C2604048-9F89-47B5-B8B3-9F6335B448F7}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{38C75679-3D8A-4FBF-B938-996926CA0C98}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{D3DBEB70-02A6-4B65-9F25-B6983AF35530}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{856163C4-9818-42E1-9259-76EC3EE2194D}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{0D8B6F35-926F-40C9-85FD-A3ED2B2C70B7}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{205F85F3-CBC5-4F85-97A1-4038F17613CE}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{D4ACDD2F-7DCA-4B16-AB2E-BC9B75FE0CD6}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{BADB2636-A116-4192-9D1E-C404FA657D89}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{4A08158E-1287-4CF4-ACED-E3173FE41117}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{C8215907-8B86-45E3-A742-6E4AABC654FC}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{C394DE98-2164-4913-A421-62A7A0C2A6B1}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{750D2C03-686A-43B7-868A-7EEBF4808DFA}</x14:id>
        </ext>
      </extLst>
    </cfRule>
  </conditionalFormatting>
  <conditionalFormatting sqref="M115:M122">
    <cfRule type="cellIs" dxfId="83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{5A1253C3-3873-4D8E-96FF-4730163EDFBE}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{2F443180-0582-416B-93D7-1684DC0B8D28}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{611D4BDD-FE8F-48D5-B2E3-8F4C3A58ADBD}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{F1AA2069-769A-4344-ACB3-E88D798106E4}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{44A55CD6-254D-4F35-AB2C-3D1A74029C0A}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{3F2E32DD-3615-4F62-AB73-965A99B07C5B}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5094DC-6791-4A5A-AAD2-074BDB6502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FB1458E-E251-4879-97B6-4634217F0B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C78C77B6-B3A5-49EA-A8EC-CE53ED6278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EDE80AED-49DF-4A10-A27C-7D05D388AE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B98B21C7-4084-4EE3-82E7-7F5A9BA01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937F8D3-35BC-41C6-8581-7968BE9EC0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E1B7C0F-9335-480E-AD68-B737397D0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20795883-9CC1-4362-B02A-FA68E7063E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49B084D-7196-49B3-B7A0-2BFF85462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624EA630-2C04-4D64-B484-991BF11284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BBB8B017-A022-4779-939A-72B4B16969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2B380633-9EE8-4E23-AD94-D642CA0A64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8D8DC955-60CD-4AB8-A1F2-273D6C343B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B4E1D977-C455-4B62-8892-43A0172F1C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1F0427F-EFD1-4D54-BD02-0D556497D4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C2604048-9F89-47B5-B8B3-9F6335B448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38C75679-3D8A-4FBF-B938-996926CA0C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D3DBEB70-02A6-4B65-9F25-B6983AF355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856163C4-9818-42E1-9259-76EC3EE21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0D8B6F35-926F-40C9-85FD-A3ED2B2C70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205F85F3-CBC5-4F85-97A1-4038F17613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D4ACDD2F-7DCA-4B16-AB2E-BC9B75FE0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BADB2636-A116-4192-9D1E-C404FA657D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4A08158E-1287-4CF4-ACED-E3173FE411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C8215907-8B86-45E3-A742-6E4AABC654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394DE98-2164-4913-A421-62A7A0C2A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750D2C03-686A-43B7-868A-7EEBF4808D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5A1253C3-3873-4D8E-96FF-4730163EDF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2F443180-0582-416B-93D7-1684DC0B8D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611D4BDD-FE8F-48D5-B2E3-8F4C3A58A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F1AA2069-769A-4344-ACB3-E88D798106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44A55CD6-254D-4F35-AB2C-3D1A74029C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3F2E32DD-3615-4F62-AB73-965A99B07C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593E-1E1E-4BDF-9DEA-8D58421299E7}">
  <dimension ref="A1:AZ129"/>
  <sheetViews>
    <sheetView zoomScale="70" zoomScaleNormal="70" workbookViewId="0">
      <pane xSplit="3" ySplit="2" topLeftCell="AG99" activePane="bottomRight" state="frozen"/>
      <selection pane="topRight" activeCell="D1" sqref="D1"/>
      <selection pane="bottomLeft" activeCell="A3" sqref="A3"/>
      <selection pane="bottomRight" activeCell="AO137" sqref="AO13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295</v>
      </c>
      <c r="B1" s="73"/>
      <c r="C1" s="72"/>
      <c r="D1" s="72"/>
      <c r="E1" s="222"/>
      <c r="F1" s="539" t="s">
        <v>42</v>
      </c>
      <c r="G1" s="539"/>
      <c r="H1" s="539"/>
      <c r="I1" s="540" t="s">
        <v>115</v>
      </c>
      <c r="J1" s="541"/>
      <c r="M1" s="350" t="s">
        <v>43</v>
      </c>
      <c r="N1" s="539" t="s">
        <v>116</v>
      </c>
      <c r="O1" s="539"/>
      <c r="P1" s="539"/>
      <c r="R1" s="224"/>
      <c r="S1" s="542"/>
      <c r="T1" s="542"/>
      <c r="U1" s="224"/>
      <c r="V1" s="543"/>
      <c r="W1" s="544"/>
      <c r="X1" s="224"/>
      <c r="Y1" s="542"/>
      <c r="Z1" s="542"/>
      <c r="AA1" s="301"/>
      <c r="AB1" s="224"/>
      <c r="AC1" s="224"/>
      <c r="AD1" s="224"/>
      <c r="AE1" s="225"/>
      <c r="AF1" s="224"/>
      <c r="AG1" s="225"/>
      <c r="AH1" s="535"/>
      <c r="AI1" s="535"/>
      <c r="AJ1" s="283" t="s">
        <v>248</v>
      </c>
      <c r="AK1" s="349"/>
      <c r="AL1" s="351" t="s">
        <v>44</v>
      </c>
      <c r="AM1" s="225"/>
      <c r="AQ1" s="536" t="s">
        <v>45</v>
      </c>
      <c r="AR1" s="537"/>
      <c r="AS1" s="537"/>
      <c r="AT1" s="537"/>
      <c r="AU1" s="537"/>
      <c r="AV1" s="537"/>
      <c r="AW1" s="537"/>
      <c r="AX1" s="538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294</v>
      </c>
      <c r="O2" s="78" t="s">
        <v>313</v>
      </c>
      <c r="P2" s="78" t="s">
        <v>312</v>
      </c>
      <c r="Q2" s="407" t="s">
        <v>314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4356</v>
      </c>
      <c r="F3" s="93">
        <f>'Юнит 13'!F3</f>
        <v>207</v>
      </c>
      <c r="G3" s="93">
        <f>'Юнит 13'!G3</f>
        <v>50</v>
      </c>
      <c r="H3" s="93">
        <f>'Юнит 13'!H3</f>
        <v>443</v>
      </c>
      <c r="I3" s="93">
        <f>'Юнит 13'!I3</f>
        <v>1</v>
      </c>
      <c r="J3" s="93">
        <f>'Юнит 13'!J3</f>
        <v>3655</v>
      </c>
      <c r="K3" s="92">
        <v>142.97999999999999</v>
      </c>
      <c r="L3" s="92">
        <f t="shared" ref="L3" si="0">E3*K3</f>
        <v>622820.88</v>
      </c>
      <c r="M3" s="89">
        <f>'Юнит 13'!M3</f>
        <v>20</v>
      </c>
      <c r="N3" s="89">
        <f>'Юнит 10'!N3+'Юнит 11'!N3+'Юнит 12'!N3+'Юнит 13'!N3</f>
        <v>1185</v>
      </c>
      <c r="O3" s="89">
        <v>1553</v>
      </c>
      <c r="P3" s="399">
        <v>0.63</v>
      </c>
      <c r="Q3" s="406">
        <f>U3/N3</f>
        <v>0.57046413502109705</v>
      </c>
      <c r="R3" s="92">
        <f>U3/7</f>
        <v>96.571428571428569</v>
      </c>
      <c r="S3" s="89">
        <f>'Юнит 10'!S3+'Юнит 11'!S3+'Юнит 12'!S3+'Юнит 13'!S3</f>
        <v>682</v>
      </c>
      <c r="T3" s="89">
        <f>'Юнит 10'!T3+'Юнит 11'!T3+'Юнит 12'!T3+'Юнит 13'!T3</f>
        <v>-6</v>
      </c>
      <c r="U3" s="92">
        <f t="shared" ref="U3:U66" si="1">S3+T3</f>
        <v>676</v>
      </c>
      <c r="V3" s="89">
        <f>'Юнит 10'!V3+'Юнит 11'!V3+'Юнит 12'!V3+'Юнит 13'!V3</f>
        <v>674105.56</v>
      </c>
      <c r="W3" s="89">
        <f>'Юнит 10'!W3+'Юнит 11'!W3+'Юнит 12'!W3+'Юнит 13'!W3</f>
        <v>-5856</v>
      </c>
      <c r="X3" s="92">
        <f t="shared" ref="X3:X66" si="2">V3+W3</f>
        <v>668249.56000000006</v>
      </c>
      <c r="Y3" s="89">
        <f>'Юнит 10'!Y3+'Юнит 11'!Y3+'Юнит 12'!Y3+'Юнит 13'!Y3</f>
        <v>1040928.26</v>
      </c>
      <c r="Z3" s="89">
        <f>'Юнит 10'!Z3+'Юнит 11'!Z3+'Юнит 12'!Z3+'Юнит 13'!Z3</f>
        <v>-9143</v>
      </c>
      <c r="AA3" s="232">
        <f>Y3+Z3</f>
        <v>1031785.26</v>
      </c>
      <c r="AB3" s="92">
        <f>N3*O3*P3/100</f>
        <v>11593.921499999999</v>
      </c>
      <c r="AC3" s="234">
        <f t="shared" ref="AC3:AC66" si="3">AA3/$AA$126</f>
        <v>5.6671360537236086E-2</v>
      </c>
      <c r="AD3" s="92">
        <f t="shared" ref="AD3:AD66" si="4">U3*K3</f>
        <v>96654.48</v>
      </c>
      <c r="AE3" s="89">
        <f>'Юнит 10'!AE3+'Юнит 11'!AE3+'Юнит 12'!AE3+'Юнит 13'!AE3</f>
        <v>386904.57000000007</v>
      </c>
      <c r="AF3" s="234">
        <f t="shared" ref="AF3:AF66" si="5">IF(AA3=0,0,AE3/AA3)</f>
        <v>0.3749855565876179</v>
      </c>
      <c r="AG3" s="89">
        <f>'Юнит 10'!AG3+'Юнит 11'!AG3+'Юнит 12'!AG3+'Юнит 13'!AG3</f>
        <v>69817.969999999958</v>
      </c>
      <c r="AH3" s="89">
        <f>'Юнит 10'!AH3+'Юнит 11'!AH3+'Юнит 12'!AH3+'Юнит 13'!AH3</f>
        <v>36000</v>
      </c>
      <c r="AI3" s="89">
        <f>'Юнит 10'!AI3+'Юнит 11'!AI3+'Юнит 12'!AI3+'Юнит 13'!AI3</f>
        <v>71696</v>
      </c>
      <c r="AJ3" s="89">
        <f>'Юнит 10'!AJ3+'Юнит 11'!AJ3+'Юнит 12'!AJ3+'Юнит 13'!AJ3</f>
        <v>0</v>
      </c>
      <c r="AK3" s="89">
        <f>'Юнит 10'!AK3+'Юнит 11'!AK3+'Юнит 12'!AK3+'Юнит 13'!AK3</f>
        <v>0</v>
      </c>
      <c r="AL3" s="89">
        <f>'Юнит 10'!AL3+'Юнит 11'!AL3+'Юнит 12'!AL3+'Юнит 13'!AL3</f>
        <v>1860.4415745766087</v>
      </c>
      <c r="AM3" s="89">
        <f>'Юнит 10'!AM3+'Юнит 11'!AM3+'Юнит 12'!AM3+'Юнит 13'!AM3</f>
        <v>0</v>
      </c>
      <c r="AN3" s="325">
        <f t="shared" ref="AN3:AN34" si="6">666212.62*X3/$X$126</f>
        <v>37296.672571950927</v>
      </c>
      <c r="AO3" s="95">
        <f>AA3-AD3-AE3-AG3-AH3-AI3-AK3-AL3-AN3-AM3</f>
        <v>331555.12585347245</v>
      </c>
      <c r="AP3" s="96"/>
      <c r="AQ3" s="97">
        <f t="shared" ref="AQ3:AQ97" si="7">IF(U3=0,0,AA3/U3)</f>
        <v>1526.3095562130177</v>
      </c>
      <c r="AR3" s="98">
        <f t="shared" ref="AR3:AR19" si="8">K3</f>
        <v>142.97999999999999</v>
      </c>
      <c r="AS3" s="98">
        <f t="shared" ref="AS3:AS97" si="9">IF(U3=0,0,AE3/U3)</f>
        <v>572.3440384615385</v>
      </c>
      <c r="AT3" s="98">
        <f t="shared" ref="AT3:AT97" si="10">IF(S3=0,AG3/1,AG3/S3)</f>
        <v>102.37239002932544</v>
      </c>
      <c r="AU3" s="98">
        <f>IF(S3=0,0,(AH3+AI3+AJ3)/S3)</f>
        <v>157.91202346041055</v>
      </c>
      <c r="AV3" s="98">
        <f>_xlfn.IFS(U3=0,AO3,U3&lt;0,AO3/-U3,U3&gt;0,AO3/U3)</f>
        <v>490.46616250513677</v>
      </c>
      <c r="AW3" s="234">
        <f t="shared" ref="AW3" si="11">IF(AQ3=0,0,AV3/AQ3)</f>
        <v>0.32134121188499287</v>
      </c>
      <c r="AX3" s="234">
        <f t="shared" ref="AX3" si="12">IF(AR3=0,0,AV3/AR3)</f>
        <v>3.430313068297222</v>
      </c>
      <c r="AY3" s="99"/>
      <c r="AZ3" s="94">
        <f t="shared" ref="AZ3:AZ97" si="13">AV3*E3</f>
        <v>2136470.6038723756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7018</v>
      </c>
      <c r="F4" s="93">
        <f>'Юнит 13'!F4</f>
        <v>545</v>
      </c>
      <c r="G4" s="93">
        <f>'Юнит 13'!G4</f>
        <v>186</v>
      </c>
      <c r="H4" s="93">
        <f>'Юнит 13'!H4</f>
        <v>674</v>
      </c>
      <c r="I4" s="93">
        <f>'Юнит 13'!I4</f>
        <v>0</v>
      </c>
      <c r="J4" s="93">
        <f>'Юнит 13'!J4</f>
        <v>5613</v>
      </c>
      <c r="K4" s="92">
        <v>123.09</v>
      </c>
      <c r="L4" s="92">
        <f>E4*K4</f>
        <v>863845.62</v>
      </c>
      <c r="M4" s="89">
        <f>'Юнит 13'!M4</f>
        <v>11</v>
      </c>
      <c r="N4" s="89">
        <f>'Юнит 10'!N4+'Юнит 11'!N4+'Юнит 12'!N4+'Юнит 13'!N4</f>
        <v>4381</v>
      </c>
      <c r="O4" s="89">
        <v>1462</v>
      </c>
      <c r="P4" s="399">
        <v>0.61</v>
      </c>
      <c r="Q4" s="406">
        <f t="shared" ref="Q4:Q67" si="14">U4/N4</f>
        <v>0.58662405843414744</v>
      </c>
      <c r="R4" s="92">
        <f t="shared" ref="R4:R67" si="15">U4/7</f>
        <v>367.14285714285717</v>
      </c>
      <c r="S4" s="89">
        <f>'Юнит 10'!S4+'Юнит 11'!S4+'Юнит 12'!S4+'Юнит 13'!S4</f>
        <v>2617</v>
      </c>
      <c r="T4" s="89">
        <f>'Юнит 10'!T4+'Юнит 11'!T4+'Юнит 12'!T4+'Юнит 13'!T4</f>
        <v>-47</v>
      </c>
      <c r="U4" s="92">
        <f t="shared" si="1"/>
        <v>2570</v>
      </c>
      <c r="V4" s="89">
        <f>'Юнит 10'!V4+'Юнит 11'!V4+'Юнит 12'!V4+'Юнит 13'!V4</f>
        <v>2439767.0500000007</v>
      </c>
      <c r="W4" s="89">
        <f>'Юнит 10'!W4+'Юнит 11'!W4+'Юнит 12'!W4+'Юнит 13'!W4</f>
        <v>-43625</v>
      </c>
      <c r="X4" s="92">
        <f t="shared" si="2"/>
        <v>2396142.0500000007</v>
      </c>
      <c r="Y4" s="89">
        <f>'Юнит 10'!Y4+'Юнит 11'!Y4+'Юнит 12'!Y4+'Юнит 13'!Y4</f>
        <v>3696523.5200000033</v>
      </c>
      <c r="Z4" s="89">
        <f>'Юнит 10'!Z4+'Юнит 11'!Z4+'Юнит 12'!Z4+'Юнит 13'!Z4</f>
        <v>-67303</v>
      </c>
      <c r="AA4" s="232">
        <f t="shared" ref="AA4:AA67" si="16">Y4+Z4</f>
        <v>3629220.5200000033</v>
      </c>
      <c r="AB4" s="92">
        <f t="shared" ref="AB4:AB67" si="17">N4*O4*P4/100</f>
        <v>39070.6342</v>
      </c>
      <c r="AC4" s="234">
        <f t="shared" si="3"/>
        <v>0.19933688969161625</v>
      </c>
      <c r="AD4" s="92">
        <f t="shared" si="4"/>
        <v>316341.3</v>
      </c>
      <c r="AE4" s="89">
        <f>'Юнит 10'!AE4+'Юнит 11'!AE4+'Юнит 12'!AE4+'Юнит 13'!AE4</f>
        <v>1365913.7100000018</v>
      </c>
      <c r="AF4" s="234">
        <f t="shared" si="5"/>
        <v>0.37636558662464537</v>
      </c>
      <c r="AG4" s="89">
        <f>'Юнит 10'!AG4+'Юнит 11'!AG4+'Юнит 12'!AG4+'Юнит 13'!AG4</f>
        <v>291056.01000000164</v>
      </c>
      <c r="AH4" s="89">
        <f>'Юнит 10'!AH4+'Юнит 11'!AH4+'Юнит 12'!AH4+'Юнит 13'!AH4</f>
        <v>35647</v>
      </c>
      <c r="AI4" s="89">
        <f>'Юнит 10'!AI4+'Юнит 11'!AI4+'Юнит 12'!AI4+'Юнит 13'!AI4</f>
        <v>125973</v>
      </c>
      <c r="AJ4" s="89">
        <f>'Юнит 10'!AJ4+'Юнит 11'!AJ4+'Юнит 12'!AJ4+'Юнит 13'!AJ4</f>
        <v>0</v>
      </c>
      <c r="AK4" s="89">
        <f>'Юнит 10'!AK4+'Юнит 11'!AK4+'Юнит 12'!AK4+'Юнит 13'!AK4</f>
        <v>0</v>
      </c>
      <c r="AL4" s="89">
        <f>'Юнит 10'!AL4+'Юнит 11'!AL4+'Юнит 12'!AL4+'Юнит 13'!AL4</f>
        <v>3426.0505753746729</v>
      </c>
      <c r="AM4" s="89">
        <f>'Юнит 10'!AM4+'Юнит 11'!AM4+'Юнит 12'!AM4+'Юнит 13'!AM4</f>
        <v>50</v>
      </c>
      <c r="AN4" s="325">
        <f t="shared" si="6"/>
        <v>133734.65666738828</v>
      </c>
      <c r="AO4" s="95">
        <f>AA4-AD4-AE4-AG4-AH4-AI4-AK4-AL4-AN4-AM4</f>
        <v>1357078.7927572371</v>
      </c>
      <c r="AP4" s="96"/>
      <c r="AQ4" s="97">
        <f t="shared" si="7"/>
        <v>1412.1480622568106</v>
      </c>
      <c r="AR4" s="98">
        <f t="shared" si="8"/>
        <v>123.09</v>
      </c>
      <c r="AS4" s="98">
        <f t="shared" si="9"/>
        <v>531.48393385214081</v>
      </c>
      <c r="AT4" s="98">
        <f t="shared" si="10"/>
        <v>111.21742835307667</v>
      </c>
      <c r="AU4" s="98">
        <f t="shared" ref="AU4:AU70" si="18">IF(S4=0,0,(AH4+AI4+AJ4)/S4)</f>
        <v>61.75773786778754</v>
      </c>
      <c r="AV4" s="98">
        <f t="array" ref="AV4">_xlfn.IFS(U4=0,AO4,U4&lt;0,AO4/-U4,U4&gt;0,AO4/U4)</f>
        <v>528.0462228627382</v>
      </c>
      <c r="AW4" s="234">
        <f>IF(AQ4=0,0,AV4/AQ4)</f>
        <v>0.37393120238315969</v>
      </c>
      <c r="AX4" s="234">
        <f>IF(AR4=0,0,AV4/AR4)</f>
        <v>4.2899197567855891</v>
      </c>
      <c r="AY4" s="99"/>
      <c r="AZ4" s="94">
        <f t="shared" si="13"/>
        <v>3705828.3920506965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5722</v>
      </c>
      <c r="F5" s="93">
        <f>'Юнит 13'!F5</f>
        <v>163</v>
      </c>
      <c r="G5" s="93">
        <f>'Юнит 13'!G5</f>
        <v>35</v>
      </c>
      <c r="H5" s="93">
        <f>'Юнит 13'!H5</f>
        <v>531</v>
      </c>
      <c r="I5" s="93">
        <f>'Юнит 13'!I5</f>
        <v>0</v>
      </c>
      <c r="J5" s="93">
        <f>'Юнит 13'!J5</f>
        <v>4993</v>
      </c>
      <c r="K5" s="92">
        <v>123.09</v>
      </c>
      <c r="L5" s="92">
        <f>E5*K5</f>
        <v>704320.98</v>
      </c>
      <c r="M5" s="89">
        <f>'Юнит 13'!M5</f>
        <v>16</v>
      </c>
      <c r="N5" s="89">
        <f>'Юнит 10'!N5+'Юнит 11'!N5+'Юнит 12'!N5+'Юнит 13'!N5</f>
        <v>1152</v>
      </c>
      <c r="O5" s="89">
        <v>1413</v>
      </c>
      <c r="P5" s="399">
        <v>0.69</v>
      </c>
      <c r="Q5" s="406">
        <f t="shared" si="14"/>
        <v>0.6484375</v>
      </c>
      <c r="R5" s="92">
        <f t="shared" si="15"/>
        <v>106.71428571428571</v>
      </c>
      <c r="S5" s="89">
        <f>'Юнит 10'!S5+'Юнит 11'!S5+'Юнит 12'!S5+'Юнит 13'!S5</f>
        <v>758</v>
      </c>
      <c r="T5" s="89">
        <f>'Юнит 10'!T5+'Юнит 11'!T5+'Юнит 12'!T5+'Юнит 13'!T5</f>
        <v>-11</v>
      </c>
      <c r="U5" s="92">
        <f t="shared" si="1"/>
        <v>747</v>
      </c>
      <c r="V5" s="89">
        <f>'Юнит 10'!V5+'Юнит 11'!V5+'Юнит 12'!V5+'Юнит 13'!V5</f>
        <v>674602.60000000021</v>
      </c>
      <c r="W5" s="89">
        <f>'Юнит 10'!W5+'Юнит 11'!W5+'Юнит 12'!W5+'Юнит 13'!W5</f>
        <v>-9222</v>
      </c>
      <c r="X5" s="92">
        <f t="shared" si="2"/>
        <v>665380.60000000021</v>
      </c>
      <c r="Y5" s="89">
        <f>'Юнит 10'!Y5+'Юнит 11'!Y5+'Юнит 12'!Y5+'Юнит 13'!Y5</f>
        <v>1039560.2799999999</v>
      </c>
      <c r="Z5" s="89">
        <f>'Юнит 10'!Z5+'Юнит 11'!Z5+'Юнит 12'!Z5+'Юнит 13'!Z5</f>
        <v>-14658.8</v>
      </c>
      <c r="AA5" s="232">
        <f t="shared" si="16"/>
        <v>1024901.4799999999</v>
      </c>
      <c r="AB5" s="92">
        <f t="shared" si="17"/>
        <v>11231.654399999999</v>
      </c>
      <c r="AC5" s="234">
        <f t="shared" si="3"/>
        <v>5.6293265217053835E-2</v>
      </c>
      <c r="AD5" s="92">
        <f t="shared" si="4"/>
        <v>91948.23</v>
      </c>
      <c r="AE5" s="89">
        <f>'Юнит 10'!AE5+'Юнит 11'!AE5+'Юнит 12'!AE5+'Юнит 13'!AE5</f>
        <v>386501.01999999967</v>
      </c>
      <c r="AF5" s="234">
        <f t="shared" si="5"/>
        <v>0.37711041260277983</v>
      </c>
      <c r="AG5" s="89">
        <f>'Юнит 10'!AG5+'Юнит 11'!AG5+'Юнит 12'!AG5+'Юнит 13'!AG5</f>
        <v>68913.079999999973</v>
      </c>
      <c r="AH5" s="89">
        <f>'Юнит 10'!AH5+'Юнит 11'!AH5+'Юнит 12'!AH5+'Юнит 13'!AH5</f>
        <v>26259</v>
      </c>
      <c r="AI5" s="89">
        <f>'Юнит 10'!AI5+'Юнит 11'!AI5+'Юнит 12'!AI5+'Юнит 13'!AI5</f>
        <v>62344</v>
      </c>
      <c r="AJ5" s="89">
        <f>'Юнит 10'!AJ5+'Юнит 11'!AJ5+'Юнит 12'!AJ5+'Юнит 13'!AJ5</f>
        <v>0</v>
      </c>
      <c r="AK5" s="89">
        <f>'Юнит 10'!AK5+'Юнит 11'!AK5+'Юнит 12'!AK5+'Юнит 13'!AK5</f>
        <v>0</v>
      </c>
      <c r="AL5" s="89">
        <f>'Юнит 10'!AL5+'Юнит 11'!AL5+'Юнит 12'!AL5+'Юнит 13'!AL5</f>
        <v>1498.4665356016326</v>
      </c>
      <c r="AM5" s="89">
        <f>'Юнит 10'!AM5+'Юнит 11'!AM5+'Юнит 12'!AM5+'Юнит 13'!AM5</f>
        <v>0</v>
      </c>
      <c r="AN5" s="325">
        <f t="shared" si="6"/>
        <v>37136.548767691304</v>
      </c>
      <c r="AO5" s="95">
        <f t="shared" ref="AO5:AO68" si="19">AA5-AD5-AE5-AG5-AH5-AI5-AK5-AL5-AN5-AM5</f>
        <v>350301.1346967073</v>
      </c>
      <c r="AP5" s="96"/>
      <c r="AQ5" s="97">
        <f t="shared" si="7"/>
        <v>1372.0234002677375</v>
      </c>
      <c r="AR5" s="98">
        <f t="shared" si="8"/>
        <v>123.09</v>
      </c>
      <c r="AS5" s="98">
        <f t="shared" si="9"/>
        <v>517.40431057563546</v>
      </c>
      <c r="AT5" s="98">
        <f t="shared" si="10"/>
        <v>90.914353562005246</v>
      </c>
      <c r="AU5" s="98">
        <f t="shared" si="18"/>
        <v>116.89050131926122</v>
      </c>
      <c r="AV5" s="98">
        <f t="array" ref="AV5">_xlfn.IFS(U5=0,AO5,U5&lt;0,AO5/-U5,U5&gt;0,AO5/U5)</f>
        <v>468.94395541727886</v>
      </c>
      <c r="AW5" s="234">
        <f>IF(AQ5=0,0,AV5/AQ5)</f>
        <v>0.34179005644201754</v>
      </c>
      <c r="AX5" s="234">
        <f>IF(AR5=0,0,AV5/AR5)</f>
        <v>3.8097648502500516</v>
      </c>
      <c r="AY5" s="99"/>
      <c r="AZ5" s="94">
        <f t="shared" si="13"/>
        <v>2683297.3128976696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0">SUM(F6:J6)</f>
        <v>10684</v>
      </c>
      <c r="F6" s="93">
        <f>'Юнит 13'!F6</f>
        <v>112</v>
      </c>
      <c r="G6" s="93">
        <f>'Юнит 13'!G6</f>
        <v>32</v>
      </c>
      <c r="H6" s="93">
        <f>'Юнит 13'!H6</f>
        <v>436</v>
      </c>
      <c r="I6" s="93">
        <f>'Юнит 13'!I6</f>
        <v>0</v>
      </c>
      <c r="J6" s="93">
        <f>'Юнит 13'!J6</f>
        <v>10104</v>
      </c>
      <c r="K6" s="92">
        <v>123.09</v>
      </c>
      <c r="L6" s="92">
        <f t="shared" ref="L6" si="21">E6*K6</f>
        <v>1315093.56</v>
      </c>
      <c r="M6" s="89">
        <f>'Юнит 13'!M6</f>
        <v>18</v>
      </c>
      <c r="N6" s="89">
        <f>'Юнит 10'!N6+'Юнит 11'!N6+'Юнит 12'!N6+'Юнит 13'!N6</f>
        <v>698</v>
      </c>
      <c r="O6" s="89">
        <v>1335</v>
      </c>
      <c r="P6" s="399">
        <v>0.59</v>
      </c>
      <c r="Q6" s="406">
        <f t="shared" si="14"/>
        <v>0.58309455587392545</v>
      </c>
      <c r="R6" s="92">
        <f t="shared" si="15"/>
        <v>58.142857142857146</v>
      </c>
      <c r="S6" s="89">
        <f>'Юнит 10'!S6+'Юнит 11'!S6+'Юнит 12'!S6+'Юнит 13'!S6</f>
        <v>419</v>
      </c>
      <c r="T6" s="89">
        <f>'Юнит 10'!T6+'Юнит 11'!T6+'Юнит 12'!T6+'Юнит 13'!T6</f>
        <v>-12</v>
      </c>
      <c r="U6" s="92">
        <f t="shared" si="1"/>
        <v>407</v>
      </c>
      <c r="V6" s="89">
        <f>'Юнит 10'!V6+'Юнит 11'!V6+'Юнит 12'!V6+'Юнит 13'!V6</f>
        <v>343970.69999999995</v>
      </c>
      <c r="W6" s="89">
        <f>'Юнит 10'!W6+'Юнит 11'!W6+'Юнит 12'!W6+'Юнит 13'!W6</f>
        <v>-9308</v>
      </c>
      <c r="X6" s="92">
        <f t="shared" si="2"/>
        <v>334662.69999999995</v>
      </c>
      <c r="Y6" s="89">
        <f>'Юнит 10'!Y6+'Юнит 11'!Y6+'Юнит 12'!Y6+'Юнит 13'!Y6</f>
        <v>531576.26</v>
      </c>
      <c r="Z6" s="89">
        <f>'Юнит 10'!Z6+'Юнит 11'!Z6+'Юнит 12'!Z6+'Юнит 13'!Z6</f>
        <v>-14798.08</v>
      </c>
      <c r="AA6" s="232">
        <f t="shared" si="16"/>
        <v>516778.18</v>
      </c>
      <c r="AB6" s="92">
        <f t="shared" si="17"/>
        <v>5497.7969999999996</v>
      </c>
      <c r="AC6" s="234">
        <f t="shared" si="3"/>
        <v>2.8384319578820778E-2</v>
      </c>
      <c r="AD6" s="92">
        <f t="shared" si="4"/>
        <v>50097.630000000005</v>
      </c>
      <c r="AE6" s="89">
        <f>'Юнит 10'!AE6+'Юнит 11'!AE6+'Юнит 12'!AE6+'Юнит 13'!AE6</f>
        <v>193970.33000000007</v>
      </c>
      <c r="AF6" s="234">
        <f t="shared" si="5"/>
        <v>0.37534543350882205</v>
      </c>
      <c r="AG6" s="89">
        <f>'Юнит 10'!AG6+'Юнит 11'!AG6+'Юнит 12'!AG6+'Юнит 13'!AG6</f>
        <v>47751.639999999963</v>
      </c>
      <c r="AH6" s="89">
        <f>'Юнит 10'!AH6+'Юнит 11'!AH6+'Юнит 12'!AH6+'Юнит 13'!AH6</f>
        <v>13916</v>
      </c>
      <c r="AI6" s="89">
        <f>'Юнит 10'!AI6+'Юнит 11'!AI6+'Юнит 12'!AI6+'Юнит 13'!AI6</f>
        <v>29376</v>
      </c>
      <c r="AJ6" s="89">
        <f>'Юнит 10'!AJ6+'Юнит 11'!AJ6+'Юнит 12'!AJ6+'Юнит 13'!AJ6</f>
        <v>0</v>
      </c>
      <c r="AK6" s="89">
        <f>'Юнит 10'!AK6+'Юнит 11'!AK6+'Юнит 12'!AK6+'Юнит 13'!AK6</f>
        <v>0</v>
      </c>
      <c r="AL6" s="89">
        <f>'Юнит 10'!AL6+'Юнит 11'!AL6+'Юнит 12'!AL6+'Юнит 13'!AL6</f>
        <v>1038.9841871466228</v>
      </c>
      <c r="AM6" s="89">
        <f>'Юнит 10'!AM6+'Юнит 11'!AM6+'Юнит 12'!AM6+'Юнит 13'!AM6</f>
        <v>10</v>
      </c>
      <c r="AN6" s="325">
        <f t="shared" si="6"/>
        <v>18678.358941149228</v>
      </c>
      <c r="AO6" s="95">
        <f t="shared" si="19"/>
        <v>161939.23687170411</v>
      </c>
      <c r="AP6" s="96"/>
      <c r="AQ6" s="97">
        <f t="shared" si="7"/>
        <v>1269.7252579852579</v>
      </c>
      <c r="AR6" s="98">
        <f t="shared" si="8"/>
        <v>123.09</v>
      </c>
      <c r="AS6" s="98">
        <f t="shared" si="9"/>
        <v>476.58557739557756</v>
      </c>
      <c r="AT6" s="98">
        <f t="shared" si="10"/>
        <v>113.9657279236276</v>
      </c>
      <c r="AU6" s="98">
        <f t="shared" si="18"/>
        <v>103.32219570405728</v>
      </c>
      <c r="AV6" s="98">
        <f t="array" ref="AV6">_xlfn.IFS(U6=0,AO6,U6&lt;0,AO6/-U6,U6&gt;0,AO6/U6)</f>
        <v>397.88510287887988</v>
      </c>
      <c r="AW6" s="234">
        <f t="shared" ref="AW6" si="22">IF(AQ6=0,0,AV6/AQ6)</f>
        <v>0.31336314716636082</v>
      </c>
      <c r="AX6" s="234">
        <f t="shared" ref="AX6" si="23">IF(AR6=0,0,AV6/AR6)</f>
        <v>3.2324730106335191</v>
      </c>
      <c r="AY6" s="99"/>
      <c r="AZ6" s="94">
        <f t="shared" si="13"/>
        <v>4251004.4391579526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2905</v>
      </c>
      <c r="F7" s="93">
        <f>'Юнит 13'!F7</f>
        <v>243</v>
      </c>
      <c r="G7" s="93">
        <f>'Юнит 13'!G7</f>
        <v>71</v>
      </c>
      <c r="H7" s="93">
        <f>'Юнит 13'!H7</f>
        <v>631</v>
      </c>
      <c r="I7" s="93">
        <f>'Юнит 13'!I7</f>
        <v>3</v>
      </c>
      <c r="J7" s="93">
        <f>'Юнит 13'!J7</f>
        <v>1957</v>
      </c>
      <c r="K7" s="92">
        <v>117.24</v>
      </c>
      <c r="L7" s="92">
        <f>E7*K7</f>
        <v>340582.2</v>
      </c>
      <c r="M7" s="89">
        <f>'Юнит 13'!M7</f>
        <v>27</v>
      </c>
      <c r="N7" s="89">
        <f>'Юнит 10'!N7+'Юнит 11'!N7+'Юнит 12'!N7+'Юнит 13'!N7</f>
        <v>1617</v>
      </c>
      <c r="O7" s="89">
        <v>1455</v>
      </c>
      <c r="P7" s="399">
        <v>0.59</v>
      </c>
      <c r="Q7" s="406">
        <f t="shared" si="14"/>
        <v>0.54854669140383427</v>
      </c>
      <c r="R7" s="92">
        <f t="shared" si="15"/>
        <v>126.71428571428571</v>
      </c>
      <c r="S7" s="89">
        <f>'Юнит 10'!S7+'Юнит 11'!S7+'Юнит 12'!S7+'Юнит 13'!S7</f>
        <v>905</v>
      </c>
      <c r="T7" s="89">
        <f>'Юнит 10'!T7+'Юнит 11'!T7+'Юнит 12'!T7+'Юнит 13'!T7</f>
        <v>-18</v>
      </c>
      <c r="U7" s="92">
        <f t="shared" si="1"/>
        <v>887</v>
      </c>
      <c r="V7" s="89">
        <f>'Юнит 10'!V7+'Юнит 11'!V7+'Юнит 12'!V7+'Юнит 13'!V7</f>
        <v>841358.7</v>
      </c>
      <c r="W7" s="89">
        <f>'Юнит 10'!W7+'Юнит 11'!W7+'Юнит 12'!W7+'Юнит 13'!W7</f>
        <v>-16336.849999999999</v>
      </c>
      <c r="X7" s="92">
        <f t="shared" si="2"/>
        <v>825021.85</v>
      </c>
      <c r="Y7" s="89">
        <f>'Юнит 10'!Y7+'Юнит 11'!Y7+'Юнит 12'!Y7+'Юнит 13'!Y7</f>
        <v>1300715.28</v>
      </c>
      <c r="Z7" s="89">
        <f>'Юнит 10'!Z7+'Юнит 11'!Z7+'Юнит 12'!Z7+'Юнит 13'!Z7</f>
        <v>-25019.479999999996</v>
      </c>
      <c r="AA7" s="232">
        <f t="shared" si="16"/>
        <v>1275695.8</v>
      </c>
      <c r="AB7" s="92">
        <f t="shared" si="17"/>
        <v>13881.136499999999</v>
      </c>
      <c r="AC7" s="234">
        <f t="shared" si="3"/>
        <v>7.0068278177997836E-2</v>
      </c>
      <c r="AD7" s="92">
        <f t="shared" si="4"/>
        <v>103991.87999999999</v>
      </c>
      <c r="AE7" s="89">
        <f>'Юнит 10'!AE7+'Юнит 11'!AE7+'Юнит 12'!AE7+'Юнит 13'!AE7</f>
        <v>480710.79000000015</v>
      </c>
      <c r="AF7" s="234">
        <f t="shared" si="5"/>
        <v>0.37682242898346152</v>
      </c>
      <c r="AG7" s="89">
        <f>'Юнит 10'!AG7+'Юнит 11'!AG7+'Юнит 12'!AG7+'Юнит 13'!AG7</f>
        <v>101652.54999999989</v>
      </c>
      <c r="AH7" s="89">
        <f>'Юнит 10'!AH7+'Юнит 11'!AH7+'Юнит 12'!AH7+'Юнит 13'!AH7</f>
        <v>38500</v>
      </c>
      <c r="AI7" s="89">
        <f>'Юнит 10'!AI7+'Юнит 11'!AI7+'Юнит 12'!AI7+'Юнит 13'!AI7</f>
        <v>103434</v>
      </c>
      <c r="AJ7" s="89">
        <f>'Юнит 10'!AJ7+'Юнит 11'!AJ7+'Юнит 12'!AJ7+'Юнит 13'!AJ7</f>
        <v>0</v>
      </c>
      <c r="AK7" s="89">
        <f>'Юнит 10'!AK7+'Юнит 11'!AK7+'Юнит 12'!AK7+'Юнит 13'!AK7</f>
        <v>0</v>
      </c>
      <c r="AL7" s="89">
        <f>'Юнит 10'!AL7+'Юнит 11'!AL7+'Юнит 12'!AL7+'Юнит 13'!AL7</f>
        <v>3572.3842145576682</v>
      </c>
      <c r="AM7" s="89">
        <f>'Юнит 10'!AM7+'Юнит 11'!AM7+'Юнит 12'!AM7+'Юнит 13'!AM7</f>
        <v>0</v>
      </c>
      <c r="AN7" s="325">
        <f t="shared" si="6"/>
        <v>46046.524601011653</v>
      </c>
      <c r="AO7" s="95">
        <f t="shared" si="19"/>
        <v>397787.67118443077</v>
      </c>
      <c r="AP7" s="96"/>
      <c r="AQ7" s="97">
        <f t="shared" si="7"/>
        <v>1438.2139797068771</v>
      </c>
      <c r="AR7" s="98">
        <f t="shared" si="8"/>
        <v>117.24</v>
      </c>
      <c r="AS7" s="98">
        <f t="shared" si="9"/>
        <v>541.95128523111634</v>
      </c>
      <c r="AT7" s="98">
        <f t="shared" si="10"/>
        <v>112.32325966850816</v>
      </c>
      <c r="AU7" s="98">
        <f t="shared" si="18"/>
        <v>156.83314917127072</v>
      </c>
      <c r="AV7" s="98">
        <f t="array" ref="AV7">_xlfn.IFS(U7=0,AO7,U7&lt;0,AO7/-U7,U7&gt;0,AO7/U7)</f>
        <v>448.46411632968523</v>
      </c>
      <c r="AW7" s="234">
        <f>IF(AQ7=0,0,AV7/AQ7)</f>
        <v>0.31182016212989866</v>
      </c>
      <c r="AX7" s="234">
        <f>IF(AR7=0,0,AV7/AR7)</f>
        <v>3.8251801119898095</v>
      </c>
      <c r="AY7" s="99"/>
      <c r="AZ7" s="94">
        <f t="shared" si="13"/>
        <v>1302788.2579377356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236</v>
      </c>
      <c r="F8" s="93">
        <f>'Юнит 13'!F8</f>
        <v>72</v>
      </c>
      <c r="G8" s="93">
        <f>'Юнит 13'!G8</f>
        <v>20</v>
      </c>
      <c r="H8" s="93">
        <f>'Юнит 13'!H8</f>
        <v>144</v>
      </c>
      <c r="I8" s="93">
        <f>'Юнит 13'!I8</f>
        <v>0</v>
      </c>
      <c r="J8" s="93">
        <f>'Юнит 13'!J8</f>
        <v>0</v>
      </c>
      <c r="K8" s="92">
        <v>169.89</v>
      </c>
      <c r="L8" s="92">
        <f>E8*K8</f>
        <v>40094.039999999994</v>
      </c>
      <c r="M8" s="89">
        <f>'Юнит 13'!M8</f>
        <v>43</v>
      </c>
      <c r="N8" s="89">
        <f>'Юнит 10'!N8+'Юнит 11'!N8+'Юнит 12'!N8+'Юнит 13'!N8</f>
        <v>334</v>
      </c>
      <c r="O8" s="89">
        <v>1464</v>
      </c>
      <c r="P8" s="399">
        <v>0.53</v>
      </c>
      <c r="Q8" s="406">
        <f t="shared" si="14"/>
        <v>0.50598802395209586</v>
      </c>
      <c r="R8" s="92">
        <f t="shared" si="15"/>
        <v>24.142857142857142</v>
      </c>
      <c r="S8" s="89">
        <f>'Юнит 10'!S8+'Юнит 11'!S8+'Юнит 12'!S8+'Юнит 13'!S8</f>
        <v>175</v>
      </c>
      <c r="T8" s="89">
        <f>'Юнит 10'!T8+'Юнит 11'!T8+'Юнит 12'!T8+'Юнит 13'!T8</f>
        <v>-6</v>
      </c>
      <c r="U8" s="92">
        <f t="shared" si="1"/>
        <v>169</v>
      </c>
      <c r="V8" s="89">
        <f>'Юнит 10'!V8+'Юнит 11'!V8+'Юнит 12'!V8+'Юнит 13'!V8</f>
        <v>165033.95999999996</v>
      </c>
      <c r="W8" s="89">
        <f>'Юнит 10'!W8+'Юнит 11'!W8+'Юнит 12'!W8+'Юнит 13'!W8</f>
        <v>-5371</v>
      </c>
      <c r="X8" s="92">
        <f t="shared" si="2"/>
        <v>159662.95999999996</v>
      </c>
      <c r="Y8" s="89">
        <f>'Юнит 10'!Y8+'Юнит 11'!Y8+'Юнит 12'!Y8+'Юнит 13'!Y8</f>
        <v>254679.7</v>
      </c>
      <c r="Z8" s="89">
        <f>'Юнит 10'!Z8+'Юнит 11'!Z8+'Юнит 12'!Z8+'Юнит 13'!Z8</f>
        <v>-8577</v>
      </c>
      <c r="AA8" s="232">
        <f t="shared" si="16"/>
        <v>246102.7</v>
      </c>
      <c r="AB8" s="92">
        <f t="shared" si="17"/>
        <v>2591.5727999999999</v>
      </c>
      <c r="AC8" s="234">
        <f t="shared" si="3"/>
        <v>1.3517323208210254E-2</v>
      </c>
      <c r="AD8" s="92">
        <f t="shared" si="4"/>
        <v>28711.409999999996</v>
      </c>
      <c r="AE8" s="89">
        <f>'Юнит 10'!AE8+'Юнит 11'!AE8+'Юнит 12'!AE8+'Юнит 13'!AE8</f>
        <v>92212.869999999966</v>
      </c>
      <c r="AF8" s="234">
        <f t="shared" si="5"/>
        <v>0.37469263847978895</v>
      </c>
      <c r="AG8" s="89">
        <f>'Юнит 10'!AG8+'Юнит 11'!AG8+'Юнит 12'!AG8+'Юнит 13'!AG8</f>
        <v>24306.709999999995</v>
      </c>
      <c r="AH8" s="89">
        <f>'Юнит 10'!AH8+'Юнит 11'!AH8+'Юнит 12'!AH8+'Юнит 13'!AH8</f>
        <v>7628</v>
      </c>
      <c r="AI8" s="89">
        <f>'Юнит 10'!AI8+'Юнит 11'!AI8+'Юнит 12'!AI8+'Юнит 13'!AI8</f>
        <v>19056</v>
      </c>
      <c r="AJ8" s="89">
        <f>'Юнит 10'!AJ8+'Юнит 11'!AJ8+'Юнит 12'!AJ8+'Юнит 13'!AJ8</f>
        <v>0</v>
      </c>
      <c r="AK8" s="89">
        <f>'Юнит 10'!AK8+'Юнит 11'!AK8+'Юнит 12'!AK8+'Юнит 13'!AK8</f>
        <v>0</v>
      </c>
      <c r="AL8" s="89">
        <f>'Юнит 10'!AL8+'Юнит 11'!AL8+'Юнит 12'!AL8+'Юнит 13'!AL8</f>
        <v>895.25208276457352</v>
      </c>
      <c r="AM8" s="89">
        <f>'Юнит 10'!AM8+'Юнит 11'!AM8+'Юнит 12'!AM8+'Юнит 13'!AM8</f>
        <v>40</v>
      </c>
      <c r="AN8" s="325">
        <f t="shared" si="6"/>
        <v>8911.1875225005697</v>
      </c>
      <c r="AO8" s="95">
        <f t="shared" si="19"/>
        <v>64341.2703947349</v>
      </c>
      <c r="AP8" s="96"/>
      <c r="AQ8" s="97">
        <f t="shared" si="7"/>
        <v>1456.2289940828402</v>
      </c>
      <c r="AR8" s="98">
        <f t="shared" si="8"/>
        <v>169.89</v>
      </c>
      <c r="AS8" s="98">
        <f t="shared" si="9"/>
        <v>545.63828402366846</v>
      </c>
      <c r="AT8" s="98">
        <f t="shared" si="10"/>
        <v>138.89548571428568</v>
      </c>
      <c r="AU8" s="98">
        <f t="shared" si="18"/>
        <v>152.47999999999999</v>
      </c>
      <c r="AV8" s="98">
        <f t="array" ref="AV8">_xlfn.IFS(U8=0,AO8,U8&lt;0,AO8/-U8,U8&gt;0,AO8/U8)</f>
        <v>380.71757630020653</v>
      </c>
      <c r="AW8" s="234">
        <f>IF(AQ8=0,0,AV8/AQ8)</f>
        <v>0.26144073346100999</v>
      </c>
      <c r="AX8" s="234">
        <f>IF(AR8=0,0,AV8/AR8)</f>
        <v>2.2409651910071609</v>
      </c>
      <c r="AY8" s="99"/>
      <c r="AZ8" s="94">
        <f t="shared" si="13"/>
        <v>89849.348006848741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10364</v>
      </c>
      <c r="F9" s="93">
        <f>'Юнит 13'!F9</f>
        <v>344</v>
      </c>
      <c r="G9" s="93">
        <f>'Юнит 13'!G9</f>
        <v>127</v>
      </c>
      <c r="H9" s="93">
        <f>'Юнит 13'!H9</f>
        <v>426</v>
      </c>
      <c r="I9" s="93">
        <f>'Юнит 13'!I9</f>
        <v>0</v>
      </c>
      <c r="J9" s="93">
        <f>'Юнит 13'!J9</f>
        <v>9467</v>
      </c>
      <c r="K9" s="92">
        <v>123.09</v>
      </c>
      <c r="L9" s="92">
        <f>E9*K9</f>
        <v>1275704.76</v>
      </c>
      <c r="M9" s="89">
        <f>'Юнит 13'!M9</f>
        <v>14</v>
      </c>
      <c r="N9" s="89">
        <f>'Юнит 10'!N9+'Юнит 11'!N9+'Юнит 12'!N9+'Юнит 13'!N9</f>
        <v>2148</v>
      </c>
      <c r="O9" s="89">
        <v>1615</v>
      </c>
      <c r="P9" s="399">
        <v>0.49</v>
      </c>
      <c r="Q9" s="406">
        <f t="shared" si="14"/>
        <v>0.43901303538175046</v>
      </c>
      <c r="R9" s="92">
        <f t="shared" si="15"/>
        <v>134.71428571428572</v>
      </c>
      <c r="S9" s="89">
        <f>'Юнит 10'!S9+'Юнит 11'!S9+'Юнит 12'!S9+'Юнит 13'!S9</f>
        <v>963</v>
      </c>
      <c r="T9" s="89">
        <f>'Юнит 10'!T9+'Юнит 11'!T9+'Юнит 12'!T9+'Юнит 13'!T9</f>
        <v>-20</v>
      </c>
      <c r="U9" s="92">
        <f t="shared" si="1"/>
        <v>943</v>
      </c>
      <c r="V9" s="89">
        <f>'Юнит 10'!V9+'Юнит 11'!V9+'Юнит 12'!V9+'Юнит 13'!V9</f>
        <v>1000145.5599999999</v>
      </c>
      <c r="W9" s="89">
        <f>'Юнит 10'!W9+'Юнит 11'!W9+'Юнит 12'!W9+'Юнит 13'!W9</f>
        <v>-20244</v>
      </c>
      <c r="X9" s="92">
        <f t="shared" si="2"/>
        <v>979901.55999999994</v>
      </c>
      <c r="Y9" s="89">
        <f>'Юнит 10'!Y9+'Юнит 11'!Y9+'Юнит 12'!Y9+'Юнит 13'!Y9</f>
        <v>1523628.0699999998</v>
      </c>
      <c r="Z9" s="89">
        <f>'Юнит 10'!Z9+'Юнит 11'!Z9+'Юнит 12'!Z9+'Юнит 13'!Z9</f>
        <v>-31053</v>
      </c>
      <c r="AA9" s="232">
        <f t="shared" si="16"/>
        <v>1492575.0699999998</v>
      </c>
      <c r="AB9" s="92">
        <f t="shared" si="17"/>
        <v>16998.198</v>
      </c>
      <c r="AC9" s="234">
        <f t="shared" si="3"/>
        <v>8.1980488770367177E-2</v>
      </c>
      <c r="AD9" s="92">
        <f t="shared" si="4"/>
        <v>116073.87000000001</v>
      </c>
      <c r="AE9" s="89">
        <f>'Юнит 10'!AE9+'Юнит 11'!AE9+'Юнит 12'!AE9+'Юнит 13'!AE9</f>
        <v>561772.00999999931</v>
      </c>
      <c r="AF9" s="234">
        <f t="shared" si="5"/>
        <v>0.37637772551031512</v>
      </c>
      <c r="AG9" s="89">
        <f>'Юнит 10'!AG9+'Юнит 11'!AG9+'Юнит 12'!AG9+'Юнит 13'!AG9</f>
        <v>144340.05000000005</v>
      </c>
      <c r="AH9" s="89">
        <f>'Юнит 10'!AH9+'Юнит 11'!AH9+'Юнит 12'!AH9+'Юнит 13'!AH9</f>
        <v>40335</v>
      </c>
      <c r="AI9" s="89">
        <f>'Юнит 10'!AI9+'Юнит 11'!AI9+'Юнит 12'!AI9+'Юнит 13'!AI9</f>
        <v>140500</v>
      </c>
      <c r="AJ9" s="89">
        <f>'Юнит 10'!AJ9+'Юнит 11'!AJ9+'Юнит 12'!AJ9+'Юнит 13'!AJ9</f>
        <v>0</v>
      </c>
      <c r="AK9" s="89">
        <f>'Юнит 10'!AK9+'Юнит 11'!AK9+'Юнит 12'!AK9+'Юнит 13'!AK9</f>
        <v>0</v>
      </c>
      <c r="AL9" s="89">
        <f>'Юнит 10'!AL9+'Юнит 11'!AL9+'Юнит 12'!AL9+'Юнит 13'!AL9</f>
        <v>1897.9952039069726</v>
      </c>
      <c r="AM9" s="89">
        <f>'Юнит 10'!AM9+'Юнит 11'!AM9+'Юнит 12'!AM9+'Юнит 13'!AM9</f>
        <v>1582</v>
      </c>
      <c r="AN9" s="325">
        <f t="shared" si="6"/>
        <v>54690.747025802637</v>
      </c>
      <c r="AO9" s="95">
        <f t="shared" si="19"/>
        <v>431383.39777029079</v>
      </c>
      <c r="AP9" s="96"/>
      <c r="AQ9" s="97">
        <f t="shared" si="7"/>
        <v>1582.7943478260868</v>
      </c>
      <c r="AR9" s="98">
        <f t="shared" si="8"/>
        <v>123.09</v>
      </c>
      <c r="AS9" s="98">
        <f t="shared" si="9"/>
        <v>595.72853658536508</v>
      </c>
      <c r="AT9" s="98">
        <f t="shared" si="10"/>
        <v>149.8858255451714</v>
      </c>
      <c r="AU9" s="98">
        <f t="shared" si="18"/>
        <v>187.78296988577361</v>
      </c>
      <c r="AV9" s="98">
        <f t="array" ref="AV9">_xlfn.IFS(U9=0,AO9,U9&lt;0,AO9/-U9,U9&gt;0,AO9/U9)</f>
        <v>457.45853422088101</v>
      </c>
      <c r="AW9" s="234">
        <f>IF(AQ9=0,0,AV9/AQ9)</f>
        <v>0.2890195652070558</v>
      </c>
      <c r="AX9" s="234">
        <f>IF(AR9=0,0,AV9/AR9)</f>
        <v>3.7164557171247137</v>
      </c>
      <c r="AY9" s="99"/>
      <c r="AZ9" s="94">
        <f t="shared" si="13"/>
        <v>4741100.2486652108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8969</v>
      </c>
      <c r="F10" s="93">
        <f>'Юнит 13'!F10</f>
        <v>219</v>
      </c>
      <c r="G10" s="93">
        <f>'Юнит 13'!G10</f>
        <v>70</v>
      </c>
      <c r="H10" s="93">
        <f>'Юнит 13'!H10</f>
        <v>594</v>
      </c>
      <c r="I10" s="93">
        <f>'Юнит 13'!I10</f>
        <v>0</v>
      </c>
      <c r="J10" s="93">
        <f>'Юнит 13'!J10</f>
        <v>8086</v>
      </c>
      <c r="K10" s="92">
        <v>123.09</v>
      </c>
      <c r="L10" s="92">
        <f>E10*K10</f>
        <v>1103994.21</v>
      </c>
      <c r="M10" s="89">
        <f>'Юнит 13'!M10</f>
        <v>24</v>
      </c>
      <c r="N10" s="89">
        <f>'Юнит 10'!N10+'Юнит 11'!N10+'Юнит 12'!N10+'Юнит 13'!N10</f>
        <v>1404</v>
      </c>
      <c r="O10" s="89">
        <v>1350</v>
      </c>
      <c r="P10" s="399">
        <v>0.6</v>
      </c>
      <c r="Q10" s="406">
        <f t="shared" si="14"/>
        <v>0.55769230769230771</v>
      </c>
      <c r="R10" s="92">
        <f t="shared" si="15"/>
        <v>111.85714285714286</v>
      </c>
      <c r="S10" s="89">
        <f>'Юнит 10'!S10+'Юнит 11'!S10+'Юнит 12'!S10+'Юнит 13'!S10</f>
        <v>797</v>
      </c>
      <c r="T10" s="89">
        <f>'Юнит 10'!T10+'Юнит 11'!T10+'Юнит 12'!T10+'Юнит 13'!T10</f>
        <v>-14</v>
      </c>
      <c r="U10" s="92">
        <f t="shared" si="1"/>
        <v>783</v>
      </c>
      <c r="V10" s="89">
        <f>'Юнит 10'!V10+'Юнит 11'!V10+'Юнит 12'!V10+'Юнит 13'!V10</f>
        <v>683150.38999999978</v>
      </c>
      <c r="W10" s="89">
        <f>'Юнит 10'!W10+'Юнит 11'!W10+'Юнит 12'!W10+'Юнит 13'!W10</f>
        <v>-11490</v>
      </c>
      <c r="X10" s="92">
        <f t="shared" si="2"/>
        <v>671660.38999999978</v>
      </c>
      <c r="Y10" s="89">
        <f>'Юнит 10'!Y10+'Юнит 11'!Y10+'Юнит 12'!Y10+'Юнит 13'!Y10</f>
        <v>1054368.9799999995</v>
      </c>
      <c r="Z10" s="89">
        <f>'Юнит 10'!Z10+'Юнит 11'!Z10+'Юнит 12'!Z10+'Юнит 13'!Z10</f>
        <v>-18181</v>
      </c>
      <c r="AA10" s="232">
        <f t="shared" si="16"/>
        <v>1036187.9799999995</v>
      </c>
      <c r="AB10" s="92">
        <f t="shared" si="17"/>
        <v>11372.4</v>
      </c>
      <c r="AC10" s="234">
        <f t="shared" si="3"/>
        <v>5.6913182302032836E-2</v>
      </c>
      <c r="AD10" s="92">
        <f t="shared" si="4"/>
        <v>96379.47</v>
      </c>
      <c r="AE10" s="89">
        <f>'Юнит 10'!AE10+'Юнит 11'!AE10+'Юнит 12'!AE10+'Юнит 13'!AE10</f>
        <v>389952.96999999933</v>
      </c>
      <c r="AF10" s="234">
        <f t="shared" si="5"/>
        <v>0.37633419565434401</v>
      </c>
      <c r="AG10" s="89">
        <f>'Юнит 10'!AG10+'Юнит 11'!AG10+'Юнит 12'!AG10+'Юнит 13'!AG10</f>
        <v>88085.239999999903</v>
      </c>
      <c r="AH10" s="89">
        <f>'Юнит 10'!AH10+'Юнит 11'!AH10+'Юнит 12'!AH10+'Юнит 13'!AH10</f>
        <v>39000</v>
      </c>
      <c r="AI10" s="89">
        <f>'Юнит 10'!AI10+'Юнит 11'!AI10+'Юнит 12'!AI10+'Юнит 13'!AI10</f>
        <v>105828</v>
      </c>
      <c r="AJ10" s="89">
        <f>'Юнит 10'!AJ10+'Юнит 11'!AJ10+'Юнит 12'!AJ10+'Юнит 13'!AJ10</f>
        <v>0</v>
      </c>
      <c r="AK10" s="89">
        <f>'Юнит 10'!AK10+'Юнит 11'!AK10+'Юнит 12'!AK10+'Юнит 13'!AK10</f>
        <v>0</v>
      </c>
      <c r="AL10" s="89">
        <f>'Юнит 10'!AL10+'Юнит 11'!AL10+'Юнит 12'!AL10+'Юнит 13'!AL10</f>
        <v>2658.5243493704115</v>
      </c>
      <c r="AM10" s="89">
        <f>'Юнит 10'!AM10+'Юнит 11'!AM10+'Юнит 12'!AM10+'Юнит 13'!AM10</f>
        <v>20</v>
      </c>
      <c r="AN10" s="325">
        <f t="shared" si="6"/>
        <v>37487.039490723873</v>
      </c>
      <c r="AO10" s="95">
        <f t="shared" si="19"/>
        <v>276776.73615990614</v>
      </c>
      <c r="AP10" s="96"/>
      <c r="AQ10" s="97">
        <f t="shared" si="7"/>
        <v>1323.3562962962956</v>
      </c>
      <c r="AR10" s="98">
        <f t="shared" si="8"/>
        <v>123.09</v>
      </c>
      <c r="AS10" s="98">
        <f t="shared" si="9"/>
        <v>498.02422733077822</v>
      </c>
      <c r="AT10" s="98">
        <f t="shared" si="10"/>
        <v>110.52100376411531</v>
      </c>
      <c r="AU10" s="98">
        <f t="shared" si="18"/>
        <v>181.71643663739022</v>
      </c>
      <c r="AV10" s="98">
        <f t="array" ref="AV10">_xlfn.IFS(U10=0,AO10,U10&lt;0,AO10/-U10,U10&gt;0,AO10/U10)</f>
        <v>353.48242166016109</v>
      </c>
      <c r="AW10" s="234">
        <f>IF(AQ10=0,0,AV10/AQ10)</f>
        <v>0.26711054509617677</v>
      </c>
      <c r="AX10" s="234">
        <f>IF(AR10=0,0,AV10/AR10)</f>
        <v>2.8717395536612322</v>
      </c>
      <c r="AY10" s="99"/>
      <c r="AZ10" s="94">
        <f t="shared" si="13"/>
        <v>3170383.8398699849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4">SUM(F11:J11)</f>
        <v>1780</v>
      </c>
      <c r="F11" s="93">
        <f>'Юнит 13'!F11</f>
        <v>116</v>
      </c>
      <c r="G11" s="93">
        <f>'Юнит 13'!G11</f>
        <v>26</v>
      </c>
      <c r="H11" s="93">
        <f>'Юнит 13'!H11</f>
        <v>286</v>
      </c>
      <c r="I11" s="93">
        <f>'Юнит 13'!I11</f>
        <v>0</v>
      </c>
      <c r="J11" s="93">
        <f>'Юнит 13'!J11</f>
        <v>1352</v>
      </c>
      <c r="K11" s="92">
        <v>123.09</v>
      </c>
      <c r="L11" s="92">
        <f t="shared" ref="L11" si="25">E11*K11</f>
        <v>219100.2</v>
      </c>
      <c r="M11" s="89">
        <f>'Юнит 13'!M11</f>
        <v>17</v>
      </c>
      <c r="N11" s="89">
        <f>'Юнит 10'!N11+'Юнит 11'!N11+'Юнит 12'!N11+'Юнит 13'!N11</f>
        <v>644</v>
      </c>
      <c r="O11" s="89">
        <v>1310</v>
      </c>
      <c r="P11" s="399">
        <v>0.63</v>
      </c>
      <c r="Q11" s="406">
        <f t="shared" si="14"/>
        <v>0.59161490683229812</v>
      </c>
      <c r="R11" s="92">
        <f t="shared" si="15"/>
        <v>54.428571428571431</v>
      </c>
      <c r="S11" s="89">
        <f>'Юнит 10'!S11+'Юнит 11'!S11+'Юнит 12'!S11+'Юнит 13'!S11</f>
        <v>388</v>
      </c>
      <c r="T11" s="89">
        <f>'Юнит 10'!T11+'Юнит 11'!T11+'Юнит 12'!T11+'Юнит 13'!T11</f>
        <v>-7</v>
      </c>
      <c r="U11" s="92">
        <f t="shared" si="1"/>
        <v>381</v>
      </c>
      <c r="V11" s="89">
        <f>'Юнит 10'!V11+'Юнит 11'!V11+'Юнит 12'!V11+'Юнит 13'!V11</f>
        <v>322877.56000000006</v>
      </c>
      <c r="W11" s="89">
        <f>'Юнит 10'!W11+'Юнит 11'!W11+'Юнит 12'!W11+'Юнит 13'!W11</f>
        <v>-5773</v>
      </c>
      <c r="X11" s="92">
        <f t="shared" si="2"/>
        <v>317104.56000000006</v>
      </c>
      <c r="Y11" s="89">
        <f>'Юнит 10'!Y11+'Юнит 11'!Y11+'Юнит 12'!Y11+'Юнит 13'!Y11</f>
        <v>500670.83</v>
      </c>
      <c r="Z11" s="89">
        <f>'Юнит 10'!Z11+'Юнит 11'!Z11+'Юнит 12'!Z11+'Юнит 13'!Z11</f>
        <v>-9095</v>
      </c>
      <c r="AA11" s="232">
        <f t="shared" si="16"/>
        <v>491575.83</v>
      </c>
      <c r="AB11" s="92">
        <f t="shared" si="17"/>
        <v>5314.9319999999998</v>
      </c>
      <c r="AC11" s="234">
        <f t="shared" si="3"/>
        <v>2.7000066945442772E-2</v>
      </c>
      <c r="AD11" s="92">
        <f t="shared" si="4"/>
        <v>46897.29</v>
      </c>
      <c r="AE11" s="89">
        <f>'Юнит 10'!AE11+'Юнит 11'!AE11+'Юнит 12'!AE11+'Юнит 13'!AE11</f>
        <v>185096.90999999997</v>
      </c>
      <c r="AF11" s="234">
        <f t="shared" si="5"/>
        <v>0.37653785785196148</v>
      </c>
      <c r="AG11" s="89">
        <f>'Юнит 10'!AG11+'Юнит 11'!AG11+'Юнит 12'!AG11+'Юнит 13'!AG11</f>
        <v>40375.799999999988</v>
      </c>
      <c r="AH11" s="89">
        <f>'Юнит 10'!AH11+'Юнит 11'!AH11+'Юнит 12'!AH11+'Юнит 13'!AH11</f>
        <v>15433</v>
      </c>
      <c r="AI11" s="89">
        <f>'Юнит 10'!AI11+'Юнит 11'!AI11+'Юнит 12'!AI11+'Юнит 13'!AI11</f>
        <v>39835</v>
      </c>
      <c r="AJ11" s="89">
        <f>'Юнит 10'!AJ11+'Юнит 11'!AJ11+'Юнит 12'!AJ11+'Юнит 13'!AJ11</f>
        <v>0</v>
      </c>
      <c r="AK11" s="89">
        <f>'Юнит 10'!AK11+'Юнит 11'!AK11+'Юнит 12'!AK11+'Юнит 13'!AK11</f>
        <v>0</v>
      </c>
      <c r="AL11" s="89">
        <f>'Юнит 10'!AL11+'Юнит 11'!AL11+'Юнит 12'!AL11+'Юнит 13'!AL11</f>
        <v>890.25347653831761</v>
      </c>
      <c r="AM11" s="89">
        <f>'Юнит 10'!AM11+'Юнит 11'!AM11+'Юнит 12'!AM11+'Юнит 13'!AM11</f>
        <v>20</v>
      </c>
      <c r="AN11" s="325">
        <f t="shared" si="6"/>
        <v>17698.395409931236</v>
      </c>
      <c r="AO11" s="95">
        <f t="shared" si="19"/>
        <v>145329.18111353053</v>
      </c>
      <c r="AP11" s="96"/>
      <c r="AQ11" s="97">
        <f t="shared" si="7"/>
        <v>1290.2252755905513</v>
      </c>
      <c r="AR11" s="98">
        <f t="shared" si="8"/>
        <v>123.09</v>
      </c>
      <c r="AS11" s="98">
        <f t="shared" si="9"/>
        <v>485.81866141732274</v>
      </c>
      <c r="AT11" s="98">
        <f t="shared" si="10"/>
        <v>104.06134020618553</v>
      </c>
      <c r="AU11" s="98">
        <f t="shared" si="18"/>
        <v>142.44329896907217</v>
      </c>
      <c r="AV11" s="98">
        <f t="array" ref="AV11">_xlfn.IFS(U11=0,AO11,U11&lt;0,AO11/-U11,U11&gt;0,AO11/U11)</f>
        <v>381.44142024548694</v>
      </c>
      <c r="AW11" s="234">
        <f t="shared" ref="AW11:AW28" si="26">IF(AQ11=0,0,AV11/AQ11)</f>
        <v>0.29563939527606659</v>
      </c>
      <c r="AX11" s="234">
        <f t="shared" ref="AX11:AX28" si="27">IF(AR11=0,0,AV11/AR11)</f>
        <v>3.0988822832519856</v>
      </c>
      <c r="AY11" s="99"/>
      <c r="AZ11" s="94">
        <f t="shared" si="13"/>
        <v>678965.72803696676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4"/>
        <v>6706</v>
      </c>
      <c r="F12" s="93">
        <f>'Юнит 13'!F12</f>
        <v>185</v>
      </c>
      <c r="G12" s="93">
        <f>'Юнит 13'!G12</f>
        <v>52</v>
      </c>
      <c r="H12" s="93">
        <f>'Юнит 13'!H12</f>
        <v>262</v>
      </c>
      <c r="I12" s="93">
        <f>'Юнит 13'!I12</f>
        <v>1</v>
      </c>
      <c r="J12" s="93">
        <f>'Юнит 13'!J12</f>
        <v>6206</v>
      </c>
      <c r="K12" s="92">
        <v>117.24</v>
      </c>
      <c r="L12" s="92">
        <f>E12*K12</f>
        <v>786211.44</v>
      </c>
      <c r="M12" s="89">
        <f>'Юнит 13'!M12</f>
        <v>18</v>
      </c>
      <c r="N12" s="89">
        <f>'Юнит 10'!N12+'Юнит 11'!N12+'Юнит 12'!N12+'Юнит 13'!N12</f>
        <v>1105</v>
      </c>
      <c r="O12" s="89">
        <v>1361</v>
      </c>
      <c r="P12" s="399">
        <v>0.59</v>
      </c>
      <c r="Q12" s="406">
        <f t="shared" si="14"/>
        <v>0.53122171945701357</v>
      </c>
      <c r="R12" s="92">
        <f t="shared" si="15"/>
        <v>83.857142857142861</v>
      </c>
      <c r="S12" s="89">
        <f>'Юнит 10'!S12+'Юнит 11'!S12+'Юнит 12'!S12+'Юнит 13'!S12</f>
        <v>599</v>
      </c>
      <c r="T12" s="89">
        <f>'Юнит 10'!T12+'Юнит 11'!T12+'Юнит 12'!T12+'Юнит 13'!T12</f>
        <v>-12</v>
      </c>
      <c r="U12" s="92">
        <f t="shared" si="1"/>
        <v>587</v>
      </c>
      <c r="V12" s="89">
        <f>'Юнит 10'!V12+'Юнит 11'!V12+'Юнит 12'!V12+'Юнит 13'!V12</f>
        <v>524240.38</v>
      </c>
      <c r="W12" s="89">
        <f>'Юнит 10'!W12+'Юнит 11'!W12+'Юнит 12'!W12+'Юнит 13'!W12</f>
        <v>-9914</v>
      </c>
      <c r="X12" s="92">
        <f t="shared" si="2"/>
        <v>514326.38</v>
      </c>
      <c r="Y12" s="89">
        <f>'Юнит 10'!Y12+'Юнит 11'!Y12+'Юнит 12'!Y12+'Юнит 13'!Y12</f>
        <v>805418.39999999991</v>
      </c>
      <c r="Z12" s="89">
        <f>'Юнит 10'!Z12+'Юнит 11'!Z12+'Юнит 12'!Z12+'Юнит 13'!Z12</f>
        <v>-15729.470000000001</v>
      </c>
      <c r="AA12" s="232">
        <f t="shared" si="16"/>
        <v>789688.92999999993</v>
      </c>
      <c r="AB12" s="92">
        <f t="shared" si="17"/>
        <v>8873.039499999999</v>
      </c>
      <c r="AC12" s="234">
        <f t="shared" si="3"/>
        <v>4.337408935682429E-2</v>
      </c>
      <c r="AD12" s="92">
        <f t="shared" si="4"/>
        <v>68819.87999999999</v>
      </c>
      <c r="AE12" s="89">
        <f>'Юнит 10'!AE12+'Юнит 11'!AE12+'Юнит 12'!AE12+'Юнит 13'!AE12</f>
        <v>296678.50000000012</v>
      </c>
      <c r="AF12" s="234">
        <f t="shared" si="5"/>
        <v>0.37569033670004737</v>
      </c>
      <c r="AG12" s="89">
        <f>'Юнит 10'!AG12+'Юнит 11'!AG12+'Юнит 12'!AG12+'Юнит 13'!AG12</f>
        <v>71494.239999999991</v>
      </c>
      <c r="AH12" s="89">
        <f>'Юнит 10'!AH12+'Юнит 11'!AH12+'Юнит 12'!AH12+'Юнит 13'!AH12</f>
        <v>23629</v>
      </c>
      <c r="AI12" s="89">
        <f>'Юнит 10'!AI12+'Юнит 11'!AI12+'Юнит 12'!AI12+'Юнит 13'!AI12</f>
        <v>53788</v>
      </c>
      <c r="AJ12" s="89">
        <f>'Юнит 10'!AJ12+'Юнит 11'!AJ12+'Юнит 12'!AJ12+'Юнит 13'!AJ12</f>
        <v>0</v>
      </c>
      <c r="AK12" s="89">
        <f>'Юнит 10'!AK12+'Юнит 11'!AK12+'Юнит 12'!AK12+'Юнит 13'!AK12</f>
        <v>0</v>
      </c>
      <c r="AL12" s="89">
        <f>'Юнит 10'!AL12+'Юнит 11'!AL12+'Юнит 12'!AL12+'Юнит 13'!AL12</f>
        <v>1411.5941382834128</v>
      </c>
      <c r="AM12" s="89">
        <f>'Юнит 10'!AM12+'Юнит 11'!AM12+'Юнит 12'!AM12+'Юнит 13'!AM12</f>
        <v>70</v>
      </c>
      <c r="AN12" s="325">
        <f t="shared" si="6"/>
        <v>28705.836469202924</v>
      </c>
      <c r="AO12" s="95">
        <f t="shared" si="19"/>
        <v>245091.87939251351</v>
      </c>
      <c r="AP12" s="96"/>
      <c r="AQ12" s="97">
        <f t="shared" si="7"/>
        <v>1345.2963032367973</v>
      </c>
      <c r="AR12" s="98">
        <f t="shared" si="8"/>
        <v>117.24</v>
      </c>
      <c r="AS12" s="98">
        <f t="shared" si="9"/>
        <v>505.41482112436137</v>
      </c>
      <c r="AT12" s="98">
        <f t="shared" si="10"/>
        <v>119.35599332220366</v>
      </c>
      <c r="AU12" s="98">
        <f t="shared" si="18"/>
        <v>129.24373956594323</v>
      </c>
      <c r="AV12" s="98">
        <f t="array" ref="AV12">_xlfn.IFS(U12=0,AO12,U12&lt;0,AO12/-U12,U12&gt;0,AO12/U12)</f>
        <v>417.53301429729731</v>
      </c>
      <c r="AW12" s="234">
        <f t="shared" si="26"/>
        <v>0.31036509450944633</v>
      </c>
      <c r="AX12" s="234">
        <f t="shared" si="27"/>
        <v>3.5613529025699191</v>
      </c>
      <c r="AY12" s="99"/>
      <c r="AZ12" s="94">
        <f t="shared" si="13"/>
        <v>2799976.3938776758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4"/>
        <v>4338</v>
      </c>
      <c r="F13" s="93">
        <f>'Юнит 13'!F13</f>
        <v>304</v>
      </c>
      <c r="G13" s="93">
        <f>'Юнит 13'!G13</f>
        <v>99</v>
      </c>
      <c r="H13" s="93">
        <f>'Юнит 13'!H13</f>
        <v>718</v>
      </c>
      <c r="I13" s="93">
        <f>'Юнит 13'!I13</f>
        <v>1</v>
      </c>
      <c r="J13" s="93">
        <f>'Юнит 13'!J13</f>
        <v>3216</v>
      </c>
      <c r="K13" s="92">
        <v>123.09</v>
      </c>
      <c r="L13" s="92">
        <f t="shared" ref="L13:L28" si="28">E13*K13</f>
        <v>533964.42000000004</v>
      </c>
      <c r="M13" s="89">
        <f>'Юнит 13'!M13</f>
        <v>10</v>
      </c>
      <c r="N13" s="89">
        <f>'Юнит 10'!N13+'Юнит 11'!N13+'Юнит 12'!N13+'Юнит 13'!N13</f>
        <v>1920</v>
      </c>
      <c r="O13" s="89">
        <v>1657</v>
      </c>
      <c r="P13" s="399">
        <v>0.55000000000000004</v>
      </c>
      <c r="Q13" s="406">
        <f t="shared" si="14"/>
        <v>0.48385416666666664</v>
      </c>
      <c r="R13" s="92">
        <f t="shared" si="15"/>
        <v>132.71428571428572</v>
      </c>
      <c r="S13" s="89">
        <f>'Юнит 10'!S13+'Юнит 11'!S13+'Юнит 12'!S13+'Юнит 13'!S13</f>
        <v>945</v>
      </c>
      <c r="T13" s="89">
        <f>'Юнит 10'!T13+'Юнит 11'!T13+'Юнит 12'!T13+'Юнит 13'!T13</f>
        <v>-16</v>
      </c>
      <c r="U13" s="92">
        <f t="shared" si="1"/>
        <v>929</v>
      </c>
      <c r="V13" s="89">
        <f>'Юнит 10'!V13+'Юнит 11'!V13+'Юнит 12'!V13+'Юнит 13'!V13</f>
        <v>1015387.79</v>
      </c>
      <c r="W13" s="89">
        <f>'Юнит 10'!W13+'Юнит 11'!W13+'Юнит 12'!W13+'Юнит 13'!W13</f>
        <v>-17236</v>
      </c>
      <c r="X13" s="92">
        <f t="shared" si="2"/>
        <v>998151.79</v>
      </c>
      <c r="Y13" s="89">
        <f>'Юнит 10'!Y13+'Юнит 11'!Y13+'Юнит 12'!Y13+'Юнит 13'!Y13</f>
        <v>1528190.6999999997</v>
      </c>
      <c r="Z13" s="89">
        <f>'Юнит 10'!Z13+'Юнит 11'!Z13+'Юнит 12'!Z13+'Юнит 13'!Z13</f>
        <v>-25971.599999999999</v>
      </c>
      <c r="AA13" s="232">
        <f t="shared" si="16"/>
        <v>1502219.0999999996</v>
      </c>
      <c r="AB13" s="92">
        <f t="shared" si="17"/>
        <v>17497.920000000002</v>
      </c>
      <c r="AC13" s="234">
        <f t="shared" si="3"/>
        <v>8.2510192306897545E-2</v>
      </c>
      <c r="AD13" s="92">
        <f t="shared" si="4"/>
        <v>114350.61</v>
      </c>
      <c r="AE13" s="89">
        <f>'Юнит 10'!AE13+'Юнит 11'!AE13+'Юнит 12'!AE13+'Юнит 13'!AE13</f>
        <v>566496.00999999966</v>
      </c>
      <c r="AF13" s="234">
        <f t="shared" si="5"/>
        <v>0.37710611587883536</v>
      </c>
      <c r="AG13" s="89">
        <f>'Юнит 10'!AG13+'Юнит 11'!AG13+'Юнит 12'!AG13+'Юнит 13'!AG13</f>
        <v>129743.03000000014</v>
      </c>
      <c r="AH13" s="89">
        <f>'Юнит 10'!AH13+'Юнит 11'!AH13+'Юнит 12'!AH13+'Юнит 13'!AH13</f>
        <v>53403</v>
      </c>
      <c r="AI13" s="89">
        <f>'Юнит 10'!AI13+'Юнит 11'!AI13+'Юнит 12'!AI13+'Юнит 13'!AI13</f>
        <v>162319</v>
      </c>
      <c r="AJ13" s="89">
        <f>'Юнит 10'!AJ13+'Юнит 11'!AJ13+'Юнит 12'!AJ13+'Юнит 13'!AJ13</f>
        <v>0</v>
      </c>
      <c r="AK13" s="89">
        <f>'Юнит 10'!AK13+'Юнит 11'!AK13+'Юнит 12'!AK13+'Юнит 13'!AK13</f>
        <v>0</v>
      </c>
      <c r="AL13" s="89">
        <f>'Юнит 10'!AL13+'Юнит 11'!AL13+'Юнит 12'!AL13+'Юнит 13'!AL13</f>
        <v>1541.1033359673115</v>
      </c>
      <c r="AM13" s="89">
        <f>'Юнит 10'!AM13+'Юнит 11'!AM13+'Юнит 12'!AM13+'Юнит 13'!AM13</f>
        <v>70</v>
      </c>
      <c r="AN13" s="325">
        <f t="shared" si="6"/>
        <v>55709.337823936199</v>
      </c>
      <c r="AO13" s="95">
        <f t="shared" si="19"/>
        <v>418587.00884009624</v>
      </c>
      <c r="AP13" s="96"/>
      <c r="AQ13" s="97">
        <f t="shared" si="7"/>
        <v>1617.028094725511</v>
      </c>
      <c r="AR13" s="98">
        <f t="shared" si="8"/>
        <v>123.09</v>
      </c>
      <c r="AS13" s="98">
        <f t="shared" si="9"/>
        <v>609.79118406889097</v>
      </c>
      <c r="AT13" s="98">
        <f t="shared" si="10"/>
        <v>137.29421164021178</v>
      </c>
      <c r="AU13" s="98">
        <f t="shared" si="18"/>
        <v>228.27724867724868</v>
      </c>
      <c r="AV13" s="98">
        <f t="array" ref="AV13">_xlfn.IFS(U13=0,AO13,U13&lt;0,AO13/-U13,U13&gt;0,AO13/U13)</f>
        <v>450.57805041990986</v>
      </c>
      <c r="AW13" s="234">
        <f t="shared" si="26"/>
        <v>0.27864577733041496</v>
      </c>
      <c r="AX13" s="234">
        <f t="shared" si="27"/>
        <v>3.6605577254034434</v>
      </c>
      <c r="AY13" s="99"/>
      <c r="AZ13" s="94">
        <f t="shared" si="13"/>
        <v>1954607.5827215689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4"/>
        <v>2668</v>
      </c>
      <c r="F14" s="93">
        <f>'Юнит 13'!F14</f>
        <v>78</v>
      </c>
      <c r="G14" s="93">
        <f>'Юнит 13'!G14</f>
        <v>17</v>
      </c>
      <c r="H14" s="93">
        <f>'Юнит 13'!H14</f>
        <v>232</v>
      </c>
      <c r="I14" s="93">
        <f>'Юнит 13'!I14</f>
        <v>2</v>
      </c>
      <c r="J14" s="93">
        <f>'Юнит 13'!J14</f>
        <v>2339</v>
      </c>
      <c r="K14" s="92">
        <v>123.09</v>
      </c>
      <c r="L14" s="92">
        <f t="shared" si="28"/>
        <v>328404.12</v>
      </c>
      <c r="M14" s="89">
        <f>'Юнит 13'!M14</f>
        <v>31</v>
      </c>
      <c r="N14" s="89">
        <f>'Юнит 10'!N14+'Юнит 11'!N14+'Юнит 12'!N14+'Юнит 13'!N14</f>
        <v>472</v>
      </c>
      <c r="O14" s="89">
        <v>1294</v>
      </c>
      <c r="P14" s="399">
        <v>0.65</v>
      </c>
      <c r="Q14" s="406">
        <f t="shared" si="14"/>
        <v>0.58050847457627119</v>
      </c>
      <c r="R14" s="92">
        <f t="shared" si="15"/>
        <v>39.142857142857146</v>
      </c>
      <c r="S14" s="89">
        <f>'Юнит 10'!S14+'Юнит 11'!S14+'Юнит 12'!S14+'Юнит 13'!S14</f>
        <v>279</v>
      </c>
      <c r="T14" s="89">
        <f>'Юнит 10'!T14+'Юнит 11'!T14+'Юнит 12'!T14+'Юнит 13'!T14</f>
        <v>-5</v>
      </c>
      <c r="U14" s="92">
        <f t="shared" si="1"/>
        <v>274</v>
      </c>
      <c r="V14" s="89">
        <f>'Юнит 10'!V14+'Юнит 11'!V14+'Юнит 12'!V14+'Юнит 13'!V14</f>
        <v>229198.08000000002</v>
      </c>
      <c r="W14" s="89">
        <f>'Юнит 10'!W14+'Юнит 11'!W14+'Юнит 12'!W14+'Юнит 13'!W14</f>
        <v>-4017</v>
      </c>
      <c r="X14" s="92">
        <f t="shared" si="2"/>
        <v>225181.08000000002</v>
      </c>
      <c r="Y14" s="89">
        <f>'Юнит 10'!Y14+'Юнит 11'!Y14+'Юнит 12'!Y14+'Юнит 13'!Y14</f>
        <v>354362.25</v>
      </c>
      <c r="Z14" s="89">
        <f>'Юнит 10'!Z14+'Юнит 11'!Z14+'Юнит 12'!Z14+'Юнит 13'!Z14</f>
        <v>-6364.28</v>
      </c>
      <c r="AA14" s="232">
        <f t="shared" si="16"/>
        <v>347997.97</v>
      </c>
      <c r="AB14" s="92">
        <f t="shared" si="17"/>
        <v>3969.9920000000002</v>
      </c>
      <c r="AC14" s="234">
        <f t="shared" si="3"/>
        <v>1.9113975735703247E-2</v>
      </c>
      <c r="AD14" s="92">
        <f t="shared" si="4"/>
        <v>33726.660000000003</v>
      </c>
      <c r="AE14" s="89">
        <f>'Юнит 10'!AE14+'Юнит 11'!AE14+'Юнит 12'!AE14+'Юнит 13'!AE14</f>
        <v>131306.20000000001</v>
      </c>
      <c r="AF14" s="234">
        <f t="shared" si="5"/>
        <v>0.37731886769339495</v>
      </c>
      <c r="AG14" s="89">
        <f>'Юнит 10'!AG14+'Юнит 11'!AG14+'Юнит 12'!AG14+'Юнит 13'!AG14</f>
        <v>28229.759999999995</v>
      </c>
      <c r="AH14" s="89">
        <f>'Юнит 10'!AH14+'Юнит 11'!AH14+'Юнит 12'!AH14+'Юнит 13'!AH14</f>
        <v>6430</v>
      </c>
      <c r="AI14" s="89">
        <f>'Юнит 10'!AI14+'Юнит 11'!AI14+'Юнит 12'!AI14+'Юнит 13'!AI14</f>
        <v>22112</v>
      </c>
      <c r="AJ14" s="89">
        <f>'Юнит 10'!AJ14+'Юнит 11'!AJ14+'Юнит 12'!AJ14+'Юнит 13'!AJ14</f>
        <v>0</v>
      </c>
      <c r="AK14" s="89">
        <f>'Юнит 10'!AK14+'Юнит 11'!AK14+'Юнит 12'!AK14+'Юнит 13'!AK14</f>
        <v>0</v>
      </c>
      <c r="AL14" s="89">
        <f>'Юнит 10'!AL14+'Юнит 11'!AL14+'Юнит 12'!AL14+'Юнит 13'!AL14</f>
        <v>1194.1415879302922</v>
      </c>
      <c r="AM14" s="89">
        <f>'Юнит 10'!AM14+'Юнит 11'!AM14+'Юнит 12'!AM14+'Юнит 13'!AM14</f>
        <v>40</v>
      </c>
      <c r="AN14" s="325">
        <f t="shared" si="6"/>
        <v>12567.917007170627</v>
      </c>
      <c r="AO14" s="95">
        <f t="shared" si="19"/>
        <v>112391.29140489899</v>
      </c>
      <c r="AP14" s="96"/>
      <c r="AQ14" s="97">
        <f t="shared" si="7"/>
        <v>1270.0655839416058</v>
      </c>
      <c r="AR14" s="98">
        <f t="shared" si="8"/>
        <v>123.09</v>
      </c>
      <c r="AS14" s="98">
        <f t="shared" si="9"/>
        <v>479.21970802919714</v>
      </c>
      <c r="AT14" s="98">
        <f t="shared" si="10"/>
        <v>101.18193548387094</v>
      </c>
      <c r="AU14" s="98">
        <f t="shared" si="18"/>
        <v>102.3010752688172</v>
      </c>
      <c r="AV14" s="98">
        <f t="array" ref="AV14">_xlfn.IFS(U14=0,AO14,U14&lt;0,AO14/-U14,U14&gt;0,AO14/U14)</f>
        <v>410.1871949083905</v>
      </c>
      <c r="AW14" s="234">
        <f t="shared" si="26"/>
        <v>0.32296536501318956</v>
      </c>
      <c r="AX14" s="234">
        <f t="shared" si="27"/>
        <v>3.3324168893361805</v>
      </c>
      <c r="AY14" s="99"/>
      <c r="AZ14" s="94">
        <f t="shared" si="13"/>
        <v>1094379.4360155859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4"/>
        <v>4947</v>
      </c>
      <c r="F15" s="93">
        <f>'Юнит 13'!F15</f>
        <v>67</v>
      </c>
      <c r="G15" s="93">
        <f>'Юнит 13'!G15</f>
        <v>8</v>
      </c>
      <c r="H15" s="93">
        <f>'Юнит 13'!H15</f>
        <v>308</v>
      </c>
      <c r="I15" s="93">
        <f>'Юнит 13'!I15</f>
        <v>0</v>
      </c>
      <c r="J15" s="93">
        <f>'Юнит 13'!J15</f>
        <v>4564</v>
      </c>
      <c r="K15" s="92">
        <v>123.09</v>
      </c>
      <c r="L15" s="92">
        <f t="shared" si="28"/>
        <v>608926.23</v>
      </c>
      <c r="M15" s="89">
        <f>'Юнит 13'!M15</f>
        <v>46</v>
      </c>
      <c r="N15" s="89">
        <f>'Юнит 10'!N15+'Юнит 11'!N15+'Юнит 12'!N15+'Юнит 13'!N15</f>
        <v>402</v>
      </c>
      <c r="O15" s="89">
        <v>1298</v>
      </c>
      <c r="P15" s="399">
        <v>0.63</v>
      </c>
      <c r="Q15" s="406">
        <f t="shared" si="14"/>
        <v>0.55223880597014929</v>
      </c>
      <c r="R15" s="92">
        <f t="shared" si="15"/>
        <v>31.714285714285715</v>
      </c>
      <c r="S15" s="89">
        <f>'Юнит 10'!S15+'Юнит 11'!S15+'Юнит 12'!S15+'Юнит 13'!S15</f>
        <v>226</v>
      </c>
      <c r="T15" s="89">
        <f>'Юнит 10'!T15+'Юнит 11'!T15+'Юнит 12'!T15+'Юнит 13'!T15</f>
        <v>-4</v>
      </c>
      <c r="U15" s="92">
        <f t="shared" si="1"/>
        <v>222</v>
      </c>
      <c r="V15" s="89">
        <f>'Юнит 10'!V15+'Юнит 11'!V15+'Юнит 12'!V15+'Юнит 13'!V15</f>
        <v>187215.58000000002</v>
      </c>
      <c r="W15" s="89">
        <f>'Юнит 10'!W15+'Юнит 11'!W15+'Юнит 12'!W15+'Юнит 13'!W15</f>
        <v>-3310</v>
      </c>
      <c r="X15" s="92">
        <f t="shared" si="2"/>
        <v>183905.58000000002</v>
      </c>
      <c r="Y15" s="89">
        <f>'Юнит 10'!Y15+'Юнит 11'!Y15+'Юнит 12'!Y15+'Юнит 13'!Y15</f>
        <v>289343.46999999997</v>
      </c>
      <c r="Z15" s="89">
        <f>'Юнит 10'!Z15+'Юнит 11'!Z15+'Юнит 12'!Z15+'Юнит 13'!Z15</f>
        <v>-5228</v>
      </c>
      <c r="AA15" s="232">
        <f t="shared" si="16"/>
        <v>284115.46999999997</v>
      </c>
      <c r="AB15" s="92">
        <f t="shared" si="17"/>
        <v>3287.3147999999997</v>
      </c>
      <c r="AC15" s="234">
        <f t="shared" si="3"/>
        <v>1.5605195052482415E-2</v>
      </c>
      <c r="AD15" s="92">
        <f t="shared" si="4"/>
        <v>27325.98</v>
      </c>
      <c r="AE15" s="89">
        <f>'Юнит 10'!AE15+'Юнит 11'!AE15+'Юнит 12'!AE15+'Юнит 13'!AE15</f>
        <v>106864.07999999999</v>
      </c>
      <c r="AF15" s="234">
        <f t="shared" si="5"/>
        <v>0.3761290435892139</v>
      </c>
      <c r="AG15" s="89">
        <f>'Юнит 10'!AG15+'Юнит 11'!AG15+'Юнит 12'!AG15+'Юнит 13'!AG15</f>
        <v>24901.519999999993</v>
      </c>
      <c r="AH15" s="89">
        <f>'Юнит 10'!AH15+'Юнит 11'!AH15+'Юнит 12'!AH15+'Юнит 13'!AH15</f>
        <v>5388</v>
      </c>
      <c r="AI15" s="89">
        <f>'Юнит 10'!AI15+'Юнит 11'!AI15+'Юнит 12'!AI15+'Юнит 13'!AI15</f>
        <v>10650</v>
      </c>
      <c r="AJ15" s="89">
        <f>'Юнит 10'!AJ15+'Юнит 11'!AJ15+'Юнит 12'!AJ15+'Юнит 13'!AJ15</f>
        <v>0</v>
      </c>
      <c r="AK15" s="89">
        <f>'Юнит 10'!AK15+'Юнит 11'!AK15+'Юнит 12'!AK15+'Юнит 13'!AK15</f>
        <v>0</v>
      </c>
      <c r="AL15" s="89">
        <f>'Юнит 10'!AL15+'Юнит 11'!AL15+'Юнит 12'!AL15+'Юнит 13'!AL15</f>
        <v>1597.7612257549433</v>
      </c>
      <c r="AM15" s="89">
        <f>'Юнит 10'!AM15+'Юнит 11'!AM15+'Юнит 12'!AM15+'Юнит 13'!AM15</f>
        <v>-1523</v>
      </c>
      <c r="AN15" s="325">
        <f t="shared" si="6"/>
        <v>10264.228533745278</v>
      </c>
      <c r="AO15" s="95">
        <f t="shared" si="19"/>
        <v>98646.900240499759</v>
      </c>
      <c r="AP15" s="96"/>
      <c r="AQ15" s="97">
        <f t="shared" si="7"/>
        <v>1279.7994144144143</v>
      </c>
      <c r="AR15" s="98">
        <f t="shared" si="8"/>
        <v>123.09</v>
      </c>
      <c r="AS15" s="98">
        <f t="shared" si="9"/>
        <v>481.36972972972967</v>
      </c>
      <c r="AT15" s="98">
        <f t="shared" si="10"/>
        <v>110.18371681415927</v>
      </c>
      <c r="AU15" s="98">
        <f t="shared" si="18"/>
        <v>70.964601769911511</v>
      </c>
      <c r="AV15" s="98">
        <f t="array" ref="AV15">_xlfn.IFS(U15=0,AO15,U15&lt;0,AO15/-U15,U15&gt;0,AO15/U15)</f>
        <v>444.35540648873763</v>
      </c>
      <c r="AW15" s="234">
        <f t="shared" si="26"/>
        <v>0.34720707126753697</v>
      </c>
      <c r="AX15" s="234">
        <f t="shared" si="27"/>
        <v>3.6100041147837976</v>
      </c>
      <c r="AY15" s="99"/>
      <c r="AZ15" s="94">
        <f t="shared" si="13"/>
        <v>2198226.195899785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4"/>
        <v>3648</v>
      </c>
      <c r="F16" s="93">
        <f>'Юнит 13'!F16</f>
        <v>214</v>
      </c>
      <c r="G16" s="93">
        <f>'Юнит 13'!G16</f>
        <v>49</v>
      </c>
      <c r="H16" s="93">
        <f>'Юнит 13'!H16</f>
        <v>594</v>
      </c>
      <c r="I16" s="93">
        <f>'Юнит 13'!I16</f>
        <v>2</v>
      </c>
      <c r="J16" s="93">
        <f>'Юнит 13'!J16</f>
        <v>2789</v>
      </c>
      <c r="K16" s="92">
        <v>117.24</v>
      </c>
      <c r="L16" s="92">
        <f t="shared" si="28"/>
        <v>427691.51999999996</v>
      </c>
      <c r="M16" s="89">
        <f>'Юнит 13'!M16</f>
        <v>9</v>
      </c>
      <c r="N16" s="89">
        <f>'Юнит 10'!N16+'Юнит 11'!N16+'Юнит 12'!N16+'Юнит 13'!N16</f>
        <v>1380</v>
      </c>
      <c r="O16" s="89">
        <v>1416</v>
      </c>
      <c r="P16" s="399">
        <v>0.66</v>
      </c>
      <c r="Q16" s="406">
        <f t="shared" si="14"/>
        <v>0.5949275362318841</v>
      </c>
      <c r="R16" s="92">
        <f t="shared" si="15"/>
        <v>117.28571428571429</v>
      </c>
      <c r="S16" s="89">
        <f>'Юнит 10'!S16+'Юнит 11'!S16+'Юнит 12'!S16+'Юнит 13'!S16</f>
        <v>828</v>
      </c>
      <c r="T16" s="89">
        <f>'Юнит 10'!T16+'Юнит 11'!T16+'Юнит 12'!T16+'Юнит 13'!T16</f>
        <v>-7</v>
      </c>
      <c r="U16" s="92">
        <f t="shared" si="1"/>
        <v>821</v>
      </c>
      <c r="V16" s="89">
        <f>'Юнит 10'!V16+'Юнит 11'!V16+'Юнит 12'!V16+'Юнит 13'!V16</f>
        <v>750310.35000000009</v>
      </c>
      <c r="W16" s="89">
        <f>'Юнит 10'!W16+'Юнит 11'!W16+'Юнит 12'!W16+'Юнит 13'!W16</f>
        <v>-6355</v>
      </c>
      <c r="X16" s="92">
        <f t="shared" si="2"/>
        <v>743955.35000000009</v>
      </c>
      <c r="Y16" s="89">
        <f>'Юнит 10'!Y16+'Юнит 11'!Y16+'Юнит 12'!Y16+'Юнит 13'!Y16</f>
        <v>1141218.6899999997</v>
      </c>
      <c r="Z16" s="89">
        <f>'Юнит 10'!Z16+'Юнит 11'!Z16+'Юнит 12'!Z16+'Юнит 13'!Z16</f>
        <v>-9821</v>
      </c>
      <c r="AA16" s="232">
        <f t="shared" si="16"/>
        <v>1131397.6899999997</v>
      </c>
      <c r="AB16" s="92">
        <f t="shared" si="17"/>
        <v>12896.928</v>
      </c>
      <c r="AC16" s="234">
        <f t="shared" si="3"/>
        <v>6.2142626849491969E-2</v>
      </c>
      <c r="AD16" s="92">
        <f t="shared" si="4"/>
        <v>96254.04</v>
      </c>
      <c r="AE16" s="89">
        <f>'Юнит 10'!AE16+'Юнит 11'!AE16+'Юнит 12'!AE16+'Юнит 13'!AE16</f>
        <v>425558.27999999921</v>
      </c>
      <c r="AF16" s="234">
        <f t="shared" si="5"/>
        <v>0.37613500872535749</v>
      </c>
      <c r="AG16" s="89">
        <f>'Юнит 10'!AG16+'Юнит 11'!AG16+'Юнит 12'!AG16+'Юнит 13'!AG16</f>
        <v>85498.959999999977</v>
      </c>
      <c r="AH16" s="89">
        <f>'Юнит 10'!AH16+'Юнит 11'!AH16+'Юнит 12'!AH16+'Юнит 13'!AH16</f>
        <v>28746</v>
      </c>
      <c r="AI16" s="89">
        <f>'Юнит 10'!AI16+'Юнит 11'!AI16+'Юнит 12'!AI16+'Юнит 13'!AI16</f>
        <v>93686</v>
      </c>
      <c r="AJ16" s="89">
        <f>'Юнит 10'!AJ16+'Юнит 11'!AJ16+'Юнит 12'!AJ16+'Юнит 13'!AJ16</f>
        <v>0</v>
      </c>
      <c r="AK16" s="89">
        <f>'Юнит 10'!AK16+'Юнит 11'!AK16+'Юнит 12'!AK16+'Юнит 13'!AK16</f>
        <v>0</v>
      </c>
      <c r="AL16" s="89">
        <f>'Юнит 10'!AL16+'Юнит 11'!AL16+'Юнит 12'!AL16+'Юнит 13'!AL16</f>
        <v>1286.9271584712988</v>
      </c>
      <c r="AM16" s="89">
        <f>'Юнит 10'!AM16+'Юнит 11'!AM16+'Юнит 12'!AM16+'Юнит 13'!AM16</f>
        <v>50</v>
      </c>
      <c r="AN16" s="325">
        <f t="shared" si="6"/>
        <v>41522.001297091992</v>
      </c>
      <c r="AO16" s="95">
        <f t="shared" si="19"/>
        <v>358795.48154443718</v>
      </c>
      <c r="AP16" s="96"/>
      <c r="AQ16" s="97">
        <f t="shared" si="7"/>
        <v>1378.0727040194881</v>
      </c>
      <c r="AR16" s="98">
        <f t="shared" si="8"/>
        <v>117.24</v>
      </c>
      <c r="AS16" s="98">
        <f t="shared" si="9"/>
        <v>518.34138855054721</v>
      </c>
      <c r="AT16" s="98">
        <f t="shared" si="10"/>
        <v>103.25961352657002</v>
      </c>
      <c r="AU16" s="98">
        <f t="shared" si="18"/>
        <v>147.8647342995169</v>
      </c>
      <c r="AV16" s="98">
        <f t="array" ref="AV16">_xlfn.IFS(U16=0,AO16,U16&lt;0,AO16/-U16,U16&gt;0,AO16/U16)</f>
        <v>437.02251101636682</v>
      </c>
      <c r="AW16" s="234">
        <f t="shared" si="26"/>
        <v>0.3171258742312239</v>
      </c>
      <c r="AX16" s="234">
        <f t="shared" si="27"/>
        <v>3.7275888008901981</v>
      </c>
      <c r="AY16" s="99"/>
      <c r="AZ16" s="94">
        <f t="shared" si="13"/>
        <v>1594258.1201877061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4"/>
        <v>2070</v>
      </c>
      <c r="F17" s="93">
        <f>'Юнит 13'!F17</f>
        <v>45</v>
      </c>
      <c r="G17" s="93">
        <f>'Юнит 13'!G17</f>
        <v>19</v>
      </c>
      <c r="H17" s="93">
        <f>'Юнит 13'!H17</f>
        <v>92</v>
      </c>
      <c r="I17" s="93">
        <f>'Юнит 13'!I17</f>
        <v>1</v>
      </c>
      <c r="J17" s="93">
        <f>'Юнит 13'!J17</f>
        <v>1913</v>
      </c>
      <c r="K17" s="93">
        <v>123.09</v>
      </c>
      <c r="L17" s="92">
        <f t="shared" si="28"/>
        <v>254796.30000000002</v>
      </c>
      <c r="M17" s="89">
        <f>'Юнит 13'!M17</f>
        <v>36</v>
      </c>
      <c r="N17" s="89">
        <f>'Юнит 10'!N17+'Юнит 11'!N17+'Юнит 12'!N17+'Юнит 13'!N17</f>
        <v>280</v>
      </c>
      <c r="O17" s="89">
        <v>1480</v>
      </c>
      <c r="P17" s="399">
        <v>0.44</v>
      </c>
      <c r="Q17" s="406">
        <f t="shared" si="14"/>
        <v>0.4107142857142857</v>
      </c>
      <c r="R17" s="92">
        <f t="shared" si="15"/>
        <v>16.428571428571427</v>
      </c>
      <c r="S17" s="89">
        <f>'Юнит 10'!S17+'Юнит 11'!S17+'Юнит 12'!S17+'Юнит 13'!S17</f>
        <v>122</v>
      </c>
      <c r="T17" s="89">
        <f>'Юнит 10'!T17+'Юнит 11'!T17+'Юнит 12'!T17+'Юнит 13'!T17</f>
        <v>-7</v>
      </c>
      <c r="U17" s="92">
        <f t="shared" si="1"/>
        <v>115</v>
      </c>
      <c r="V17" s="89">
        <f>'Юнит 10'!V17+'Юнит 11'!V17+'Юнит 12'!V17+'Юнит 13'!V17</f>
        <v>116747.62</v>
      </c>
      <c r="W17" s="89">
        <f>'Юнит 10'!W17+'Юнит 11'!W17+'Юнит 12'!W17+'Юнит 13'!W17</f>
        <v>-6585</v>
      </c>
      <c r="X17" s="92">
        <f t="shared" si="2"/>
        <v>110162.62</v>
      </c>
      <c r="Y17" s="89">
        <f>'Юнит 10'!Y17+'Юнит 11'!Y17+'Юнит 12'!Y17+'Юнит 13'!Y17</f>
        <v>178896.44</v>
      </c>
      <c r="Z17" s="89">
        <f>'Юнит 10'!Z17+'Юнит 11'!Z17+'Юнит 12'!Z17+'Юнит 13'!Z17</f>
        <v>-10173</v>
      </c>
      <c r="AA17" s="232">
        <f t="shared" si="16"/>
        <v>168723.44</v>
      </c>
      <c r="AB17" s="92">
        <f t="shared" si="17"/>
        <v>1823.36</v>
      </c>
      <c r="AC17" s="234">
        <f t="shared" si="3"/>
        <v>9.2672257203235495E-3</v>
      </c>
      <c r="AD17" s="92">
        <f t="shared" si="4"/>
        <v>14155.35</v>
      </c>
      <c r="AE17" s="89">
        <f>'Юнит 10'!AE17+'Юнит 11'!AE17+'Юнит 12'!AE17+'Юнит 13'!AE17</f>
        <v>63585.24000000002</v>
      </c>
      <c r="AF17" s="234">
        <f t="shared" si="5"/>
        <v>0.37686073731071401</v>
      </c>
      <c r="AG17" s="89">
        <f>'Юнит 10'!AG17+'Юнит 11'!AG17+'Юнит 12'!AG17+'Юнит 13'!AG17</f>
        <v>19551.5</v>
      </c>
      <c r="AH17" s="89">
        <f>'Юнит 10'!AH17+'Юнит 11'!AH17+'Юнит 12'!AH17+'Юнит 13'!AH17</f>
        <v>5383</v>
      </c>
      <c r="AI17" s="89">
        <f>'Юнит 10'!AI17+'Юнит 11'!AI17+'Юнит 12'!AI17+'Юнит 13'!AI17</f>
        <v>15334</v>
      </c>
      <c r="AJ17" s="89">
        <f>'Юнит 10'!AJ17+'Юнит 11'!AJ17+'Юнит 12'!AJ17+'Юнит 13'!AJ17</f>
        <v>0</v>
      </c>
      <c r="AK17" s="89">
        <f>'Юнит 10'!AK17+'Юнит 11'!AK17+'Юнит 12'!AK17+'Юнит 13'!AK17</f>
        <v>0</v>
      </c>
      <c r="AL17" s="89">
        <f>'Юнит 10'!AL17+'Юнит 11'!AL17+'Юнит 12'!AL17+'Юнит 13'!AL17</f>
        <v>608.78891456525707</v>
      </c>
      <c r="AM17" s="89">
        <f>'Юнит 10'!AM17+'Юнит 11'!AM17+'Юнит 12'!AM17+'Юнит 13'!AM17</f>
        <v>0</v>
      </c>
      <c r="AN17" s="325">
        <f t="shared" si="6"/>
        <v>6148.4502403686611</v>
      </c>
      <c r="AO17" s="95">
        <f t="shared" si="19"/>
        <v>43957.110845066054</v>
      </c>
      <c r="AP17" s="96"/>
      <c r="AQ17" s="97">
        <f t="shared" si="7"/>
        <v>1467.160347826087</v>
      </c>
      <c r="AR17" s="98">
        <f t="shared" si="8"/>
        <v>123.09</v>
      </c>
      <c r="AS17" s="98">
        <f t="shared" si="9"/>
        <v>552.91513043478278</v>
      </c>
      <c r="AT17" s="98">
        <f t="shared" si="10"/>
        <v>160.25819672131146</v>
      </c>
      <c r="AU17" s="98">
        <f t="shared" si="18"/>
        <v>169.81147540983608</v>
      </c>
      <c r="AV17" s="98">
        <f t="array" ref="AV17">_xlfn.IFS(U17=0,AO17,U17&lt;0,AO17/-U17,U17&gt;0,AO17/U17)</f>
        <v>382.23574647883527</v>
      </c>
      <c r="AW17" s="234">
        <f t="shared" si="26"/>
        <v>0.26052758789807778</v>
      </c>
      <c r="AX17" s="234">
        <f t="shared" si="27"/>
        <v>3.1053354982438481</v>
      </c>
      <c r="AY17" s="99"/>
      <c r="AZ17" s="94">
        <f t="shared" si="13"/>
        <v>791227.99521118903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4"/>
        <v>1810</v>
      </c>
      <c r="F18" s="93">
        <f>'Юнит 13'!F18</f>
        <v>85</v>
      </c>
      <c r="G18" s="93">
        <f>'Юнит 13'!G18</f>
        <v>37</v>
      </c>
      <c r="H18" s="93">
        <f>'Юнит 13'!H18</f>
        <v>247</v>
      </c>
      <c r="I18" s="93">
        <f>'Юнит 13'!I18</f>
        <v>2</v>
      </c>
      <c r="J18" s="93">
        <f>'Юнит 13'!J18</f>
        <v>1439</v>
      </c>
      <c r="K18" s="93">
        <v>123.09</v>
      </c>
      <c r="L18" s="92">
        <f t="shared" si="28"/>
        <v>222792.9</v>
      </c>
      <c r="M18" s="89">
        <f>'Юнит 13'!M18</f>
        <v>16</v>
      </c>
      <c r="N18" s="89">
        <f>'Юнит 10'!N18+'Юнит 11'!N18+'Юнит 12'!N18+'Юнит 13'!N18</f>
        <v>678</v>
      </c>
      <c r="O18" s="89">
        <v>1601</v>
      </c>
      <c r="P18" s="399">
        <v>0.44</v>
      </c>
      <c r="Q18" s="406">
        <f t="shared" si="14"/>
        <v>0.42772861356932151</v>
      </c>
      <c r="R18" s="92">
        <f t="shared" si="15"/>
        <v>41.428571428571431</v>
      </c>
      <c r="S18" s="89">
        <f>'Юнит 10'!S18+'Юнит 11'!S18+'Юнит 12'!S18+'Юнит 13'!S18</f>
        <v>301</v>
      </c>
      <c r="T18" s="89">
        <f>'Юнит 10'!T18+'Юнит 11'!T18+'Юнит 12'!T18+'Юнит 13'!T18</f>
        <v>-11</v>
      </c>
      <c r="U18" s="92">
        <f t="shared" si="1"/>
        <v>290</v>
      </c>
      <c r="V18" s="89">
        <f>'Юнит 10'!V18+'Юнит 11'!V18+'Юнит 12'!V18+'Юнит 13'!V18</f>
        <v>308063.59999999998</v>
      </c>
      <c r="W18" s="89">
        <f>'Юнит 10'!W18+'Юнит 11'!W18+'Юнит 12'!W18+'Юнит 13'!W18</f>
        <v>-11649</v>
      </c>
      <c r="X18" s="92">
        <f t="shared" si="2"/>
        <v>296414.59999999998</v>
      </c>
      <c r="Y18" s="89">
        <f>'Юнит 10'!Y18+'Юнит 11'!Y18+'Юнит 12'!Y18+'Юнит 13'!Y18</f>
        <v>462805.97000000003</v>
      </c>
      <c r="Z18" s="89">
        <f>'Юнит 10'!Z18+'Юнит 11'!Z18+'Юнит 12'!Z18+'Юнит 13'!Z18</f>
        <v>-17368.16</v>
      </c>
      <c r="AA18" s="232">
        <f t="shared" si="16"/>
        <v>445437.81000000006</v>
      </c>
      <c r="AB18" s="92">
        <f t="shared" si="17"/>
        <v>4776.1032000000005</v>
      </c>
      <c r="AC18" s="234">
        <f t="shared" si="3"/>
        <v>2.4465911373289892E-2</v>
      </c>
      <c r="AD18" s="92">
        <f t="shared" si="4"/>
        <v>35696.1</v>
      </c>
      <c r="AE18" s="89">
        <f>'Юнит 10'!AE18+'Юнит 11'!AE18+'Юнит 12'!AE18+'Юнит 13'!AE18</f>
        <v>168034.95</v>
      </c>
      <c r="AF18" s="234">
        <f t="shared" si="5"/>
        <v>0.37723548883288555</v>
      </c>
      <c r="AG18" s="89">
        <f>'Юнит 10'!AG18+'Юнит 11'!AG18+'Юнит 12'!AG18+'Юнит 13'!AG18</f>
        <v>49995.34</v>
      </c>
      <c r="AH18" s="89">
        <f>'Юнит 10'!AH18+'Юнит 11'!AH18+'Юнит 12'!AH18+'Юнит 13'!AH18</f>
        <v>14966</v>
      </c>
      <c r="AI18" s="89">
        <f>'Юнит 10'!AI18+'Юнит 11'!AI18+'Юнит 12'!AI18+'Юнит 13'!AI18</f>
        <v>46061</v>
      </c>
      <c r="AJ18" s="89">
        <f>'Юнит 10'!AJ18+'Юнит 11'!AJ18+'Юнит 12'!AJ18+'Юнит 13'!AJ18</f>
        <v>0</v>
      </c>
      <c r="AK18" s="89">
        <f>'Юнит 10'!AK18+'Юнит 11'!AK18+'Юнит 12'!AK18+'Юнит 13'!AK18</f>
        <v>0</v>
      </c>
      <c r="AL18" s="89">
        <f>'Юнит 10'!AL18+'Юнит 11'!AL18+'Юнит 12'!AL18+'Юнит 13'!AL18</f>
        <v>627.49592678645809</v>
      </c>
      <c r="AM18" s="89">
        <f>'Юнит 10'!AM18+'Юнит 11'!AM18+'Юнит 12'!AM18+'Юнит 13'!AM18</f>
        <v>0</v>
      </c>
      <c r="AN18" s="325">
        <f t="shared" si="6"/>
        <v>16543.637203061986</v>
      </c>
      <c r="AO18" s="95">
        <f t="shared" si="19"/>
        <v>113513.28687015163</v>
      </c>
      <c r="AP18" s="96"/>
      <c r="AQ18" s="97">
        <f t="shared" si="7"/>
        <v>1535.9924482758622</v>
      </c>
      <c r="AR18" s="98">
        <f t="shared" si="8"/>
        <v>123.09</v>
      </c>
      <c r="AS18" s="98">
        <f t="shared" si="9"/>
        <v>579.43086206896555</v>
      </c>
      <c r="AT18" s="98">
        <f t="shared" si="10"/>
        <v>166.09747508305648</v>
      </c>
      <c r="AU18" s="98">
        <f t="shared" si="18"/>
        <v>202.74750830564784</v>
      </c>
      <c r="AV18" s="98">
        <f t="array" ref="AV18">_xlfn.IFS(U18=0,AO18,U18&lt;0,AO18/-U18,U18&gt;0,AO18/U18)</f>
        <v>391.42512713845389</v>
      </c>
      <c r="AW18" s="234">
        <f t="shared" si="26"/>
        <v>0.25483532004198661</v>
      </c>
      <c r="AX18" s="234">
        <f t="shared" si="27"/>
        <v>3.1799912839260207</v>
      </c>
      <c r="AY18" s="99"/>
      <c r="AZ18" s="94">
        <f t="shared" si="13"/>
        <v>708479.48012060148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4"/>
        <v>1</v>
      </c>
      <c r="F19" s="93">
        <f>'Юнит 13'!F19</f>
        <v>0</v>
      </c>
      <c r="G19" s="93">
        <f>'Юнит 13'!G19</f>
        <v>0</v>
      </c>
      <c r="H19" s="93">
        <f>'Юнит 13'!H19</f>
        <v>0</v>
      </c>
      <c r="I19" s="93">
        <f>'Юнит 13'!I19</f>
        <v>1</v>
      </c>
      <c r="J19" s="93">
        <f>'Юнит 13'!J19</f>
        <v>0</v>
      </c>
      <c r="K19" s="93">
        <v>123.09</v>
      </c>
      <c r="L19" s="92">
        <f t="shared" si="28"/>
        <v>123.09</v>
      </c>
      <c r="M19" s="89">
        <f>'Юнит 13'!M19</f>
        <v>0</v>
      </c>
      <c r="N19" s="89">
        <f>'Юнит 10'!N19+'Юнит 11'!N19+'Юнит 12'!N19+'Юнит 13'!N19</f>
        <v>0</v>
      </c>
      <c r="O19" s="89">
        <v>0</v>
      </c>
      <c r="P19" s="399">
        <v>0</v>
      </c>
      <c r="Q19" s="406"/>
      <c r="R19" s="92">
        <f t="shared" si="15"/>
        <v>0</v>
      </c>
      <c r="S19" s="89">
        <f>'Юнит 10'!S19+'Юнит 11'!S19+'Юнит 12'!S19+'Юнит 13'!S19</f>
        <v>0</v>
      </c>
      <c r="T19" s="89">
        <f>'Юнит 10'!T19+'Юнит 11'!T19+'Юнит 12'!T19+'Юнит 13'!T19</f>
        <v>0</v>
      </c>
      <c r="U19" s="92">
        <f t="shared" si="1"/>
        <v>0</v>
      </c>
      <c r="V19" s="89">
        <f>'Юнит 10'!V19+'Юнит 11'!V19+'Юнит 12'!V19+'Юнит 13'!V19</f>
        <v>0</v>
      </c>
      <c r="W19" s="89">
        <f>'Юнит 10'!W19+'Юнит 11'!W19+'Юнит 12'!W19+'Юнит 13'!W19</f>
        <v>0</v>
      </c>
      <c r="X19" s="92">
        <f t="shared" si="2"/>
        <v>0</v>
      </c>
      <c r="Y19" s="89">
        <f>'Юнит 10'!Y19+'Юнит 11'!Y19+'Юнит 12'!Y19+'Юнит 13'!Y19</f>
        <v>0</v>
      </c>
      <c r="Z19" s="89">
        <f>'Юнит 10'!Z19+'Юнит 11'!Z19+'Юнит 12'!Z19+'Юнит 13'!Z19</f>
        <v>0</v>
      </c>
      <c r="AA19" s="232">
        <f t="shared" si="16"/>
        <v>0</v>
      </c>
      <c r="AB19" s="92">
        <f t="shared" si="17"/>
        <v>0</v>
      </c>
      <c r="AC19" s="234">
        <f t="shared" si="3"/>
        <v>0</v>
      </c>
      <c r="AD19" s="92">
        <f t="shared" si="4"/>
        <v>0</v>
      </c>
      <c r="AE19" s="89">
        <f>'Юнит 10'!AE19+'Юнит 11'!AE19+'Юнит 12'!AE19+'Юнит 13'!AE19</f>
        <v>0</v>
      </c>
      <c r="AF19" s="234">
        <f t="shared" si="5"/>
        <v>0</v>
      </c>
      <c r="AG19" s="89">
        <f>'Юнит 10'!AG19+'Юнит 11'!AG19+'Юнит 12'!AG19+'Юнит 13'!AG19</f>
        <v>0</v>
      </c>
      <c r="AH19" s="89">
        <f>'Юнит 10'!AH19+'Юнит 11'!AH19+'Юнит 12'!AH19+'Юнит 13'!AH19</f>
        <v>0</v>
      </c>
      <c r="AI19" s="89">
        <f>'Юнит 10'!AI19+'Юнит 11'!AI19+'Юнит 12'!AI19+'Юнит 13'!AI19</f>
        <v>0</v>
      </c>
      <c r="AJ19" s="89">
        <f>'Юнит 10'!AJ19+'Юнит 11'!AJ19+'Юнит 12'!AJ19+'Юнит 13'!AJ19</f>
        <v>0</v>
      </c>
      <c r="AK19" s="89">
        <f>'Юнит 10'!AK19+'Юнит 11'!AK19+'Юнит 12'!AK19+'Юнит 13'!AK19</f>
        <v>0</v>
      </c>
      <c r="AL19" s="89">
        <f>'Юнит 10'!AL19+'Юнит 11'!AL19+'Юнит 12'!AL19+'Юнит 13'!AL19</f>
        <v>0</v>
      </c>
      <c r="AM19" s="89">
        <f>'Юнит 10'!AM19+'Юнит 11'!AM19+'Юнит 12'!AM19+'Юнит 13'!AM19</f>
        <v>0</v>
      </c>
      <c r="AN19" s="325">
        <f t="shared" si="6"/>
        <v>0</v>
      </c>
      <c r="AO19" s="95">
        <f t="shared" si="19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18"/>
        <v>0</v>
      </c>
      <c r="AV19" s="98">
        <f t="array" ref="AV19">_xlfn.IFS(U19=0,AO19,U19&lt;0,AO19/-U19,U19&gt;0,AO19/U19)</f>
        <v>0</v>
      </c>
      <c r="AW19" s="234">
        <f t="shared" si="26"/>
        <v>0</v>
      </c>
      <c r="AX19" s="234">
        <f t="shared" si="27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4"/>
        <v>359</v>
      </c>
      <c r="F20" s="93">
        <f>'Юнит 13'!F20</f>
        <v>4</v>
      </c>
      <c r="G20" s="93" t="str">
        <f>'Юнит 13'!G20</f>
        <v/>
      </c>
      <c r="H20" s="93">
        <f>'Юнит 13'!H20</f>
        <v>64</v>
      </c>
      <c r="I20" s="93">
        <f>'Юнит 13'!I20</f>
        <v>1</v>
      </c>
      <c r="J20" s="93">
        <f>'Юнит 13'!J20</f>
        <v>290</v>
      </c>
      <c r="K20" s="93">
        <v>117.24</v>
      </c>
      <c r="L20" s="92">
        <f t="shared" si="28"/>
        <v>42089.159999999996</v>
      </c>
      <c r="M20" s="89">
        <f>'Юнит 13'!M20</f>
        <v>15</v>
      </c>
      <c r="N20" s="89">
        <f>'Юнит 10'!N20+'Юнит 11'!N20+'Юнит 12'!N20+'Юнит 13'!N20</f>
        <v>6</v>
      </c>
      <c r="O20" s="89">
        <v>1341</v>
      </c>
      <c r="P20" s="399">
        <v>1</v>
      </c>
      <c r="Q20" s="406">
        <f t="shared" si="14"/>
        <v>0.33333333333333331</v>
      </c>
      <c r="R20" s="92">
        <f t="shared" si="15"/>
        <v>0.2857142857142857</v>
      </c>
      <c r="S20" s="89">
        <f>'Юнит 10'!S20+'Юнит 11'!S20+'Юнит 12'!S20+'Юнит 13'!S20</f>
        <v>2</v>
      </c>
      <c r="T20" s="89">
        <f>'Юнит 10'!T20+'Юнит 11'!T20+'Юнит 12'!T20+'Юнит 13'!T20</f>
        <v>0</v>
      </c>
      <c r="U20" s="92">
        <f t="shared" si="1"/>
        <v>2</v>
      </c>
      <c r="V20" s="89">
        <f>'Юнит 10'!V20+'Юнит 11'!V20+'Юнит 12'!V20+'Юнит 13'!V20</f>
        <v>1778</v>
      </c>
      <c r="W20" s="89">
        <f>'Юнит 10'!W20+'Юнит 11'!W20+'Юнит 12'!W20+'Юнит 13'!W20</f>
        <v>0</v>
      </c>
      <c r="X20" s="92">
        <f t="shared" si="2"/>
        <v>1778</v>
      </c>
      <c r="Y20" s="89">
        <f>'Юнит 10'!Y20+'Юнит 11'!Y20+'Юнит 12'!Y20+'Юнит 13'!Y20</f>
        <v>2794</v>
      </c>
      <c r="Z20" s="89">
        <f>'Юнит 10'!Z20+'Юнит 11'!Z20+'Юнит 12'!Z20+'Юнит 13'!Z20</f>
        <v>0</v>
      </c>
      <c r="AA20" s="232">
        <f t="shared" si="16"/>
        <v>2794</v>
      </c>
      <c r="AB20" s="92">
        <f t="shared" si="17"/>
        <v>80.459999999999994</v>
      </c>
      <c r="AC20" s="234">
        <f t="shared" si="3"/>
        <v>1.5346195325666664E-4</v>
      </c>
      <c r="AD20" s="92">
        <f t="shared" si="4"/>
        <v>234.48</v>
      </c>
      <c r="AE20" s="89">
        <f>'Юнит 10'!AE20+'Юнит 11'!AE20+'Юнит 12'!AE20+'Юнит 13'!AE20</f>
        <v>1056</v>
      </c>
      <c r="AF20" s="234">
        <f t="shared" si="5"/>
        <v>0.37795275590551181</v>
      </c>
      <c r="AG20" s="89">
        <f>'Юнит 10'!AG20+'Юнит 11'!AG20+'Юнит 12'!AG20+'Юнит 13'!AG20</f>
        <v>97.34</v>
      </c>
      <c r="AH20" s="89">
        <f>'Юнит 10'!AH20+'Юнит 11'!AH20+'Юнит 12'!AH20+'Юнит 13'!AH20</f>
        <v>0</v>
      </c>
      <c r="AI20" s="89">
        <f>'Юнит 10'!AI20+'Юнит 11'!AI20+'Юнит 12'!AI20+'Юнит 13'!AI20</f>
        <v>1433</v>
      </c>
      <c r="AJ20" s="89">
        <f>'Юнит 10'!AJ20+'Юнит 11'!AJ20+'Юнит 12'!AJ20+'Юнит 13'!AJ20</f>
        <v>0</v>
      </c>
      <c r="AK20" s="89">
        <f>'Юнит 10'!AK20+'Юнит 11'!AK20+'Юнит 12'!AK20+'Юнит 13'!AK20</f>
        <v>0</v>
      </c>
      <c r="AL20" s="89">
        <f>'Юнит 10'!AL20+'Юнит 11'!AL20+'Юнит 12'!AL20+'Юнит 13'!AL20</f>
        <v>54.186309511352938</v>
      </c>
      <c r="AM20" s="89">
        <f>'Юнит 10'!AM20+'Юнит 11'!AM20+'Юнит 12'!AM20+'Юнит 13'!AM20</f>
        <v>0</v>
      </c>
      <c r="AN20" s="325">
        <f t="shared" si="6"/>
        <v>99.234609047746687</v>
      </c>
      <c r="AO20" s="95">
        <f t="shared" si="19"/>
        <v>-180.24091855909955</v>
      </c>
      <c r="AP20" s="96"/>
      <c r="AQ20" s="97">
        <f t="shared" si="7"/>
        <v>1397</v>
      </c>
      <c r="AR20" s="98">
        <f>K20</f>
        <v>117.24</v>
      </c>
      <c r="AS20" s="98">
        <f t="shared" si="9"/>
        <v>528</v>
      </c>
      <c r="AT20" s="98">
        <f t="shared" si="10"/>
        <v>48.67</v>
      </c>
      <c r="AU20" s="98">
        <f t="shared" si="18"/>
        <v>716.5</v>
      </c>
      <c r="AV20" s="98">
        <f t="array" ref="AV20">_xlfn.IFS(U20=0,AO20,U20&lt;0,AO20/-U20,U20&gt;0,AO20/U20)</f>
        <v>-90.120459279549777</v>
      </c>
      <c r="AW20" s="234">
        <f t="shared" si="26"/>
        <v>-6.4509992326091462E-2</v>
      </c>
      <c r="AX20" s="234">
        <f t="shared" si="27"/>
        <v>-0.76868354895555935</v>
      </c>
      <c r="AY20" s="99"/>
      <c r="AZ20" s="94">
        <f t="shared" si="13"/>
        <v>-32353.244881358369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4"/>
        <v>351</v>
      </c>
      <c r="F21" s="93">
        <f>'Юнит 13'!F21</f>
        <v>4</v>
      </c>
      <c r="G21" s="93">
        <f>'Юнит 13'!G21</f>
        <v>3</v>
      </c>
      <c r="H21" s="93">
        <f>'Юнит 13'!H21</f>
        <v>48</v>
      </c>
      <c r="I21" s="93">
        <f>'Юнит 13'!I21</f>
        <v>1</v>
      </c>
      <c r="J21" s="93">
        <f>'Юнит 13'!J21</f>
        <v>295</v>
      </c>
      <c r="K21" s="93">
        <v>117.24</v>
      </c>
      <c r="L21" s="92">
        <f t="shared" si="28"/>
        <v>41151.24</v>
      </c>
      <c r="M21" s="89">
        <f>'Юнит 13'!M21</f>
        <v>19</v>
      </c>
      <c r="N21" s="89">
        <f>'Юнит 10'!N21+'Юнит 11'!N21+'Юнит 12'!N21+'Юнит 13'!N21</f>
        <v>6</v>
      </c>
      <c r="O21" s="89">
        <v>1277</v>
      </c>
      <c r="P21" s="399">
        <v>0</v>
      </c>
      <c r="Q21" s="406">
        <f t="shared" si="14"/>
        <v>0</v>
      </c>
      <c r="R21" s="92">
        <f t="shared" si="15"/>
        <v>0</v>
      </c>
      <c r="S21" s="89">
        <f>'Юнит 10'!S21+'Юнит 11'!S21+'Юнит 12'!S21+'Юнит 13'!S21</f>
        <v>0</v>
      </c>
      <c r="T21" s="89">
        <f>'Юнит 10'!T21+'Юнит 11'!T21+'Юнит 12'!T21+'Юнит 13'!T21</f>
        <v>0</v>
      </c>
      <c r="U21" s="92">
        <f t="shared" si="1"/>
        <v>0</v>
      </c>
      <c r="V21" s="89">
        <f>'Юнит 10'!V21+'Юнит 11'!V21+'Юнит 12'!V21+'Юнит 13'!V21</f>
        <v>0</v>
      </c>
      <c r="W21" s="89">
        <f>'Юнит 10'!W21+'Юнит 11'!W21+'Юнит 12'!W21+'Юнит 13'!W21</f>
        <v>0</v>
      </c>
      <c r="X21" s="92">
        <f t="shared" si="2"/>
        <v>0</v>
      </c>
      <c r="Y21" s="89">
        <f>'Юнит 10'!Y21+'Юнит 11'!Y21+'Юнит 12'!Y21+'Юнит 13'!Y21</f>
        <v>0</v>
      </c>
      <c r="Z21" s="89">
        <f>'Юнит 10'!Z21+'Юнит 11'!Z21+'Юнит 12'!Z21+'Юнит 13'!Z21</f>
        <v>0</v>
      </c>
      <c r="AA21" s="232">
        <f t="shared" si="16"/>
        <v>0</v>
      </c>
      <c r="AB21" s="92">
        <f t="shared" si="17"/>
        <v>0</v>
      </c>
      <c r="AC21" s="234">
        <f t="shared" si="3"/>
        <v>0</v>
      </c>
      <c r="AD21" s="92">
        <f t="shared" si="4"/>
        <v>0</v>
      </c>
      <c r="AE21" s="89">
        <f>'Юнит 10'!AE21+'Юнит 11'!AE21+'Юнит 12'!AE21+'Юнит 13'!AE21</f>
        <v>0</v>
      </c>
      <c r="AF21" s="234">
        <f t="shared" si="5"/>
        <v>0</v>
      </c>
      <c r="AG21" s="89">
        <f>'Юнит 10'!AG21+'Юнит 11'!AG21+'Юнит 12'!AG21+'Юнит 13'!AG21</f>
        <v>0</v>
      </c>
      <c r="AH21" s="89">
        <f>'Юнит 10'!AH21+'Юнит 11'!AH21+'Юнит 12'!AH21+'Юнит 13'!AH21</f>
        <v>0</v>
      </c>
      <c r="AI21" s="89">
        <f>'Юнит 10'!AI21+'Юнит 11'!AI21+'Юнит 12'!AI21+'Юнит 13'!AI21</f>
        <v>2000</v>
      </c>
      <c r="AJ21" s="89">
        <f>'Юнит 10'!AJ21+'Юнит 11'!AJ21+'Юнит 12'!AJ21+'Юнит 13'!AJ21</f>
        <v>0</v>
      </c>
      <c r="AK21" s="89">
        <f>'Юнит 10'!AK21+'Юнит 11'!AK21+'Юнит 12'!AK21+'Юнит 13'!AK21</f>
        <v>0</v>
      </c>
      <c r="AL21" s="89">
        <f>'Юнит 10'!AL21+'Юнит 11'!AL21+'Юнит 12'!AL21+'Юнит 13'!AL21</f>
        <v>40.639732133514698</v>
      </c>
      <c r="AM21" s="89">
        <f>'Юнит 10'!AM21+'Юнит 11'!AM21+'Юнит 12'!AM21+'Юнит 13'!AM21</f>
        <v>0</v>
      </c>
      <c r="AN21" s="325">
        <f t="shared" si="6"/>
        <v>0</v>
      </c>
      <c r="AO21" s="95">
        <f t="shared" si="19"/>
        <v>-2040.6397321335146</v>
      </c>
      <c r="AP21" s="96"/>
      <c r="AQ21" s="97">
        <f t="shared" si="7"/>
        <v>0</v>
      </c>
      <c r="AR21" s="98">
        <f t="shared" ref="AR21:AR98" si="29">K21</f>
        <v>117.24</v>
      </c>
      <c r="AS21" s="98">
        <f t="shared" si="9"/>
        <v>0</v>
      </c>
      <c r="AT21" s="98">
        <f t="shared" si="10"/>
        <v>0</v>
      </c>
      <c r="AU21" s="98">
        <f t="shared" si="18"/>
        <v>0</v>
      </c>
      <c r="AV21" s="98">
        <f t="array" ref="AV21">_xlfn.IFS(U21=0,AO21,U21&lt;0,AO21/-U21,U21&gt;0,AO21/U21)</f>
        <v>-2040.6397321335146</v>
      </c>
      <c r="AW21" s="234">
        <f t="shared" si="26"/>
        <v>0</v>
      </c>
      <c r="AX21" s="234">
        <f t="shared" si="27"/>
        <v>-17.405661311271874</v>
      </c>
      <c r="AY21" s="99"/>
      <c r="AZ21" s="94">
        <f t="shared" si="13"/>
        <v>-716264.54597886361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4"/>
        <v>349</v>
      </c>
      <c r="F22" s="93">
        <f>'Юнит 13'!F22</f>
        <v>4</v>
      </c>
      <c r="G22" s="93">
        <f>'Юнит 13'!G22</f>
        <v>1</v>
      </c>
      <c r="H22" s="93">
        <f>'Юнит 13'!H22</f>
        <v>53</v>
      </c>
      <c r="I22" s="93">
        <f>'Юнит 13'!I22</f>
        <v>1</v>
      </c>
      <c r="J22" s="93">
        <f>'Юнит 13'!J22</f>
        <v>290</v>
      </c>
      <c r="K22" s="93">
        <v>117.24</v>
      </c>
      <c r="L22" s="92">
        <f t="shared" si="28"/>
        <v>40916.759999999995</v>
      </c>
      <c r="M22" s="89">
        <f>'Юнит 13'!M22</f>
        <v>24</v>
      </c>
      <c r="N22" s="89">
        <f>'Юнит 10'!N22+'Юнит 11'!N22+'Юнит 12'!N22+'Юнит 13'!N22</f>
        <v>5</v>
      </c>
      <c r="O22" s="89">
        <v>1297</v>
      </c>
      <c r="P22" s="399">
        <v>0.67</v>
      </c>
      <c r="Q22" s="406">
        <f t="shared" si="14"/>
        <v>0.4</v>
      </c>
      <c r="R22" s="92">
        <f t="shared" si="15"/>
        <v>0.2857142857142857</v>
      </c>
      <c r="S22" s="89">
        <f>'Юнит 10'!S22+'Юнит 11'!S22+'Юнит 12'!S22+'Юнит 13'!S22</f>
        <v>2</v>
      </c>
      <c r="T22" s="89">
        <f>'Юнит 10'!T22+'Юнит 11'!T22+'Юнит 12'!T22+'Юнит 13'!T22</f>
        <v>0</v>
      </c>
      <c r="U22" s="92">
        <f t="shared" si="1"/>
        <v>2</v>
      </c>
      <c r="V22" s="89">
        <f>'Юнит 10'!V22+'Юнит 11'!V22+'Юнит 12'!V22+'Юнит 13'!V22</f>
        <v>1434</v>
      </c>
      <c r="W22" s="89">
        <f>'Юнит 10'!W22+'Юнит 11'!W22+'Юнит 12'!W22+'Юнит 13'!W22</f>
        <v>0</v>
      </c>
      <c r="X22" s="92">
        <f t="shared" si="2"/>
        <v>1434</v>
      </c>
      <c r="Y22" s="89">
        <f>'Юнит 10'!Y22+'Юнит 11'!Y22+'Юнит 12'!Y22+'Юнит 13'!Y22</f>
        <v>2235</v>
      </c>
      <c r="Z22" s="89">
        <f>'Юнит 10'!Z22+'Юнит 11'!Z22+'Юнит 12'!Z22+'Юнит 13'!Z22</f>
        <v>0</v>
      </c>
      <c r="AA22" s="232">
        <f t="shared" si="16"/>
        <v>2235</v>
      </c>
      <c r="AB22" s="92">
        <f t="shared" si="17"/>
        <v>43.4495</v>
      </c>
      <c r="AC22" s="234">
        <f t="shared" si="3"/>
        <v>1.2275857749772723E-4</v>
      </c>
      <c r="AD22" s="92">
        <f t="shared" si="4"/>
        <v>234.48</v>
      </c>
      <c r="AE22" s="89">
        <f>'Юнит 10'!AE22+'Юнит 11'!AE22+'Юнит 12'!AE22+'Юнит 13'!AE22</f>
        <v>845.19999999999993</v>
      </c>
      <c r="AF22" s="234">
        <f t="shared" si="5"/>
        <v>0.378165548098434</v>
      </c>
      <c r="AG22" s="89">
        <f>'Юнит 10'!AG22+'Юнит 11'!AG22+'Юнит 12'!AG22+'Юнит 13'!AG22</f>
        <v>199.87</v>
      </c>
      <c r="AH22" s="89">
        <f>'Юнит 10'!AH22+'Юнит 11'!AH22+'Юнит 12'!AH22+'Юнит 13'!AH22</f>
        <v>0</v>
      </c>
      <c r="AI22" s="89">
        <f>'Юнит 10'!AI22+'Юнит 11'!AI22+'Юнит 12'!AI22+'Юнит 13'!AI22</f>
        <v>2000</v>
      </c>
      <c r="AJ22" s="89">
        <f>'Юнит 10'!AJ22+'Юнит 11'!AJ22+'Юнит 12'!AJ22+'Юнит 13'!AJ22</f>
        <v>0</v>
      </c>
      <c r="AK22" s="89">
        <f>'Юнит 10'!AK22+'Юнит 11'!AK22+'Юнит 12'!AK22+'Юнит 13'!AK22</f>
        <v>0</v>
      </c>
      <c r="AL22" s="89">
        <f>'Юнит 10'!AL22+'Юнит 11'!AL22+'Юнит 12'!AL22+'Юнит 13'!AL22</f>
        <v>44.873037564089152</v>
      </c>
      <c r="AM22" s="89">
        <f>'Юнит 10'!AM22+'Юнит 11'!AM22+'Юнит 12'!AM22+'Юнит 13'!AM22</f>
        <v>0</v>
      </c>
      <c r="AN22" s="325">
        <f t="shared" si="6"/>
        <v>80.035112134121917</v>
      </c>
      <c r="AO22" s="95">
        <f t="shared" si="19"/>
        <v>-1169.4581496982107</v>
      </c>
      <c r="AP22" s="96"/>
      <c r="AQ22" s="97">
        <f t="shared" si="7"/>
        <v>1117.5</v>
      </c>
      <c r="AR22" s="98">
        <f t="shared" si="29"/>
        <v>117.24</v>
      </c>
      <c r="AS22" s="98">
        <f t="shared" si="9"/>
        <v>422.59999999999997</v>
      </c>
      <c r="AT22" s="98">
        <f t="shared" si="10"/>
        <v>99.935000000000002</v>
      </c>
      <c r="AU22" s="98">
        <f t="shared" si="18"/>
        <v>1000</v>
      </c>
      <c r="AV22" s="98">
        <f t="array" ref="AV22">_xlfn.IFS(U22=0,AO22,U22&lt;0,AO22/-U22,U22&gt;0,AO22/U22)</f>
        <v>-584.72907484910536</v>
      </c>
      <c r="AW22" s="234">
        <f t="shared" si="26"/>
        <v>-0.52324749427213002</v>
      </c>
      <c r="AX22" s="234">
        <f t="shared" si="27"/>
        <v>-4.9874537261097354</v>
      </c>
      <c r="AY22" s="99"/>
      <c r="AZ22" s="94">
        <f t="shared" si="13"/>
        <v>-204070.44712233776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4"/>
        <v>1</v>
      </c>
      <c r="F23" s="93">
        <f>'Юнит 13'!F23</f>
        <v>0</v>
      </c>
      <c r="G23" s="93">
        <f>'Юнит 13'!G23</f>
        <v>0</v>
      </c>
      <c r="H23" s="93">
        <f>'Юнит 13'!H23</f>
        <v>0</v>
      </c>
      <c r="I23" s="93">
        <f>'Юнит 13'!I23</f>
        <v>1</v>
      </c>
      <c r="J23" s="93">
        <f>'Юнит 13'!J23</f>
        <v>0</v>
      </c>
      <c r="K23" s="93">
        <v>117.24</v>
      </c>
      <c r="L23" s="92">
        <f t="shared" si="28"/>
        <v>117.24</v>
      </c>
      <c r="M23" s="89">
        <f>'Юнит 13'!M23</f>
        <v>999</v>
      </c>
      <c r="N23" s="89">
        <f>'Юнит 10'!N23+'Юнит 11'!N23+'Юнит 12'!N23+'Юнит 13'!N23</f>
        <v>0</v>
      </c>
      <c r="O23" s="89">
        <v>0</v>
      </c>
      <c r="P23" s="399">
        <v>0</v>
      </c>
      <c r="Q23" s="406"/>
      <c r="R23" s="92">
        <f t="shared" si="15"/>
        <v>0</v>
      </c>
      <c r="S23" s="89">
        <f>'Юнит 10'!S23+'Юнит 11'!S23+'Юнит 12'!S23+'Юнит 13'!S23</f>
        <v>0</v>
      </c>
      <c r="T23" s="89">
        <f>'Юнит 10'!T23+'Юнит 11'!T23+'Юнит 12'!T23+'Юнит 13'!T23</f>
        <v>0</v>
      </c>
      <c r="U23" s="92">
        <f t="shared" si="1"/>
        <v>0</v>
      </c>
      <c r="V23" s="89">
        <f>'Юнит 10'!V23+'Юнит 11'!V23+'Юнит 12'!V23+'Юнит 13'!V23</f>
        <v>0</v>
      </c>
      <c r="W23" s="89">
        <f>'Юнит 10'!W23+'Юнит 11'!W23+'Юнит 12'!W23+'Юнит 13'!W23</f>
        <v>0</v>
      </c>
      <c r="X23" s="92">
        <f t="shared" si="2"/>
        <v>0</v>
      </c>
      <c r="Y23" s="89">
        <f>'Юнит 10'!Y23+'Юнит 11'!Y23+'Юнит 12'!Y23+'Юнит 13'!Y23</f>
        <v>0</v>
      </c>
      <c r="Z23" s="89">
        <f>'Юнит 10'!Z23+'Юнит 11'!Z23+'Юнит 12'!Z23+'Юнит 13'!Z23</f>
        <v>0</v>
      </c>
      <c r="AA23" s="232">
        <f t="shared" si="16"/>
        <v>0</v>
      </c>
      <c r="AB23" s="92">
        <f t="shared" si="17"/>
        <v>0</v>
      </c>
      <c r="AC23" s="234">
        <f t="shared" si="3"/>
        <v>0</v>
      </c>
      <c r="AD23" s="92">
        <f t="shared" si="4"/>
        <v>0</v>
      </c>
      <c r="AE23" s="89">
        <f>'Юнит 10'!AE23+'Юнит 11'!AE23+'Юнит 12'!AE23+'Юнит 13'!AE23</f>
        <v>0</v>
      </c>
      <c r="AF23" s="234">
        <f t="shared" si="5"/>
        <v>0</v>
      </c>
      <c r="AG23" s="89">
        <f>'Юнит 10'!AG23+'Юнит 11'!AG23+'Юнит 12'!AG23+'Юнит 13'!AG23</f>
        <v>0</v>
      </c>
      <c r="AH23" s="89">
        <f>'Юнит 10'!AH23+'Юнит 11'!AH23+'Юнит 12'!AH23+'Юнит 13'!AH23</f>
        <v>0</v>
      </c>
      <c r="AI23" s="89">
        <f>'Юнит 10'!AI23+'Юнит 11'!AI23+'Юнит 12'!AI23+'Юнит 13'!AI23</f>
        <v>0</v>
      </c>
      <c r="AJ23" s="89">
        <f>'Юнит 10'!AJ23+'Юнит 11'!AJ23+'Юнит 12'!AJ23+'Юнит 13'!AJ23</f>
        <v>0</v>
      </c>
      <c r="AK23" s="89">
        <f>'Юнит 10'!AK23+'Юнит 11'!AK23+'Юнит 12'!AK23+'Юнит 13'!AK23</f>
        <v>0</v>
      </c>
      <c r="AL23" s="89">
        <f>'Юнит 10'!AL23+'Юнит 11'!AL23+'Юнит 12'!AL23+'Юнит 13'!AL23</f>
        <v>0</v>
      </c>
      <c r="AM23" s="89">
        <f>'Юнит 10'!AM23+'Юнит 11'!AM23+'Юнит 12'!AM23+'Юнит 13'!AM23</f>
        <v>0</v>
      </c>
      <c r="AN23" s="325">
        <f t="shared" si="6"/>
        <v>0</v>
      </c>
      <c r="AO23" s="95">
        <f t="shared" si="19"/>
        <v>0</v>
      </c>
      <c r="AP23" s="96"/>
      <c r="AQ23" s="97">
        <f t="shared" si="7"/>
        <v>0</v>
      </c>
      <c r="AR23" s="98">
        <f t="shared" si="29"/>
        <v>117.24</v>
      </c>
      <c r="AS23" s="98">
        <f t="shared" si="9"/>
        <v>0</v>
      </c>
      <c r="AT23" s="98">
        <f t="shared" si="10"/>
        <v>0</v>
      </c>
      <c r="AU23" s="98">
        <f t="shared" si="18"/>
        <v>0</v>
      </c>
      <c r="AV23" s="98">
        <f t="array" ref="AV23">_xlfn.IFS(U23=0,AO23,U23&lt;0,AO23/-U23,U23&gt;0,AO23/U23)</f>
        <v>0</v>
      </c>
      <c r="AW23" s="234">
        <f t="shared" si="26"/>
        <v>0</v>
      </c>
      <c r="AX23" s="234">
        <f t="shared" si="27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4"/>
        <v>28</v>
      </c>
      <c r="F24" s="93">
        <f>'Юнит 13'!F24</f>
        <v>0</v>
      </c>
      <c r="G24" s="93">
        <f>'Юнит 13'!G24</f>
        <v>0</v>
      </c>
      <c r="H24" s="93">
        <f>'Юнит 13'!H24</f>
        <v>0</v>
      </c>
      <c r="I24" s="93">
        <f>'Юнит 13'!I24</f>
        <v>1</v>
      </c>
      <c r="J24" s="93">
        <f>'Юнит 13'!J24</f>
        <v>27</v>
      </c>
      <c r="K24" s="93">
        <v>117.24</v>
      </c>
      <c r="L24" s="92">
        <f t="shared" si="28"/>
        <v>3282.72</v>
      </c>
      <c r="M24" s="89">
        <f>'Юнит 13'!M24</f>
        <v>999</v>
      </c>
      <c r="N24" s="89">
        <f>'Юнит 10'!N24+'Юнит 11'!N24+'Юнит 12'!N24+'Юнит 13'!N24</f>
        <v>1</v>
      </c>
      <c r="O24" s="89">
        <v>918</v>
      </c>
      <c r="P24" s="399">
        <v>1</v>
      </c>
      <c r="Q24" s="406">
        <f t="shared" si="14"/>
        <v>1</v>
      </c>
      <c r="R24" s="92">
        <f t="shared" si="15"/>
        <v>0.14285714285714285</v>
      </c>
      <c r="S24" s="89">
        <f>'Юнит 10'!S24+'Юнит 11'!S24+'Юнит 12'!S24+'Юнит 13'!S24</f>
        <v>1</v>
      </c>
      <c r="T24" s="89">
        <f>'Юнит 10'!T24+'Юнит 11'!T24+'Юнит 12'!T24+'Юнит 13'!T24</f>
        <v>0</v>
      </c>
      <c r="U24" s="92">
        <f t="shared" si="1"/>
        <v>1</v>
      </c>
      <c r="V24" s="89">
        <f>'Юнит 10'!V24+'Юнит 11'!V24+'Юнит 12'!V24+'Юнит 13'!V24</f>
        <v>579</v>
      </c>
      <c r="W24" s="89">
        <f>'Юнит 10'!W24+'Юнит 11'!W24+'Юнит 12'!W24+'Юнит 13'!W24</f>
        <v>0</v>
      </c>
      <c r="X24" s="92">
        <f t="shared" si="2"/>
        <v>579</v>
      </c>
      <c r="Y24" s="89">
        <f>'Юнит 10'!Y24+'Юнит 11'!Y24+'Юнит 12'!Y24+'Юнит 13'!Y24</f>
        <v>890.46</v>
      </c>
      <c r="Z24" s="89">
        <f>'Юнит 10'!Z24+'Юнит 11'!Z24+'Юнит 12'!Z24+'Юнит 13'!Z24</f>
        <v>0</v>
      </c>
      <c r="AA24" s="232">
        <f t="shared" si="16"/>
        <v>890.46</v>
      </c>
      <c r="AB24" s="92">
        <f t="shared" si="17"/>
        <v>9.18</v>
      </c>
      <c r="AC24" s="234">
        <f t="shared" si="3"/>
        <v>4.8908994594463625E-5</v>
      </c>
      <c r="AD24" s="92">
        <f t="shared" si="4"/>
        <v>117.24</v>
      </c>
      <c r="AE24" s="89">
        <f>'Юнит 10'!AE24+'Юнит 11'!AE24+'Юнит 12'!AE24+'Юнит 13'!AE24</f>
        <v>337.04000000000008</v>
      </c>
      <c r="AF24" s="234">
        <f t="shared" si="5"/>
        <v>0.37850099948341315</v>
      </c>
      <c r="AG24" s="89">
        <f>'Юнит 10'!AG24+'Юнит 11'!AG24+'Юнит 12'!AG24+'Юнит 13'!AG24</f>
        <v>57.11</v>
      </c>
      <c r="AH24" s="89">
        <f>'Юнит 10'!AH24+'Юнит 11'!AH24+'Юнит 12'!AH24+'Юнит 13'!AH24</f>
        <v>0</v>
      </c>
      <c r="AI24" s="89">
        <f>'Юнит 10'!AI24+'Юнит 11'!AI24+'Юнит 12'!AI24+'Юнит 13'!AI24</f>
        <v>0</v>
      </c>
      <c r="AJ24" s="89">
        <f>'Юнит 10'!AJ24+'Юнит 11'!AJ24+'Юнит 12'!AJ24+'Юнит 13'!AJ24</f>
        <v>0</v>
      </c>
      <c r="AK24" s="89">
        <f>'Юнит 10'!AK24+'Юнит 11'!AK24+'Юнит 12'!AK24+'Юнит 13'!AK24</f>
        <v>0</v>
      </c>
      <c r="AL24" s="89">
        <f>'Юнит 10'!AL24+'Юнит 11'!AL24+'Юнит 12'!AL24+'Юнит 13'!AL24</f>
        <v>0</v>
      </c>
      <c r="AM24" s="89">
        <f>'Юнит 10'!AM24+'Юнит 11'!AM24+'Юнит 12'!AM24+'Юнит 13'!AM24</f>
        <v>0</v>
      </c>
      <c r="AN24" s="325">
        <f t="shared" si="6"/>
        <v>32.315432305199849</v>
      </c>
      <c r="AO24" s="95">
        <f t="shared" si="19"/>
        <v>346.75456769480007</v>
      </c>
      <c r="AP24" s="96"/>
      <c r="AQ24" s="97">
        <f t="shared" si="7"/>
        <v>890.46</v>
      </c>
      <c r="AR24" s="98">
        <f t="shared" si="29"/>
        <v>117.24</v>
      </c>
      <c r="AS24" s="98">
        <f t="shared" si="9"/>
        <v>337.04000000000008</v>
      </c>
      <c r="AT24" s="98">
        <f t="shared" si="10"/>
        <v>57.11</v>
      </c>
      <c r="AU24" s="98">
        <f t="shared" si="18"/>
        <v>0</v>
      </c>
      <c r="AV24" s="98">
        <f t="array" ref="AV24">_xlfn.IFS(U24=0,AO24,U24&lt;0,AO24/-U24,U24&gt;0,AO24/U24)</f>
        <v>346.75456769480007</v>
      </c>
      <c r="AW24" s="234">
        <f t="shared" si="26"/>
        <v>0.38941060541158506</v>
      </c>
      <c r="AX24" s="234">
        <f t="shared" si="27"/>
        <v>2.9576472850119422</v>
      </c>
      <c r="AY24" s="99"/>
      <c r="AZ24" s="94">
        <f t="shared" si="13"/>
        <v>9709.1278954544014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4"/>
        <v>1</v>
      </c>
      <c r="F25" s="93">
        <f>'Юнит 13'!F25</f>
        <v>0</v>
      </c>
      <c r="G25" s="93">
        <f>'Юнит 13'!G25</f>
        <v>0</v>
      </c>
      <c r="H25" s="93">
        <f>'Юнит 13'!H25</f>
        <v>0</v>
      </c>
      <c r="I25" s="93">
        <f>'Юнит 13'!I25</f>
        <v>1</v>
      </c>
      <c r="J25" s="93">
        <f>'Юнит 13'!J25</f>
        <v>0</v>
      </c>
      <c r="K25" s="93">
        <v>117.24</v>
      </c>
      <c r="L25" s="92">
        <f t="shared" si="28"/>
        <v>117.24</v>
      </c>
      <c r="M25" s="89">
        <f>'Юнит 13'!M25</f>
        <v>1</v>
      </c>
      <c r="N25" s="89">
        <f>'Юнит 10'!N25+'Юнит 11'!N25+'Юнит 12'!N25+'Юнит 13'!N25</f>
        <v>0</v>
      </c>
      <c r="O25" s="89">
        <v>0</v>
      </c>
      <c r="P25" s="399">
        <v>0</v>
      </c>
      <c r="Q25" s="406"/>
      <c r="R25" s="92">
        <f t="shared" si="15"/>
        <v>0</v>
      </c>
      <c r="S25" s="89">
        <f>'Юнит 10'!S25+'Юнит 11'!S25+'Юнит 12'!S25+'Юнит 13'!S25</f>
        <v>0</v>
      </c>
      <c r="T25" s="89">
        <f>'Юнит 10'!T25+'Юнит 11'!T25+'Юнит 12'!T25+'Юнит 13'!T25</f>
        <v>0</v>
      </c>
      <c r="U25" s="92">
        <f t="shared" si="1"/>
        <v>0</v>
      </c>
      <c r="V25" s="89">
        <f>'Юнит 10'!V25+'Юнит 11'!V25+'Юнит 12'!V25+'Юнит 13'!V25</f>
        <v>0</v>
      </c>
      <c r="W25" s="89">
        <f>'Юнит 10'!W25+'Юнит 11'!W25+'Юнит 12'!W25+'Юнит 13'!W25</f>
        <v>0</v>
      </c>
      <c r="X25" s="92">
        <f t="shared" si="2"/>
        <v>0</v>
      </c>
      <c r="Y25" s="89">
        <f>'Юнит 10'!Y25+'Юнит 11'!Y25+'Юнит 12'!Y25+'Юнит 13'!Y25</f>
        <v>0</v>
      </c>
      <c r="Z25" s="89">
        <f>'Юнит 10'!Z25+'Юнит 11'!Z25+'Юнит 12'!Z25+'Юнит 13'!Z25</f>
        <v>0</v>
      </c>
      <c r="AA25" s="232">
        <f t="shared" si="16"/>
        <v>0</v>
      </c>
      <c r="AB25" s="92">
        <f t="shared" si="17"/>
        <v>0</v>
      </c>
      <c r="AC25" s="234">
        <f t="shared" si="3"/>
        <v>0</v>
      </c>
      <c r="AD25" s="92">
        <f t="shared" si="4"/>
        <v>0</v>
      </c>
      <c r="AE25" s="89">
        <f>'Юнит 10'!AE25+'Юнит 11'!AE25+'Юнит 12'!AE25+'Юнит 13'!AE25</f>
        <v>0</v>
      </c>
      <c r="AF25" s="234">
        <f t="shared" si="5"/>
        <v>0</v>
      </c>
      <c r="AG25" s="89">
        <f>'Юнит 10'!AG25+'Юнит 11'!AG25+'Юнит 12'!AG25+'Юнит 13'!AG25</f>
        <v>0</v>
      </c>
      <c r="AH25" s="89">
        <f>'Юнит 10'!AH25+'Юнит 11'!AH25+'Юнит 12'!AH25+'Юнит 13'!AH25</f>
        <v>0</v>
      </c>
      <c r="AI25" s="89">
        <f>'Юнит 10'!AI25+'Юнит 11'!AI25+'Юнит 12'!AI25+'Юнит 13'!AI25</f>
        <v>0</v>
      </c>
      <c r="AJ25" s="89">
        <f>'Юнит 10'!AJ25+'Юнит 11'!AJ25+'Юнит 12'!AJ25+'Юнит 13'!AJ25</f>
        <v>0</v>
      </c>
      <c r="AK25" s="89">
        <f>'Юнит 10'!AK25+'Юнит 11'!AK25+'Юнит 12'!AK25+'Юнит 13'!AK25</f>
        <v>0</v>
      </c>
      <c r="AL25" s="89">
        <f>'Юнит 10'!AL25+'Юнит 11'!AL25+'Юнит 12'!AL25+'Юнит 13'!AL25</f>
        <v>0</v>
      </c>
      <c r="AM25" s="89">
        <f>'Юнит 10'!AM25+'Юнит 11'!AM25+'Юнит 12'!AM25+'Юнит 13'!AM25</f>
        <v>0</v>
      </c>
      <c r="AN25" s="325">
        <f t="shared" si="6"/>
        <v>0</v>
      </c>
      <c r="AO25" s="95">
        <f t="shared" si="19"/>
        <v>0</v>
      </c>
      <c r="AP25" s="96"/>
      <c r="AQ25" s="97">
        <f t="shared" si="7"/>
        <v>0</v>
      </c>
      <c r="AR25" s="98">
        <f t="shared" si="29"/>
        <v>117.24</v>
      </c>
      <c r="AS25" s="98">
        <f t="shared" si="9"/>
        <v>0</v>
      </c>
      <c r="AT25" s="98">
        <f t="shared" si="10"/>
        <v>0</v>
      </c>
      <c r="AU25" s="98">
        <f t="shared" si="18"/>
        <v>0</v>
      </c>
      <c r="AV25" s="98">
        <f t="array" ref="AV25">_xlfn.IFS(U25=0,AO25,U25&lt;0,AO25/-U25,U25&gt;0,AO25/U25)</f>
        <v>0</v>
      </c>
      <c r="AW25" s="234">
        <f t="shared" si="26"/>
        <v>0</v>
      </c>
      <c r="AX25" s="234">
        <f t="shared" si="27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4"/>
        <v>783</v>
      </c>
      <c r="F26" s="93">
        <f>'Юнит 13'!F26</f>
        <v>40</v>
      </c>
      <c r="G26" s="93">
        <f>'Юнит 13'!G26</f>
        <v>25</v>
      </c>
      <c r="H26" s="93">
        <f>'Юнит 13'!H26</f>
        <v>330</v>
      </c>
      <c r="I26" s="93">
        <f>'Юнит 13'!I26</f>
        <v>376</v>
      </c>
      <c r="J26" s="93">
        <f>'Юнит 13'!J26</f>
        <v>12</v>
      </c>
      <c r="K26" s="93">
        <v>123.09</v>
      </c>
      <c r="L26" s="92">
        <f t="shared" si="28"/>
        <v>96379.47</v>
      </c>
      <c r="M26" s="89">
        <f>'Юнит 13'!M26</f>
        <v>87</v>
      </c>
      <c r="N26" s="89">
        <f>'Юнит 10'!N26+'Юнит 11'!N26+'Юнит 12'!N26+'Юнит 13'!N26</f>
        <v>442</v>
      </c>
      <c r="O26" s="89">
        <v>1051</v>
      </c>
      <c r="P26" s="399">
        <v>0.27</v>
      </c>
      <c r="Q26" s="406">
        <f t="shared" si="14"/>
        <v>0.32126696832579188</v>
      </c>
      <c r="R26" s="92">
        <f t="shared" si="15"/>
        <v>20.285714285714285</v>
      </c>
      <c r="S26" s="89">
        <f>'Юнит 10'!S26+'Юнит 11'!S26+'Юнит 12'!S26+'Юнит 13'!S26</f>
        <v>149</v>
      </c>
      <c r="T26" s="89">
        <f>'Юнит 10'!T26+'Юнит 11'!T26+'Юнит 12'!T26+'Юнит 13'!T26</f>
        <v>-7</v>
      </c>
      <c r="U26" s="92">
        <f t="shared" si="1"/>
        <v>142</v>
      </c>
      <c r="V26" s="89">
        <f>'Юнит 10'!V26+'Юнит 11'!V26+'Юнит 12'!V26+'Юнит 13'!V26</f>
        <v>91114.51</v>
      </c>
      <c r="W26" s="89">
        <f>'Юнит 10'!W26+'Юнит 11'!W26+'Юнит 12'!W26+'Юнит 13'!W26</f>
        <v>-4254</v>
      </c>
      <c r="X26" s="92">
        <f t="shared" si="2"/>
        <v>86860.51</v>
      </c>
      <c r="Y26" s="89">
        <f>'Юнит 10'!Y26+'Юнит 11'!Y26+'Юнит 12'!Y26+'Юнит 13'!Y26</f>
        <v>137981.15000000002</v>
      </c>
      <c r="Z26" s="89">
        <f>'Юнит 10'!Z26+'Юнит 11'!Z26+'Юнит 12'!Z26+'Юнит 13'!Z26</f>
        <v>-6508.62</v>
      </c>
      <c r="AA26" s="232">
        <f t="shared" si="16"/>
        <v>131472.53000000003</v>
      </c>
      <c r="AB26" s="92">
        <f t="shared" si="17"/>
        <v>1254.2634</v>
      </c>
      <c r="AC26" s="234">
        <f t="shared" si="3"/>
        <v>7.221199446455156E-3</v>
      </c>
      <c r="AD26" s="92">
        <f t="shared" si="4"/>
        <v>17478.78</v>
      </c>
      <c r="AE26" s="89">
        <f>'Юнит 10'!AE26+'Юнит 11'!AE26+'Юнит 12'!AE26+'Юнит 13'!AE26</f>
        <v>49640.020000000019</v>
      </c>
      <c r="AF26" s="234">
        <f t="shared" si="5"/>
        <v>0.37756951965555091</v>
      </c>
      <c r="AG26" s="89">
        <f>'Юнит 10'!AG26+'Юнит 11'!AG26+'Юнит 12'!AG26+'Юнит 13'!AG26</f>
        <v>46584.229999999938</v>
      </c>
      <c r="AH26" s="89">
        <f>'Юнит 10'!AH26+'Юнит 11'!AH26+'Юнит 12'!AH26+'Юнит 13'!AH26</f>
        <v>9245</v>
      </c>
      <c r="AI26" s="89">
        <f>'Юнит 10'!AI26+'Юнит 11'!AI26+'Юнит 12'!AI26+'Юнит 13'!AI26</f>
        <v>20869</v>
      </c>
      <c r="AJ26" s="89">
        <f>'Юнит 10'!AJ26+'Юнит 11'!AJ26+'Юнит 12'!AJ26+'Юнит 13'!AJ26</f>
        <v>0</v>
      </c>
      <c r="AK26" s="89">
        <f>'Юнит 10'!AK26+'Юнит 11'!AK26+'Юнит 12'!AK26+'Юнит 13'!AK26</f>
        <v>0</v>
      </c>
      <c r="AL26" s="89">
        <f>'Юнит 10'!AL26+'Юнит 11'!AL26+'Юнит 12'!AL26+'Юнит 13'!AL26</f>
        <v>1101.8940122091126</v>
      </c>
      <c r="AM26" s="89">
        <f>'Юнит 10'!AM26+'Юнит 11'!AM26+'Юнит 12'!AM26+'Юнит 13'!AM26</f>
        <v>0</v>
      </c>
      <c r="AN26" s="325">
        <f t="shared" si="6"/>
        <v>4847.9014350606813</v>
      </c>
      <c r="AO26" s="95">
        <f t="shared" si="19"/>
        <v>-18294.29544726972</v>
      </c>
      <c r="AP26" s="96"/>
      <c r="AQ26" s="97">
        <f t="shared" si="7"/>
        <v>925.86288732394382</v>
      </c>
      <c r="AR26" s="98">
        <f t="shared" si="29"/>
        <v>123.09</v>
      </c>
      <c r="AS26" s="98">
        <f t="shared" si="9"/>
        <v>349.57760563380293</v>
      </c>
      <c r="AT26" s="98">
        <f t="shared" si="10"/>
        <v>312.64583892617406</v>
      </c>
      <c r="AU26" s="98">
        <f t="shared" si="18"/>
        <v>202.10738255033556</v>
      </c>
      <c r="AV26" s="98">
        <f t="array" ref="AV26">_xlfn.IFS(U26=0,AO26,U26&lt;0,AO26/-U26,U26&gt;0,AO26/U26)</f>
        <v>-128.83306653006846</v>
      </c>
      <c r="AW26" s="234">
        <f t="shared" si="26"/>
        <v>-0.13914918536419524</v>
      </c>
      <c r="AX26" s="234">
        <f t="shared" si="27"/>
        <v>-1.0466574582018724</v>
      </c>
      <c r="AY26" s="99"/>
      <c r="AZ26" s="94">
        <f t="shared" si="13"/>
        <v>-100876.2910930436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4"/>
        <v>708</v>
      </c>
      <c r="F27" s="93">
        <f>'Юнит 13'!F27</f>
        <v>7</v>
      </c>
      <c r="G27" s="93">
        <f>'Юнит 13'!G27</f>
        <v>2</v>
      </c>
      <c r="H27" s="93">
        <f>'Юнит 13'!H27</f>
        <v>1</v>
      </c>
      <c r="I27" s="93">
        <f>'Юнит 13'!I27</f>
        <v>320</v>
      </c>
      <c r="J27" s="93">
        <f>'Юнит 13'!J27</f>
        <v>378</v>
      </c>
      <c r="K27" s="93">
        <v>181.59</v>
      </c>
      <c r="L27" s="92">
        <f t="shared" si="28"/>
        <v>128565.72</v>
      </c>
      <c r="M27" s="89">
        <f>'Юнит 13'!M27</f>
        <v>11</v>
      </c>
      <c r="N27" s="89">
        <f>'Юнит 10'!N27+'Юнит 11'!N27+'Юнит 12'!N27+'Юнит 13'!N27</f>
        <v>62</v>
      </c>
      <c r="O27" s="89">
        <v>478</v>
      </c>
      <c r="P27" s="399">
        <v>0.56000000000000005</v>
      </c>
      <c r="Q27" s="406">
        <f t="shared" si="14"/>
        <v>0.62903225806451613</v>
      </c>
      <c r="R27" s="92">
        <f t="shared" si="15"/>
        <v>5.5714285714285712</v>
      </c>
      <c r="S27" s="89">
        <f>'Юнит 10'!S27+'Юнит 11'!S27+'Юнит 12'!S27+'Юнит 13'!S27</f>
        <v>39</v>
      </c>
      <c r="T27" s="89">
        <f>'Юнит 10'!T27+'Юнит 11'!T27+'Юнит 12'!T27+'Юнит 13'!T27</f>
        <v>0</v>
      </c>
      <c r="U27" s="92">
        <f t="shared" si="1"/>
        <v>39</v>
      </c>
      <c r="V27" s="89">
        <f>'Юнит 10'!V27+'Юнит 11'!V27+'Юнит 12'!V27+'Юнит 13'!V27</f>
        <v>11496.56</v>
      </c>
      <c r="W27" s="89">
        <f>'Юнит 10'!W27+'Юнит 11'!W27+'Юнит 12'!W27+'Юнит 13'!W27</f>
        <v>0</v>
      </c>
      <c r="X27" s="92">
        <f t="shared" si="2"/>
        <v>11496.56</v>
      </c>
      <c r="Y27" s="89">
        <f>'Юнит 10'!Y27+'Юнит 11'!Y27+'Юнит 12'!Y27+'Юнит 13'!Y27</f>
        <v>18644.18</v>
      </c>
      <c r="Z27" s="89">
        <f>'Юнит 10'!Z27+'Юнит 11'!Z27+'Юнит 12'!Z27+'Юнит 13'!Z27</f>
        <v>0</v>
      </c>
      <c r="AA27" s="232">
        <f t="shared" si="16"/>
        <v>18644.18</v>
      </c>
      <c r="AB27" s="92">
        <f t="shared" si="17"/>
        <v>165.9616</v>
      </c>
      <c r="AC27" s="234">
        <f t="shared" si="3"/>
        <v>1.0240416176338148E-3</v>
      </c>
      <c r="AD27" s="92">
        <f t="shared" si="4"/>
        <v>7082.01</v>
      </c>
      <c r="AE27" s="89">
        <f>'Юнит 10'!AE27+'Юнит 11'!AE27+'Юнит 12'!AE27+'Юнит 13'!AE27</f>
        <v>7005.18</v>
      </c>
      <c r="AF27" s="234">
        <f t="shared" si="5"/>
        <v>0.37573012060600147</v>
      </c>
      <c r="AG27" s="89">
        <f>'Юнит 10'!AG27+'Юнит 11'!AG27+'Юнит 12'!AG27+'Юнит 13'!AG27</f>
        <v>4714.26</v>
      </c>
      <c r="AH27" s="89">
        <f>'Юнит 10'!AH27+'Юнит 11'!AH27+'Юнит 12'!AH27+'Юнит 13'!AH27</f>
        <v>0</v>
      </c>
      <c r="AI27" s="89">
        <f>'Юнит 10'!AI27+'Юнит 11'!AI27+'Юнит 12'!AI27+'Юнит 13'!AI27</f>
        <v>0</v>
      </c>
      <c r="AJ27" s="89">
        <f>'Юнит 10'!AJ27+'Юнит 11'!AJ27+'Юнит 12'!AJ27+'Юнит 13'!AJ27</f>
        <v>0</v>
      </c>
      <c r="AK27" s="89">
        <f>'Юнит 10'!AK27+'Юнит 11'!AK27+'Юнит 12'!AK27+'Юнит 13'!AK27</f>
        <v>0</v>
      </c>
      <c r="AL27" s="89">
        <f>'Юнит 10'!AL27+'Юнит 11'!AL27+'Юнит 12'!AL27+'Юнит 13'!AL27</f>
        <v>19.990115464050831</v>
      </c>
      <c r="AM27" s="89">
        <f>'Юнит 10'!AM27+'Юнит 11'!AM27+'Юнит 12'!AM27+'Юнит 13'!AM27</f>
        <v>0</v>
      </c>
      <c r="AN27" s="325">
        <f t="shared" si="6"/>
        <v>641.65165185262242</v>
      </c>
      <c r="AO27" s="95">
        <f t="shared" si="19"/>
        <v>-818.91176731667372</v>
      </c>
      <c r="AP27" s="96"/>
      <c r="AQ27" s="97">
        <f t="shared" si="7"/>
        <v>478.05589743589746</v>
      </c>
      <c r="AR27" s="98">
        <f t="shared" si="29"/>
        <v>181.59</v>
      </c>
      <c r="AS27" s="98">
        <f t="shared" si="9"/>
        <v>179.62</v>
      </c>
      <c r="AT27" s="98">
        <f t="shared" si="10"/>
        <v>120.87846153846155</v>
      </c>
      <c r="AU27" s="98">
        <f t="shared" si="18"/>
        <v>0</v>
      </c>
      <c r="AV27" s="98">
        <f t="array" ref="AV27">_xlfn.IFS(U27=0,AO27,U27&lt;0,AO27/-U27,U27&gt;0,AO27/U27)</f>
        <v>-20.997737623504456</v>
      </c>
      <c r="AW27" s="234">
        <f t="shared" si="26"/>
        <v>-4.3923185000180956E-2</v>
      </c>
      <c r="AX27" s="234">
        <f t="shared" si="27"/>
        <v>-0.11563267593757616</v>
      </c>
      <c r="AY27" s="99"/>
      <c r="AZ27" s="94">
        <f t="shared" si="13"/>
        <v>-14866.398237441155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0">SUM(F28:J28)</f>
        <v>1026</v>
      </c>
      <c r="F28" s="93">
        <f>'Юнит 13'!F28</f>
        <v>186</v>
      </c>
      <c r="G28" s="93">
        <f>'Юнит 13'!G28</f>
        <v>80</v>
      </c>
      <c r="H28" s="93">
        <f>'Юнит 13'!H28</f>
        <v>618</v>
      </c>
      <c r="I28" s="93">
        <f>'Юнит 13'!I28</f>
        <v>0</v>
      </c>
      <c r="J28" s="93">
        <f>'Юнит 13'!J28</f>
        <v>142</v>
      </c>
      <c r="K28" s="93">
        <v>133.62</v>
      </c>
      <c r="L28" s="92">
        <f t="shared" si="28"/>
        <v>137094.12</v>
      </c>
      <c r="M28" s="89">
        <f>'Юнит 13'!M28</f>
        <v>19</v>
      </c>
      <c r="N28" s="89">
        <f>'Юнит 10'!N28+'Юнит 11'!N28+'Юнит 12'!N28+'Юнит 13'!N28</f>
        <v>1545</v>
      </c>
      <c r="O28" s="89">
        <v>1531</v>
      </c>
      <c r="P28" s="399">
        <v>0.36</v>
      </c>
      <c r="Q28" s="406">
        <f t="shared" si="14"/>
        <v>0.35792880258899679</v>
      </c>
      <c r="R28" s="92">
        <f t="shared" si="15"/>
        <v>79</v>
      </c>
      <c r="S28" s="89">
        <f>'Юнит 10'!S28+'Юнит 11'!S28+'Юнит 12'!S28+'Юнит 13'!S28</f>
        <v>582</v>
      </c>
      <c r="T28" s="89">
        <f>'Юнит 10'!T28+'Юнит 11'!T28+'Юнит 12'!T28+'Юнит 13'!T28</f>
        <v>-29</v>
      </c>
      <c r="U28" s="92">
        <f t="shared" si="1"/>
        <v>553</v>
      </c>
      <c r="V28" s="89">
        <f>'Юнит 10'!V28+'Юнит 11'!V28+'Юнит 12'!V28+'Юнит 13'!V28</f>
        <v>564723.57999999996</v>
      </c>
      <c r="W28" s="89">
        <f>'Юнит 10'!W28+'Юнит 11'!W28+'Юнит 12'!W28+'Юнит 13'!W28</f>
        <v>-27337.46</v>
      </c>
      <c r="X28" s="92">
        <f t="shared" si="2"/>
        <v>537386.12</v>
      </c>
      <c r="Y28" s="89">
        <f>'Юнит 10'!Y28+'Юнит 11'!Y28+'Юнит 12'!Y28+'Юнит 13'!Y28</f>
        <v>855641.41999999981</v>
      </c>
      <c r="Z28" s="89">
        <f>'Юнит 10'!Z28+'Юнит 11'!Z28+'Юнит 12'!Z28+'Юнит 13'!Z28</f>
        <v>-41878.449999999997</v>
      </c>
      <c r="AA28" s="232">
        <f t="shared" si="16"/>
        <v>813762.96999999986</v>
      </c>
      <c r="AB28" s="92">
        <f t="shared" si="17"/>
        <v>8515.4219999999987</v>
      </c>
      <c r="AC28" s="234">
        <f t="shared" si="3"/>
        <v>4.4696368956387324E-2</v>
      </c>
      <c r="AD28" s="92">
        <f t="shared" si="4"/>
        <v>73891.86</v>
      </c>
      <c r="AE28" s="89">
        <f>'Юнит 10'!AE28+'Юнит 11'!AE28+'Юнит 12'!AE28+'Юнит 13'!AE28</f>
        <v>305769.06999999995</v>
      </c>
      <c r="AF28" s="234">
        <f t="shared" si="5"/>
        <v>0.37574709254710864</v>
      </c>
      <c r="AG28" s="89">
        <f>'Юнит 10'!AG28+'Юнит 11'!AG28+'Юнит 12'!AG28+'Юнит 13'!AG28</f>
        <v>138238.35000000018</v>
      </c>
      <c r="AH28" s="89">
        <f>'Юнит 10'!AH28+'Юнит 11'!AH28+'Юнит 12'!AH28+'Юнит 13'!AH28</f>
        <v>20000</v>
      </c>
      <c r="AI28" s="89">
        <f>'Юнит 10'!AI28+'Юнит 11'!AI28+'Юнит 12'!AI28+'Юнит 13'!AI28</f>
        <v>54188</v>
      </c>
      <c r="AJ28" s="89">
        <f>'Юнит 10'!AJ28+'Юнит 11'!AJ28+'Юнит 12'!AJ28+'Юнит 13'!AJ28</f>
        <v>0</v>
      </c>
      <c r="AK28" s="89">
        <f>'Юнит 10'!AK28+'Юнит 11'!AK28+'Юнит 12'!AK28+'Юнит 13'!AK28</f>
        <v>0</v>
      </c>
      <c r="AL28" s="89">
        <f>'Юнит 10'!AL28+'Юнит 11'!AL28+'Юнит 12'!AL28+'Юнит 13'!AL28</f>
        <v>1590.5538467191045</v>
      </c>
      <c r="AM28" s="89">
        <f>'Юнит 10'!AM28+'Юнит 11'!AM28+'Юнит 12'!AM28+'Юнит 13'!AM28</f>
        <v>420</v>
      </c>
      <c r="AN28" s="325">
        <f t="shared" si="6"/>
        <v>29992.858001060456</v>
      </c>
      <c r="AO28" s="95">
        <f t="shared" si="19"/>
        <v>189672.27815222015</v>
      </c>
      <c r="AP28" s="96"/>
      <c r="AQ28" s="97">
        <f t="shared" si="7"/>
        <v>1471.5424412296561</v>
      </c>
      <c r="AR28" s="98">
        <f t="shared" si="29"/>
        <v>133.62</v>
      </c>
      <c r="AS28" s="98">
        <f t="shared" si="9"/>
        <v>552.92779385171787</v>
      </c>
      <c r="AT28" s="98">
        <f t="shared" si="10"/>
        <v>237.5229381443302</v>
      </c>
      <c r="AU28" s="98">
        <f t="shared" si="18"/>
        <v>127.47079037800687</v>
      </c>
      <c r="AV28" s="98">
        <f>_xlfn.IFS(U28=0,AO28,U28&lt;0,AO28/-U28,U28&gt;0,AO28/U28)</f>
        <v>342.9878447598918</v>
      </c>
      <c r="AW28" s="234">
        <f t="shared" si="26"/>
        <v>0.2330804978164836</v>
      </c>
      <c r="AX28" s="234">
        <f t="shared" si="27"/>
        <v>2.5668900221515627</v>
      </c>
      <c r="AY28" s="99"/>
      <c r="AZ28" s="94">
        <f t="shared" si="13"/>
        <v>351905.52872364898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f>'Юнит 13'!F29</f>
        <v>0</v>
      </c>
      <c r="G29" s="93">
        <f>'Юнит 13'!G29</f>
        <v>0</v>
      </c>
      <c r="H29" s="93">
        <f>'Юнит 13'!H29</f>
        <v>0</v>
      </c>
      <c r="I29" s="93">
        <f>'Юнит 13'!I29</f>
        <v>640</v>
      </c>
      <c r="J29" s="93">
        <f>'Юнит 13'!J29</f>
        <v>357</v>
      </c>
      <c r="K29" s="93">
        <v>111.39</v>
      </c>
      <c r="L29" s="92">
        <f>E29*K29</f>
        <v>111055.83</v>
      </c>
      <c r="M29" s="89">
        <f>'Юнит 13'!M29</f>
        <v>1</v>
      </c>
      <c r="N29" s="89">
        <f>'Юнит 10'!N29+'Юнит 11'!N29+'Юнит 12'!N29+'Юнит 13'!N29</f>
        <v>0</v>
      </c>
      <c r="O29" s="89">
        <v>0</v>
      </c>
      <c r="P29" s="399">
        <v>0</v>
      </c>
      <c r="Q29" s="406"/>
      <c r="R29" s="92">
        <f t="shared" si="15"/>
        <v>0</v>
      </c>
      <c r="S29" s="89">
        <f>'Юнит 10'!S29+'Юнит 11'!S29+'Юнит 12'!S29+'Юнит 13'!S29</f>
        <v>0</v>
      </c>
      <c r="T29" s="89">
        <f>'Юнит 10'!T29+'Юнит 11'!T29+'Юнит 12'!T29+'Юнит 13'!T29</f>
        <v>0</v>
      </c>
      <c r="U29" s="92">
        <f t="shared" si="1"/>
        <v>0</v>
      </c>
      <c r="V29" s="89">
        <f>'Юнит 10'!V29+'Юнит 11'!V29+'Юнит 12'!V29+'Юнит 13'!V29</f>
        <v>0</v>
      </c>
      <c r="W29" s="89">
        <f>'Юнит 10'!W29+'Юнит 11'!W29+'Юнит 12'!W29+'Юнит 13'!W29</f>
        <v>0</v>
      </c>
      <c r="X29" s="92">
        <f t="shared" si="2"/>
        <v>0</v>
      </c>
      <c r="Y29" s="89">
        <f>'Юнит 10'!Y29+'Юнит 11'!Y29+'Юнит 12'!Y29+'Юнит 13'!Y29</f>
        <v>0</v>
      </c>
      <c r="Z29" s="89">
        <f>'Юнит 10'!Z29+'Юнит 11'!Z29+'Юнит 12'!Z29+'Юнит 13'!Z29</f>
        <v>0</v>
      </c>
      <c r="AA29" s="232">
        <f t="shared" si="16"/>
        <v>0</v>
      </c>
      <c r="AB29" s="92">
        <f t="shared" si="17"/>
        <v>0</v>
      </c>
      <c r="AC29" s="234">
        <f t="shared" si="3"/>
        <v>0</v>
      </c>
      <c r="AD29" s="92">
        <f t="shared" si="4"/>
        <v>0</v>
      </c>
      <c r="AE29" s="89">
        <f>'Юнит 10'!AE29+'Юнит 11'!AE29+'Юнит 12'!AE29+'Юнит 13'!AE29</f>
        <v>0</v>
      </c>
      <c r="AF29" s="234">
        <f t="shared" si="5"/>
        <v>0</v>
      </c>
      <c r="AG29" s="89">
        <f>'Юнит 10'!AG29+'Юнит 11'!AG29+'Юнит 12'!AG29+'Юнит 13'!AG29</f>
        <v>0</v>
      </c>
      <c r="AH29" s="89">
        <f>'Юнит 10'!AH29+'Юнит 11'!AH29+'Юнит 12'!AH29+'Юнит 13'!AH29</f>
        <v>0</v>
      </c>
      <c r="AI29" s="89">
        <f>'Юнит 10'!AI29+'Юнит 11'!AI29+'Юнит 12'!AI29+'Юнит 13'!AI29</f>
        <v>0</v>
      </c>
      <c r="AJ29" s="89">
        <f>'Юнит 10'!AJ29+'Юнит 11'!AJ29+'Юнит 12'!AJ29+'Юнит 13'!AJ29</f>
        <v>0</v>
      </c>
      <c r="AK29" s="89">
        <f>'Юнит 10'!AK29+'Юнит 11'!AK29+'Юнит 12'!AK29+'Юнит 13'!AK29</f>
        <v>0</v>
      </c>
      <c r="AL29" s="89">
        <f>'Юнит 10'!AL29+'Юнит 11'!AL29+'Юнит 12'!AL29+'Юнит 13'!AL29</f>
        <v>0</v>
      </c>
      <c r="AM29" s="89">
        <f>'Юнит 10'!AM29+'Юнит 11'!AM29+'Юнит 12'!AM29+'Юнит 13'!AM29</f>
        <v>0</v>
      </c>
      <c r="AN29" s="325">
        <f t="shared" si="6"/>
        <v>0</v>
      </c>
      <c r="AO29" s="95">
        <f t="shared" si="19"/>
        <v>0</v>
      </c>
      <c r="AP29" s="96"/>
      <c r="AQ29" s="97">
        <f t="shared" si="7"/>
        <v>0</v>
      </c>
      <c r="AR29" s="98">
        <f t="shared" si="29"/>
        <v>111.39</v>
      </c>
      <c r="AS29" s="98">
        <f t="shared" si="9"/>
        <v>0</v>
      </c>
      <c r="AT29" s="98">
        <f t="shared" si="10"/>
        <v>0</v>
      </c>
      <c r="AU29" s="98">
        <f t="shared" si="18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f>'Юнит 13'!F30</f>
        <v>0</v>
      </c>
      <c r="G30" s="93">
        <f>'Юнит 13'!G30</f>
        <v>0</v>
      </c>
      <c r="H30" s="93">
        <f>'Юнит 13'!H30</f>
        <v>0</v>
      </c>
      <c r="I30" s="93">
        <f>'Юнит 13'!I30</f>
        <v>0</v>
      </c>
      <c r="J30" s="93">
        <f>'Юнит 13'!J30</f>
        <v>61</v>
      </c>
      <c r="K30" s="93">
        <v>111.39</v>
      </c>
      <c r="L30" s="92">
        <f>E30*K30</f>
        <v>6794.79</v>
      </c>
      <c r="M30" s="89">
        <f>'Юнит 13'!M30</f>
        <v>999</v>
      </c>
      <c r="N30" s="89">
        <f>'Юнит 10'!N30+'Юнит 11'!N30+'Юнит 12'!N30+'Юнит 13'!N30</f>
        <v>1</v>
      </c>
      <c r="O30" s="89">
        <v>558</v>
      </c>
      <c r="P30" s="399">
        <v>1</v>
      </c>
      <c r="Q30" s="406">
        <f t="shared" si="14"/>
        <v>1</v>
      </c>
      <c r="R30" s="92">
        <f t="shared" si="15"/>
        <v>0.14285714285714285</v>
      </c>
      <c r="S30" s="89">
        <f>'Юнит 10'!S30+'Юнит 11'!S30+'Юнит 12'!S30+'Юнит 13'!S30</f>
        <v>1</v>
      </c>
      <c r="T30" s="89">
        <f>'Юнит 10'!T30+'Юнит 11'!T30+'Юнит 12'!T30+'Юнит 13'!T30</f>
        <v>0</v>
      </c>
      <c r="U30" s="92">
        <f t="shared" si="1"/>
        <v>1</v>
      </c>
      <c r="V30" s="89">
        <f>'Юнит 10'!V30+'Юнит 11'!V30+'Юнит 12'!V30+'Юнит 13'!V30</f>
        <v>361</v>
      </c>
      <c r="W30" s="89">
        <f>'Юнит 10'!W30+'Юнит 11'!W30+'Юнит 12'!W30+'Юнит 13'!W30</f>
        <v>0</v>
      </c>
      <c r="X30" s="92">
        <f t="shared" si="2"/>
        <v>361</v>
      </c>
      <c r="Y30" s="89">
        <f>'Юнит 10'!Y30+'Юнит 11'!Y30+'Юнит 12'!Y30+'Юнит 13'!Y30</f>
        <v>558</v>
      </c>
      <c r="Z30" s="89">
        <f>'Юнит 10'!Z30+'Юнит 11'!Z30+'Юнит 12'!Z30+'Юнит 13'!Z30</f>
        <v>0</v>
      </c>
      <c r="AA30" s="232">
        <f t="shared" si="16"/>
        <v>558</v>
      </c>
      <c r="AB30" s="92">
        <f t="shared" si="17"/>
        <v>5.58</v>
      </c>
      <c r="AC30" s="234">
        <f t="shared" si="3"/>
        <v>3.0648450220909086E-5</v>
      </c>
      <c r="AD30" s="92">
        <f t="shared" si="4"/>
        <v>111.39</v>
      </c>
      <c r="AE30" s="89">
        <f>'Юнит 10'!AE30+'Юнит 11'!AE30+'Юнит 12'!AE30+'Юнит 13'!AE30</f>
        <v>211.14</v>
      </c>
      <c r="AF30" s="234">
        <f t="shared" si="5"/>
        <v>0.37838709677419352</v>
      </c>
      <c r="AG30" s="89">
        <f>'Юнит 10'!AG30+'Юнит 11'!AG30+'Юнит 12'!AG30+'Юнит 13'!AG30</f>
        <v>159.44</v>
      </c>
      <c r="AH30" s="89">
        <f>'Юнит 10'!AH30+'Юнит 11'!AH30+'Юнит 12'!AH30+'Юнит 13'!AH30</f>
        <v>0</v>
      </c>
      <c r="AI30" s="89">
        <f>'Юнит 10'!AI30+'Юнит 11'!AI30+'Юнит 12'!AI30+'Юнит 13'!AI30</f>
        <v>1</v>
      </c>
      <c r="AJ30" s="89">
        <f>'Юнит 10'!AJ30+'Юнит 11'!AJ30+'Юнит 12'!AJ30+'Юнит 13'!AJ30</f>
        <v>46</v>
      </c>
      <c r="AK30" s="89">
        <f>'Юнит 10'!AK30+'Юнит 11'!AK30+'Юнит 12'!AK30+'Юнит 13'!AK30</f>
        <v>0</v>
      </c>
      <c r="AL30" s="89">
        <f>'Юнит 10'!AL30+'Юнит 11'!AL30+'Юнит 12'!AL30+'Юнит 13'!AL30</f>
        <v>1.0034150733087541</v>
      </c>
      <c r="AM30" s="89">
        <f>'Юнит 10'!AM30+'Юнит 11'!AM30+'Юнит 12'!AM30+'Юнит 13'!AM30</f>
        <v>0</v>
      </c>
      <c r="AN30" s="325">
        <f t="shared" si="6"/>
        <v>20.148309261100422</v>
      </c>
      <c r="AO30" s="95">
        <f t="shared" si="19"/>
        <v>53.878275665590849</v>
      </c>
      <c r="AP30" s="96"/>
      <c r="AQ30" s="97">
        <f t="shared" si="7"/>
        <v>558</v>
      </c>
      <c r="AR30" s="98">
        <f t="shared" si="29"/>
        <v>111.39</v>
      </c>
      <c r="AS30" s="98">
        <f t="shared" si="9"/>
        <v>211.14</v>
      </c>
      <c r="AT30" s="98">
        <f t="shared" si="10"/>
        <v>159.44</v>
      </c>
      <c r="AU30" s="98">
        <f t="shared" si="18"/>
        <v>47</v>
      </c>
      <c r="AV30" s="98">
        <f t="array" ref="AV30">_xlfn.IFS(U30=0,AO30,U30&lt;0,AO30/-U30,U30&gt;0,AO30/U30)</f>
        <v>53.878275665590849</v>
      </c>
      <c r="AW30" s="234">
        <f>IF(AQ30=0,0,AV30/AQ30)</f>
        <v>9.6556049579911915E-2</v>
      </c>
      <c r="AX30" s="234">
        <f>IF(AR30=0,0,AV30/AR30)</f>
        <v>0.48369041804103463</v>
      </c>
      <c r="AY30" s="99"/>
      <c r="AZ30" s="94">
        <f t="shared" si="13"/>
        <v>3286.5748156010418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f>'Юнит 13'!F31</f>
        <v>0</v>
      </c>
      <c r="G31" s="93">
        <f>'Юнит 13'!G31</f>
        <v>0</v>
      </c>
      <c r="H31" s="93">
        <f>'Юнит 13'!H31</f>
        <v>0</v>
      </c>
      <c r="I31" s="93">
        <f>'Юнит 13'!I31</f>
        <v>0</v>
      </c>
      <c r="J31" s="93">
        <f>'Юнит 13'!J31</f>
        <v>0</v>
      </c>
      <c r="K31" s="93">
        <v>105.54</v>
      </c>
      <c r="L31" s="92">
        <f>E31*K31</f>
        <v>0</v>
      </c>
      <c r="M31" s="89">
        <f>'Юнит 13'!M31</f>
        <v>999</v>
      </c>
      <c r="N31" s="89">
        <f>'Юнит 10'!N31+'Юнит 11'!N31+'Юнит 12'!N31+'Юнит 13'!N31</f>
        <v>0</v>
      </c>
      <c r="O31" s="89">
        <v>0</v>
      </c>
      <c r="P31" s="399">
        <v>0</v>
      </c>
      <c r="Q31" s="406"/>
      <c r="R31" s="92">
        <f t="shared" si="15"/>
        <v>0.14285714285714285</v>
      </c>
      <c r="S31" s="89">
        <f>'Юнит 10'!S31+'Юнит 11'!S31+'Юнит 12'!S31+'Юнит 13'!S31</f>
        <v>1</v>
      </c>
      <c r="T31" s="89">
        <f>'Юнит 10'!T31+'Юнит 11'!T31+'Юнит 12'!T31+'Юнит 13'!T31</f>
        <v>0</v>
      </c>
      <c r="U31" s="92">
        <f t="shared" si="1"/>
        <v>1</v>
      </c>
      <c r="V31" s="89">
        <f>'Юнит 10'!V31+'Юнит 11'!V31+'Юнит 12'!V31+'Юнит 13'!V31</f>
        <v>264</v>
      </c>
      <c r="W31" s="89">
        <f>'Юнит 10'!W31+'Юнит 11'!W31+'Юнит 12'!W31+'Юнит 13'!W31</f>
        <v>0</v>
      </c>
      <c r="X31" s="92">
        <f t="shared" si="2"/>
        <v>264</v>
      </c>
      <c r="Y31" s="89">
        <f>'Юнит 10'!Y31+'Юнит 11'!Y31+'Юнит 12'!Y31+'Юнит 13'!Y31</f>
        <v>499</v>
      </c>
      <c r="Z31" s="89">
        <f>'Юнит 10'!Z31+'Юнит 11'!Z31+'Юнит 12'!Z31+'Юнит 13'!Z31</f>
        <v>0</v>
      </c>
      <c r="AA31" s="232">
        <f t="shared" si="16"/>
        <v>499</v>
      </c>
      <c r="AB31" s="92">
        <f t="shared" si="17"/>
        <v>0</v>
      </c>
      <c r="AC31" s="234">
        <f t="shared" si="3"/>
        <v>2.7407843477121204E-5</v>
      </c>
      <c r="AD31" s="92">
        <f t="shared" si="4"/>
        <v>105.54</v>
      </c>
      <c r="AE31" s="89">
        <f>'Юнит 10'!AE31+'Юнит 11'!AE31+'Юнит 12'!AE31+'Юнит 13'!AE31</f>
        <v>184.47000000000003</v>
      </c>
      <c r="AF31" s="234">
        <f t="shared" si="5"/>
        <v>0.3696793587174349</v>
      </c>
      <c r="AG31" s="89">
        <f>'Юнит 10'!AG31+'Юнит 11'!AG31+'Юнит 12'!AG31+'Юнит 13'!AG31</f>
        <v>29.29</v>
      </c>
      <c r="AH31" s="89">
        <f>'Юнит 10'!AH31+'Юнит 11'!AH31+'Юнит 12'!AH31+'Юнит 13'!AH31</f>
        <v>0</v>
      </c>
      <c r="AI31" s="89">
        <f>'Юнит 10'!AI31+'Юнит 11'!AI31+'Юнит 12'!AI31+'Юнит 13'!AI31</f>
        <v>0</v>
      </c>
      <c r="AJ31" s="89">
        <f>'Юнит 10'!AJ31+'Юнит 11'!AJ31+'Юнит 12'!AJ31+'Юнит 13'!AJ31</f>
        <v>0</v>
      </c>
      <c r="AK31" s="89">
        <f>'Юнит 10'!AK31+'Юнит 11'!AK31+'Юнит 12'!AK31+'Юнит 13'!AK31</f>
        <v>0</v>
      </c>
      <c r="AL31" s="89">
        <f>'Юнит 10'!AL31+'Юнит 11'!AL31+'Юнит 12'!AL31+'Юнит 13'!AL31</f>
        <v>0</v>
      </c>
      <c r="AM31" s="89">
        <f>'Юнит 10'!AM31+'Юнит 11'!AM31+'Юнит 12'!AM31+'Юнит 13'!AM31</f>
        <v>0</v>
      </c>
      <c r="AN31" s="325">
        <f t="shared" si="6"/>
        <v>14.734497631386461</v>
      </c>
      <c r="AO31" s="95">
        <f t="shared" si="19"/>
        <v>164.9655023686135</v>
      </c>
      <c r="AP31" s="96"/>
      <c r="AQ31" s="97">
        <f t="shared" si="7"/>
        <v>499</v>
      </c>
      <c r="AR31" s="98">
        <f t="shared" si="29"/>
        <v>105.54</v>
      </c>
      <c r="AS31" s="98">
        <f t="shared" si="9"/>
        <v>184.47000000000003</v>
      </c>
      <c r="AT31" s="98">
        <f t="shared" si="10"/>
        <v>29.29</v>
      </c>
      <c r="AU31" s="98">
        <f t="shared" si="18"/>
        <v>0</v>
      </c>
      <c r="AV31" s="98">
        <f t="array" ref="AV31">_xlfn.IFS(U31=0,AO31,U31&lt;0,AO31/-U31,U31&gt;0,AO31/U31)</f>
        <v>164.9655023686135</v>
      </c>
      <c r="AW31" s="234">
        <f>IF(AQ31=0,0,AV31/AQ31)</f>
        <v>0.3305921891154579</v>
      </c>
      <c r="AX31" s="234">
        <f>IF(AR31=0,0,AV31/AR31)</f>
        <v>1.5630614209646909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1">SUM(F32:J32)</f>
        <v>84</v>
      </c>
      <c r="F32" s="93">
        <f>'Юнит 13'!F32</f>
        <v>0</v>
      </c>
      <c r="G32" s="93">
        <f>'Юнит 13'!G32</f>
        <v>0</v>
      </c>
      <c r="H32" s="93">
        <f>'Юнит 13'!H32</f>
        <v>0</v>
      </c>
      <c r="I32" s="93">
        <f>'Юнит 13'!I32</f>
        <v>84</v>
      </c>
      <c r="J32" s="93">
        <f>'Юнит 13'!J32</f>
        <v>0</v>
      </c>
      <c r="K32" s="93">
        <v>140.63999999999999</v>
      </c>
      <c r="L32" s="92">
        <f t="shared" ref="L32" si="32">E32*K32</f>
        <v>11813.759999999998</v>
      </c>
      <c r="M32" s="89">
        <f>'Юнит 13'!M32</f>
        <v>1</v>
      </c>
      <c r="N32" s="89">
        <f>'Юнит 10'!N32+'Юнит 11'!N32+'Юнит 12'!N32+'Юнит 13'!N32</f>
        <v>0</v>
      </c>
      <c r="O32" s="89">
        <v>0</v>
      </c>
      <c r="P32" s="399">
        <v>0</v>
      </c>
      <c r="Q32" s="406"/>
      <c r="R32" s="92">
        <f t="shared" si="15"/>
        <v>0</v>
      </c>
      <c r="S32" s="89">
        <f>'Юнит 10'!S32+'Юнит 11'!S32+'Юнит 12'!S32+'Юнит 13'!S32</f>
        <v>0</v>
      </c>
      <c r="T32" s="89">
        <f>'Юнит 10'!T32+'Юнит 11'!T32+'Юнит 12'!T32+'Юнит 13'!T32</f>
        <v>0</v>
      </c>
      <c r="U32" s="92">
        <f t="shared" si="1"/>
        <v>0</v>
      </c>
      <c r="V32" s="89">
        <f>'Юнит 10'!V32+'Юнит 11'!V32+'Юнит 12'!V32+'Юнит 13'!V32</f>
        <v>0</v>
      </c>
      <c r="W32" s="89">
        <f>'Юнит 10'!W32+'Юнит 11'!W32+'Юнит 12'!W32+'Юнит 13'!W32</f>
        <v>0</v>
      </c>
      <c r="X32" s="92">
        <f t="shared" si="2"/>
        <v>0</v>
      </c>
      <c r="Y32" s="89">
        <f>'Юнит 10'!Y32+'Юнит 11'!Y32+'Юнит 12'!Y32+'Юнит 13'!Y32</f>
        <v>0</v>
      </c>
      <c r="Z32" s="89">
        <f>'Юнит 10'!Z32+'Юнит 11'!Z32+'Юнит 12'!Z32+'Юнит 13'!Z32</f>
        <v>0</v>
      </c>
      <c r="AA32" s="232">
        <f t="shared" si="16"/>
        <v>0</v>
      </c>
      <c r="AB32" s="92">
        <f t="shared" si="17"/>
        <v>0</v>
      </c>
      <c r="AC32" s="234">
        <f t="shared" si="3"/>
        <v>0</v>
      </c>
      <c r="AD32" s="92">
        <f t="shared" si="4"/>
        <v>0</v>
      </c>
      <c r="AE32" s="89">
        <f>'Юнит 10'!AE32+'Юнит 11'!AE32+'Юнит 12'!AE32+'Юнит 13'!AE32</f>
        <v>0</v>
      </c>
      <c r="AF32" s="234">
        <f t="shared" si="5"/>
        <v>0</v>
      </c>
      <c r="AG32" s="89">
        <f>'Юнит 10'!AG32+'Юнит 11'!AG32+'Юнит 12'!AG32+'Юнит 13'!AG32</f>
        <v>0</v>
      </c>
      <c r="AH32" s="89">
        <f>'Юнит 10'!AH32+'Юнит 11'!AH32+'Юнит 12'!AH32+'Юнит 13'!AH32</f>
        <v>0</v>
      </c>
      <c r="AI32" s="89">
        <f>'Юнит 10'!AI32+'Юнит 11'!AI32+'Юнит 12'!AI32+'Юнит 13'!AI32</f>
        <v>0</v>
      </c>
      <c r="AJ32" s="89">
        <f>'Юнит 10'!AJ32+'Юнит 11'!AJ32+'Юнит 12'!AJ32+'Юнит 13'!AJ32</f>
        <v>0</v>
      </c>
      <c r="AK32" s="89">
        <f>'Юнит 10'!AK32+'Юнит 11'!AK32+'Юнит 12'!AK32+'Юнит 13'!AK32</f>
        <v>0</v>
      </c>
      <c r="AL32" s="89">
        <f>'Юнит 10'!AL32+'Юнит 11'!AL32+'Юнит 12'!AL32+'Юнит 13'!AL32</f>
        <v>0</v>
      </c>
      <c r="AM32" s="89">
        <f>'Юнит 10'!AM32+'Юнит 11'!AM32+'Юнит 12'!AM32+'Юнит 13'!AM32</f>
        <v>0</v>
      </c>
      <c r="AN32" s="325">
        <f t="shared" si="6"/>
        <v>0</v>
      </c>
      <c r="AO32" s="95">
        <f t="shared" si="19"/>
        <v>0</v>
      </c>
      <c r="AP32" s="96"/>
      <c r="AQ32" s="97">
        <f t="shared" si="7"/>
        <v>0</v>
      </c>
      <c r="AR32" s="98">
        <f t="shared" si="29"/>
        <v>140.63999999999999</v>
      </c>
      <c r="AS32" s="98">
        <f t="shared" si="9"/>
        <v>0</v>
      </c>
      <c r="AT32" s="98">
        <f t="shared" si="10"/>
        <v>0</v>
      </c>
      <c r="AU32" s="98">
        <f t="shared" si="18"/>
        <v>0</v>
      </c>
      <c r="AV32" s="98">
        <f t="array" ref="AV32">_xlfn.IFS(U32=0,AO32,U32&lt;0,AO32/-U32,U32&gt;0,AO32/U32)</f>
        <v>0</v>
      </c>
      <c r="AW32" s="234">
        <f t="shared" ref="AW32" si="33">IF(AQ32=0,0,AV32/AQ32)</f>
        <v>0</v>
      </c>
      <c r="AX32" s="234">
        <f t="shared" ref="AX32" si="34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269</v>
      </c>
      <c r="F33" s="93">
        <f>'Юнит 13'!F33</f>
        <v>15</v>
      </c>
      <c r="G33" s="93">
        <f>'Юнит 13'!G33</f>
        <v>5</v>
      </c>
      <c r="H33" s="93">
        <f>'Юнит 13'!H33</f>
        <v>110</v>
      </c>
      <c r="I33" s="93">
        <f>'Юнит 13'!I33</f>
        <v>20</v>
      </c>
      <c r="J33" s="93">
        <f>'Юнит 13'!J33</f>
        <v>119</v>
      </c>
      <c r="K33" s="93">
        <v>123.09</v>
      </c>
      <c r="L33" s="92">
        <f>E33*K33</f>
        <v>33111.21</v>
      </c>
      <c r="M33" s="89">
        <f>'Юнит 13'!M33</f>
        <v>133</v>
      </c>
      <c r="N33" s="89">
        <f>'Юнит 10'!N33+'Юнит 11'!N33+'Юнит 12'!N33+'Юнит 13'!N33</f>
        <v>53</v>
      </c>
      <c r="O33" s="89">
        <v>1527</v>
      </c>
      <c r="P33" s="399">
        <v>0.23</v>
      </c>
      <c r="Q33" s="406">
        <f t="shared" si="14"/>
        <v>0.16981132075471697</v>
      </c>
      <c r="R33" s="92">
        <f t="shared" si="15"/>
        <v>1.2857142857142858</v>
      </c>
      <c r="S33" s="89">
        <f>'Юнит 10'!S33+'Юнит 11'!S33+'Юнит 12'!S33+'Юнит 13'!S33</f>
        <v>10</v>
      </c>
      <c r="T33" s="89">
        <f>'Юнит 10'!T33+'Юнит 11'!T33+'Юнит 12'!T33+'Юнит 13'!T33</f>
        <v>-1</v>
      </c>
      <c r="U33" s="92">
        <f t="shared" si="1"/>
        <v>9</v>
      </c>
      <c r="V33" s="89">
        <f>'Юнит 10'!V33+'Юнит 11'!V33+'Юнит 12'!V33+'Юнит 13'!V33</f>
        <v>10741</v>
      </c>
      <c r="W33" s="89">
        <f>'Юнит 10'!W33+'Юнит 11'!W33+'Юнит 12'!W33+'Юнит 13'!W33</f>
        <v>-937</v>
      </c>
      <c r="X33" s="92">
        <f t="shared" si="2"/>
        <v>9804</v>
      </c>
      <c r="Y33" s="89">
        <f>'Юнит 10'!Y33+'Юнит 11'!Y33+'Юнит 12'!Y33+'Юнит 13'!Y33</f>
        <v>16716</v>
      </c>
      <c r="Z33" s="89">
        <f>'Юнит 10'!Z33+'Юнит 11'!Z33+'Юнит 12'!Z33+'Юнит 13'!Z33</f>
        <v>-1500</v>
      </c>
      <c r="AA33" s="232">
        <f t="shared" si="16"/>
        <v>15216</v>
      </c>
      <c r="AB33" s="92">
        <f t="shared" si="17"/>
        <v>186.1413</v>
      </c>
      <c r="AC33" s="234">
        <f t="shared" si="3"/>
        <v>8.3574698666909067E-4</v>
      </c>
      <c r="AD33" s="92">
        <f t="shared" si="4"/>
        <v>1107.81</v>
      </c>
      <c r="AE33" s="89">
        <f>'Юнит 10'!AE33+'Юнит 11'!AE33+'Юнит 12'!AE33+'Юнит 13'!AE33</f>
        <v>5727.16</v>
      </c>
      <c r="AF33" s="234">
        <f t="shared" si="5"/>
        <v>0.37639064143007361</v>
      </c>
      <c r="AG33" s="89">
        <f>'Юнит 10'!AG33+'Юнит 11'!AG33+'Юнит 12'!AG33+'Юнит 13'!AG33</f>
        <v>3208.11</v>
      </c>
      <c r="AH33" s="89">
        <f>'Юнит 10'!AH33+'Юнит 11'!AH33+'Юнит 12'!AH33+'Юнит 13'!AH33</f>
        <v>5106</v>
      </c>
      <c r="AI33" s="89">
        <f>'Юнит 10'!AI33+'Юнит 11'!AI33+'Юнит 12'!AI33+'Юнит 13'!AI33</f>
        <v>7000</v>
      </c>
      <c r="AJ33" s="89">
        <f>'Юнит 10'!AJ33+'Юнит 11'!AJ33+'Юнит 12'!AJ33+'Юнит 13'!AJ33</f>
        <v>0</v>
      </c>
      <c r="AK33" s="89">
        <f>'Юнит 10'!AK33+'Юнит 11'!AK33+'Юнит 12'!AK33+'Юнит 13'!AK33</f>
        <v>0</v>
      </c>
      <c r="AL33" s="89">
        <f>'Юнит 10'!AL33+'Юнит 11'!AL33+'Юнит 12'!AL33+'Юнит 13'!AL33</f>
        <v>496.96265865605585</v>
      </c>
      <c r="AM33" s="89">
        <f>'Юнит 10'!AM33+'Юнит 11'!AM33+'Юнит 12'!AM33+'Юнит 13'!AM33</f>
        <v>0</v>
      </c>
      <c r="AN33" s="325">
        <f t="shared" si="6"/>
        <v>547.18566203830619</v>
      </c>
      <c r="AO33" s="95">
        <f t="shared" si="19"/>
        <v>-7977.2283206943621</v>
      </c>
      <c r="AP33" s="96"/>
      <c r="AQ33" s="97">
        <f t="shared" si="7"/>
        <v>1690.6666666666667</v>
      </c>
      <c r="AR33" s="98">
        <f t="shared" si="29"/>
        <v>123.09</v>
      </c>
      <c r="AS33" s="98">
        <f t="shared" si="9"/>
        <v>636.35111111111109</v>
      </c>
      <c r="AT33" s="98">
        <f t="shared" si="10"/>
        <v>320.81100000000004</v>
      </c>
      <c r="AU33" s="98">
        <f t="shared" si="18"/>
        <v>1210.5999999999999</v>
      </c>
      <c r="AV33" s="98">
        <f t="array" ref="AV33">_xlfn.IFS(U33=0,AO33,U33&lt;0,AO33/-U33,U33&gt;0,AO33/U33)</f>
        <v>-886.35870229937359</v>
      </c>
      <c r="AW33" s="234">
        <f>IF(AQ33=0,0,AV33/AQ33)</f>
        <v>-0.5242657939467904</v>
      </c>
      <c r="AX33" s="234">
        <f>IF(AR33=0,0,AV33/AR33)</f>
        <v>-7.2008993606253435</v>
      </c>
      <c r="AY33" s="99"/>
      <c r="AZ33" s="94">
        <f t="shared" si="13"/>
        <v>-238430.49091853149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tr">
        <f>'Юнит 13'!F34</f>
        <v/>
      </c>
      <c r="G34" s="93">
        <f>'Юнит 13'!G34</f>
        <v>1</v>
      </c>
      <c r="H34" s="93" t="str">
        <f>'Юнит 13'!H34</f>
        <v/>
      </c>
      <c r="I34" s="93">
        <f>'Юнит 13'!I34</f>
        <v>1</v>
      </c>
      <c r="J34" s="93">
        <f>'Юнит 13'!J34</f>
        <v>117</v>
      </c>
      <c r="K34" s="93">
        <v>117.24</v>
      </c>
      <c r="L34" s="92">
        <f>E34*K34</f>
        <v>13951.56</v>
      </c>
      <c r="M34" s="89">
        <f>'Юнит 13'!M34</f>
        <v>999</v>
      </c>
      <c r="N34" s="89">
        <f>'Юнит 10'!N34+'Юнит 11'!N34+'Юнит 12'!N34+'Юнит 13'!N34</f>
        <v>1</v>
      </c>
      <c r="O34" s="89">
        <v>439</v>
      </c>
      <c r="P34" s="399">
        <v>0</v>
      </c>
      <c r="Q34" s="406">
        <f t="shared" si="14"/>
        <v>0</v>
      </c>
      <c r="R34" s="92">
        <f t="shared" si="15"/>
        <v>0</v>
      </c>
      <c r="S34" s="89">
        <f>'Юнит 10'!S34+'Юнит 11'!S34+'Юнит 12'!S34+'Юнит 13'!S34</f>
        <v>1</v>
      </c>
      <c r="T34" s="89">
        <f>'Юнит 10'!T34+'Юнит 11'!T34+'Юнит 12'!T34+'Юнит 13'!T34</f>
        <v>-1</v>
      </c>
      <c r="U34" s="92">
        <f t="shared" si="1"/>
        <v>0</v>
      </c>
      <c r="V34" s="89">
        <f>'Юнит 10'!V34+'Юнит 11'!V34+'Юнит 12'!V34+'Юнит 13'!V34</f>
        <v>0</v>
      </c>
      <c r="W34" s="89">
        <f>'Юнит 10'!W34+'Юнит 11'!W34+'Юнит 12'!W34+'Юнит 13'!W34</f>
        <v>-242</v>
      </c>
      <c r="X34" s="92">
        <f t="shared" si="2"/>
        <v>-242</v>
      </c>
      <c r="Y34" s="89">
        <f>'Юнит 10'!Y34+'Юнит 11'!Y34+'Юнит 12'!Y34+'Юнит 13'!Y34</f>
        <v>0</v>
      </c>
      <c r="Z34" s="89">
        <f>'Юнит 10'!Z34+'Юнит 11'!Z34+'Юнит 12'!Z34+'Юнит 13'!Z34</f>
        <v>-439</v>
      </c>
      <c r="AA34" s="232">
        <f t="shared" si="16"/>
        <v>-439</v>
      </c>
      <c r="AB34" s="92">
        <f t="shared" si="17"/>
        <v>0</v>
      </c>
      <c r="AC34" s="234">
        <f t="shared" si="3"/>
        <v>-2.4112311195303022E-5</v>
      </c>
      <c r="AD34" s="92">
        <f t="shared" si="4"/>
        <v>0</v>
      </c>
      <c r="AE34" s="89">
        <f>'Юнит 10'!AE34+'Юнит 11'!AE34+'Юнит 12'!AE34+'Юнит 13'!AE34</f>
        <v>-608.83000000000004</v>
      </c>
      <c r="AF34" s="234">
        <f t="shared" si="5"/>
        <v>1.386856492027335</v>
      </c>
      <c r="AG34" s="89">
        <f>'Юнит 10'!AG34+'Юнит 11'!AG34+'Юнит 12'!AG34+'Юнит 13'!AG34</f>
        <v>169</v>
      </c>
      <c r="AH34" s="89">
        <f>'Юнит 10'!AH34+'Юнит 11'!AH34+'Юнит 12'!AH34+'Юнит 13'!AH34</f>
        <v>0</v>
      </c>
      <c r="AI34" s="89">
        <f>'Юнит 10'!AI34+'Юнит 11'!AI34+'Юнит 12'!AI34+'Юнит 13'!AI34</f>
        <v>0</v>
      </c>
      <c r="AJ34" s="89">
        <f>'Юнит 10'!AJ34+'Юнит 11'!AJ34+'Юнит 12'!AJ34+'Юнит 13'!AJ34</f>
        <v>0</v>
      </c>
      <c r="AK34" s="89">
        <f>'Юнит 10'!AK34+'Юнит 11'!AK34+'Юнит 12'!AK34+'Юнит 13'!AK34</f>
        <v>0</v>
      </c>
      <c r="AL34" s="89">
        <f>'Юнит 10'!AL34+'Юнит 11'!AL34+'Юнит 12'!AL34+'Юнит 13'!AL34</f>
        <v>0</v>
      </c>
      <c r="AM34" s="89">
        <f>'Юнит 10'!AM34+'Юнит 11'!AM34+'Юнит 12'!AM34+'Юнит 13'!AM34</f>
        <v>10</v>
      </c>
      <c r="AN34" s="325">
        <f t="shared" si="6"/>
        <v>-13.50662282877092</v>
      </c>
      <c r="AO34" s="95">
        <f t="shared" si="19"/>
        <v>4.3366228287709614</v>
      </c>
      <c r="AP34" s="96"/>
      <c r="AQ34" s="97">
        <f t="shared" si="7"/>
        <v>0</v>
      </c>
      <c r="AR34" s="98">
        <f t="shared" si="29"/>
        <v>117.24</v>
      </c>
      <c r="AS34" s="98">
        <f t="shared" si="9"/>
        <v>0</v>
      </c>
      <c r="AT34" s="98">
        <f t="shared" si="10"/>
        <v>169</v>
      </c>
      <c r="AU34" s="98">
        <f t="shared" si="18"/>
        <v>0</v>
      </c>
      <c r="AV34" s="98">
        <f t="array" ref="AV34">_xlfn.IFS(U34=0,AO34,U34&lt;0,AO34/-U34,U34&gt;0,AO34/U34)</f>
        <v>4.3366228287709614</v>
      </c>
      <c r="AW34" s="234">
        <f>IF(AQ34=0,0,AV34/AQ34)</f>
        <v>0</v>
      </c>
      <c r="AX34" s="234">
        <f>IF(AR34=0,0,AV34/AR34)</f>
        <v>3.6989276942775179E-2</v>
      </c>
      <c r="AY34" s="99"/>
      <c r="AZ34" s="94">
        <f t="shared" si="13"/>
        <v>516.05811662374435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5">SUM(F35:J35)</f>
        <v>43</v>
      </c>
      <c r="F35" s="93">
        <f>'Юнит 13'!F35</f>
        <v>0</v>
      </c>
      <c r="G35" s="93">
        <f>'Юнит 13'!G35</f>
        <v>0</v>
      </c>
      <c r="H35" s="93">
        <f>'Юнит 13'!H35</f>
        <v>0</v>
      </c>
      <c r="I35" s="93">
        <f>'Юнит 13'!I35</f>
        <v>0</v>
      </c>
      <c r="J35" s="93">
        <f>'Юнит 13'!J35</f>
        <v>43</v>
      </c>
      <c r="K35" s="93">
        <v>128.94</v>
      </c>
      <c r="L35" s="92">
        <f t="shared" ref="L35:L98" si="36">E35*K35</f>
        <v>5544.42</v>
      </c>
      <c r="M35" s="89">
        <f>'Юнит 13'!M35</f>
        <v>0</v>
      </c>
      <c r="N35" s="89">
        <f>'Юнит 10'!N35+'Юнит 11'!N35+'Юнит 12'!N35+'Юнит 13'!N35</f>
        <v>0</v>
      </c>
      <c r="O35" s="89">
        <v>0</v>
      </c>
      <c r="P35" s="399">
        <v>0</v>
      </c>
      <c r="Q35" s="406"/>
      <c r="R35" s="92">
        <f t="shared" si="15"/>
        <v>0</v>
      </c>
      <c r="S35" s="89">
        <f>'Юнит 10'!S35+'Юнит 11'!S35+'Юнит 12'!S35+'Юнит 13'!S35</f>
        <v>0</v>
      </c>
      <c r="T35" s="89">
        <f>'Юнит 10'!T35+'Юнит 11'!T35+'Юнит 12'!T35+'Юнит 13'!T35</f>
        <v>0</v>
      </c>
      <c r="U35" s="92">
        <f t="shared" si="1"/>
        <v>0</v>
      </c>
      <c r="V35" s="89">
        <f>'Юнит 10'!V35+'Юнит 11'!V35+'Юнит 12'!V35+'Юнит 13'!V35</f>
        <v>0</v>
      </c>
      <c r="W35" s="89">
        <f>'Юнит 10'!W35+'Юнит 11'!W35+'Юнит 12'!W35+'Юнит 13'!W35</f>
        <v>0</v>
      </c>
      <c r="X35" s="92">
        <f t="shared" si="2"/>
        <v>0</v>
      </c>
      <c r="Y35" s="89">
        <f>'Юнит 10'!Y35+'Юнит 11'!Y35+'Юнит 12'!Y35+'Юнит 13'!Y35</f>
        <v>0</v>
      </c>
      <c r="Z35" s="89">
        <f>'Юнит 10'!Z35+'Юнит 11'!Z35+'Юнит 12'!Z35+'Юнит 13'!Z35</f>
        <v>0</v>
      </c>
      <c r="AA35" s="232">
        <f t="shared" si="16"/>
        <v>0</v>
      </c>
      <c r="AB35" s="92">
        <f t="shared" si="17"/>
        <v>0</v>
      </c>
      <c r="AC35" s="234">
        <f t="shared" si="3"/>
        <v>0</v>
      </c>
      <c r="AD35" s="92">
        <f t="shared" si="4"/>
        <v>0</v>
      </c>
      <c r="AE35" s="89">
        <f>'Юнит 10'!AE35+'Юнит 11'!AE35+'Юнит 12'!AE35+'Юнит 13'!AE35</f>
        <v>0</v>
      </c>
      <c r="AF35" s="234">
        <f t="shared" si="5"/>
        <v>0</v>
      </c>
      <c r="AG35" s="89">
        <f>'Юнит 10'!AG35+'Юнит 11'!AG35+'Юнит 12'!AG35+'Юнит 13'!AG35</f>
        <v>0</v>
      </c>
      <c r="AH35" s="89">
        <f>'Юнит 10'!AH35+'Юнит 11'!AH35+'Юнит 12'!AH35+'Юнит 13'!AH35</f>
        <v>0</v>
      </c>
      <c r="AI35" s="89">
        <f>'Юнит 10'!AI35+'Юнит 11'!AI35+'Юнит 12'!AI35+'Юнит 13'!AI35</f>
        <v>0</v>
      </c>
      <c r="AJ35" s="89">
        <f>'Юнит 10'!AJ35+'Юнит 11'!AJ35+'Юнит 12'!AJ35+'Юнит 13'!AJ35</f>
        <v>0</v>
      </c>
      <c r="AK35" s="89">
        <f>'Юнит 10'!AK35+'Юнит 11'!AK35+'Юнит 12'!AK35+'Юнит 13'!AK35</f>
        <v>0</v>
      </c>
      <c r="AL35" s="89">
        <f>'Юнит 10'!AL35+'Юнит 11'!AL35+'Юнит 12'!AL35+'Юнит 13'!AL35</f>
        <v>0</v>
      </c>
      <c r="AM35" s="89">
        <f>'Юнит 10'!AM35+'Юнит 11'!AM35+'Юнит 12'!AM35+'Юнит 13'!AM35</f>
        <v>0</v>
      </c>
      <c r="AN35" s="325">
        <f t="shared" ref="AN35:AN66" si="37">666212.62*X35/$X$126</f>
        <v>0</v>
      </c>
      <c r="AO35" s="95">
        <f t="shared" si="19"/>
        <v>0</v>
      </c>
      <c r="AP35" s="96"/>
      <c r="AQ35" s="97">
        <f t="shared" si="7"/>
        <v>0</v>
      </c>
      <c r="AR35" s="98">
        <f t="shared" si="29"/>
        <v>128.94</v>
      </c>
      <c r="AS35" s="98">
        <f t="shared" si="9"/>
        <v>0</v>
      </c>
      <c r="AT35" s="98">
        <f t="shared" si="10"/>
        <v>0</v>
      </c>
      <c r="AU35" s="98">
        <f t="shared" si="18"/>
        <v>0</v>
      </c>
      <c r="AV35" s="98">
        <f t="array" ref="AV35">_xlfn.IFS(U35=0,AO35,U35&lt;0,AO35/-U35,U35&gt;0,AO35/U35)</f>
        <v>0</v>
      </c>
      <c r="AW35" s="234">
        <f t="shared" ref="AW35:AW98" si="38">IF(AQ35=0,0,AV35/AQ35)</f>
        <v>0</v>
      </c>
      <c r="AX35" s="234">
        <f t="shared" ref="AX35:AX98" si="39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5"/>
        <v>40</v>
      </c>
      <c r="F36" s="93">
        <f>'Юнит 13'!F36</f>
        <v>0</v>
      </c>
      <c r="G36" s="93">
        <f>'Юнит 13'!G36</f>
        <v>0</v>
      </c>
      <c r="H36" s="93">
        <f>'Юнит 13'!H36</f>
        <v>0</v>
      </c>
      <c r="I36" s="93">
        <f>'Юнит 13'!I36</f>
        <v>0</v>
      </c>
      <c r="J36" s="93">
        <f>'Юнит 13'!J36</f>
        <v>40</v>
      </c>
      <c r="K36" s="93">
        <v>169.89</v>
      </c>
      <c r="L36" s="92">
        <f t="shared" si="36"/>
        <v>6795.5999999999995</v>
      </c>
      <c r="M36" s="89">
        <f>'Юнит 13'!M36</f>
        <v>0</v>
      </c>
      <c r="N36" s="89">
        <f>'Юнит 10'!N36+'Юнит 11'!N36+'Юнит 12'!N36+'Юнит 13'!N36</f>
        <v>0</v>
      </c>
      <c r="O36" s="89">
        <v>0</v>
      </c>
      <c r="P36" s="399">
        <v>0</v>
      </c>
      <c r="Q36" s="406"/>
      <c r="R36" s="92">
        <f t="shared" si="15"/>
        <v>0</v>
      </c>
      <c r="S36" s="89">
        <f>'Юнит 10'!S36+'Юнит 11'!S36+'Юнит 12'!S36+'Юнит 13'!S36</f>
        <v>0</v>
      </c>
      <c r="T36" s="89">
        <f>'Юнит 10'!T36+'Юнит 11'!T36+'Юнит 12'!T36+'Юнит 13'!T36</f>
        <v>0</v>
      </c>
      <c r="U36" s="92">
        <f t="shared" si="1"/>
        <v>0</v>
      </c>
      <c r="V36" s="89">
        <f>'Юнит 10'!V36+'Юнит 11'!V36+'Юнит 12'!V36+'Юнит 13'!V36</f>
        <v>0</v>
      </c>
      <c r="W36" s="89">
        <f>'Юнит 10'!W36+'Юнит 11'!W36+'Юнит 12'!W36+'Юнит 13'!W36</f>
        <v>0</v>
      </c>
      <c r="X36" s="92">
        <f t="shared" si="2"/>
        <v>0</v>
      </c>
      <c r="Y36" s="89">
        <f>'Юнит 10'!Y36+'Юнит 11'!Y36+'Юнит 12'!Y36+'Юнит 13'!Y36</f>
        <v>0</v>
      </c>
      <c r="Z36" s="89">
        <f>'Юнит 10'!Z36+'Юнит 11'!Z36+'Юнит 12'!Z36+'Юнит 13'!Z36</f>
        <v>0</v>
      </c>
      <c r="AA36" s="232">
        <f t="shared" si="16"/>
        <v>0</v>
      </c>
      <c r="AB36" s="92">
        <f t="shared" si="17"/>
        <v>0</v>
      </c>
      <c r="AC36" s="234">
        <f t="shared" si="3"/>
        <v>0</v>
      </c>
      <c r="AD36" s="92">
        <f t="shared" si="4"/>
        <v>0</v>
      </c>
      <c r="AE36" s="89">
        <f>'Юнит 10'!AE36+'Юнит 11'!AE36+'Юнит 12'!AE36+'Юнит 13'!AE36</f>
        <v>0</v>
      </c>
      <c r="AF36" s="234">
        <f t="shared" si="5"/>
        <v>0</v>
      </c>
      <c r="AG36" s="89">
        <f>'Юнит 10'!AG36+'Юнит 11'!AG36+'Юнит 12'!AG36+'Юнит 13'!AG36</f>
        <v>0</v>
      </c>
      <c r="AH36" s="89">
        <f>'Юнит 10'!AH36+'Юнит 11'!AH36+'Юнит 12'!AH36+'Юнит 13'!AH36</f>
        <v>0</v>
      </c>
      <c r="AI36" s="89">
        <f>'Юнит 10'!AI36+'Юнит 11'!AI36+'Юнит 12'!AI36+'Юнит 13'!AI36</f>
        <v>0</v>
      </c>
      <c r="AJ36" s="89">
        <f>'Юнит 10'!AJ36+'Юнит 11'!AJ36+'Юнит 12'!AJ36+'Юнит 13'!AJ36</f>
        <v>0</v>
      </c>
      <c r="AK36" s="89">
        <f>'Юнит 10'!AK36+'Юнит 11'!AK36+'Юнит 12'!AK36+'Юнит 13'!AK36</f>
        <v>0</v>
      </c>
      <c r="AL36" s="89">
        <f>'Юнит 10'!AL36+'Юнит 11'!AL36+'Юнит 12'!AL36+'Юнит 13'!AL36</f>
        <v>0</v>
      </c>
      <c r="AM36" s="89">
        <f>'Юнит 10'!AM36+'Юнит 11'!AM36+'Юнит 12'!AM36+'Юнит 13'!AM36</f>
        <v>0</v>
      </c>
      <c r="AN36" s="325">
        <f t="shared" si="37"/>
        <v>0</v>
      </c>
      <c r="AO36" s="95">
        <f t="shared" si="19"/>
        <v>0</v>
      </c>
      <c r="AP36" s="96"/>
      <c r="AQ36" s="97">
        <f t="shared" si="7"/>
        <v>0</v>
      </c>
      <c r="AR36" s="98">
        <f t="shared" si="29"/>
        <v>169.89</v>
      </c>
      <c r="AS36" s="98">
        <f t="shared" si="9"/>
        <v>0</v>
      </c>
      <c r="AT36" s="98">
        <f t="shared" si="10"/>
        <v>0</v>
      </c>
      <c r="AU36" s="98">
        <f t="shared" si="18"/>
        <v>0</v>
      </c>
      <c r="AV36" s="98">
        <f t="array" ref="AV36">_xlfn.IFS(U36=0,AO36,U36&lt;0,AO36/-U36,U36&gt;0,AO36/U36)</f>
        <v>0</v>
      </c>
      <c r="AW36" s="234">
        <f t="shared" si="38"/>
        <v>0</v>
      </c>
      <c r="AX36" s="234">
        <f t="shared" si="39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5"/>
        <v>27</v>
      </c>
      <c r="F37" s="93">
        <f>'Юнит 13'!F37</f>
        <v>1</v>
      </c>
      <c r="G37" s="93" t="str">
        <f>'Юнит 13'!G37</f>
        <v/>
      </c>
      <c r="H37" s="93" t="str">
        <f>'Юнит 13'!H37</f>
        <v/>
      </c>
      <c r="I37" s="93">
        <f>'Юнит 13'!I37</f>
        <v>0</v>
      </c>
      <c r="J37" s="93">
        <f>'Юнит 13'!J37</f>
        <v>26</v>
      </c>
      <c r="K37" s="93">
        <v>169.89</v>
      </c>
      <c r="L37" s="92">
        <f t="shared" si="36"/>
        <v>4587.03</v>
      </c>
      <c r="M37" s="89">
        <f>'Юнит 13'!M37</f>
        <v>7</v>
      </c>
      <c r="N37" s="89">
        <f>'Юнит 10'!N37+'Юнит 11'!N37+'Юнит 12'!N37+'Юнит 13'!N37</f>
        <v>8</v>
      </c>
      <c r="O37" s="89">
        <v>998</v>
      </c>
      <c r="P37" s="399">
        <v>0.38</v>
      </c>
      <c r="Q37" s="406">
        <f t="shared" si="14"/>
        <v>0.75</v>
      </c>
      <c r="R37" s="92">
        <f t="shared" si="15"/>
        <v>0.8571428571428571</v>
      </c>
      <c r="S37" s="89">
        <f>'Юнит 10'!S37+'Юнит 11'!S37+'Юнит 12'!S37+'Юнит 13'!S37</f>
        <v>6</v>
      </c>
      <c r="T37" s="89">
        <f>'Юнит 10'!T37+'Юнит 11'!T37+'Юнит 12'!T37+'Юнит 13'!T37</f>
        <v>0</v>
      </c>
      <c r="U37" s="92">
        <f t="shared" si="1"/>
        <v>6</v>
      </c>
      <c r="V37" s="89">
        <f>'Юнит 10'!V37+'Юнит 11'!V37+'Юнит 12'!V37+'Юнит 13'!V37</f>
        <v>4030</v>
      </c>
      <c r="W37" s="89">
        <f>'Юнит 10'!W37+'Юнит 11'!W37+'Юнит 12'!W37+'Юнит 13'!W37</f>
        <v>0</v>
      </c>
      <c r="X37" s="92">
        <f t="shared" si="2"/>
        <v>4030</v>
      </c>
      <c r="Y37" s="89">
        <f>'Юнит 10'!Y37+'Юнит 11'!Y37+'Юнит 12'!Y37+'Юнит 13'!Y37</f>
        <v>5988</v>
      </c>
      <c r="Z37" s="89">
        <f>'Юнит 10'!Z37+'Юнит 11'!Z37+'Юнит 12'!Z37+'Юнит 13'!Z37</f>
        <v>0</v>
      </c>
      <c r="AA37" s="232">
        <f t="shared" si="16"/>
        <v>5988</v>
      </c>
      <c r="AB37" s="92">
        <f t="shared" si="17"/>
        <v>30.339200000000002</v>
      </c>
      <c r="AC37" s="234">
        <f t="shared" si="3"/>
        <v>3.2889412172545446E-4</v>
      </c>
      <c r="AD37" s="92">
        <f t="shared" si="4"/>
        <v>1019.3399999999999</v>
      </c>
      <c r="AE37" s="89">
        <f>'Юнит 10'!AE37+'Юнит 11'!AE37+'Юнит 12'!AE37+'Юнит 13'!AE37</f>
        <v>2284.2799999999997</v>
      </c>
      <c r="AF37" s="234">
        <f t="shared" si="5"/>
        <v>0.3814762859051436</v>
      </c>
      <c r="AG37" s="89">
        <f>'Юнит 10'!AG37+'Юнит 11'!AG37+'Юнит 12'!AG37+'Юнит 13'!AG37</f>
        <v>898</v>
      </c>
      <c r="AH37" s="89">
        <f>'Юнит 10'!AH37+'Юнит 11'!AH37+'Юнит 12'!AH37+'Юнит 13'!AH37</f>
        <v>0</v>
      </c>
      <c r="AI37" s="89">
        <f>'Юнит 10'!AI37+'Юнит 11'!AI37+'Юнит 12'!AI37+'Юнит 13'!AI37</f>
        <v>0</v>
      </c>
      <c r="AJ37" s="89">
        <f>'Юнит 10'!AJ37+'Юнит 11'!AJ37+'Юнит 12'!AJ37+'Юнит 13'!AJ37</f>
        <v>0</v>
      </c>
      <c r="AK37" s="89">
        <f>'Юнит 10'!AK37+'Юнит 11'!AK37+'Юнит 12'!AK37+'Юнит 13'!AK37</f>
        <v>0</v>
      </c>
      <c r="AL37" s="89">
        <f>'Юнит 10'!AL37+'Юнит 11'!AL37+'Юнит 12'!AL37+'Юнит 13'!AL37</f>
        <v>2.0068301466175082</v>
      </c>
      <c r="AM37" s="89">
        <f>'Юнит 10'!AM37+'Юнит 11'!AM37+'Юнит 12'!AM37+'Юнит 13'!AM37</f>
        <v>0</v>
      </c>
      <c r="AN37" s="325">
        <f t="shared" si="37"/>
        <v>224.92433884275542</v>
      </c>
      <c r="AO37" s="95">
        <f t="shared" si="19"/>
        <v>1559.4488310106274</v>
      </c>
      <c r="AP37" s="96"/>
      <c r="AQ37" s="97">
        <f t="shared" si="7"/>
        <v>998</v>
      </c>
      <c r="AR37" s="98">
        <f t="shared" si="29"/>
        <v>169.89</v>
      </c>
      <c r="AS37" s="98">
        <f t="shared" si="9"/>
        <v>380.71333333333331</v>
      </c>
      <c r="AT37" s="98">
        <f t="shared" si="10"/>
        <v>149.66666666666666</v>
      </c>
      <c r="AU37" s="98">
        <f t="shared" si="18"/>
        <v>0</v>
      </c>
      <c r="AV37" s="98">
        <f t="array" ref="AV37">_xlfn.IFS(U37=0,AO37,U37&lt;0,AO37/-U37,U37&gt;0,AO37/U37)</f>
        <v>259.90813850177125</v>
      </c>
      <c r="AW37" s="234">
        <f t="shared" si="38"/>
        <v>0.26042899649476076</v>
      </c>
      <c r="AX37" s="234">
        <f t="shared" si="39"/>
        <v>1.5298613132130865</v>
      </c>
      <c r="AY37" s="99"/>
      <c r="AZ37" s="94">
        <f t="shared" si="13"/>
        <v>7017.5197395478235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5"/>
        <v>45</v>
      </c>
      <c r="F38" s="93">
        <f>'Юнит 13'!F38</f>
        <v>2</v>
      </c>
      <c r="G38" s="93">
        <f>'Юнит 13'!G38</f>
        <v>2</v>
      </c>
      <c r="H38" s="93">
        <f>'Юнит 13'!H38</f>
        <v>40</v>
      </c>
      <c r="I38" s="93">
        <f>'Юнит 13'!I38</f>
        <v>0</v>
      </c>
      <c r="J38" s="93">
        <f>'Юнит 13'!J38</f>
        <v>1</v>
      </c>
      <c r="K38" s="92">
        <v>105.54</v>
      </c>
      <c r="L38" s="92">
        <f t="shared" si="36"/>
        <v>4749.3</v>
      </c>
      <c r="M38" s="89">
        <f>'Юнит 13'!M38</f>
        <v>173</v>
      </c>
      <c r="N38" s="89">
        <f>'Юнит 10'!N38+'Юнит 11'!N38+'Юнит 12'!N38+'Юнит 13'!N38</f>
        <v>23</v>
      </c>
      <c r="O38" s="89">
        <v>1197</v>
      </c>
      <c r="P38" s="399">
        <v>0.13</v>
      </c>
      <c r="Q38" s="406">
        <f t="shared" si="14"/>
        <v>0.13043478260869565</v>
      </c>
      <c r="R38" s="92">
        <f t="shared" si="15"/>
        <v>0.42857142857142855</v>
      </c>
      <c r="S38" s="89">
        <f>'Юнит 10'!S38+'Юнит 11'!S38+'Юнит 12'!S38+'Юнит 13'!S38</f>
        <v>3</v>
      </c>
      <c r="T38" s="89">
        <f>'Юнит 10'!T38+'Юнит 11'!T38+'Юнит 12'!T38+'Юнит 13'!T38</f>
        <v>0</v>
      </c>
      <c r="U38" s="92">
        <f t="shared" si="1"/>
        <v>3</v>
      </c>
      <c r="V38" s="89">
        <f>'Юнит 10'!V38+'Юнит 11'!V38+'Юнит 12'!V38+'Юнит 13'!V38</f>
        <v>2187</v>
      </c>
      <c r="W38" s="89">
        <f>'Юнит 10'!W38+'Юнит 11'!W38+'Юнит 12'!W38+'Юнит 13'!W38</f>
        <v>0</v>
      </c>
      <c r="X38" s="92">
        <f t="shared" si="2"/>
        <v>2187</v>
      </c>
      <c r="Y38" s="89">
        <f>'Юнит 10'!Y38+'Юнит 11'!Y38+'Юнит 12'!Y38+'Юнит 13'!Y38</f>
        <v>3531.09</v>
      </c>
      <c r="Z38" s="89">
        <f>'Юнит 10'!Z38+'Юнит 11'!Z38+'Юнит 12'!Z38+'Юнит 13'!Z38</f>
        <v>0</v>
      </c>
      <c r="AA38" s="232">
        <f t="shared" si="16"/>
        <v>3531.09</v>
      </c>
      <c r="AB38" s="92">
        <f t="shared" si="17"/>
        <v>35.790300000000002</v>
      </c>
      <c r="AC38" s="234">
        <f t="shared" si="3"/>
        <v>1.9394701808342268E-4</v>
      </c>
      <c r="AD38" s="92">
        <f t="shared" si="4"/>
        <v>316.62</v>
      </c>
      <c r="AE38" s="89">
        <f>'Юнит 10'!AE38+'Юнит 11'!AE38+'Юнит 12'!AE38+'Юнит 13'!AE38</f>
        <v>1332.1799999999998</v>
      </c>
      <c r="AF38" s="234">
        <f t="shared" si="5"/>
        <v>0.3772716073507047</v>
      </c>
      <c r="AG38" s="89">
        <f>'Юнит 10'!AG38+'Юнит 11'!AG38+'Юнит 12'!AG38+'Юнит 13'!AG38</f>
        <v>2235.7799999999997</v>
      </c>
      <c r="AH38" s="89">
        <f>'Юнит 10'!AH38+'Юнит 11'!AH38+'Юнит 12'!AH38+'Юнит 13'!AH38</f>
        <v>0</v>
      </c>
      <c r="AI38" s="89">
        <f>'Юнит 10'!AI38+'Юнит 11'!AI38+'Юнит 12'!AI38+'Юнит 13'!AI38</f>
        <v>0</v>
      </c>
      <c r="AJ38" s="89">
        <f>'Юнит 10'!AJ38+'Юнит 11'!AJ38+'Юнит 12'!AJ38+'Юнит 13'!AJ38</f>
        <v>0</v>
      </c>
      <c r="AK38" s="89">
        <f>'Юнит 10'!AK38+'Юнит 11'!AK38+'Юнит 12'!AK38+'Юнит 13'!AK38</f>
        <v>0</v>
      </c>
      <c r="AL38" s="89">
        <f>'Юнит 10'!AL38+'Юнит 11'!AL38+'Юнит 12'!AL38+'Юнит 13'!AL38</f>
        <v>155.19763143798193</v>
      </c>
      <c r="AM38" s="89">
        <f>'Юнит 10'!AM38+'Юнит 11'!AM38+'Юнит 12'!AM38+'Юнит 13'!AM38</f>
        <v>0</v>
      </c>
      <c r="AN38" s="325">
        <f t="shared" si="37"/>
        <v>122.06191787819012</v>
      </c>
      <c r="AO38" s="95">
        <f t="shared" si="19"/>
        <v>-630.7495493161714</v>
      </c>
      <c r="AP38" s="96"/>
      <c r="AQ38" s="97">
        <f t="shared" si="7"/>
        <v>1177.03</v>
      </c>
      <c r="AR38" s="98">
        <f t="shared" si="29"/>
        <v>105.54</v>
      </c>
      <c r="AS38" s="98">
        <f t="shared" si="9"/>
        <v>444.05999999999995</v>
      </c>
      <c r="AT38" s="98">
        <f t="shared" si="10"/>
        <v>745.25999999999988</v>
      </c>
      <c r="AU38" s="98">
        <f t="shared" si="18"/>
        <v>0</v>
      </c>
      <c r="AV38" s="98">
        <f t="array" ref="AV38">_xlfn.IFS(U38=0,AO38,U38&lt;0,AO38/-U38,U38&gt;0,AO38/U38)</f>
        <v>-210.24984977205713</v>
      </c>
      <c r="AW38" s="234">
        <f t="shared" si="38"/>
        <v>-0.17862743496092465</v>
      </c>
      <c r="AX38" s="234">
        <f t="shared" si="39"/>
        <v>-1.9921342597314489</v>
      </c>
      <c r="AY38" s="99"/>
      <c r="AZ38" s="94">
        <f t="shared" si="13"/>
        <v>-9461.2432397425709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5"/>
        <v>13</v>
      </c>
      <c r="F39" s="93">
        <f>'Юнит 13'!F39</f>
        <v>5</v>
      </c>
      <c r="G39" s="93">
        <f>'Юнит 13'!G39</f>
        <v>5</v>
      </c>
      <c r="H39" s="93">
        <f>'Юнит 13'!H39</f>
        <v>2</v>
      </c>
      <c r="I39" s="93">
        <f>'Юнит 13'!I39</f>
        <v>0</v>
      </c>
      <c r="J39" s="93">
        <f>'Юнит 13'!J39</f>
        <v>1</v>
      </c>
      <c r="K39" s="92">
        <v>105.54</v>
      </c>
      <c r="L39" s="92">
        <f t="shared" si="36"/>
        <v>1372.02</v>
      </c>
      <c r="M39" s="89">
        <f>'Юнит 13'!M39</f>
        <v>8</v>
      </c>
      <c r="N39" s="89">
        <f>'Юнит 10'!N39+'Юнит 11'!N39+'Юнит 12'!N39+'Юнит 13'!N39</f>
        <v>71</v>
      </c>
      <c r="O39" s="89">
        <v>1077</v>
      </c>
      <c r="P39" s="399">
        <v>0.36</v>
      </c>
      <c r="Q39" s="406">
        <f t="shared" si="14"/>
        <v>0.352112676056338</v>
      </c>
      <c r="R39" s="92">
        <f t="shared" si="15"/>
        <v>3.5714285714285716</v>
      </c>
      <c r="S39" s="89">
        <f>'Юнит 10'!S39+'Юнит 11'!S39+'Юнит 12'!S39+'Юнит 13'!S39</f>
        <v>26</v>
      </c>
      <c r="T39" s="89">
        <f>'Юнит 10'!T39+'Юнит 11'!T39+'Юнит 12'!T39+'Юнит 13'!T39</f>
        <v>-1</v>
      </c>
      <c r="U39" s="92">
        <f t="shared" si="1"/>
        <v>25</v>
      </c>
      <c r="V39" s="89">
        <f>'Юнит 10'!V39+'Юнит 11'!V39+'Юнит 12'!V39+'Юнит 13'!V39</f>
        <v>18175.66</v>
      </c>
      <c r="W39" s="89">
        <f>'Юнит 10'!W39+'Юнит 11'!W39+'Юнит 12'!W39+'Юнит 13'!W39</f>
        <v>-673</v>
      </c>
      <c r="X39" s="92">
        <f t="shared" si="2"/>
        <v>17502.66</v>
      </c>
      <c r="Y39" s="89">
        <f>'Юнит 10'!Y39+'Юнит 11'!Y39+'Юнит 12'!Y39+'Юнит 13'!Y39</f>
        <v>27862.570000000003</v>
      </c>
      <c r="Z39" s="89">
        <f>'Юнит 10'!Z39+'Юнит 11'!Z39+'Юнит 12'!Z39+'Юнит 13'!Z39</f>
        <v>-1077</v>
      </c>
      <c r="AA39" s="232">
        <f t="shared" si="16"/>
        <v>26785.570000000003</v>
      </c>
      <c r="AB39" s="92">
        <f t="shared" si="17"/>
        <v>275.28120000000001</v>
      </c>
      <c r="AC39" s="234">
        <f t="shared" si="3"/>
        <v>1.4712118436983437E-3</v>
      </c>
      <c r="AD39" s="92">
        <f t="shared" si="4"/>
        <v>2638.5</v>
      </c>
      <c r="AE39" s="89">
        <f>'Юнит 10'!AE39+'Юнит 11'!AE39+'Юнит 12'!AE39+'Юнит 13'!AE39</f>
        <v>10087.380000000003</v>
      </c>
      <c r="AF39" s="234">
        <f t="shared" si="5"/>
        <v>0.37659754860546191</v>
      </c>
      <c r="AG39" s="89">
        <f>'Юнит 10'!AG39+'Юнит 11'!AG39+'Юнит 12'!AG39+'Юнит 13'!AG39</f>
        <v>6057.35</v>
      </c>
      <c r="AH39" s="89">
        <f>'Юнит 10'!AH39+'Юнит 11'!AH39+'Юнит 12'!AH39+'Юнит 13'!AH39</f>
        <v>1000</v>
      </c>
      <c r="AI39" s="89">
        <f>'Юнит 10'!AI39+'Юнит 11'!AI39+'Юнит 12'!AI39+'Юнит 13'!AI39</f>
        <v>3000</v>
      </c>
      <c r="AJ39" s="89">
        <f>'Юнит 10'!AJ39+'Юнит 11'!AJ39+'Юнит 12'!AJ39+'Юнит 13'!AJ39</f>
        <v>0</v>
      </c>
      <c r="AK39" s="89">
        <f>'Юнит 10'!AK39+'Юнит 11'!AK39+'Юнит 12'!AK39+'Юнит 13'!AK39</f>
        <v>0</v>
      </c>
      <c r="AL39" s="89">
        <f>'Юнит 10'!AL39+'Юнит 11'!AL39+'Юнит 12'!AL39+'Юнит 13'!AL39</f>
        <v>12.372375415444443</v>
      </c>
      <c r="AM39" s="89">
        <f>'Юнит 10'!AM39+'Юнит 11'!AM39+'Юнит 12'!AM39+'Юнит 13'!AM39</f>
        <v>0</v>
      </c>
      <c r="AN39" s="325">
        <f t="shared" si="37"/>
        <v>976.86705421576721</v>
      </c>
      <c r="AO39" s="95">
        <f t="shared" si="19"/>
        <v>3013.1005703687888</v>
      </c>
      <c r="AP39" s="96"/>
      <c r="AQ39" s="97">
        <f t="shared" si="7"/>
        <v>1071.4228000000001</v>
      </c>
      <c r="AR39" s="98">
        <f t="shared" si="29"/>
        <v>105.54</v>
      </c>
      <c r="AS39" s="98">
        <f t="shared" si="9"/>
        <v>403.49520000000012</v>
      </c>
      <c r="AT39" s="98">
        <f t="shared" si="10"/>
        <v>232.97500000000002</v>
      </c>
      <c r="AU39" s="98">
        <f t="shared" si="18"/>
        <v>153.84615384615384</v>
      </c>
      <c r="AV39" s="98">
        <f t="array" ref="AV39">_xlfn.IFS(U39=0,AO39,U39&lt;0,AO39/-U39,U39&gt;0,AO39/U39)</f>
        <v>120.52402281475155</v>
      </c>
      <c r="AW39" s="234">
        <f t="shared" si="38"/>
        <v>0.11248969390491927</v>
      </c>
      <c r="AX39" s="234">
        <f t="shared" si="39"/>
        <v>1.141974822955766</v>
      </c>
      <c r="AY39" s="99"/>
      <c r="AZ39" s="94">
        <f t="shared" si="13"/>
        <v>1566.8122965917701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5"/>
        <v>34</v>
      </c>
      <c r="F40" s="93">
        <f>'Юнит 13'!F40</f>
        <v>2</v>
      </c>
      <c r="G40" s="93">
        <f>'Юнит 13'!G40</f>
        <v>2</v>
      </c>
      <c r="H40" s="93">
        <f>'Юнит 13'!H40</f>
        <v>29</v>
      </c>
      <c r="I40" s="93">
        <f>'Юнит 13'!I40</f>
        <v>0</v>
      </c>
      <c r="J40" s="93">
        <f>'Юнит 13'!J40</f>
        <v>1</v>
      </c>
      <c r="K40" s="92">
        <v>105.54</v>
      </c>
      <c r="L40" s="92">
        <f t="shared" si="36"/>
        <v>3588.36</v>
      </c>
      <c r="M40" s="89">
        <f>'Юнит 13'!M40</f>
        <v>71</v>
      </c>
      <c r="N40" s="89">
        <f>'Юнит 10'!N40+'Юнит 11'!N40+'Юнит 12'!N40+'Юнит 13'!N40</f>
        <v>38</v>
      </c>
      <c r="O40" s="89">
        <v>1197</v>
      </c>
      <c r="P40" s="399">
        <v>0.37</v>
      </c>
      <c r="Q40" s="406">
        <f t="shared" si="14"/>
        <v>0.34210526315789475</v>
      </c>
      <c r="R40" s="92">
        <f t="shared" si="15"/>
        <v>1.8571428571428572</v>
      </c>
      <c r="S40" s="89">
        <f>'Юнит 10'!S40+'Юнит 11'!S40+'Юнит 12'!S40+'Юнит 13'!S40</f>
        <v>14</v>
      </c>
      <c r="T40" s="89">
        <f>'Юнит 10'!T40+'Юнит 11'!T40+'Юнит 12'!T40+'Юнит 13'!T40</f>
        <v>-1</v>
      </c>
      <c r="U40" s="92">
        <f t="shared" si="1"/>
        <v>13</v>
      </c>
      <c r="V40" s="89">
        <f>'Юнит 10'!V40+'Юнит 11'!V40+'Юнит 12'!V40+'Юнит 13'!V40</f>
        <v>10619</v>
      </c>
      <c r="W40" s="89">
        <f>'Юнит 10'!W40+'Юнит 11'!W40+'Юнит 12'!W40+'Юнит 13'!W40</f>
        <v>-772</v>
      </c>
      <c r="X40" s="92">
        <f t="shared" si="2"/>
        <v>9847</v>
      </c>
      <c r="Y40" s="89">
        <f>'Юнит 10'!Y40+'Юнит 11'!Y40+'Юнит 12'!Y40+'Юнит 13'!Y40</f>
        <v>16733</v>
      </c>
      <c r="Z40" s="89">
        <f>'Юнит 10'!Z40+'Юнит 11'!Z40+'Юнит 12'!Z40+'Юнит 13'!Z40</f>
        <v>-1197</v>
      </c>
      <c r="AA40" s="232">
        <f t="shared" si="16"/>
        <v>15536</v>
      </c>
      <c r="AB40" s="92">
        <f t="shared" si="17"/>
        <v>168.29820000000001</v>
      </c>
      <c r="AC40" s="234">
        <f t="shared" si="3"/>
        <v>8.5332315883878762E-4</v>
      </c>
      <c r="AD40" s="92">
        <f t="shared" si="4"/>
        <v>1372.02</v>
      </c>
      <c r="AE40" s="89">
        <f>'Юнит 10'!AE40+'Юнит 11'!AE40+'Юнит 12'!AE40+'Юнит 13'!AE40</f>
        <v>5854.52</v>
      </c>
      <c r="AF40" s="234">
        <f t="shared" si="5"/>
        <v>0.37683573635427398</v>
      </c>
      <c r="AG40" s="89">
        <f>'Юнит 10'!AG40+'Юнит 11'!AG40+'Юнит 12'!AG40+'Юнит 13'!AG40</f>
        <v>3140.2799999999997</v>
      </c>
      <c r="AH40" s="89">
        <f>'Юнит 10'!AH40+'Юнит 11'!AH40+'Юнит 12'!AH40+'Юнит 13'!AH40</f>
        <v>0</v>
      </c>
      <c r="AI40" s="89">
        <f>'Юнит 10'!AI40+'Юнит 11'!AI40+'Юнит 12'!AI40+'Юнит 13'!AI40</f>
        <v>0</v>
      </c>
      <c r="AJ40" s="89">
        <f>'Юнит 10'!AJ40+'Юнит 11'!AJ40+'Юнит 12'!AJ40+'Юнит 13'!AJ40</f>
        <v>0</v>
      </c>
      <c r="AK40" s="89">
        <f>'Юнит 10'!AK40+'Юнит 11'!AK40+'Юнит 12'!AK40+'Юнит 13'!AK40</f>
        <v>0</v>
      </c>
      <c r="AL40" s="89">
        <f>'Юнит 10'!AL40+'Юнит 11'!AL40+'Юнит 12'!AL40+'Юнит 13'!AL40</f>
        <v>126.12727241638835</v>
      </c>
      <c r="AM40" s="89">
        <f>'Юнит 10'!AM40+'Юнит 11'!AM40+'Юнит 12'!AM40+'Юнит 13'!AM40</f>
        <v>0</v>
      </c>
      <c r="AN40" s="325">
        <f t="shared" si="37"/>
        <v>549.58559915250942</v>
      </c>
      <c r="AO40" s="95">
        <f t="shared" si="19"/>
        <v>4493.4671284311016</v>
      </c>
      <c r="AP40" s="96"/>
      <c r="AQ40" s="97">
        <f t="shared" si="7"/>
        <v>1195.0769230769231</v>
      </c>
      <c r="AR40" s="98">
        <f t="shared" si="29"/>
        <v>105.54</v>
      </c>
      <c r="AS40" s="98">
        <f t="shared" si="9"/>
        <v>450.34769230769234</v>
      </c>
      <c r="AT40" s="98">
        <f t="shared" si="10"/>
        <v>224.30571428571426</v>
      </c>
      <c r="AU40" s="98">
        <f t="shared" si="18"/>
        <v>0</v>
      </c>
      <c r="AV40" s="98">
        <f t="array" ref="AV40">_xlfn.IFS(U40=0,AO40,U40&lt;0,AO40/-U40,U40&gt;0,AO40/U40)</f>
        <v>345.65131757162322</v>
      </c>
      <c r="AW40" s="234">
        <f t="shared" si="38"/>
        <v>0.28922934657769706</v>
      </c>
      <c r="AX40" s="234">
        <f t="shared" si="39"/>
        <v>3.2750740721207428</v>
      </c>
      <c r="AY40" s="99"/>
      <c r="AZ40" s="94">
        <f t="shared" si="13"/>
        <v>11752.14479743519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5"/>
        <v>43</v>
      </c>
      <c r="F41" s="93">
        <f>'Юнит 13'!F41</f>
        <v>1</v>
      </c>
      <c r="G41" s="93">
        <f>'Юнит 13'!G41</f>
        <v>1</v>
      </c>
      <c r="H41" s="93">
        <f>'Юнит 13'!H41</f>
        <v>40</v>
      </c>
      <c r="I41" s="93">
        <f>'Юнит 13'!I41</f>
        <v>0</v>
      </c>
      <c r="J41" s="93">
        <f>'Юнит 13'!J41</f>
        <v>1</v>
      </c>
      <c r="K41" s="92">
        <v>123.09</v>
      </c>
      <c r="L41" s="92">
        <f t="shared" si="36"/>
        <v>5292.87</v>
      </c>
      <c r="M41" s="89">
        <f>'Юнит 13'!M41</f>
        <v>313</v>
      </c>
      <c r="N41" s="89">
        <f>'Юнит 10'!N41+'Юнит 11'!N41+'Юнит 12'!N41+'Юнит 13'!N41</f>
        <v>6</v>
      </c>
      <c r="O41" s="89">
        <v>1218</v>
      </c>
      <c r="P41" s="399">
        <v>0.4</v>
      </c>
      <c r="Q41" s="406">
        <f t="shared" si="14"/>
        <v>0.5</v>
      </c>
      <c r="R41" s="92">
        <f t="shared" si="15"/>
        <v>0.42857142857142855</v>
      </c>
      <c r="S41" s="89">
        <f>'Юнит 10'!S41+'Юнит 11'!S41+'Юнит 12'!S41+'Юнит 13'!S41</f>
        <v>3</v>
      </c>
      <c r="T41" s="89">
        <f>'Юнит 10'!T41+'Юнит 11'!T41+'Юнит 12'!T41+'Юнит 13'!T41</f>
        <v>0</v>
      </c>
      <c r="U41" s="92">
        <f t="shared" si="1"/>
        <v>3</v>
      </c>
      <c r="V41" s="89">
        <f>'Юнит 10'!V41+'Юнит 11'!V41+'Юнит 12'!V41+'Юнит 13'!V41</f>
        <v>2299</v>
      </c>
      <c r="W41" s="89">
        <f>'Юнит 10'!W41+'Юнит 11'!W41+'Юнит 12'!W41+'Юнит 13'!W41</f>
        <v>0</v>
      </c>
      <c r="X41" s="92">
        <f t="shared" si="2"/>
        <v>2299</v>
      </c>
      <c r="Y41" s="89">
        <f>'Юнит 10'!Y41+'Юнит 11'!Y41+'Юнит 12'!Y41+'Юнит 13'!Y41</f>
        <v>3629</v>
      </c>
      <c r="Z41" s="89">
        <f>'Юнит 10'!Z41+'Юнит 11'!Z41+'Юнит 12'!Z41+'Юнит 13'!Z41</f>
        <v>0</v>
      </c>
      <c r="AA41" s="232">
        <f t="shared" si="16"/>
        <v>3629</v>
      </c>
      <c r="AB41" s="92">
        <f t="shared" si="17"/>
        <v>29.232000000000003</v>
      </c>
      <c r="AC41" s="234">
        <f t="shared" si="3"/>
        <v>1.9932477751196965E-4</v>
      </c>
      <c r="AD41" s="92">
        <f t="shared" si="4"/>
        <v>369.27</v>
      </c>
      <c r="AE41" s="89">
        <f>'Юнит 10'!AE41+'Юнит 11'!AE41+'Юнит 12'!AE41+'Юнит 13'!AE41</f>
        <v>1371.19</v>
      </c>
      <c r="AF41" s="234">
        <f t="shared" si="5"/>
        <v>0.37784238082116289</v>
      </c>
      <c r="AG41" s="89">
        <f>'Юнит 10'!AG41+'Юнит 11'!AG41+'Юнит 12'!AG41+'Юнит 13'!AG41</f>
        <v>537.1400000000001</v>
      </c>
      <c r="AH41" s="89">
        <f>'Юнит 10'!AH41+'Юнит 11'!AH41+'Юнит 12'!AH41+'Юнит 13'!AH41</f>
        <v>0</v>
      </c>
      <c r="AI41" s="89">
        <f>'Юнит 10'!AI41+'Юнит 11'!AI41+'Юнит 12'!AI41+'Юнит 13'!AI41</f>
        <v>0</v>
      </c>
      <c r="AJ41" s="89">
        <f>'Юнит 10'!AJ41+'Юнит 11'!AJ41+'Юнит 12'!AJ41+'Юнит 13'!AJ41</f>
        <v>0</v>
      </c>
      <c r="AK41" s="89">
        <f>'Юнит 10'!AK41+'Юнит 11'!AK41+'Юнит 12'!AK41+'Юнит 13'!AK41</f>
        <v>0</v>
      </c>
      <c r="AL41" s="89">
        <f>'Юнит 10'!AL41+'Юнит 11'!AL41+'Юнит 12'!AL41+'Юнит 13'!AL41</f>
        <v>163.18157837452461</v>
      </c>
      <c r="AM41" s="89">
        <f>'Юнит 10'!AM41+'Юнит 11'!AM41+'Юнит 12'!AM41+'Юнит 13'!AM41</f>
        <v>0</v>
      </c>
      <c r="AN41" s="325">
        <f t="shared" si="37"/>
        <v>128.31291687332376</v>
      </c>
      <c r="AO41" s="95">
        <f t="shared" si="19"/>
        <v>1059.9055047521515</v>
      </c>
      <c r="AP41" s="96"/>
      <c r="AQ41" s="97">
        <f t="shared" si="7"/>
        <v>1209.6666666666667</v>
      </c>
      <c r="AR41" s="98">
        <f t="shared" si="29"/>
        <v>123.09</v>
      </c>
      <c r="AS41" s="98">
        <f t="shared" si="9"/>
        <v>457.06333333333333</v>
      </c>
      <c r="AT41" s="98">
        <f t="shared" si="10"/>
        <v>179.04666666666671</v>
      </c>
      <c r="AU41" s="98">
        <f t="shared" si="18"/>
        <v>0</v>
      </c>
      <c r="AV41" s="98">
        <f t="array" ref="AV41">_xlfn.IFS(U41=0,AO41,U41&lt;0,AO41/-U41,U41&gt;0,AO41/U41)</f>
        <v>353.30183491738381</v>
      </c>
      <c r="AW41" s="234">
        <f t="shared" si="38"/>
        <v>0.29206544633567139</v>
      </c>
      <c r="AX41" s="234">
        <f t="shared" si="39"/>
        <v>2.8702724422567538</v>
      </c>
      <c r="AY41" s="99"/>
      <c r="AZ41" s="94">
        <f t="shared" si="13"/>
        <v>15191.978901447505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5"/>
        <v>33</v>
      </c>
      <c r="F42" s="93">
        <f>'Юнит 13'!F42</f>
        <v>10</v>
      </c>
      <c r="G42" s="93">
        <f>'Юнит 13'!G42</f>
        <v>4</v>
      </c>
      <c r="H42" s="93">
        <f>'Юнит 13'!H42</f>
        <v>18</v>
      </c>
      <c r="I42" s="93">
        <f>'Юнит 13'!I42</f>
        <v>0</v>
      </c>
      <c r="J42" s="93">
        <f>'Юнит 13'!J42</f>
        <v>1</v>
      </c>
      <c r="K42" s="92">
        <v>123.09</v>
      </c>
      <c r="L42" s="92">
        <f t="shared" si="36"/>
        <v>4061.9700000000003</v>
      </c>
      <c r="M42" s="89">
        <f>'Юнит 13'!M42</f>
        <v>42</v>
      </c>
      <c r="N42" s="89">
        <f>'Юнит 10'!N42+'Юнит 11'!N42+'Юнит 12'!N42+'Юнит 13'!N42</f>
        <v>41</v>
      </c>
      <c r="O42" s="89">
        <v>1176</v>
      </c>
      <c r="P42" s="399">
        <v>0.39</v>
      </c>
      <c r="Q42" s="406">
        <f t="shared" si="14"/>
        <v>0.34146341463414637</v>
      </c>
      <c r="R42" s="92">
        <f t="shared" si="15"/>
        <v>2</v>
      </c>
      <c r="S42" s="89">
        <f>'Юнит 10'!S42+'Юнит 11'!S42+'Юнит 12'!S42+'Юнит 13'!S42</f>
        <v>14</v>
      </c>
      <c r="T42" s="89">
        <f>'Юнит 10'!T42+'Юнит 11'!T42+'Юнит 12'!T42+'Юнит 13'!T42</f>
        <v>0</v>
      </c>
      <c r="U42" s="92">
        <f t="shared" si="1"/>
        <v>14</v>
      </c>
      <c r="V42" s="89">
        <f>'Юнит 10'!V42+'Юнит 11'!V42+'Юнит 12'!V42+'Юнит 13'!V42</f>
        <v>10703.8</v>
      </c>
      <c r="W42" s="89">
        <f>'Юнит 10'!W42+'Юнит 11'!W42+'Юнит 12'!W42+'Юнит 13'!W42</f>
        <v>0</v>
      </c>
      <c r="X42" s="92">
        <f t="shared" si="2"/>
        <v>10703.8</v>
      </c>
      <c r="Y42" s="89">
        <f>'Юнит 10'!Y42+'Юнит 11'!Y42+'Юнит 12'!Y42+'Юнит 13'!Y42</f>
        <v>16392.910000000003</v>
      </c>
      <c r="Z42" s="89">
        <f>'Юнит 10'!Z42+'Юнит 11'!Z42+'Юнит 12'!Z42+'Юнит 13'!Z42</f>
        <v>0</v>
      </c>
      <c r="AA42" s="232">
        <f t="shared" si="16"/>
        <v>16392.910000000003</v>
      </c>
      <c r="AB42" s="92">
        <f t="shared" si="17"/>
        <v>188.04240000000001</v>
      </c>
      <c r="AC42" s="234">
        <f t="shared" si="3"/>
        <v>9.0038940163233484E-4</v>
      </c>
      <c r="AD42" s="92">
        <f t="shared" si="4"/>
        <v>1723.26</v>
      </c>
      <c r="AE42" s="89">
        <f>'Юнит 10'!AE42+'Юнит 11'!AE42+'Юнит 12'!AE42+'Юнит 13'!AE42</f>
        <v>6186.8500000000022</v>
      </c>
      <c r="AF42" s="234">
        <f t="shared" si="5"/>
        <v>0.37741011205454073</v>
      </c>
      <c r="AG42" s="89">
        <f>'Юнит 10'!AG42+'Юнит 11'!AG42+'Юнит 12'!AG42+'Юнит 13'!AG42</f>
        <v>2753.1099999999997</v>
      </c>
      <c r="AH42" s="89">
        <f>'Юнит 10'!AH42+'Юнит 11'!AH42+'Юнит 12'!AH42+'Юнит 13'!AH42</f>
        <v>0</v>
      </c>
      <c r="AI42" s="89">
        <f>'Юнит 10'!AI42+'Юнит 11'!AI42+'Юнит 12'!AI42+'Юнит 13'!AI42</f>
        <v>0</v>
      </c>
      <c r="AJ42" s="89">
        <f>'Юнит 10'!AJ42+'Юнит 11'!AJ42+'Юнит 12'!AJ42+'Юнит 13'!AJ42</f>
        <v>0</v>
      </c>
      <c r="AK42" s="89">
        <f>'Юнит 10'!AK42+'Юнит 11'!AK42+'Юнит 12'!AK42+'Юнит 13'!AK42</f>
        <v>0</v>
      </c>
      <c r="AL42" s="89">
        <f>'Юнит 10'!AL42+'Юнит 11'!AL42+'Юнит 12'!AL42+'Юнит 13'!AL42</f>
        <v>112.477888920826</v>
      </c>
      <c r="AM42" s="89">
        <f>'Юнит 10'!AM42+'Юнит 11'!AM42+'Юнит 12'!AM42+'Юнит 13'!AM42</f>
        <v>0</v>
      </c>
      <c r="AN42" s="325">
        <f t="shared" si="37"/>
        <v>597.40574146528172</v>
      </c>
      <c r="AO42" s="95">
        <f t="shared" si="19"/>
        <v>5019.8063696138934</v>
      </c>
      <c r="AP42" s="96"/>
      <c r="AQ42" s="97">
        <f t="shared" si="7"/>
        <v>1170.9221428571432</v>
      </c>
      <c r="AR42" s="98">
        <f t="shared" si="29"/>
        <v>123.09</v>
      </c>
      <c r="AS42" s="98">
        <f t="shared" si="9"/>
        <v>441.91785714285732</v>
      </c>
      <c r="AT42" s="98">
        <f t="shared" si="10"/>
        <v>196.65071428571426</v>
      </c>
      <c r="AU42" s="98">
        <f t="shared" si="18"/>
        <v>0</v>
      </c>
      <c r="AV42" s="98">
        <f t="array" ref="AV42">_xlfn.IFS(U42=0,AO42,U42&lt;0,AO42/-U42,U42&gt;0,AO42/U42)</f>
        <v>358.5575978295638</v>
      </c>
      <c r="AW42" s="234">
        <f t="shared" si="38"/>
        <v>0.30621813757373717</v>
      </c>
      <c r="AX42" s="234">
        <f t="shared" si="39"/>
        <v>2.9129709791986658</v>
      </c>
      <c r="AY42" s="99"/>
      <c r="AZ42" s="94">
        <f t="shared" si="13"/>
        <v>11832.400728375605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5"/>
        <v>9</v>
      </c>
      <c r="F43" s="93">
        <f>'Юнит 13'!F43</f>
        <v>5</v>
      </c>
      <c r="G43" s="93">
        <f>'Юнит 13'!G43</f>
        <v>3</v>
      </c>
      <c r="H43" s="93" t="str">
        <f>'Юнит 13'!H43</f>
        <v/>
      </c>
      <c r="I43" s="93">
        <f>'Юнит 13'!I43</f>
        <v>0</v>
      </c>
      <c r="J43" s="93">
        <f>'Юнит 13'!J43</f>
        <v>1</v>
      </c>
      <c r="K43" s="92">
        <v>123.09</v>
      </c>
      <c r="L43" s="92">
        <f t="shared" si="36"/>
        <v>1107.81</v>
      </c>
      <c r="M43" s="89">
        <f>'Юнит 13'!M43</f>
        <v>3</v>
      </c>
      <c r="N43" s="89">
        <f>'Юнит 10'!N43+'Юнит 11'!N43+'Юнит 12'!N43+'Юнит 13'!N43</f>
        <v>61</v>
      </c>
      <c r="O43" s="89">
        <v>1102</v>
      </c>
      <c r="P43" s="399">
        <v>0.46</v>
      </c>
      <c r="Q43" s="406">
        <f t="shared" si="14"/>
        <v>0.55737704918032782</v>
      </c>
      <c r="R43" s="92">
        <f t="shared" si="15"/>
        <v>4.8571428571428568</v>
      </c>
      <c r="S43" s="89">
        <f>'Юнит 10'!S43+'Юнит 11'!S43+'Юнит 12'!S43+'Юнит 13'!S43</f>
        <v>35</v>
      </c>
      <c r="T43" s="89">
        <f>'Юнит 10'!T43+'Юнит 11'!T43+'Юнит 12'!T43+'Юнит 13'!T43</f>
        <v>-1</v>
      </c>
      <c r="U43" s="92">
        <f t="shared" si="1"/>
        <v>34</v>
      </c>
      <c r="V43" s="89">
        <f>'Юнит 10'!V43+'Юнит 11'!V43+'Юнит 12'!V43+'Юнит 13'!V43</f>
        <v>25319.360000000001</v>
      </c>
      <c r="W43" s="89">
        <f>'Юнит 10'!W43+'Юнит 11'!W43+'Юнит 12'!W43+'Юнит 13'!W43</f>
        <v>-688</v>
      </c>
      <c r="X43" s="92">
        <f t="shared" si="2"/>
        <v>24631.360000000001</v>
      </c>
      <c r="Y43" s="89">
        <f>'Юнит 10'!Y43+'Юнит 11'!Y43+'Юнит 12'!Y43+'Юнит 13'!Y43</f>
        <v>38502.750000000007</v>
      </c>
      <c r="Z43" s="89">
        <f>'Юнит 10'!Z43+'Юнит 11'!Z43+'Юнит 12'!Z43+'Юнит 13'!Z43</f>
        <v>-1102</v>
      </c>
      <c r="AA43" s="232">
        <f t="shared" si="16"/>
        <v>37400.750000000007</v>
      </c>
      <c r="AB43" s="92">
        <f t="shared" si="17"/>
        <v>309.22120000000001</v>
      </c>
      <c r="AC43" s="234">
        <f t="shared" si="3"/>
        <v>2.0542563164868558E-3</v>
      </c>
      <c r="AD43" s="92">
        <f t="shared" si="4"/>
        <v>4185.0600000000004</v>
      </c>
      <c r="AE43" s="89">
        <f>'Юнит 10'!AE43+'Юнит 11'!AE43+'Юнит 12'!AE43+'Юнит 13'!AE43</f>
        <v>14151.300000000005</v>
      </c>
      <c r="AF43" s="234">
        <f t="shared" si="5"/>
        <v>0.37836941772558041</v>
      </c>
      <c r="AG43" s="89">
        <f>'Юнит 10'!AG43+'Юнит 11'!AG43+'Юнит 12'!AG43+'Юнит 13'!AG43</f>
        <v>6692.989999999998</v>
      </c>
      <c r="AH43" s="89">
        <f>'Юнит 10'!AH43+'Юнит 11'!AH43+'Юнит 12'!AH43+'Юнит 13'!AH43</f>
        <v>0</v>
      </c>
      <c r="AI43" s="89">
        <f>'Юнит 10'!AI43+'Юнит 11'!AI43+'Юнит 12'!AI43+'Юнит 13'!AI43</f>
        <v>2000</v>
      </c>
      <c r="AJ43" s="89">
        <f>'Юнит 10'!AJ43+'Юнит 11'!AJ43+'Юнит 12'!AJ43+'Юнит 13'!AJ43</f>
        <v>0</v>
      </c>
      <c r="AK43" s="89">
        <f>'Юнит 10'!AK43+'Юнит 11'!AK43+'Юнит 12'!AK43+'Юнит 13'!AK43</f>
        <v>0</v>
      </c>
      <c r="AL43" s="89">
        <f>'Юнит 10'!AL43+'Юнит 11'!AL43+'Юнит 12'!AL43+'Юнит 13'!AL43</f>
        <v>3.33748796937462</v>
      </c>
      <c r="AM43" s="89">
        <f>'Юнит 10'!AM43+'Юнит 11'!AM43+'Юнит 12'!AM43+'Юнит 13'!AM43</f>
        <v>0</v>
      </c>
      <c r="AN43" s="325">
        <f t="shared" si="37"/>
        <v>1374.7375590069212</v>
      </c>
      <c r="AO43" s="95">
        <f t="shared" si="19"/>
        <v>8993.3249530237135</v>
      </c>
      <c r="AP43" s="96"/>
      <c r="AQ43" s="97">
        <f t="shared" si="7"/>
        <v>1100.0220588235297</v>
      </c>
      <c r="AR43" s="98">
        <f t="shared" si="29"/>
        <v>123.09</v>
      </c>
      <c r="AS43" s="98">
        <f t="shared" si="9"/>
        <v>416.21470588235309</v>
      </c>
      <c r="AT43" s="98">
        <f t="shared" si="10"/>
        <v>191.22828571428565</v>
      </c>
      <c r="AU43" s="98">
        <f t="shared" si="18"/>
        <v>57.142857142857146</v>
      </c>
      <c r="AV43" s="98">
        <f t="array" ref="AV43">_xlfn.IFS(U43=0,AO43,U43&lt;0,AO43/-U43,U43&gt;0,AO43/U43)</f>
        <v>264.50955744187394</v>
      </c>
      <c r="AW43" s="234">
        <f t="shared" si="38"/>
        <v>0.24045841201108831</v>
      </c>
      <c r="AX43" s="234">
        <f t="shared" si="39"/>
        <v>2.1489118323330403</v>
      </c>
      <c r="AY43" s="99"/>
      <c r="AZ43" s="94">
        <f t="shared" si="13"/>
        <v>2380.5860169768653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5"/>
        <v>1279</v>
      </c>
      <c r="F44" s="93">
        <f>'Юнит 13'!F44</f>
        <v>53</v>
      </c>
      <c r="G44" s="93">
        <f>'Юнит 13'!G44</f>
        <v>35</v>
      </c>
      <c r="H44" s="93">
        <f>'Юнит 13'!H44</f>
        <v>134</v>
      </c>
      <c r="I44" s="93">
        <f>'Юнит 13'!I44</f>
        <v>0</v>
      </c>
      <c r="J44" s="93">
        <f>'Юнит 13'!J44</f>
        <v>1057</v>
      </c>
      <c r="K44" s="92">
        <v>111.39</v>
      </c>
      <c r="L44" s="92">
        <f t="shared" si="36"/>
        <v>142467.81</v>
      </c>
      <c r="M44" s="89">
        <f>'Юнит 13'!M44</f>
        <v>14</v>
      </c>
      <c r="N44" s="89">
        <f>'Юнит 10'!N44+'Юнит 11'!N44+'Юнит 12'!N44+'Юнит 13'!N44</f>
        <v>356</v>
      </c>
      <c r="O44" s="89">
        <v>1174</v>
      </c>
      <c r="P44" s="399">
        <v>0.51</v>
      </c>
      <c r="Q44" s="406">
        <f t="shared" si="14"/>
        <v>0.4353932584269663</v>
      </c>
      <c r="R44" s="92">
        <f t="shared" si="15"/>
        <v>22.142857142857142</v>
      </c>
      <c r="S44" s="89">
        <f>'Юнит 10'!S44+'Юнит 11'!S44+'Юнит 12'!S44+'Юнит 13'!S44</f>
        <v>159</v>
      </c>
      <c r="T44" s="89">
        <f>'Юнит 10'!T44+'Юнит 11'!T44+'Юнит 12'!T44+'Юнит 13'!T44</f>
        <v>-4</v>
      </c>
      <c r="U44" s="92">
        <f t="shared" si="1"/>
        <v>155</v>
      </c>
      <c r="V44" s="89">
        <f>'Юнит 10'!V44+'Юнит 11'!V44+'Юнит 12'!V44+'Юнит 13'!V44</f>
        <v>120727.69</v>
      </c>
      <c r="W44" s="89">
        <f>'Юнит 10'!W44+'Юнит 11'!W44+'Юнит 12'!W44+'Юнит 13'!W44</f>
        <v>-2794</v>
      </c>
      <c r="X44" s="92">
        <f t="shared" si="2"/>
        <v>117933.69</v>
      </c>
      <c r="Y44" s="89">
        <f>'Юнит 10'!Y44+'Юнит 11'!Y44+'Юнит 12'!Y44+'Юнит 13'!Y44</f>
        <v>181182.28999999998</v>
      </c>
      <c r="Z44" s="89">
        <f>'Юнит 10'!Z44+'Юнит 11'!Z44+'Юнит 12'!Z44+'Юнит 13'!Z44</f>
        <v>-4186</v>
      </c>
      <c r="AA44" s="232">
        <f t="shared" si="16"/>
        <v>176996.28999999998</v>
      </c>
      <c r="AB44" s="92">
        <f t="shared" si="17"/>
        <v>2131.5144</v>
      </c>
      <c r="AC44" s="234">
        <f t="shared" si="3"/>
        <v>9.72161645761754E-3</v>
      </c>
      <c r="AD44" s="92">
        <f t="shared" si="4"/>
        <v>17265.45</v>
      </c>
      <c r="AE44" s="89">
        <f>'Юнит 10'!AE44+'Юнит 11'!AE44+'Юнит 12'!AE44+'Юнит 13'!AE44</f>
        <v>66860.320000000007</v>
      </c>
      <c r="AF44" s="234">
        <f t="shared" si="5"/>
        <v>0.37774983871130868</v>
      </c>
      <c r="AG44" s="89">
        <f>'Юнит 10'!AG44+'Юнит 11'!AG44+'Юнит 12'!AG44+'Юнит 13'!AG44</f>
        <v>21687.589999999997</v>
      </c>
      <c r="AH44" s="89">
        <f>'Юнит 10'!AH44+'Юнит 11'!AH44+'Юнит 12'!AH44+'Юнит 13'!AH44</f>
        <v>4224</v>
      </c>
      <c r="AI44" s="89">
        <f>'Юнит 10'!AI44+'Юнит 11'!AI44+'Юнит 12'!AI44+'Юнит 13'!AI44</f>
        <v>14000</v>
      </c>
      <c r="AJ44" s="89">
        <f>'Юнит 10'!AJ44+'Юнит 11'!AJ44+'Юнит 12'!AJ44+'Юнит 13'!AJ44</f>
        <v>0</v>
      </c>
      <c r="AK44" s="89">
        <f>'Юнит 10'!AK44+'Юнит 11'!AK44+'Юнит 12'!AK44+'Юнит 13'!AK44</f>
        <v>0</v>
      </c>
      <c r="AL44" s="89">
        <f>'Юнит 10'!AL44+'Юнит 11'!AL44+'Юнит 12'!AL44+'Юнит 13'!AL44</f>
        <v>375.87857404083417</v>
      </c>
      <c r="AM44" s="89">
        <f>'Юнит 10'!AM44+'Юнит 11'!AM44+'Юнит 12'!AM44+'Юнит 13'!AM44</f>
        <v>0</v>
      </c>
      <c r="AN44" s="325">
        <f t="shared" si="37"/>
        <v>6582.1730150214589</v>
      </c>
      <c r="AO44" s="95">
        <f t="shared" si="19"/>
        <v>46000.878410937672</v>
      </c>
      <c r="AP44" s="96"/>
      <c r="AQ44" s="97">
        <f t="shared" si="7"/>
        <v>1141.9115483870967</v>
      </c>
      <c r="AR44" s="98">
        <f t="shared" si="29"/>
        <v>111.39</v>
      </c>
      <c r="AS44" s="98">
        <f t="shared" si="9"/>
        <v>431.35690322580649</v>
      </c>
      <c r="AT44" s="98">
        <f t="shared" si="10"/>
        <v>136.39993710691823</v>
      </c>
      <c r="AU44" s="98">
        <f t="shared" si="18"/>
        <v>114.61635220125787</v>
      </c>
      <c r="AV44" s="98">
        <f t="array" ref="AV44">_xlfn.IFS(U44=0,AO44,U44&lt;0,AO44/-U44,U44&gt;0,AO44/U44)</f>
        <v>296.7798607157269</v>
      </c>
      <c r="AW44" s="234">
        <f t="shared" si="38"/>
        <v>0.25989741599068361</v>
      </c>
      <c r="AX44" s="234">
        <f t="shared" si="39"/>
        <v>2.6643312749414392</v>
      </c>
      <c r="AY44" s="99"/>
      <c r="AZ44" s="94">
        <f t="shared" si="13"/>
        <v>379581.44185541471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5"/>
        <v>361</v>
      </c>
      <c r="F45" s="93">
        <f>'Юнит 13'!F45</f>
        <v>41</v>
      </c>
      <c r="G45" s="93">
        <f>'Юнит 13'!G45</f>
        <v>30</v>
      </c>
      <c r="H45" s="93">
        <f>'Юнит 13'!H45</f>
        <v>135</v>
      </c>
      <c r="I45" s="93">
        <f>'Юнит 13'!I45</f>
        <v>0</v>
      </c>
      <c r="J45" s="93">
        <f>'Юнит 13'!J45</f>
        <v>155</v>
      </c>
      <c r="K45" s="92">
        <v>107.88</v>
      </c>
      <c r="L45" s="92">
        <f t="shared" si="36"/>
        <v>38944.68</v>
      </c>
      <c r="M45" s="89">
        <f>'Юнит 13'!M45</f>
        <v>20</v>
      </c>
      <c r="N45" s="89">
        <f>'Юнит 10'!N45+'Юнит 11'!N45+'Юнит 12'!N45+'Юнит 13'!N45</f>
        <v>452</v>
      </c>
      <c r="O45" s="89">
        <v>1701</v>
      </c>
      <c r="P45" s="399">
        <v>0.37</v>
      </c>
      <c r="Q45" s="406">
        <f t="shared" si="14"/>
        <v>0.38938053097345132</v>
      </c>
      <c r="R45" s="92">
        <f t="shared" si="15"/>
        <v>25.142857142857142</v>
      </c>
      <c r="S45" s="89">
        <f>'Юнит 10'!S45+'Юнит 11'!S45+'Юнит 12'!S45+'Юнит 13'!S45</f>
        <v>187</v>
      </c>
      <c r="T45" s="89">
        <f>'Юнит 10'!T45+'Юнит 11'!T45+'Юнит 12'!T45+'Юнит 13'!T45</f>
        <v>-11</v>
      </c>
      <c r="U45" s="92">
        <f t="shared" si="1"/>
        <v>176</v>
      </c>
      <c r="V45" s="89">
        <f>'Юнит 10'!V45+'Юнит 11'!V45+'Юнит 12'!V45+'Юнит 13'!V45</f>
        <v>202160.25999999998</v>
      </c>
      <c r="W45" s="89">
        <f>'Юнит 10'!W45+'Юнит 11'!W45+'Юнит 12'!W45+'Юнит 13'!W45</f>
        <v>-12646</v>
      </c>
      <c r="X45" s="92">
        <f t="shared" si="2"/>
        <v>189514.25999999998</v>
      </c>
      <c r="Y45" s="89">
        <f>'Юнит 10'!Y45+'Юнит 11'!Y45+'Юнит 12'!Y45+'Юнит 13'!Y45</f>
        <v>304560.45999999996</v>
      </c>
      <c r="Z45" s="89">
        <f>'Юнит 10'!Z45+'Юнит 11'!Z45+'Юнит 12'!Z45+'Юнит 13'!Z45</f>
        <v>-18723.25</v>
      </c>
      <c r="AA45" s="232">
        <f t="shared" si="16"/>
        <v>285837.20999999996</v>
      </c>
      <c r="AB45" s="92">
        <f t="shared" si="17"/>
        <v>2844.7523999999999</v>
      </c>
      <c r="AC45" s="234">
        <f t="shared" si="3"/>
        <v>1.5699762548330706E-2</v>
      </c>
      <c r="AD45" s="92">
        <f t="shared" si="4"/>
        <v>18986.879999999997</v>
      </c>
      <c r="AE45" s="89">
        <f>'Юнит 10'!AE45+'Юнит 11'!AE45+'Юнит 12'!AE45+'Юнит 13'!AE45</f>
        <v>107733.93999999997</v>
      </c>
      <c r="AF45" s="234">
        <f t="shared" si="5"/>
        <v>0.37690663157536414</v>
      </c>
      <c r="AG45" s="89">
        <f>'Юнит 10'!AG45+'Юнит 11'!AG45+'Юнит 12'!AG45+'Юнит 13'!AG45</f>
        <v>40044.150000000009</v>
      </c>
      <c r="AH45" s="89">
        <f>'Юнит 10'!AH45+'Юнит 11'!AH45+'Юнит 12'!AH45+'Юнит 13'!AH45</f>
        <v>22593</v>
      </c>
      <c r="AI45" s="89">
        <f>'Юнит 10'!AI45+'Юнит 11'!AI45+'Юнит 12'!AI45+'Юнит 13'!AI45</f>
        <v>15478</v>
      </c>
      <c r="AJ45" s="89">
        <f>'Юнит 10'!AJ45+'Юнит 11'!AJ45+'Юнит 12'!AJ45+'Юнит 13'!AJ45</f>
        <v>0</v>
      </c>
      <c r="AK45" s="89">
        <f>'Юнит 10'!AK45+'Юнит 11'!AK45+'Юнит 12'!AK45+'Юнит 13'!AK45</f>
        <v>0</v>
      </c>
      <c r="AL45" s="89">
        <f>'Юнит 10'!AL45+'Юнит 11'!AL45+'Юнит 12'!AL45+'Юнит 13'!AL45</f>
        <v>373.85573094751152</v>
      </c>
      <c r="AM45" s="89">
        <f>'Юнит 10'!AM45+'Юнит 11'!AM45+'Юнит 12'!AM45+'Юнит 13'!AM45</f>
        <v>30</v>
      </c>
      <c r="AN45" s="325">
        <f t="shared" si="37"/>
        <v>10577.262935924082</v>
      </c>
      <c r="AO45" s="95">
        <f t="shared" si="19"/>
        <v>70020.12133312838</v>
      </c>
      <c r="AP45" s="96"/>
      <c r="AQ45" s="97">
        <f t="shared" si="7"/>
        <v>1624.0750568181816</v>
      </c>
      <c r="AR45" s="98">
        <f t="shared" si="29"/>
        <v>107.88</v>
      </c>
      <c r="AS45" s="98">
        <f t="shared" si="9"/>
        <v>612.12465909090895</v>
      </c>
      <c r="AT45" s="98">
        <f t="shared" si="10"/>
        <v>214.13983957219256</v>
      </c>
      <c r="AU45" s="98">
        <f t="shared" si="18"/>
        <v>203.58823529411765</v>
      </c>
      <c r="AV45" s="98">
        <f t="array" ref="AV45">_xlfn.IFS(U45=0,AO45,U45&lt;0,AO45/-U45,U45&gt;0,AO45/U45)</f>
        <v>397.84159848368398</v>
      </c>
      <c r="AW45" s="234">
        <f t="shared" si="38"/>
        <v>0.24496503213534862</v>
      </c>
      <c r="AX45" s="234">
        <f t="shared" si="39"/>
        <v>3.6878160778984426</v>
      </c>
      <c r="AY45" s="99"/>
      <c r="AZ45" s="94">
        <f t="shared" si="13"/>
        <v>143620.81705260993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5"/>
        <v>1</v>
      </c>
      <c r="F46" s="93">
        <f>'Юнит 13'!F46</f>
        <v>0</v>
      </c>
      <c r="G46" s="93">
        <f>'Юнит 13'!G46</f>
        <v>0</v>
      </c>
      <c r="H46" s="93">
        <f>'Юнит 13'!H46</f>
        <v>0</v>
      </c>
      <c r="I46" s="93">
        <f>'Юнит 13'!I46</f>
        <v>0</v>
      </c>
      <c r="J46" s="93">
        <f>'Юнит 13'!J46</f>
        <v>1</v>
      </c>
      <c r="K46" s="92">
        <v>107.88</v>
      </c>
      <c r="L46" s="92">
        <f t="shared" si="36"/>
        <v>107.88</v>
      </c>
      <c r="M46" s="89">
        <f>'Юнит 13'!M46</f>
        <v>0</v>
      </c>
      <c r="N46" s="89">
        <f>'Юнит 10'!N46+'Юнит 11'!N46+'Юнит 12'!N46+'Юнит 13'!N46</f>
        <v>0</v>
      </c>
      <c r="O46" s="89">
        <v>0</v>
      </c>
      <c r="P46" s="399">
        <v>0</v>
      </c>
      <c r="Q46" s="406"/>
      <c r="R46" s="92">
        <f t="shared" si="15"/>
        <v>0</v>
      </c>
      <c r="S46" s="89">
        <f>'Юнит 10'!S46+'Юнит 11'!S46+'Юнит 12'!S46+'Юнит 13'!S46</f>
        <v>0</v>
      </c>
      <c r="T46" s="89">
        <f>'Юнит 10'!T46+'Юнит 11'!T46+'Юнит 12'!T46+'Юнит 13'!T46</f>
        <v>0</v>
      </c>
      <c r="U46" s="92">
        <f t="shared" si="1"/>
        <v>0</v>
      </c>
      <c r="V46" s="89">
        <f>'Юнит 10'!V46+'Юнит 11'!V46+'Юнит 12'!V46+'Юнит 13'!V46</f>
        <v>0</v>
      </c>
      <c r="W46" s="89">
        <f>'Юнит 10'!W46+'Юнит 11'!W46+'Юнит 12'!W46+'Юнит 13'!W46</f>
        <v>0</v>
      </c>
      <c r="X46" s="92">
        <f t="shared" si="2"/>
        <v>0</v>
      </c>
      <c r="Y46" s="89">
        <f>'Юнит 10'!Y46+'Юнит 11'!Y46+'Юнит 12'!Y46+'Юнит 13'!Y46</f>
        <v>0</v>
      </c>
      <c r="Z46" s="89">
        <f>'Юнит 10'!Z46+'Юнит 11'!Z46+'Юнит 12'!Z46+'Юнит 13'!Z46</f>
        <v>0</v>
      </c>
      <c r="AA46" s="232">
        <f t="shared" si="16"/>
        <v>0</v>
      </c>
      <c r="AB46" s="92">
        <f t="shared" si="17"/>
        <v>0</v>
      </c>
      <c r="AC46" s="234">
        <f t="shared" si="3"/>
        <v>0</v>
      </c>
      <c r="AD46" s="92">
        <f t="shared" si="4"/>
        <v>0</v>
      </c>
      <c r="AE46" s="89">
        <f>'Юнит 10'!AE46+'Юнит 11'!AE46+'Юнит 12'!AE46+'Юнит 13'!AE46</f>
        <v>0</v>
      </c>
      <c r="AF46" s="234">
        <f t="shared" si="5"/>
        <v>0</v>
      </c>
      <c r="AG46" s="89">
        <f>'Юнит 10'!AG46+'Юнит 11'!AG46+'Юнит 12'!AG46+'Юнит 13'!AG46</f>
        <v>0</v>
      </c>
      <c r="AH46" s="89">
        <f>'Юнит 10'!AH46+'Юнит 11'!AH46+'Юнит 12'!AH46+'Юнит 13'!AH46</f>
        <v>0</v>
      </c>
      <c r="AI46" s="89">
        <f>'Юнит 10'!AI46+'Юнит 11'!AI46+'Юнит 12'!AI46+'Юнит 13'!AI46</f>
        <v>0</v>
      </c>
      <c r="AJ46" s="89">
        <f>'Юнит 10'!AJ46+'Юнит 11'!AJ46+'Юнит 12'!AJ46+'Юнит 13'!AJ46</f>
        <v>0</v>
      </c>
      <c r="AK46" s="89">
        <f>'Юнит 10'!AK46+'Юнит 11'!AK46+'Юнит 12'!AK46+'Юнит 13'!AK46</f>
        <v>0</v>
      </c>
      <c r="AL46" s="89">
        <f>'Юнит 10'!AL46+'Юнит 11'!AL46+'Юнит 12'!AL46+'Юнит 13'!AL46</f>
        <v>0</v>
      </c>
      <c r="AM46" s="89">
        <f>'Юнит 10'!AM46+'Юнит 11'!AM46+'Юнит 12'!AM46+'Юнит 13'!AM46</f>
        <v>0</v>
      </c>
      <c r="AN46" s="325">
        <f t="shared" si="37"/>
        <v>0</v>
      </c>
      <c r="AO46" s="95">
        <f t="shared" si="19"/>
        <v>0</v>
      </c>
      <c r="AP46" s="96"/>
      <c r="AQ46" s="97">
        <f t="shared" si="7"/>
        <v>0</v>
      </c>
      <c r="AR46" s="98">
        <f t="shared" si="29"/>
        <v>107.88</v>
      </c>
      <c r="AS46" s="98">
        <f t="shared" si="9"/>
        <v>0</v>
      </c>
      <c r="AT46" s="98">
        <f t="shared" si="10"/>
        <v>0</v>
      </c>
      <c r="AU46" s="98">
        <f t="shared" si="18"/>
        <v>0</v>
      </c>
      <c r="AV46" s="98">
        <f t="array" ref="AV46">_xlfn.IFS(U46=0,AO46,U46&lt;0,AO46/-U46,U46&gt;0,AO46/U46)</f>
        <v>0</v>
      </c>
      <c r="AW46" s="234">
        <f t="shared" si="38"/>
        <v>0</v>
      </c>
      <c r="AX46" s="234">
        <f t="shared" si="39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5"/>
        <v>71</v>
      </c>
      <c r="F47" s="93">
        <f>'Юнит 13'!F47</f>
        <v>14</v>
      </c>
      <c r="G47" s="93">
        <f>'Юнит 13'!G47</f>
        <v>6</v>
      </c>
      <c r="H47" s="93">
        <f>'Юнит 13'!H47</f>
        <v>31</v>
      </c>
      <c r="I47" s="93">
        <f>'Юнит 13'!I47</f>
        <v>0</v>
      </c>
      <c r="J47" s="93">
        <f>'Юнит 13'!J47</f>
        <v>20</v>
      </c>
      <c r="K47" s="92">
        <v>123.09</v>
      </c>
      <c r="L47" s="92">
        <f t="shared" si="36"/>
        <v>8739.39</v>
      </c>
      <c r="M47" s="89">
        <f>'Юнит 13'!M47</f>
        <v>25</v>
      </c>
      <c r="N47" s="89">
        <f>'Юнит 10'!N47+'Юнит 11'!N47+'Юнит 12'!N47+'Юнит 13'!N47</f>
        <v>120</v>
      </c>
      <c r="O47" s="89">
        <v>1269</v>
      </c>
      <c r="P47" s="399">
        <v>0.63</v>
      </c>
      <c r="Q47" s="406">
        <f t="shared" si="14"/>
        <v>0.6166666666666667</v>
      </c>
      <c r="R47" s="92">
        <f t="shared" si="15"/>
        <v>10.571428571428571</v>
      </c>
      <c r="S47" s="89">
        <f>'Юнит 10'!S47+'Юнит 11'!S47+'Юнит 12'!S47+'Юнит 13'!S47</f>
        <v>76</v>
      </c>
      <c r="T47" s="89">
        <f>'Юнит 10'!T47+'Юнит 11'!T47+'Юнит 12'!T47+'Юнит 13'!T47</f>
        <v>-2</v>
      </c>
      <c r="U47" s="92">
        <f t="shared" si="1"/>
        <v>74</v>
      </c>
      <c r="V47" s="89">
        <f>'Юнит 10'!V47+'Юнит 11'!V47+'Юнит 12'!V47+'Юнит 13'!V47</f>
        <v>60578.99</v>
      </c>
      <c r="W47" s="89">
        <f>'Юнит 10'!W47+'Юнит 11'!W47+'Юнит 12'!W47+'Юнит 13'!W47</f>
        <v>-1416</v>
      </c>
      <c r="X47" s="92">
        <f t="shared" si="2"/>
        <v>59162.99</v>
      </c>
      <c r="Y47" s="89">
        <f>'Юнит 10'!Y47+'Юнит 11'!Y47+'Юнит 12'!Y47+'Юнит 13'!Y47</f>
        <v>93318.84</v>
      </c>
      <c r="Z47" s="89">
        <f>'Юнит 10'!Z47+'Юнит 11'!Z47+'Юнит 12'!Z47+'Юнит 13'!Z47</f>
        <v>-2328</v>
      </c>
      <c r="AA47" s="232">
        <f t="shared" si="16"/>
        <v>90990.84</v>
      </c>
      <c r="AB47" s="92">
        <f t="shared" si="17"/>
        <v>959.36399999999992</v>
      </c>
      <c r="AC47" s="234">
        <f t="shared" si="3"/>
        <v>4.9977208428292168E-3</v>
      </c>
      <c r="AD47" s="92">
        <f t="shared" si="4"/>
        <v>9108.66</v>
      </c>
      <c r="AE47" s="89">
        <f>'Юнит 10'!AE47+'Юнит 11'!AE47+'Юнит 12'!AE47+'Юнит 13'!AE47</f>
        <v>34231.49</v>
      </c>
      <c r="AF47" s="234">
        <f t="shared" si="5"/>
        <v>0.3762080886383728</v>
      </c>
      <c r="AG47" s="89">
        <f>'Юнит 10'!AG47+'Юнит 11'!AG47+'Юнит 12'!AG47+'Юнит 13'!AG47</f>
        <v>8764.1799999999985</v>
      </c>
      <c r="AH47" s="89">
        <f>'Юнит 10'!AH47+'Юнит 11'!AH47+'Юнит 12'!AH47+'Юнит 13'!AH47</f>
        <v>4506</v>
      </c>
      <c r="AI47" s="89">
        <f>'Юнит 10'!AI47+'Юнит 11'!AI47+'Юнит 12'!AI47+'Юнит 13'!AI47</f>
        <v>6011</v>
      </c>
      <c r="AJ47" s="89">
        <f>'Юнит 10'!AJ47+'Юнит 11'!AJ47+'Юнит 12'!AJ47+'Юнит 13'!AJ47</f>
        <v>0</v>
      </c>
      <c r="AK47" s="89">
        <f>'Юнит 10'!AK47+'Юнит 11'!AK47+'Юнит 12'!AK47+'Юнит 13'!AK47</f>
        <v>0</v>
      </c>
      <c r="AL47" s="89">
        <f>'Юнит 10'!AL47+'Юнит 11'!AL47+'Юнит 12'!AL47+'Юнит 13'!AL47</f>
        <v>222.23282000191338</v>
      </c>
      <c r="AM47" s="89">
        <f>'Юнит 10'!AM47+'Юнит 11'!AM47+'Юнит 12'!AM47+'Юнит 13'!AM47</f>
        <v>0</v>
      </c>
      <c r="AN47" s="325">
        <f t="shared" si="37"/>
        <v>3302.0338485634124</v>
      </c>
      <c r="AO47" s="95">
        <f t="shared" si="19"/>
        <v>24845.243331434667</v>
      </c>
      <c r="AP47" s="96"/>
      <c r="AQ47" s="97">
        <f t="shared" si="7"/>
        <v>1229.6059459459459</v>
      </c>
      <c r="AR47" s="98">
        <f t="shared" si="29"/>
        <v>123.09</v>
      </c>
      <c r="AS47" s="98">
        <f t="shared" si="9"/>
        <v>462.5877027027027</v>
      </c>
      <c r="AT47" s="98">
        <f t="shared" si="10"/>
        <v>115.31815789473683</v>
      </c>
      <c r="AU47" s="98">
        <f t="shared" si="18"/>
        <v>138.38157894736841</v>
      </c>
      <c r="AV47" s="98">
        <f t="array" ref="AV47">_xlfn.IFS(U47=0,AO47,U47&lt;0,AO47/-U47,U47&gt;0,AO47/U47)</f>
        <v>335.74653150587386</v>
      </c>
      <c r="AW47" s="234">
        <f t="shared" si="38"/>
        <v>0.27305213724188793</v>
      </c>
      <c r="AX47" s="234">
        <f t="shared" si="39"/>
        <v>2.7276507555924434</v>
      </c>
      <c r="AY47" s="99"/>
      <c r="AZ47" s="94">
        <f t="shared" si="13"/>
        <v>23838.003736917046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5"/>
        <v>576</v>
      </c>
      <c r="F48" s="93">
        <f>'Юнит 13'!F48</f>
        <v>92</v>
      </c>
      <c r="G48" s="93">
        <f>'Юнит 13'!G48</f>
        <v>25</v>
      </c>
      <c r="H48" s="93">
        <f>'Юнит 13'!H48</f>
        <v>208</v>
      </c>
      <c r="I48" s="93">
        <f>'Юнит 13'!I48</f>
        <v>0</v>
      </c>
      <c r="J48" s="93">
        <f>'Юнит 13'!J48</f>
        <v>251</v>
      </c>
      <c r="K48" s="92">
        <v>107.88</v>
      </c>
      <c r="L48" s="92">
        <f t="shared" si="36"/>
        <v>62138.879999999997</v>
      </c>
      <c r="M48" s="89">
        <f>'Юнит 13'!M48</f>
        <v>23</v>
      </c>
      <c r="N48" s="89">
        <f>'Юнит 10'!N48+'Юнит 11'!N48+'Юнит 12'!N48+'Юнит 13'!N48</f>
        <v>472</v>
      </c>
      <c r="O48" s="89">
        <v>1341</v>
      </c>
      <c r="P48" s="399">
        <v>0.52</v>
      </c>
      <c r="Q48" s="406">
        <f t="shared" si="14"/>
        <v>0.44279661016949151</v>
      </c>
      <c r="R48" s="92">
        <f t="shared" si="15"/>
        <v>29.857142857142858</v>
      </c>
      <c r="S48" s="89">
        <f>'Юнит 10'!S48+'Юнит 11'!S48+'Юнит 12'!S48+'Юнит 13'!S48</f>
        <v>215</v>
      </c>
      <c r="T48" s="89">
        <f>'Юнит 10'!T48+'Юнит 11'!T48+'Юнит 12'!T48+'Юнит 13'!T48</f>
        <v>-6</v>
      </c>
      <c r="U48" s="92">
        <f t="shared" si="1"/>
        <v>209</v>
      </c>
      <c r="V48" s="89">
        <f>'Юнит 10'!V48+'Юнит 11'!V48+'Юнит 12'!V48+'Юнит 13'!V48</f>
        <v>185182.96</v>
      </c>
      <c r="W48" s="89">
        <f>'Юнит 10'!W48+'Юнит 11'!W48+'Юнит 12'!W48+'Юнит 13'!W48</f>
        <v>-5081</v>
      </c>
      <c r="X48" s="92">
        <f t="shared" si="2"/>
        <v>180101.96</v>
      </c>
      <c r="Y48" s="89">
        <f>'Юнит 10'!Y48+'Юнит 11'!Y48+'Юнит 12'!Y48+'Юнит 13'!Y48</f>
        <v>286772.45000000007</v>
      </c>
      <c r="Z48" s="89">
        <f>'Юнит 10'!Z48+'Юнит 11'!Z48+'Юнит 12'!Z48+'Юнит 13'!Z48</f>
        <v>-8046</v>
      </c>
      <c r="AA48" s="232">
        <f t="shared" si="16"/>
        <v>278726.45000000007</v>
      </c>
      <c r="AB48" s="92">
        <f t="shared" si="17"/>
        <v>3291.3504000000003</v>
      </c>
      <c r="AC48" s="234">
        <f t="shared" si="3"/>
        <v>1.5309200229526356E-2</v>
      </c>
      <c r="AD48" s="92">
        <f t="shared" si="4"/>
        <v>22546.92</v>
      </c>
      <c r="AE48" s="89">
        <f>'Юнит 10'!AE48+'Юнит 11'!AE48+'Юнит 12'!AE48+'Юнит 13'!AE48</f>
        <v>104925.94999999998</v>
      </c>
      <c r="AF48" s="234">
        <f t="shared" si="5"/>
        <v>0.37644776805358787</v>
      </c>
      <c r="AG48" s="89">
        <f>'Юнит 10'!AG48+'Юнит 11'!AG48+'Юнит 12'!AG48+'Юнит 13'!AG48</f>
        <v>28183.919999999987</v>
      </c>
      <c r="AH48" s="89">
        <f>'Юнит 10'!AH48+'Юнит 11'!AH48+'Юнит 12'!AH48+'Юнит 13'!AH48</f>
        <v>16829</v>
      </c>
      <c r="AI48" s="89">
        <f>'Юнит 10'!AI48+'Юнит 11'!AI48+'Юнит 12'!AI48+'Юнит 13'!AI48</f>
        <v>21800</v>
      </c>
      <c r="AJ48" s="89">
        <f>'Юнит 10'!AJ48+'Юнит 11'!AJ48+'Юнит 12'!AJ48+'Юнит 13'!AJ48</f>
        <v>0</v>
      </c>
      <c r="AK48" s="89">
        <f>'Юнит 10'!AK48+'Юнит 11'!AK48+'Юнит 12'!AK48+'Юнит 13'!AK48</f>
        <v>0</v>
      </c>
      <c r="AL48" s="89">
        <f>'Юнит 10'!AL48+'Юнит 11'!AL48+'Юнит 12'!AL48+'Юнит 13'!AL48</f>
        <v>782.59220607249551</v>
      </c>
      <c r="AM48" s="89">
        <f>'Юнит 10'!AM48+'Юнит 11'!AM48+'Юнит 12'!AM48+'Юнит 13'!AM48</f>
        <v>0</v>
      </c>
      <c r="AN48" s="325">
        <f t="shared" si="37"/>
        <v>10051.939026621436</v>
      </c>
      <c r="AO48" s="95">
        <f t="shared" si="19"/>
        <v>73606.128767306189</v>
      </c>
      <c r="AP48" s="96"/>
      <c r="AQ48" s="97">
        <f t="shared" si="7"/>
        <v>1333.6193779904308</v>
      </c>
      <c r="AR48" s="98">
        <f t="shared" si="29"/>
        <v>107.88</v>
      </c>
      <c r="AS48" s="98">
        <f t="shared" si="9"/>
        <v>502.03803827751187</v>
      </c>
      <c r="AT48" s="98">
        <f t="shared" si="10"/>
        <v>131.08799999999994</v>
      </c>
      <c r="AU48" s="98">
        <f t="shared" si="18"/>
        <v>179.66976744186047</v>
      </c>
      <c r="AV48" s="98">
        <f t="array" ref="AV48">_xlfn.IFS(U48=0,AO48,U48&lt;0,AO48/-U48,U48&gt;0,AO48/U48)</f>
        <v>352.18243429333103</v>
      </c>
      <c r="AW48" s="234">
        <f t="shared" si="38"/>
        <v>0.26408017167838277</v>
      </c>
      <c r="AX48" s="234">
        <f t="shared" si="39"/>
        <v>3.2645757720924271</v>
      </c>
      <c r="AY48" s="99"/>
      <c r="AZ48" s="94">
        <f t="shared" si="13"/>
        <v>202857.08215295867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5"/>
        <v>1634</v>
      </c>
      <c r="F49" s="93">
        <f>'Юнит 13'!F49</f>
        <v>95</v>
      </c>
      <c r="G49" s="93">
        <f>'Юнит 13'!G49</f>
        <v>47</v>
      </c>
      <c r="H49" s="93">
        <f>'Юнит 13'!H49</f>
        <v>140</v>
      </c>
      <c r="I49" s="93">
        <f>'Юнит 13'!I49</f>
        <v>0</v>
      </c>
      <c r="J49" s="93">
        <f>'Юнит 13'!J49</f>
        <v>1352</v>
      </c>
      <c r="K49" s="92">
        <v>123.09</v>
      </c>
      <c r="L49" s="92">
        <f t="shared" si="36"/>
        <v>201129.06</v>
      </c>
      <c r="M49" s="89">
        <f>'Юнит 13'!M49</f>
        <v>6</v>
      </c>
      <c r="N49" s="89">
        <f>'Юнит 10'!N49+'Юнит 11'!N49+'Юнит 12'!N49+'Юнит 13'!N49</f>
        <v>592</v>
      </c>
      <c r="O49" s="89">
        <v>1744</v>
      </c>
      <c r="P49" s="399">
        <v>0.38</v>
      </c>
      <c r="Q49" s="406">
        <f t="shared" si="14"/>
        <v>0.34628378378378377</v>
      </c>
      <c r="R49" s="92">
        <f t="shared" si="15"/>
        <v>29.285714285714285</v>
      </c>
      <c r="S49" s="89">
        <f>'Юнит 10'!S49+'Юнит 11'!S49+'Юнит 12'!S49+'Юнит 13'!S49</f>
        <v>213</v>
      </c>
      <c r="T49" s="89">
        <f>'Юнит 10'!T49+'Юнит 11'!T49+'Юнит 12'!T49+'Юнит 13'!T49</f>
        <v>-8</v>
      </c>
      <c r="U49" s="92">
        <f t="shared" si="1"/>
        <v>205</v>
      </c>
      <c r="V49" s="89">
        <f>'Юнит 10'!V49+'Юнит 11'!V49+'Юнит 12'!V49+'Юнит 13'!V49</f>
        <v>240972.32</v>
      </c>
      <c r="W49" s="89">
        <f>'Юнит 10'!W49+'Юнит 11'!W49+'Юнит 12'!W49+'Юнит 13'!W49</f>
        <v>-9555.42</v>
      </c>
      <c r="X49" s="92">
        <f t="shared" si="2"/>
        <v>231416.9</v>
      </c>
      <c r="Y49" s="89">
        <f>'Юнит 10'!Y49+'Юнит 11'!Y49+'Юнит 12'!Y49+'Юнит 13'!Y49</f>
        <v>353568.02</v>
      </c>
      <c r="Z49" s="89">
        <f>'Юнит 10'!Z49+'Юнит 11'!Z49+'Юнит 12'!Z49+'Юнит 13'!Z49</f>
        <v>-13550.54</v>
      </c>
      <c r="AA49" s="232">
        <f t="shared" si="16"/>
        <v>340017.48000000004</v>
      </c>
      <c r="AB49" s="92">
        <f t="shared" si="17"/>
        <v>3923.3024</v>
      </c>
      <c r="AC49" s="234">
        <f t="shared" si="3"/>
        <v>1.8675643028707799E-2</v>
      </c>
      <c r="AD49" s="92">
        <f t="shared" si="4"/>
        <v>25233.45</v>
      </c>
      <c r="AE49" s="89">
        <f>'Юнит 10'!AE49+'Юнит 11'!AE49+'Юнит 12'!AE49+'Юнит 13'!AE49</f>
        <v>126448.65000000002</v>
      </c>
      <c r="AF49" s="234">
        <f t="shared" si="5"/>
        <v>0.37188867466460845</v>
      </c>
      <c r="AG49" s="89">
        <f>'Юнит 10'!AG49+'Юнит 11'!AG49+'Юнит 12'!AG49+'Юнит 13'!AG49</f>
        <v>42907.49</v>
      </c>
      <c r="AH49" s="89">
        <f>'Юнит 10'!AH49+'Юнит 11'!AH49+'Юнит 12'!AH49+'Юнит 13'!AH49</f>
        <v>13000</v>
      </c>
      <c r="AI49" s="89">
        <f>'Юнит 10'!AI49+'Юнит 11'!AI49+'Юнит 12'!AI49+'Юнит 13'!AI49</f>
        <v>49529</v>
      </c>
      <c r="AJ49" s="89">
        <f>'Юнит 10'!AJ49+'Юнит 11'!AJ49+'Юнит 12'!AJ49+'Юнит 13'!AJ49</f>
        <v>0</v>
      </c>
      <c r="AK49" s="89">
        <f>'Юнит 10'!AK49+'Юнит 11'!AK49+'Юнит 12'!AK49+'Юнит 13'!AK49</f>
        <v>0</v>
      </c>
      <c r="AL49" s="89">
        <f>'Юнит 10'!AL49+'Юнит 11'!AL49+'Юнит 12'!AL49+'Юнит 13'!AL49</f>
        <v>288.2318475093025</v>
      </c>
      <c r="AM49" s="89">
        <f>'Юнит 10'!AM49+'Юнит 11'!AM49+'Юнит 12'!AM49+'Юнит 13'!AM49</f>
        <v>0</v>
      </c>
      <c r="AN49" s="325">
        <f t="shared" si="37"/>
        <v>12915.953654972716</v>
      </c>
      <c r="AO49" s="95">
        <f t="shared" si="19"/>
        <v>69694.704497517989</v>
      </c>
      <c r="AP49" s="96"/>
      <c r="AQ49" s="97">
        <f t="shared" si="7"/>
        <v>1658.6218536585368</v>
      </c>
      <c r="AR49" s="98">
        <f t="shared" si="29"/>
        <v>123.09</v>
      </c>
      <c r="AS49" s="98">
        <f t="shared" si="9"/>
        <v>616.82268292682943</v>
      </c>
      <c r="AT49" s="98">
        <f t="shared" si="10"/>
        <v>201.44361502347417</v>
      </c>
      <c r="AU49" s="98">
        <f t="shared" si="18"/>
        <v>293.56338028169012</v>
      </c>
      <c r="AV49" s="98">
        <f t="array" ref="AV49">_xlfn.IFS(U49=0,AO49,U49&lt;0,AO49/-U49,U49&gt;0,AO49/U49)</f>
        <v>339.97416828057555</v>
      </c>
      <c r="AW49" s="234">
        <f t="shared" si="38"/>
        <v>0.20497388692345458</v>
      </c>
      <c r="AX49" s="234">
        <f t="shared" si="39"/>
        <v>2.7619966551350683</v>
      </c>
      <c r="AY49" s="99"/>
      <c r="AZ49" s="94">
        <f t="shared" si="13"/>
        <v>555517.79097046051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5"/>
        <v>1275</v>
      </c>
      <c r="F50" s="93">
        <f>'Юнит 13'!F50</f>
        <v>66</v>
      </c>
      <c r="G50" s="93">
        <f>'Юнит 13'!G50</f>
        <v>17</v>
      </c>
      <c r="H50" s="93">
        <f>'Юнит 13'!H50</f>
        <v>111</v>
      </c>
      <c r="I50" s="93">
        <f>'Юнит 13'!I50</f>
        <v>0</v>
      </c>
      <c r="J50" s="93">
        <f>'Юнит 13'!J50</f>
        <v>1081</v>
      </c>
      <c r="K50" s="92">
        <v>134.79</v>
      </c>
      <c r="L50" s="92">
        <f t="shared" si="36"/>
        <v>171857.25</v>
      </c>
      <c r="M50" s="89">
        <f>'Юнит 13'!M50</f>
        <v>14</v>
      </c>
      <c r="N50" s="89">
        <f>'Юнит 10'!N50+'Юнит 11'!N50+'Юнит 12'!N50+'Юнит 13'!N50</f>
        <v>310</v>
      </c>
      <c r="O50" s="89">
        <v>1359</v>
      </c>
      <c r="P50" s="399">
        <v>0.57999999999999996</v>
      </c>
      <c r="Q50" s="406">
        <f t="shared" si="14"/>
        <v>0.4838709677419355</v>
      </c>
      <c r="R50" s="92">
        <f t="shared" si="15"/>
        <v>21.428571428571427</v>
      </c>
      <c r="S50" s="89">
        <f>'Юнит 10'!S50+'Юнит 11'!S50+'Юнит 12'!S50+'Юнит 13'!S50</f>
        <v>153</v>
      </c>
      <c r="T50" s="89">
        <f>'Юнит 10'!T50+'Юнит 11'!T50+'Юнит 12'!T50+'Юнит 13'!T50</f>
        <v>-3</v>
      </c>
      <c r="U50" s="92">
        <f t="shared" si="1"/>
        <v>150</v>
      </c>
      <c r="V50" s="89">
        <f>'Юнит 10'!V50+'Юнит 11'!V50+'Юнит 12'!V50+'Юнит 13'!V50</f>
        <v>134081.96</v>
      </c>
      <c r="W50" s="89">
        <f>'Юнит 10'!W50+'Юнит 11'!W50+'Юнит 12'!W50+'Юнит 13'!W50</f>
        <v>-2592</v>
      </c>
      <c r="X50" s="92">
        <f t="shared" si="2"/>
        <v>131489.96</v>
      </c>
      <c r="Y50" s="89">
        <f>'Юнит 10'!Y50+'Юнит 11'!Y50+'Юнит 12'!Y50+'Юнит 13'!Y50</f>
        <v>199954.27000000002</v>
      </c>
      <c r="Z50" s="89">
        <f>'Юнит 10'!Z50+'Юнит 11'!Z50+'Юнит 12'!Z50+'Юнит 13'!Z50</f>
        <v>-3956</v>
      </c>
      <c r="AA50" s="232">
        <f t="shared" si="16"/>
        <v>195998.27000000002</v>
      </c>
      <c r="AB50" s="92">
        <f t="shared" si="17"/>
        <v>2443.482</v>
      </c>
      <c r="AC50" s="234">
        <f t="shared" si="3"/>
        <v>1.07653104327586E-2</v>
      </c>
      <c r="AD50" s="92">
        <f t="shared" si="4"/>
        <v>20218.5</v>
      </c>
      <c r="AE50" s="89">
        <f>'Юнит 10'!AE50+'Юнит 11'!AE50+'Юнит 12'!AE50+'Юнит 13'!AE50</f>
        <v>74026.999999999971</v>
      </c>
      <c r="AF50" s="234">
        <f t="shared" si="5"/>
        <v>0.37769210922116792</v>
      </c>
      <c r="AG50" s="89">
        <f>'Юнит 10'!AG50+'Юнит 11'!AG50+'Юнит 12'!AG50+'Юнит 13'!AG50</f>
        <v>16908.77</v>
      </c>
      <c r="AH50" s="89">
        <f>'Юнит 10'!AH50+'Юнит 11'!AH50+'Юнит 12'!AH50+'Юнит 13'!AH50</f>
        <v>8893</v>
      </c>
      <c r="AI50" s="89">
        <f>'Юнит 10'!AI50+'Юнит 11'!AI50+'Юнит 12'!AI50+'Юнит 13'!AI50</f>
        <v>12416</v>
      </c>
      <c r="AJ50" s="89">
        <f>'Юнит 10'!AJ50+'Юнит 11'!AJ50+'Юнит 12'!AJ50+'Юнит 13'!AJ50</f>
        <v>0</v>
      </c>
      <c r="AK50" s="89">
        <f>'Юнит 10'!AK50+'Юнит 11'!AK50+'Юнит 12'!AK50+'Юнит 13'!AK50</f>
        <v>0</v>
      </c>
      <c r="AL50" s="89">
        <f>'Юнит 10'!AL50+'Юнит 11'!AL50+'Юнит 12'!AL50+'Юнит 13'!AL50</f>
        <v>300.25167000850695</v>
      </c>
      <c r="AM50" s="89">
        <f>'Юнит 10'!AM50+'Юнит 11'!AM50+'Юнит 12'!AM50+'Юнит 13'!AM50</f>
        <v>0</v>
      </c>
      <c r="AN50" s="325">
        <f t="shared" si="37"/>
        <v>7338.7822127693198</v>
      </c>
      <c r="AO50" s="95">
        <f t="shared" si="19"/>
        <v>55895.966117222219</v>
      </c>
      <c r="AP50" s="96"/>
      <c r="AQ50" s="97">
        <f t="shared" si="7"/>
        <v>1306.6551333333334</v>
      </c>
      <c r="AR50" s="98">
        <f t="shared" si="29"/>
        <v>134.79</v>
      </c>
      <c r="AS50" s="98">
        <f t="shared" si="9"/>
        <v>493.51333333333315</v>
      </c>
      <c r="AT50" s="98">
        <f t="shared" si="10"/>
        <v>110.51483660130719</v>
      </c>
      <c r="AU50" s="98">
        <f t="shared" si="18"/>
        <v>139.27450980392157</v>
      </c>
      <c r="AV50" s="98">
        <f t="array" ref="AV50">_xlfn.IFS(U50=0,AO50,U50&lt;0,AO50/-U50,U50&gt;0,AO50/U50)</f>
        <v>372.63977411481477</v>
      </c>
      <c r="AW50" s="234">
        <f t="shared" si="38"/>
        <v>0.2851860178011888</v>
      </c>
      <c r="AX50" s="234">
        <f t="shared" si="39"/>
        <v>2.7645951043461294</v>
      </c>
      <c r="AY50" s="99"/>
      <c r="AZ50" s="94">
        <f t="shared" si="13"/>
        <v>475115.71199638885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5"/>
        <v>206</v>
      </c>
      <c r="F51" s="93" t="str">
        <f>'Юнит 13'!F51</f>
        <v/>
      </c>
      <c r="G51" s="93">
        <f>'Юнит 13'!G51</f>
        <v>1</v>
      </c>
      <c r="H51" s="93" t="str">
        <f>'Юнит 13'!H51</f>
        <v/>
      </c>
      <c r="I51" s="93">
        <f>'Юнит 13'!I51</f>
        <v>0</v>
      </c>
      <c r="J51" s="93">
        <f>'Юнит 13'!J51</f>
        <v>205</v>
      </c>
      <c r="K51" s="92">
        <v>144.15</v>
      </c>
      <c r="L51" s="92">
        <f t="shared" si="36"/>
        <v>29694.9</v>
      </c>
      <c r="M51" s="89">
        <f>'Юнит 13'!M51</f>
        <v>21</v>
      </c>
      <c r="N51" s="89">
        <f>'Юнит 10'!N51+'Юнит 11'!N51+'Юнит 12'!N51+'Юнит 13'!N51</f>
        <v>7</v>
      </c>
      <c r="O51" s="89">
        <v>1119</v>
      </c>
      <c r="P51" s="399">
        <v>0.43</v>
      </c>
      <c r="Q51" s="406">
        <f t="shared" si="14"/>
        <v>0.42857142857142855</v>
      </c>
      <c r="R51" s="92">
        <f t="shared" si="15"/>
        <v>0.42857142857142855</v>
      </c>
      <c r="S51" s="89">
        <f>'Юнит 10'!S51+'Юнит 11'!S51+'Юнит 12'!S51+'Юнит 13'!S51</f>
        <v>4</v>
      </c>
      <c r="T51" s="89">
        <f>'Юнит 10'!T51+'Юнит 11'!T51+'Юнит 12'!T51+'Юнит 13'!T51</f>
        <v>-1</v>
      </c>
      <c r="U51" s="92">
        <f t="shared" si="1"/>
        <v>3</v>
      </c>
      <c r="V51" s="89">
        <f>'Юнит 10'!V51+'Юнит 11'!V51+'Юнит 12'!V51+'Юнит 13'!V51</f>
        <v>2780</v>
      </c>
      <c r="W51" s="89">
        <f>'Юнит 10'!W51+'Юнит 11'!W51+'Юнит 12'!W51+'Юнит 13'!W51</f>
        <v>-705</v>
      </c>
      <c r="X51" s="92">
        <f t="shared" si="2"/>
        <v>2075</v>
      </c>
      <c r="Y51" s="89">
        <f>'Юнит 10'!Y51+'Юнит 11'!Y51+'Юнит 12'!Y51+'Юнит 13'!Y51</f>
        <v>4476</v>
      </c>
      <c r="Z51" s="89">
        <f>'Юнит 10'!Z51+'Юнит 11'!Z51+'Юнит 12'!Z51+'Юнит 13'!Z51</f>
        <v>-1119</v>
      </c>
      <c r="AA51" s="232">
        <f t="shared" si="16"/>
        <v>3357</v>
      </c>
      <c r="AB51" s="92">
        <f t="shared" si="17"/>
        <v>33.681899999999999</v>
      </c>
      <c r="AC51" s="234">
        <f t="shared" si="3"/>
        <v>1.8438503116772722E-4</v>
      </c>
      <c r="AD51" s="92">
        <f t="shared" si="4"/>
        <v>432.45000000000005</v>
      </c>
      <c r="AE51" s="89">
        <f>'Юнит 10'!AE51+'Юнит 11'!AE51+'Юнит 12'!AE51+'Юнит 13'!AE51</f>
        <v>1266.32</v>
      </c>
      <c r="AF51" s="234">
        <f t="shared" si="5"/>
        <v>0.37721775394697643</v>
      </c>
      <c r="AG51" s="89">
        <f>'Юнит 10'!AG51+'Юнит 11'!AG51+'Юнит 12'!AG51+'Юнит 13'!AG51</f>
        <v>694.81</v>
      </c>
      <c r="AH51" s="89">
        <f>'Юнит 10'!AH51+'Юнит 11'!AH51+'Юнит 12'!AH51+'Юнит 13'!AH51</f>
        <v>0</v>
      </c>
      <c r="AI51" s="89">
        <f>'Юнит 10'!AI51+'Юнит 11'!AI51+'Юнит 12'!AI51+'Юнит 13'!AI51</f>
        <v>0</v>
      </c>
      <c r="AJ51" s="89">
        <f>'Юнит 10'!AJ51+'Юнит 11'!AJ51+'Юнит 12'!AJ51+'Юнит 13'!AJ51</f>
        <v>0</v>
      </c>
      <c r="AK51" s="89">
        <f>'Юнит 10'!AK51+'Юнит 11'!AK51+'Юнит 12'!AK51+'Юнит 13'!AK51</f>
        <v>0</v>
      </c>
      <c r="AL51" s="89">
        <f>'Юнит 10'!AL51+'Юнит 11'!AL51+'Юнит 12'!AL51+'Юнит 13'!AL51</f>
        <v>2.0068301466175082</v>
      </c>
      <c r="AM51" s="89">
        <f>'Юнит 10'!AM51+'Юнит 11'!AM51+'Юнит 12'!AM51+'Юнит 13'!AM51</f>
        <v>0</v>
      </c>
      <c r="AN51" s="325">
        <f t="shared" si="37"/>
        <v>115.81091888305646</v>
      </c>
      <c r="AO51" s="95">
        <f t="shared" si="19"/>
        <v>845.60225097032628</v>
      </c>
      <c r="AP51" s="96"/>
      <c r="AQ51" s="97">
        <f t="shared" si="7"/>
        <v>1119</v>
      </c>
      <c r="AR51" s="98">
        <f t="shared" si="29"/>
        <v>144.15</v>
      </c>
      <c r="AS51" s="98">
        <f t="shared" si="9"/>
        <v>422.10666666666663</v>
      </c>
      <c r="AT51" s="98">
        <f t="shared" si="10"/>
        <v>173.70249999999999</v>
      </c>
      <c r="AU51" s="98">
        <f t="shared" si="18"/>
        <v>0</v>
      </c>
      <c r="AV51" s="98">
        <f t="array" ref="AV51">_xlfn.IFS(U51=0,AO51,U51&lt;0,AO51/-U51,U51&gt;0,AO51/U51)</f>
        <v>281.86741699010878</v>
      </c>
      <c r="AW51" s="234">
        <f t="shared" si="38"/>
        <v>0.25189224038436886</v>
      </c>
      <c r="AX51" s="234">
        <f t="shared" si="39"/>
        <v>1.9553757682282953</v>
      </c>
      <c r="AY51" s="99"/>
      <c r="AZ51" s="94">
        <f t="shared" si="13"/>
        <v>58064.68789996241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5"/>
        <v>33</v>
      </c>
      <c r="F52" s="93">
        <f>'Юнит 13'!F52</f>
        <v>23</v>
      </c>
      <c r="G52" s="93">
        <f>'Юнит 13'!G52</f>
        <v>5</v>
      </c>
      <c r="H52" s="93">
        <f>'Юнит 13'!H52</f>
        <v>4</v>
      </c>
      <c r="I52" s="93">
        <f>'Юнит 13'!I52</f>
        <v>0</v>
      </c>
      <c r="J52" s="93">
        <f>'Юнит 13'!J52</f>
        <v>1</v>
      </c>
      <c r="K52" s="92">
        <v>96.18</v>
      </c>
      <c r="L52" s="92">
        <f t="shared" si="36"/>
        <v>3173.94</v>
      </c>
      <c r="M52" s="89">
        <f>'Юнит 13'!M52</f>
        <v>23</v>
      </c>
      <c r="N52" s="89">
        <f>'Юнит 10'!N52+'Юнит 11'!N52+'Юнит 12'!N52+'Юнит 13'!N52</f>
        <v>82</v>
      </c>
      <c r="O52" s="89">
        <v>1221</v>
      </c>
      <c r="P52" s="399">
        <v>0.25</v>
      </c>
      <c r="Q52" s="406">
        <f t="shared" si="14"/>
        <v>0.2073170731707317</v>
      </c>
      <c r="R52" s="92">
        <f t="shared" si="15"/>
        <v>2.4285714285714284</v>
      </c>
      <c r="S52" s="89">
        <f>'Юнит 10'!S52+'Юнит 11'!S52+'Юнит 12'!S52+'Юнит 13'!S52</f>
        <v>19</v>
      </c>
      <c r="T52" s="89">
        <f>'Юнит 10'!T52+'Юнит 11'!T52+'Юнит 12'!T52+'Юнит 13'!T52</f>
        <v>-2</v>
      </c>
      <c r="U52" s="92">
        <f t="shared" si="1"/>
        <v>17</v>
      </c>
      <c r="V52" s="89">
        <f>'Юнит 10'!V52+'Юнит 11'!V52+'Юнит 12'!V52+'Юнит 13'!V52</f>
        <v>14684.57</v>
      </c>
      <c r="W52" s="89">
        <f>'Юнит 10'!W52+'Юнит 11'!W52+'Юнит 12'!W52+'Юнит 13'!W52</f>
        <v>-1331</v>
      </c>
      <c r="X52" s="92">
        <f t="shared" si="2"/>
        <v>13353.57</v>
      </c>
      <c r="Y52" s="89">
        <f>'Юнит 10'!Y52+'Юнит 11'!Y52+'Юнит 12'!Y52+'Юнит 13'!Y52</f>
        <v>22134.62</v>
      </c>
      <c r="Z52" s="89">
        <f>'Юнит 10'!Z52+'Юнит 11'!Z52+'Юнит 12'!Z52+'Юнит 13'!Z52</f>
        <v>-2178.8199999999997</v>
      </c>
      <c r="AA52" s="232">
        <f t="shared" si="16"/>
        <v>19955.8</v>
      </c>
      <c r="AB52" s="92">
        <f t="shared" si="17"/>
        <v>250.30500000000001</v>
      </c>
      <c r="AC52" s="234">
        <f t="shared" si="3"/>
        <v>1.0960830518251209E-3</v>
      </c>
      <c r="AD52" s="92">
        <f t="shared" si="4"/>
        <v>1635.0600000000002</v>
      </c>
      <c r="AE52" s="89">
        <f>'Юнит 10'!AE52+'Юнит 11'!AE52+'Юнит 12'!AE52+'Юнит 13'!AE52</f>
        <v>7555.09</v>
      </c>
      <c r="AF52" s="234">
        <f t="shared" si="5"/>
        <v>0.37859118652221413</v>
      </c>
      <c r="AG52" s="89">
        <f>'Юнит 10'!AG52+'Юнит 11'!AG52+'Юнит 12'!AG52+'Юнит 13'!AG52</f>
        <v>5525.6299999999983</v>
      </c>
      <c r="AH52" s="89">
        <f>'Юнит 10'!AH52+'Юнит 11'!AH52+'Юнит 12'!AH52+'Юнит 13'!AH52</f>
        <v>617</v>
      </c>
      <c r="AI52" s="89">
        <f>'Юнит 10'!AI52+'Юнит 11'!AI52+'Юнит 12'!AI52+'Юнит 13'!AI52</f>
        <v>3960</v>
      </c>
      <c r="AJ52" s="89">
        <f>'Юнит 10'!AJ52+'Юнит 11'!AJ52+'Юнит 12'!AJ52+'Юнит 13'!AJ52</f>
        <v>0</v>
      </c>
      <c r="AK52" s="89">
        <f>'Юнит 10'!AK52+'Юнит 11'!AK52+'Юнит 12'!AK52+'Юнит 13'!AK52</f>
        <v>0</v>
      </c>
      <c r="AL52" s="89">
        <f>'Юнит 10'!AL52+'Юнит 11'!AL52+'Юнит 12'!AL52+'Юнит 13'!AL52</f>
        <v>100.41202025895686</v>
      </c>
      <c r="AM52" s="89">
        <f>'Юнит 10'!AM52+'Юнит 11'!AM52+'Юнит 12'!AM52+'Юнит 13'!AM52</f>
        <v>0</v>
      </c>
      <c r="AN52" s="325">
        <f t="shared" si="37"/>
        <v>745.2960058164897</v>
      </c>
      <c r="AO52" s="95">
        <f t="shared" si="19"/>
        <v>-182.68802607544706</v>
      </c>
      <c r="AP52" s="96"/>
      <c r="AQ52" s="97">
        <f t="shared" si="7"/>
        <v>1173.870588235294</v>
      </c>
      <c r="AR52" s="98">
        <f t="shared" si="29"/>
        <v>96.18</v>
      </c>
      <c r="AS52" s="98">
        <f t="shared" si="9"/>
        <v>444.41705882352943</v>
      </c>
      <c r="AT52" s="98">
        <f t="shared" si="10"/>
        <v>290.82263157894727</v>
      </c>
      <c r="AU52" s="98">
        <f t="shared" si="18"/>
        <v>240.89473684210526</v>
      </c>
      <c r="AV52" s="98">
        <f t="array" ref="AV52">_xlfn.IFS(U52=0,AO52,U52&lt;0,AO52/-U52,U52&gt;0,AO52/U52)</f>
        <v>-10.746354475026298</v>
      </c>
      <c r="AW52" s="234">
        <f t="shared" si="38"/>
        <v>-9.154633042796935E-3</v>
      </c>
      <c r="AX52" s="234">
        <f t="shared" si="39"/>
        <v>-0.11173169551909229</v>
      </c>
      <c r="AY52" s="99"/>
      <c r="AZ52" s="94">
        <f t="shared" si="13"/>
        <v>-354.62969767586782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5"/>
        <v>40</v>
      </c>
      <c r="F53" s="93">
        <f>'Юнит 13'!F53</f>
        <v>14</v>
      </c>
      <c r="G53" s="93">
        <f>'Юнит 13'!G53</f>
        <v>5</v>
      </c>
      <c r="H53" s="93">
        <f>'Юнит 13'!H53</f>
        <v>20</v>
      </c>
      <c r="I53" s="93">
        <f>'Юнит 13'!I53</f>
        <v>0</v>
      </c>
      <c r="J53" s="93">
        <f>'Юнит 13'!J53</f>
        <v>1</v>
      </c>
      <c r="K53" s="92">
        <v>96.18</v>
      </c>
      <c r="L53" s="92">
        <f t="shared" si="36"/>
        <v>3847.2000000000003</v>
      </c>
      <c r="M53" s="89">
        <f>'Юнит 13'!M53</f>
        <v>45</v>
      </c>
      <c r="N53" s="89">
        <f>'Юнит 10'!N53+'Юнит 11'!N53+'Юнит 12'!N53+'Юнит 13'!N53</f>
        <v>42</v>
      </c>
      <c r="O53" s="89">
        <v>1106</v>
      </c>
      <c r="P53" s="399">
        <v>0.21</v>
      </c>
      <c r="Q53" s="406">
        <f t="shared" si="14"/>
        <v>0.16666666666666666</v>
      </c>
      <c r="R53" s="92">
        <f t="shared" si="15"/>
        <v>1</v>
      </c>
      <c r="S53" s="89">
        <f>'Юнит 10'!S53+'Юнит 11'!S53+'Юнит 12'!S53+'Юнит 13'!S53</f>
        <v>8</v>
      </c>
      <c r="T53" s="89">
        <f>'Юнит 10'!T53+'Юнит 11'!T53+'Юнит 12'!T53+'Юнит 13'!T53</f>
        <v>-1</v>
      </c>
      <c r="U53" s="92">
        <f t="shared" si="1"/>
        <v>7</v>
      </c>
      <c r="V53" s="89">
        <f>'Юнит 10'!V53+'Юнит 11'!V53+'Юнит 12'!V53+'Юнит 13'!V53</f>
        <v>5737.49</v>
      </c>
      <c r="W53" s="89">
        <f>'Юнит 10'!W53+'Юнит 11'!W53+'Юнит 12'!W53+'Юнит 13'!W53</f>
        <v>-725</v>
      </c>
      <c r="X53" s="92">
        <f t="shared" si="2"/>
        <v>5012.49</v>
      </c>
      <c r="Y53" s="89">
        <f>'Юнит 10'!Y53+'Юнит 11'!Y53+'Юнит 12'!Y53+'Юнит 13'!Y53</f>
        <v>8748.5199999999986</v>
      </c>
      <c r="Z53" s="89">
        <f>'Юнит 10'!Z53+'Юнит 11'!Z53+'Юнит 12'!Z53+'Юнит 13'!Z53</f>
        <v>-1106</v>
      </c>
      <c r="AA53" s="232">
        <f t="shared" si="16"/>
        <v>7642.5199999999986</v>
      </c>
      <c r="AB53" s="92">
        <f t="shared" si="17"/>
        <v>97.549199999999999</v>
      </c>
      <c r="AC53" s="234">
        <f t="shared" si="3"/>
        <v>4.1976952290735133E-4</v>
      </c>
      <c r="AD53" s="92">
        <f t="shared" si="4"/>
        <v>673.26</v>
      </c>
      <c r="AE53" s="89">
        <f>'Юнит 10'!AE53+'Юнит 11'!AE53+'Юнит 12'!AE53+'Юнит 13'!AE53</f>
        <v>2876.559999999999</v>
      </c>
      <c r="AF53" s="234">
        <f t="shared" si="5"/>
        <v>0.37638893977379184</v>
      </c>
      <c r="AG53" s="89">
        <f>'Юнит 10'!AG53+'Юнит 11'!AG53+'Юнит 12'!AG53+'Юнит 13'!AG53</f>
        <v>2331.12</v>
      </c>
      <c r="AH53" s="89">
        <f>'Юнит 10'!AH53+'Юнит 11'!AH53+'Юнит 12'!AH53+'Юнит 13'!AH53</f>
        <v>0</v>
      </c>
      <c r="AI53" s="89">
        <f>'Юнит 10'!AI53+'Юнит 11'!AI53+'Юнит 12'!AI53+'Юнит 13'!AI53</f>
        <v>3448</v>
      </c>
      <c r="AJ53" s="89">
        <f>'Юнит 10'!AJ53+'Юнит 11'!AJ53+'Юнит 12'!AJ53+'Юнит 13'!AJ53</f>
        <v>0</v>
      </c>
      <c r="AK53" s="89">
        <f>'Юнит 10'!AK53+'Юнит 11'!AK53+'Юнит 12'!AK53+'Юнит 13'!AK53</f>
        <v>0</v>
      </c>
      <c r="AL53" s="89">
        <f>'Юнит 10'!AL53+'Юнит 11'!AL53+'Юнит 12'!AL53+'Юнит 13'!AL53</f>
        <v>145.14947826326957</v>
      </c>
      <c r="AM53" s="89">
        <f>'Юнит 10'!AM53+'Юнит 11'!AM53+'Юнит 12'!AM53+'Юнит 13'!AM53</f>
        <v>0</v>
      </c>
      <c r="AN53" s="325">
        <f t="shared" si="37"/>
        <v>279.75955315283454</v>
      </c>
      <c r="AO53" s="95">
        <f t="shared" si="19"/>
        <v>-2111.329031416105</v>
      </c>
      <c r="AP53" s="96"/>
      <c r="AQ53" s="97">
        <f t="shared" si="7"/>
        <v>1091.7885714285712</v>
      </c>
      <c r="AR53" s="98">
        <f t="shared" si="29"/>
        <v>96.18</v>
      </c>
      <c r="AS53" s="98">
        <f t="shared" si="9"/>
        <v>410.9371428571427</v>
      </c>
      <c r="AT53" s="98">
        <f t="shared" si="10"/>
        <v>291.39</v>
      </c>
      <c r="AU53" s="98">
        <f t="shared" si="18"/>
        <v>431</v>
      </c>
      <c r="AV53" s="98">
        <f t="array" ref="AV53">_xlfn.IFS(U53=0,AO53,U53&lt;0,AO53/-U53,U53&gt;0,AO53/U53)</f>
        <v>-301.61843305944359</v>
      </c>
      <c r="AW53" s="234">
        <f t="shared" si="38"/>
        <v>-0.27626084477582075</v>
      </c>
      <c r="AX53" s="234">
        <f t="shared" si="39"/>
        <v>-3.1359787176070242</v>
      </c>
      <c r="AY53" s="99"/>
      <c r="AZ53" s="94">
        <f t="shared" si="13"/>
        <v>-12064.737322377743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0">SUM(F54:J54)</f>
        <v>32</v>
      </c>
      <c r="F54" s="93">
        <f>'Юнит 13'!F54</f>
        <v>12</v>
      </c>
      <c r="G54" s="93">
        <f>'Юнит 13'!G54</f>
        <v>2</v>
      </c>
      <c r="H54" s="93">
        <f>'Юнит 13'!H54</f>
        <v>17</v>
      </c>
      <c r="I54" s="93">
        <f>'Юнит 13'!I54</f>
        <v>0</v>
      </c>
      <c r="J54" s="93">
        <f>'Юнит 13'!J54</f>
        <v>1</v>
      </c>
      <c r="K54" s="93">
        <v>123.09</v>
      </c>
      <c r="L54" s="92">
        <f t="shared" si="36"/>
        <v>3938.88</v>
      </c>
      <c r="M54" s="89">
        <f>'Юнит 13'!M54</f>
        <v>34</v>
      </c>
      <c r="N54" s="89">
        <f>'Юнит 10'!N54+'Юнит 11'!N54+'Юнит 12'!N54+'Юнит 13'!N54</f>
        <v>52</v>
      </c>
      <c r="O54" s="89">
        <v>998</v>
      </c>
      <c r="P54" s="399">
        <v>0.39</v>
      </c>
      <c r="Q54" s="406">
        <f t="shared" si="14"/>
        <v>0.30769230769230771</v>
      </c>
      <c r="R54" s="92">
        <f t="shared" si="15"/>
        <v>2.2857142857142856</v>
      </c>
      <c r="S54" s="89">
        <f>'Юнит 10'!S54+'Юнит 11'!S54+'Юнит 12'!S54+'Юнит 13'!S54</f>
        <v>18</v>
      </c>
      <c r="T54" s="89">
        <f>'Юнит 10'!T54+'Юнит 11'!T54+'Юнит 12'!T54+'Юнит 13'!T54</f>
        <v>-2</v>
      </c>
      <c r="U54" s="92">
        <f t="shared" si="1"/>
        <v>16</v>
      </c>
      <c r="V54" s="89">
        <f>'Юнит 10'!V54+'Юнит 11'!V54+'Юнит 12'!V54+'Юнит 13'!V54</f>
        <v>12056.539999999999</v>
      </c>
      <c r="W54" s="89">
        <f>'Юнит 10'!W54+'Юнит 11'!W54+'Юнит 12'!W54+'Юнит 13'!W54</f>
        <v>-1457.49</v>
      </c>
      <c r="X54" s="92">
        <f t="shared" si="2"/>
        <v>10599.05</v>
      </c>
      <c r="Y54" s="89">
        <f>'Юнит 10'!Y54+'Юнит 11'!Y54+'Юнит 12'!Y54+'Юнит 13'!Y54</f>
        <v>17832.539999999997</v>
      </c>
      <c r="Z54" s="89">
        <f>'Юнит 10'!Z54+'Юнит 11'!Z54+'Юнит 12'!Z54+'Юнит 13'!Z54</f>
        <v>-1996.05</v>
      </c>
      <c r="AA54" s="232">
        <f t="shared" si="16"/>
        <v>15836.489999999998</v>
      </c>
      <c r="AB54" s="92">
        <f t="shared" si="17"/>
        <v>202.39440000000002</v>
      </c>
      <c r="AC54" s="234">
        <f t="shared" si="3"/>
        <v>8.6982773376151324E-4</v>
      </c>
      <c r="AD54" s="92">
        <f t="shared" si="4"/>
        <v>1969.44</v>
      </c>
      <c r="AE54" s="89">
        <f>'Юнит 10'!AE54+'Юнит 11'!AE54+'Юнит 12'!AE54+'Юнит 13'!AE54</f>
        <v>6008.9299999999985</v>
      </c>
      <c r="AF54" s="234">
        <f t="shared" si="5"/>
        <v>0.37943572092048172</v>
      </c>
      <c r="AG54" s="89">
        <f>'Юнит 10'!AG54+'Юнит 11'!AG54+'Юнит 12'!AG54+'Юнит 13'!AG54</f>
        <v>2933.05</v>
      </c>
      <c r="AH54" s="89">
        <f>'Юнит 10'!AH54+'Юнит 11'!AH54+'Юнит 12'!AH54+'Юнит 13'!AH54</f>
        <v>0</v>
      </c>
      <c r="AI54" s="89">
        <f>'Юнит 10'!AI54+'Юнит 11'!AI54+'Юнит 12'!AI54+'Юнит 13'!AI54</f>
        <v>0</v>
      </c>
      <c r="AJ54" s="89">
        <f>'Юнит 10'!AJ54+'Юнит 11'!AJ54+'Юнит 12'!AJ54+'Юнит 13'!AJ54</f>
        <v>0</v>
      </c>
      <c r="AK54" s="89">
        <f>'Юнит 10'!AK54+'Юнит 11'!AK54+'Юнит 12'!AK54+'Юнит 13'!AK54</f>
        <v>0</v>
      </c>
      <c r="AL54" s="89">
        <f>'Юнит 10'!AL54+'Юнит 11'!AL54+'Юнит 12'!AL54+'Юнит 13'!AL54</f>
        <v>111.08178864023249</v>
      </c>
      <c r="AM54" s="89">
        <f>'Юнит 10'!AM54+'Юнит 11'!AM54+'Юнит 12'!AM54+'Юнит 13'!AM54</f>
        <v>0</v>
      </c>
      <c r="AN54" s="325">
        <f t="shared" si="37"/>
        <v>591.559383030101</v>
      </c>
      <c r="AO54" s="95">
        <f t="shared" si="19"/>
        <v>4222.4288283296646</v>
      </c>
      <c r="AP54" s="96"/>
      <c r="AQ54" s="97">
        <f t="shared" si="7"/>
        <v>989.78062499999987</v>
      </c>
      <c r="AR54" s="98">
        <f t="shared" si="29"/>
        <v>123.09</v>
      </c>
      <c r="AS54" s="98">
        <f t="shared" si="9"/>
        <v>375.5581249999999</v>
      </c>
      <c r="AT54" s="98">
        <f t="shared" si="10"/>
        <v>162.94722222222222</v>
      </c>
      <c r="AU54" s="98">
        <f t="shared" si="18"/>
        <v>0</v>
      </c>
      <c r="AV54" s="98">
        <f t="array" ref="AV54">_xlfn.IFS(U54=0,AO54,U54&lt;0,AO54/-U54,U54&gt;0,AO54/U54)</f>
        <v>263.90180177060404</v>
      </c>
      <c r="AW54" s="234">
        <f t="shared" si="38"/>
        <v>0.26662655855746226</v>
      </c>
      <c r="AX54" s="234">
        <f t="shared" si="39"/>
        <v>2.1439743421123083</v>
      </c>
      <c r="AY54" s="99"/>
      <c r="AZ54" s="94">
        <f t="shared" si="13"/>
        <v>8444.8576566593292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0"/>
        <v>2</v>
      </c>
      <c r="F55" s="93">
        <f>'Юнит 13'!F55</f>
        <v>1</v>
      </c>
      <c r="G55" s="93" t="str">
        <f>'Юнит 13'!G55</f>
        <v/>
      </c>
      <c r="H55" s="93" t="str">
        <f>'Юнит 13'!H55</f>
        <v/>
      </c>
      <c r="I55" s="93">
        <f>'Юнит 13'!I55</f>
        <v>0</v>
      </c>
      <c r="J55" s="93">
        <f>'Юнит 13'!J55</f>
        <v>1</v>
      </c>
      <c r="K55" s="93">
        <v>158.19</v>
      </c>
      <c r="L55" s="92">
        <f t="shared" si="36"/>
        <v>316.38</v>
      </c>
      <c r="M55" s="89">
        <f>'Юнит 13'!M55</f>
        <v>999</v>
      </c>
      <c r="N55" s="89">
        <f>'Юнит 10'!N55+'Юнит 11'!N55+'Юнит 12'!N55+'Юнит 13'!N55</f>
        <v>1</v>
      </c>
      <c r="O55" s="89">
        <v>1049</v>
      </c>
      <c r="P55" s="399">
        <v>0</v>
      </c>
      <c r="Q55" s="406">
        <f t="shared" si="14"/>
        <v>0</v>
      </c>
      <c r="R55" s="92">
        <f t="shared" si="15"/>
        <v>0</v>
      </c>
      <c r="S55" s="89">
        <f>'Юнит 10'!S55+'Юнит 11'!S55+'Юнит 12'!S55+'Юнит 13'!S55</f>
        <v>0</v>
      </c>
      <c r="T55" s="89">
        <f>'Юнит 10'!T55+'Юнит 11'!T55+'Юнит 12'!T55+'Юнит 13'!T55</f>
        <v>0</v>
      </c>
      <c r="U55" s="92">
        <f t="shared" si="1"/>
        <v>0</v>
      </c>
      <c r="V55" s="89">
        <f>'Юнит 10'!V55+'Юнит 11'!V55+'Юнит 12'!V55+'Юнит 13'!V55</f>
        <v>0</v>
      </c>
      <c r="W55" s="89">
        <f>'Юнит 10'!W55+'Юнит 11'!W55+'Юнит 12'!W55+'Юнит 13'!W55</f>
        <v>0</v>
      </c>
      <c r="X55" s="92">
        <f t="shared" si="2"/>
        <v>0</v>
      </c>
      <c r="Y55" s="89">
        <f>'Юнит 10'!Y55+'Юнит 11'!Y55+'Юнит 12'!Y55+'Юнит 13'!Y55</f>
        <v>0</v>
      </c>
      <c r="Z55" s="89">
        <f>'Юнит 10'!Z55+'Юнит 11'!Z55+'Юнит 12'!Z55+'Юнит 13'!Z55</f>
        <v>0</v>
      </c>
      <c r="AA55" s="232">
        <f t="shared" si="16"/>
        <v>0</v>
      </c>
      <c r="AB55" s="92">
        <f t="shared" si="17"/>
        <v>0</v>
      </c>
      <c r="AC55" s="234">
        <f t="shared" si="3"/>
        <v>0</v>
      </c>
      <c r="AD55" s="92">
        <f t="shared" si="4"/>
        <v>0</v>
      </c>
      <c r="AE55" s="89">
        <f>'Юнит 10'!AE55+'Юнит 11'!AE55+'Юнит 12'!AE55+'Юнит 13'!AE55</f>
        <v>0</v>
      </c>
      <c r="AF55" s="234">
        <f t="shared" si="5"/>
        <v>0</v>
      </c>
      <c r="AG55" s="89">
        <f>'Юнит 10'!AG55+'Юнит 11'!AG55+'Юнит 12'!AG55+'Юнит 13'!AG55</f>
        <v>0</v>
      </c>
      <c r="AH55" s="89">
        <f>'Юнит 10'!AH55+'Юнит 11'!AH55+'Юнит 12'!AH55+'Юнит 13'!AH55</f>
        <v>0</v>
      </c>
      <c r="AI55" s="89">
        <f>'Юнит 10'!AI55+'Юнит 11'!AI55+'Юнит 12'!AI55+'Юнит 13'!AI55</f>
        <v>0</v>
      </c>
      <c r="AJ55" s="89">
        <f>'Юнит 10'!AJ55+'Юнит 11'!AJ55+'Юнит 12'!AJ55+'Юнит 13'!AJ55</f>
        <v>0</v>
      </c>
      <c r="AK55" s="89">
        <f>'Юнит 10'!AK55+'Юнит 11'!AK55+'Юнит 12'!AK55+'Юнит 13'!AK55</f>
        <v>0</v>
      </c>
      <c r="AL55" s="89">
        <f>'Юнит 10'!AL55+'Юнит 11'!AL55+'Юнит 12'!AL55+'Юнит 13'!AL55</f>
        <v>0</v>
      </c>
      <c r="AM55" s="89">
        <f>'Юнит 10'!AM55+'Юнит 11'!AM55+'Юнит 12'!AM55+'Юнит 13'!AM55</f>
        <v>0</v>
      </c>
      <c r="AN55" s="325">
        <f t="shared" si="37"/>
        <v>0</v>
      </c>
      <c r="AO55" s="95">
        <f t="shared" si="19"/>
        <v>0</v>
      </c>
      <c r="AP55" s="96"/>
      <c r="AQ55" s="97">
        <f t="shared" si="7"/>
        <v>0</v>
      </c>
      <c r="AR55" s="98">
        <f t="shared" si="29"/>
        <v>158.19</v>
      </c>
      <c r="AS55" s="98">
        <f t="shared" si="9"/>
        <v>0</v>
      </c>
      <c r="AT55" s="98">
        <f t="shared" si="10"/>
        <v>0</v>
      </c>
      <c r="AU55" s="98">
        <f t="shared" si="18"/>
        <v>0</v>
      </c>
      <c r="AV55" s="98">
        <f t="array" ref="AV55">_xlfn.IFS(U55=0,AO55,U55&lt;0,AO55/-U55,U55&gt;0,AO55/U55)</f>
        <v>0</v>
      </c>
      <c r="AW55" s="234">
        <f t="shared" si="38"/>
        <v>0</v>
      </c>
      <c r="AX55" s="234">
        <f t="shared" si="39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0"/>
        <v>0</v>
      </c>
      <c r="F56" s="93">
        <f>'Юнит 13'!F56</f>
        <v>0</v>
      </c>
      <c r="G56" s="93">
        <f>'Юнит 13'!G56</f>
        <v>0</v>
      </c>
      <c r="H56" s="93">
        <f>'Юнит 13'!H56</f>
        <v>0</v>
      </c>
      <c r="I56" s="93">
        <f>'Юнит 13'!I56</f>
        <v>0</v>
      </c>
      <c r="J56" s="93">
        <f>'Юнит 13'!J56</f>
        <v>0</v>
      </c>
      <c r="K56" s="93">
        <v>152.34</v>
      </c>
      <c r="L56" s="92">
        <f t="shared" si="36"/>
        <v>0</v>
      </c>
      <c r="M56" s="89">
        <f>'Юнит 13'!M56</f>
        <v>1</v>
      </c>
      <c r="N56" s="89">
        <f>'Юнит 10'!N56+'Юнит 11'!N56+'Юнит 12'!N56+'Юнит 13'!N56</f>
        <v>0</v>
      </c>
      <c r="O56" s="89">
        <v>0</v>
      </c>
      <c r="P56" s="399">
        <v>0</v>
      </c>
      <c r="Q56" s="406"/>
      <c r="R56" s="92">
        <f t="shared" si="15"/>
        <v>0</v>
      </c>
      <c r="S56" s="89">
        <f>'Юнит 10'!S56+'Юнит 11'!S56+'Юнит 12'!S56+'Юнит 13'!S56</f>
        <v>0</v>
      </c>
      <c r="T56" s="89">
        <f>'Юнит 10'!T56+'Юнит 11'!T56+'Юнит 12'!T56+'Юнит 13'!T56</f>
        <v>0</v>
      </c>
      <c r="U56" s="92">
        <f t="shared" si="1"/>
        <v>0</v>
      </c>
      <c r="V56" s="89">
        <f>'Юнит 10'!V56+'Юнит 11'!V56+'Юнит 12'!V56+'Юнит 13'!V56</f>
        <v>0</v>
      </c>
      <c r="W56" s="89">
        <f>'Юнит 10'!W56+'Юнит 11'!W56+'Юнит 12'!W56+'Юнит 13'!W56</f>
        <v>0</v>
      </c>
      <c r="X56" s="92">
        <f t="shared" si="2"/>
        <v>0</v>
      </c>
      <c r="Y56" s="89">
        <f>'Юнит 10'!Y56+'Юнит 11'!Y56+'Юнит 12'!Y56+'Юнит 13'!Y56</f>
        <v>0</v>
      </c>
      <c r="Z56" s="89">
        <f>'Юнит 10'!Z56+'Юнит 11'!Z56+'Юнит 12'!Z56+'Юнит 13'!Z56</f>
        <v>0</v>
      </c>
      <c r="AA56" s="232">
        <f t="shared" si="16"/>
        <v>0</v>
      </c>
      <c r="AB56" s="92">
        <f t="shared" si="17"/>
        <v>0</v>
      </c>
      <c r="AC56" s="234">
        <f t="shared" si="3"/>
        <v>0</v>
      </c>
      <c r="AD56" s="92">
        <f t="shared" si="4"/>
        <v>0</v>
      </c>
      <c r="AE56" s="89">
        <f>'Юнит 10'!AE56+'Юнит 11'!AE56+'Юнит 12'!AE56+'Юнит 13'!AE56</f>
        <v>0</v>
      </c>
      <c r="AF56" s="234">
        <f t="shared" si="5"/>
        <v>0</v>
      </c>
      <c r="AG56" s="89">
        <f>'Юнит 10'!AG56+'Юнит 11'!AG56+'Юнит 12'!AG56+'Юнит 13'!AG56</f>
        <v>0</v>
      </c>
      <c r="AH56" s="89">
        <f>'Юнит 10'!AH56+'Юнит 11'!AH56+'Юнит 12'!AH56+'Юнит 13'!AH56</f>
        <v>0</v>
      </c>
      <c r="AI56" s="89">
        <f>'Юнит 10'!AI56+'Юнит 11'!AI56+'Юнит 12'!AI56+'Юнит 13'!AI56</f>
        <v>0</v>
      </c>
      <c r="AJ56" s="89">
        <f>'Юнит 10'!AJ56+'Юнит 11'!AJ56+'Юнит 12'!AJ56+'Юнит 13'!AJ56</f>
        <v>0</v>
      </c>
      <c r="AK56" s="89">
        <f>'Юнит 10'!AK56+'Юнит 11'!AK56+'Юнит 12'!AK56+'Юнит 13'!AK56</f>
        <v>0</v>
      </c>
      <c r="AL56" s="89">
        <f>'Юнит 10'!AL56+'Юнит 11'!AL56+'Юнит 12'!AL56+'Юнит 13'!AL56</f>
        <v>0</v>
      </c>
      <c r="AM56" s="89">
        <f>'Юнит 10'!AM56+'Юнит 11'!AM56+'Юнит 12'!AM56+'Юнит 13'!AM56</f>
        <v>0</v>
      </c>
      <c r="AN56" s="325">
        <f t="shared" si="37"/>
        <v>0</v>
      </c>
      <c r="AO56" s="95">
        <f t="shared" si="19"/>
        <v>0</v>
      </c>
      <c r="AP56" s="96"/>
      <c r="AQ56" s="97">
        <f t="shared" si="7"/>
        <v>0</v>
      </c>
      <c r="AR56" s="98">
        <f t="shared" si="29"/>
        <v>152.34</v>
      </c>
      <c r="AS56" s="98">
        <f t="shared" si="9"/>
        <v>0</v>
      </c>
      <c r="AT56" s="98">
        <f t="shared" si="10"/>
        <v>0</v>
      </c>
      <c r="AU56" s="98">
        <f t="shared" si="18"/>
        <v>0</v>
      </c>
      <c r="AV56" s="98">
        <f t="array" ref="AV56">_xlfn.IFS(U56=0,AO56,U56&lt;0,AO56/-U56,U56&gt;0,AO56/U56)</f>
        <v>0</v>
      </c>
      <c r="AW56" s="234">
        <f t="shared" si="38"/>
        <v>0</v>
      </c>
      <c r="AX56" s="234">
        <f t="shared" si="39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0"/>
        <v>41</v>
      </c>
      <c r="F57" s="93">
        <f>'Юнит 13'!F57</f>
        <v>0</v>
      </c>
      <c r="G57" s="93">
        <f>'Юнит 13'!G57</f>
        <v>0</v>
      </c>
      <c r="H57" s="93">
        <f>'Юнит 13'!H57</f>
        <v>0</v>
      </c>
      <c r="I57" s="93">
        <f>'Юнит 13'!I57</f>
        <v>0</v>
      </c>
      <c r="J57" s="93">
        <f>'Юнит 13'!J57</f>
        <v>41</v>
      </c>
      <c r="K57" s="93">
        <v>93.84</v>
      </c>
      <c r="L57" s="92">
        <f t="shared" si="36"/>
        <v>3847.44</v>
      </c>
      <c r="M57" s="89">
        <f>'Юнит 13'!M57</f>
        <v>0</v>
      </c>
      <c r="N57" s="89">
        <f>'Юнит 10'!N57+'Юнит 11'!N57+'Юнит 12'!N57+'Юнит 13'!N57</f>
        <v>0</v>
      </c>
      <c r="O57" s="89">
        <v>0</v>
      </c>
      <c r="P57" s="399">
        <v>0</v>
      </c>
      <c r="Q57" s="406"/>
      <c r="R57" s="92">
        <f t="shared" si="15"/>
        <v>0</v>
      </c>
      <c r="S57" s="89">
        <f>'Юнит 10'!S57+'Юнит 11'!S57+'Юнит 12'!S57+'Юнит 13'!S57</f>
        <v>0</v>
      </c>
      <c r="T57" s="89">
        <f>'Юнит 10'!T57+'Юнит 11'!T57+'Юнит 12'!T57+'Юнит 13'!T57</f>
        <v>0</v>
      </c>
      <c r="U57" s="92">
        <f t="shared" si="1"/>
        <v>0</v>
      </c>
      <c r="V57" s="89">
        <f>'Юнит 10'!V57+'Юнит 11'!V57+'Юнит 12'!V57+'Юнит 13'!V57</f>
        <v>0</v>
      </c>
      <c r="W57" s="89">
        <f>'Юнит 10'!W57+'Юнит 11'!W57+'Юнит 12'!W57+'Юнит 13'!W57</f>
        <v>0</v>
      </c>
      <c r="X57" s="92">
        <f t="shared" si="2"/>
        <v>0</v>
      </c>
      <c r="Y57" s="89">
        <f>'Юнит 10'!Y57+'Юнит 11'!Y57+'Юнит 12'!Y57+'Юнит 13'!Y57</f>
        <v>0</v>
      </c>
      <c r="Z57" s="89">
        <f>'Юнит 10'!Z57+'Юнит 11'!Z57+'Юнит 12'!Z57+'Юнит 13'!Z57</f>
        <v>0</v>
      </c>
      <c r="AA57" s="232">
        <f t="shared" si="16"/>
        <v>0</v>
      </c>
      <c r="AB57" s="92">
        <f t="shared" si="17"/>
        <v>0</v>
      </c>
      <c r="AC57" s="234">
        <f t="shared" si="3"/>
        <v>0</v>
      </c>
      <c r="AD57" s="92">
        <f t="shared" si="4"/>
        <v>0</v>
      </c>
      <c r="AE57" s="89">
        <f>'Юнит 10'!AE57+'Юнит 11'!AE57+'Юнит 12'!AE57+'Юнит 13'!AE57</f>
        <v>0</v>
      </c>
      <c r="AF57" s="234">
        <f t="shared" si="5"/>
        <v>0</v>
      </c>
      <c r="AG57" s="89">
        <f>'Юнит 10'!AG57+'Юнит 11'!AG57+'Юнит 12'!AG57+'Юнит 13'!AG57</f>
        <v>0</v>
      </c>
      <c r="AH57" s="89">
        <f>'Юнит 10'!AH57+'Юнит 11'!AH57+'Юнит 12'!AH57+'Юнит 13'!AH57</f>
        <v>0</v>
      </c>
      <c r="AI57" s="89">
        <f>'Юнит 10'!AI57+'Юнит 11'!AI57+'Юнит 12'!AI57+'Юнит 13'!AI57</f>
        <v>0</v>
      </c>
      <c r="AJ57" s="89">
        <f>'Юнит 10'!AJ57+'Юнит 11'!AJ57+'Юнит 12'!AJ57+'Юнит 13'!AJ57</f>
        <v>0</v>
      </c>
      <c r="AK57" s="89">
        <f>'Юнит 10'!AK57+'Юнит 11'!AK57+'Юнит 12'!AK57+'Юнит 13'!AK57</f>
        <v>0</v>
      </c>
      <c r="AL57" s="89">
        <f>'Юнит 10'!AL57+'Юнит 11'!AL57+'Юнит 12'!AL57+'Юнит 13'!AL57</f>
        <v>0</v>
      </c>
      <c r="AM57" s="89">
        <f>'Юнит 10'!AM57+'Юнит 11'!AM57+'Юнит 12'!AM57+'Юнит 13'!AM57</f>
        <v>0</v>
      </c>
      <c r="AN57" s="325">
        <f t="shared" si="37"/>
        <v>0</v>
      </c>
      <c r="AO57" s="95">
        <f t="shared" si="19"/>
        <v>0</v>
      </c>
      <c r="AP57" s="96"/>
      <c r="AQ57" s="97">
        <f t="shared" si="7"/>
        <v>0</v>
      </c>
      <c r="AR57" s="98">
        <f t="shared" si="29"/>
        <v>93.84</v>
      </c>
      <c r="AS57" s="98">
        <f t="shared" si="9"/>
        <v>0</v>
      </c>
      <c r="AT57" s="98">
        <f t="shared" si="10"/>
        <v>0</v>
      </c>
      <c r="AU57" s="98">
        <f t="shared" si="18"/>
        <v>0</v>
      </c>
      <c r="AV57" s="98">
        <f t="array" ref="AV57">_xlfn.IFS(U57=0,AO57,U57&lt;0,AO57/-U57,U57&gt;0,AO57/U57)</f>
        <v>0</v>
      </c>
      <c r="AW57" s="234">
        <f t="shared" si="38"/>
        <v>0</v>
      </c>
      <c r="AX57" s="234">
        <f t="shared" si="39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0"/>
        <v>25</v>
      </c>
      <c r="F58" s="93">
        <f>'Юнит 13'!F58</f>
        <v>3</v>
      </c>
      <c r="G58" s="93">
        <f>'Юнит 13'!G58</f>
        <v>6</v>
      </c>
      <c r="H58" s="93">
        <f>'Юнит 13'!H58</f>
        <v>15</v>
      </c>
      <c r="I58" s="93">
        <f>'Юнит 13'!I58</f>
        <v>0</v>
      </c>
      <c r="J58" s="93">
        <f>'Юнит 13'!J58</f>
        <v>1</v>
      </c>
      <c r="K58" s="93">
        <v>169.89</v>
      </c>
      <c r="L58" s="92">
        <f t="shared" si="36"/>
        <v>4247.25</v>
      </c>
      <c r="M58" s="89">
        <f>'Юнит 13'!M58</f>
        <v>45</v>
      </c>
      <c r="N58" s="89">
        <f>'Юнит 10'!N58+'Юнит 11'!N58+'Юнит 12'!N58+'Юнит 13'!N58</f>
        <v>48</v>
      </c>
      <c r="O58" s="89">
        <v>1039</v>
      </c>
      <c r="P58" s="399">
        <v>0.33</v>
      </c>
      <c r="Q58" s="406">
        <f t="shared" si="14"/>
        <v>0.3125</v>
      </c>
      <c r="R58" s="92">
        <f t="shared" si="15"/>
        <v>2.1428571428571428</v>
      </c>
      <c r="S58" s="89">
        <f>'Юнит 10'!S58+'Юнит 11'!S58+'Юнит 12'!S58+'Юнит 13'!S58</f>
        <v>16</v>
      </c>
      <c r="T58" s="89">
        <f>'Юнит 10'!T58+'Юнит 11'!T58+'Юнит 12'!T58+'Юнит 13'!T58</f>
        <v>-1</v>
      </c>
      <c r="U58" s="92">
        <f t="shared" si="1"/>
        <v>15</v>
      </c>
      <c r="V58" s="89">
        <f>'Юнит 10'!V58+'Юнит 11'!V58+'Юнит 12'!V58+'Юнит 13'!V58</f>
        <v>10563.1</v>
      </c>
      <c r="W58" s="89">
        <f>'Юнит 10'!W58+'Юнит 11'!W58+'Юнит 12'!W58+'Юнит 13'!W58</f>
        <v>-674</v>
      </c>
      <c r="X58" s="92">
        <f t="shared" si="2"/>
        <v>9889.1</v>
      </c>
      <c r="Y58" s="89">
        <f>'Юнит 10'!Y58+'Юнит 11'!Y58+'Юнит 12'!Y58+'Юнит 13'!Y58</f>
        <v>16539.37</v>
      </c>
      <c r="Z58" s="89">
        <f>'Юнит 10'!Z58+'Юнит 11'!Z58+'Юнит 12'!Z58+'Юнит 13'!Z58</f>
        <v>-1039</v>
      </c>
      <c r="AA58" s="232">
        <f t="shared" si="16"/>
        <v>15500.369999999999</v>
      </c>
      <c r="AB58" s="92">
        <f t="shared" si="17"/>
        <v>164.57760000000002</v>
      </c>
      <c r="AC58" s="234">
        <f t="shared" si="3"/>
        <v>8.5136616191876788E-4</v>
      </c>
      <c r="AD58" s="92">
        <f t="shared" si="4"/>
        <v>2548.35</v>
      </c>
      <c r="AE58" s="89">
        <f>'Юнит 10'!AE58+'Юнит 11'!AE58+'Юнит 12'!AE58+'Юнит 13'!AE58</f>
        <v>5836.68</v>
      </c>
      <c r="AF58" s="234">
        <f t="shared" si="5"/>
        <v>0.3765510113629546</v>
      </c>
      <c r="AG58" s="89">
        <f>'Юнит 10'!AG58+'Юнит 11'!AG58+'Юнит 12'!AG58+'Юнит 13'!AG58</f>
        <v>4644.45</v>
      </c>
      <c r="AH58" s="89">
        <f>'Юнит 10'!AH58+'Юнит 11'!AH58+'Юнит 12'!AH58+'Юнит 13'!AH58</f>
        <v>2182</v>
      </c>
      <c r="AI58" s="89">
        <f>'Юнит 10'!AI58+'Юнит 11'!AI58+'Юнит 12'!AI58+'Юнит 13'!AI58</f>
        <v>2327</v>
      </c>
      <c r="AJ58" s="89">
        <f>'Юнит 10'!AJ58+'Юнит 11'!AJ58+'Юнит 12'!AJ58+'Юнит 13'!AJ58</f>
        <v>0</v>
      </c>
      <c r="AK58" s="89">
        <f>'Юнит 10'!AK58+'Юнит 11'!AK58+'Юнит 12'!AK58+'Юнит 13'!AK58</f>
        <v>0</v>
      </c>
      <c r="AL58" s="89">
        <f>'Юнит 10'!AL58+'Юнит 11'!AL58+'Юнит 12'!AL58+'Юнит 13'!AL58</f>
        <v>65.172606066517815</v>
      </c>
      <c r="AM58" s="89">
        <f>'Юнит 10'!AM58+'Юнит 11'!AM58+'Юнит 12'!AM58+'Юнит 13'!AM58</f>
        <v>0</v>
      </c>
      <c r="AN58" s="325">
        <f t="shared" si="37"/>
        <v>551.93530502478734</v>
      </c>
      <c r="AO58" s="95">
        <f t="shared" si="19"/>
        <v>-2655.2179110913066</v>
      </c>
      <c r="AP58" s="96"/>
      <c r="AQ58" s="97">
        <f t="shared" si="7"/>
        <v>1033.3579999999999</v>
      </c>
      <c r="AR58" s="98">
        <f t="shared" si="29"/>
        <v>169.89</v>
      </c>
      <c r="AS58" s="98">
        <f t="shared" si="9"/>
        <v>389.11200000000002</v>
      </c>
      <c r="AT58" s="98">
        <f t="shared" si="10"/>
        <v>290.27812499999999</v>
      </c>
      <c r="AU58" s="98">
        <f t="shared" si="18"/>
        <v>281.8125</v>
      </c>
      <c r="AV58" s="98">
        <f t="array" ref="AV58">_xlfn.IFS(U58=0,AO58,U58&lt;0,AO58/-U58,U58&gt;0,AO58/U58)</f>
        <v>-177.0145274060871</v>
      </c>
      <c r="AW58" s="234">
        <f t="shared" si="38"/>
        <v>-0.17130029225697882</v>
      </c>
      <c r="AX58" s="234">
        <f t="shared" si="39"/>
        <v>-1.0419361198780805</v>
      </c>
      <c r="AY58" s="99"/>
      <c r="AZ58" s="94">
        <f t="shared" si="13"/>
        <v>-4425.3631851521777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0"/>
        <v>35</v>
      </c>
      <c r="F59" s="93">
        <f>'Юнит 13'!F59</f>
        <v>0</v>
      </c>
      <c r="G59" s="93">
        <f>'Юнит 13'!G59</f>
        <v>0</v>
      </c>
      <c r="H59" s="93">
        <f>'Юнит 13'!H59</f>
        <v>0</v>
      </c>
      <c r="I59" s="93">
        <f>'Юнит 13'!I59</f>
        <v>0</v>
      </c>
      <c r="J59" s="93">
        <f>'Юнит 13'!J59</f>
        <v>35</v>
      </c>
      <c r="K59" s="93">
        <v>158.19</v>
      </c>
      <c r="L59" s="92">
        <f t="shared" si="36"/>
        <v>5536.65</v>
      </c>
      <c r="M59" s="89">
        <f>'Юнит 13'!M59</f>
        <v>0</v>
      </c>
      <c r="N59" s="89">
        <f>'Юнит 10'!N59+'Юнит 11'!N59+'Юнит 12'!N59+'Юнит 13'!N59</f>
        <v>0</v>
      </c>
      <c r="O59" s="89">
        <v>0</v>
      </c>
      <c r="P59" s="399">
        <v>0</v>
      </c>
      <c r="Q59" s="406"/>
      <c r="R59" s="92">
        <f t="shared" si="15"/>
        <v>0</v>
      </c>
      <c r="S59" s="89">
        <f>'Юнит 10'!S59+'Юнит 11'!S59+'Юнит 12'!S59+'Юнит 13'!S59</f>
        <v>0</v>
      </c>
      <c r="T59" s="89">
        <f>'Юнит 10'!T59+'Юнит 11'!T59+'Юнит 12'!T59+'Юнит 13'!T59</f>
        <v>0</v>
      </c>
      <c r="U59" s="92">
        <f t="shared" si="1"/>
        <v>0</v>
      </c>
      <c r="V59" s="89">
        <f>'Юнит 10'!V59+'Юнит 11'!V59+'Юнит 12'!V59+'Юнит 13'!V59</f>
        <v>0</v>
      </c>
      <c r="W59" s="89">
        <f>'Юнит 10'!W59+'Юнит 11'!W59+'Юнит 12'!W59+'Юнит 13'!W59</f>
        <v>0</v>
      </c>
      <c r="X59" s="92">
        <f t="shared" si="2"/>
        <v>0</v>
      </c>
      <c r="Y59" s="89">
        <f>'Юнит 10'!Y59+'Юнит 11'!Y59+'Юнит 12'!Y59+'Юнит 13'!Y59</f>
        <v>0</v>
      </c>
      <c r="Z59" s="89">
        <f>'Юнит 10'!Z59+'Юнит 11'!Z59+'Юнит 12'!Z59+'Юнит 13'!Z59</f>
        <v>0</v>
      </c>
      <c r="AA59" s="232">
        <f t="shared" si="16"/>
        <v>0</v>
      </c>
      <c r="AB59" s="92">
        <f t="shared" si="17"/>
        <v>0</v>
      </c>
      <c r="AC59" s="234">
        <f t="shared" si="3"/>
        <v>0</v>
      </c>
      <c r="AD59" s="92">
        <f t="shared" si="4"/>
        <v>0</v>
      </c>
      <c r="AE59" s="89">
        <f>'Юнит 10'!AE59+'Юнит 11'!AE59+'Юнит 12'!AE59+'Юнит 13'!AE59</f>
        <v>0</v>
      </c>
      <c r="AF59" s="234">
        <f t="shared" si="5"/>
        <v>0</v>
      </c>
      <c r="AG59" s="89">
        <f>'Юнит 10'!AG59+'Юнит 11'!AG59+'Юнит 12'!AG59+'Юнит 13'!AG59</f>
        <v>0</v>
      </c>
      <c r="AH59" s="89">
        <f>'Юнит 10'!AH59+'Юнит 11'!AH59+'Юнит 12'!AH59+'Юнит 13'!AH59</f>
        <v>0</v>
      </c>
      <c r="AI59" s="89">
        <f>'Юнит 10'!AI59+'Юнит 11'!AI59+'Юнит 12'!AI59+'Юнит 13'!AI59</f>
        <v>0</v>
      </c>
      <c r="AJ59" s="89">
        <f>'Юнит 10'!AJ59+'Юнит 11'!AJ59+'Юнит 12'!AJ59+'Юнит 13'!AJ59</f>
        <v>0</v>
      </c>
      <c r="AK59" s="89">
        <f>'Юнит 10'!AK59+'Юнит 11'!AK59+'Юнит 12'!AK59+'Юнит 13'!AK59</f>
        <v>0</v>
      </c>
      <c r="AL59" s="89">
        <f>'Юнит 10'!AL59+'Юнит 11'!AL59+'Юнит 12'!AL59+'Юнит 13'!AL59</f>
        <v>0</v>
      </c>
      <c r="AM59" s="89">
        <f>'Юнит 10'!AM59+'Юнит 11'!AM59+'Юнит 12'!AM59+'Юнит 13'!AM59</f>
        <v>0</v>
      </c>
      <c r="AN59" s="325">
        <f t="shared" si="37"/>
        <v>0</v>
      </c>
      <c r="AO59" s="95">
        <f t="shared" si="19"/>
        <v>0</v>
      </c>
      <c r="AP59" s="96"/>
      <c r="AQ59" s="97">
        <f t="shared" si="7"/>
        <v>0</v>
      </c>
      <c r="AR59" s="98">
        <f t="shared" si="29"/>
        <v>158.19</v>
      </c>
      <c r="AS59" s="98">
        <f t="shared" si="9"/>
        <v>0</v>
      </c>
      <c r="AT59" s="98">
        <f t="shared" si="10"/>
        <v>0</v>
      </c>
      <c r="AU59" s="98">
        <f t="shared" si="18"/>
        <v>0</v>
      </c>
      <c r="AV59" s="98">
        <f t="array" ref="AV59">_xlfn.IFS(U59=0,AO59,U59&lt;0,AO59/-U59,U59&gt;0,AO59/U59)</f>
        <v>0</v>
      </c>
      <c r="AW59" s="234">
        <f t="shared" si="38"/>
        <v>0</v>
      </c>
      <c r="AX59" s="234">
        <f t="shared" si="39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0"/>
        <v>64</v>
      </c>
      <c r="F60" s="93" t="str">
        <f>'Юнит 13'!F60</f>
        <v/>
      </c>
      <c r="G60" s="93">
        <f>'Юнит 13'!G60</f>
        <v>2</v>
      </c>
      <c r="H60" s="93">
        <f>'Юнит 13'!H60</f>
        <v>21</v>
      </c>
      <c r="I60" s="93">
        <f>'Юнит 13'!I60</f>
        <v>0</v>
      </c>
      <c r="J60" s="93">
        <f>'Юнит 13'!J60</f>
        <v>41</v>
      </c>
      <c r="K60" s="93">
        <v>158.19</v>
      </c>
      <c r="L60" s="92">
        <f t="shared" si="36"/>
        <v>10124.16</v>
      </c>
      <c r="M60" s="89">
        <f>'Юнит 13'!M60</f>
        <v>122</v>
      </c>
      <c r="N60" s="89">
        <f>'Юнит 10'!N60+'Юнит 11'!N60+'Юнит 12'!N60+'Юнит 13'!N60</f>
        <v>19</v>
      </c>
      <c r="O60" s="89">
        <v>1049</v>
      </c>
      <c r="P60" s="399">
        <v>0.25</v>
      </c>
      <c r="Q60" s="406">
        <f t="shared" si="14"/>
        <v>0.26315789473684209</v>
      </c>
      <c r="R60" s="92">
        <f t="shared" si="15"/>
        <v>0.7142857142857143</v>
      </c>
      <c r="S60" s="89">
        <f>'Юнит 10'!S60+'Юнит 11'!S60+'Юнит 12'!S60+'Юнит 13'!S60</f>
        <v>5</v>
      </c>
      <c r="T60" s="89">
        <f>'Юнит 10'!T60+'Юнит 11'!T60+'Юнит 12'!T60+'Юнит 13'!T60</f>
        <v>0</v>
      </c>
      <c r="U60" s="92">
        <f t="shared" si="1"/>
        <v>5</v>
      </c>
      <c r="V60" s="89">
        <f>'Юнит 10'!V60+'Юнит 11'!V60+'Юнит 12'!V60+'Юнит 13'!V60</f>
        <v>3385</v>
      </c>
      <c r="W60" s="89">
        <f>'Юнит 10'!W60+'Юнит 11'!W60+'Юнит 12'!W60+'Юнит 13'!W60</f>
        <v>0</v>
      </c>
      <c r="X60" s="92">
        <f t="shared" si="2"/>
        <v>3385</v>
      </c>
      <c r="Y60" s="89">
        <f>'Юнит 10'!Y60+'Юнит 11'!Y60+'Юнит 12'!Y60+'Юнит 13'!Y60</f>
        <v>5213.53</v>
      </c>
      <c r="Z60" s="89">
        <f>'Юнит 10'!Z60+'Юнит 11'!Z60+'Юнит 12'!Z60+'Юнит 13'!Z60</f>
        <v>0</v>
      </c>
      <c r="AA60" s="232">
        <f t="shared" si="16"/>
        <v>5213.53</v>
      </c>
      <c r="AB60" s="92">
        <f t="shared" si="17"/>
        <v>49.827500000000001</v>
      </c>
      <c r="AC60" s="234">
        <f t="shared" si="3"/>
        <v>2.8635594028712569E-4</v>
      </c>
      <c r="AD60" s="92">
        <f t="shared" si="4"/>
        <v>790.95</v>
      </c>
      <c r="AE60" s="89">
        <f>'Юнит 10'!AE60+'Юнит 11'!AE60+'Юнит 12'!AE60+'Юнит 13'!AE60</f>
        <v>1985.4599999999998</v>
      </c>
      <c r="AF60" s="234">
        <f t="shared" si="5"/>
        <v>0.38082834471078136</v>
      </c>
      <c r="AG60" s="89">
        <f>'Юнит 10'!AG60+'Юнит 11'!AG60+'Юнит 12'!AG60+'Юнит 13'!AG60</f>
        <v>1652.13</v>
      </c>
      <c r="AH60" s="89">
        <f>'Юнит 10'!AH60+'Юнит 11'!AH60+'Юнит 12'!AH60+'Юнит 13'!AH60</f>
        <v>0</v>
      </c>
      <c r="AI60" s="89">
        <f>'Юнит 10'!AI60+'Юнит 11'!AI60+'Юнит 12'!AI60+'Юнит 13'!AI60</f>
        <v>0</v>
      </c>
      <c r="AJ60" s="89">
        <f>'Юнит 10'!AJ60+'Юнит 11'!AJ60+'Юнит 12'!AJ60+'Юнит 13'!AJ60</f>
        <v>0</v>
      </c>
      <c r="AK60" s="89">
        <f>'Юнит 10'!AK60+'Юнит 11'!AK60+'Юнит 12'!AK60+'Юнит 13'!AK60</f>
        <v>0</v>
      </c>
      <c r="AL60" s="89">
        <f>'Юнит 10'!AL60+'Юнит 11'!AL60+'Юнит 12'!AL60+'Юнит 13'!AL60</f>
        <v>77.228312952056285</v>
      </c>
      <c r="AM60" s="89">
        <f>'Юнит 10'!AM60+'Юнит 11'!AM60+'Юнит 12'!AM60+'Юнит 13'!AM60</f>
        <v>0</v>
      </c>
      <c r="AN60" s="325">
        <f t="shared" si="37"/>
        <v>188.92528212970896</v>
      </c>
      <c r="AO60" s="95">
        <f t="shared" si="19"/>
        <v>518.83640491823451</v>
      </c>
      <c r="AP60" s="96"/>
      <c r="AQ60" s="97">
        <f t="shared" si="7"/>
        <v>1042.7059999999999</v>
      </c>
      <c r="AR60" s="98">
        <f t="shared" si="29"/>
        <v>158.19</v>
      </c>
      <c r="AS60" s="98">
        <f t="shared" si="9"/>
        <v>397.09199999999998</v>
      </c>
      <c r="AT60" s="98">
        <f t="shared" si="10"/>
        <v>330.42600000000004</v>
      </c>
      <c r="AU60" s="98">
        <f t="shared" si="18"/>
        <v>0</v>
      </c>
      <c r="AV60" s="98">
        <f t="array" ref="AV60">_xlfn.IFS(U60=0,AO60,U60&lt;0,AO60/-U60,U60&gt;0,AO60/U60)</f>
        <v>103.7672809836469</v>
      </c>
      <c r="AW60" s="234">
        <f t="shared" si="38"/>
        <v>9.9517295367674979E-2</v>
      </c>
      <c r="AX60" s="234">
        <f t="shared" si="39"/>
        <v>0.65596612291324929</v>
      </c>
      <c r="AY60" s="99"/>
      <c r="AZ60" s="94">
        <f t="shared" si="13"/>
        <v>6641.1059829534015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0"/>
        <v>482</v>
      </c>
      <c r="F61" s="93">
        <f>'Юнит 13'!F61</f>
        <v>6</v>
      </c>
      <c r="G61" s="93">
        <f>'Юнит 13'!G61</f>
        <v>1</v>
      </c>
      <c r="H61" s="93">
        <f>'Юнит 13'!H61</f>
        <v>154</v>
      </c>
      <c r="I61" s="93">
        <f>'Юнит 13'!I61</f>
        <v>0</v>
      </c>
      <c r="J61" s="93">
        <f>'Юнит 13'!J61</f>
        <v>321</v>
      </c>
      <c r="K61" s="93">
        <v>128.94</v>
      </c>
      <c r="L61" s="92">
        <f t="shared" si="36"/>
        <v>62149.08</v>
      </c>
      <c r="M61" s="89">
        <f>'Юнит 13'!M61</f>
        <v>535</v>
      </c>
      <c r="N61" s="89">
        <f>'Юнит 10'!N61+'Юнит 11'!N61+'Юнит 12'!N61+'Юнит 13'!N61</f>
        <v>16</v>
      </c>
      <c r="O61" s="89">
        <v>948</v>
      </c>
      <c r="P61" s="399">
        <v>0.2</v>
      </c>
      <c r="Q61" s="406">
        <f t="shared" si="14"/>
        <v>0.125</v>
      </c>
      <c r="R61" s="92">
        <f t="shared" si="15"/>
        <v>0.2857142857142857</v>
      </c>
      <c r="S61" s="89">
        <f>'Юнит 10'!S61+'Юнит 11'!S61+'Юнит 12'!S61+'Юнит 13'!S61</f>
        <v>2</v>
      </c>
      <c r="T61" s="89">
        <f>'Юнит 10'!T61+'Юнит 11'!T61+'Юнит 12'!T61+'Юнит 13'!T61</f>
        <v>0</v>
      </c>
      <c r="U61" s="92">
        <f t="shared" si="1"/>
        <v>2</v>
      </c>
      <c r="V61" s="89">
        <f>'Юнит 10'!V61+'Юнит 11'!V61+'Юнит 12'!V61+'Юнит 13'!V61</f>
        <v>1322</v>
      </c>
      <c r="W61" s="89">
        <f>'Юнит 10'!W61+'Юнит 11'!W61+'Юнит 12'!W61+'Юнит 13'!W61</f>
        <v>0</v>
      </c>
      <c r="X61" s="92">
        <f t="shared" si="2"/>
        <v>1322</v>
      </c>
      <c r="Y61" s="89">
        <f>'Юнит 10'!Y61+'Юнит 11'!Y61+'Юнит 12'!Y61+'Юнит 13'!Y61</f>
        <v>1896</v>
      </c>
      <c r="Z61" s="89">
        <f>'Юнит 10'!Z61+'Юнит 11'!Z61+'Юнит 12'!Z61+'Юнит 13'!Z61</f>
        <v>0</v>
      </c>
      <c r="AA61" s="232">
        <f t="shared" si="16"/>
        <v>1896</v>
      </c>
      <c r="AB61" s="92">
        <f t="shared" si="17"/>
        <v>30.336000000000002</v>
      </c>
      <c r="AC61" s="234">
        <f t="shared" si="3"/>
        <v>1.0413882010545452E-4</v>
      </c>
      <c r="AD61" s="92">
        <f t="shared" si="4"/>
        <v>257.88</v>
      </c>
      <c r="AE61" s="89">
        <f>'Юнит 10'!AE61+'Юнит 11'!AE61+'Юнит 12'!AE61+'Юнит 13'!AE61</f>
        <v>721.22</v>
      </c>
      <c r="AF61" s="234">
        <f t="shared" si="5"/>
        <v>0.38039029535864982</v>
      </c>
      <c r="AG61" s="89">
        <f>'Юнит 10'!AG61+'Юнит 11'!AG61+'Юнит 12'!AG61+'Юнит 13'!AG61</f>
        <v>745.78</v>
      </c>
      <c r="AH61" s="89">
        <f>'Юнит 10'!AH61+'Юнит 11'!AH61+'Юнит 12'!AH61+'Юнит 13'!AH61</f>
        <v>0</v>
      </c>
      <c r="AI61" s="89">
        <f>'Юнит 10'!AI61+'Юнит 11'!AI61+'Юнит 12'!AI61+'Юнит 13'!AI61</f>
        <v>0</v>
      </c>
      <c r="AJ61" s="89">
        <f>'Юнит 10'!AJ61+'Юнит 11'!AJ61+'Юнит 12'!AJ61+'Юнит 13'!AJ61</f>
        <v>0</v>
      </c>
      <c r="AK61" s="89">
        <f>'Юнит 10'!AK61+'Юнит 11'!AK61+'Юнит 12'!AK61+'Юнит 13'!AK61</f>
        <v>0</v>
      </c>
      <c r="AL61" s="89">
        <f>'Юнит 10'!AL61+'Юнит 11'!AL61+'Юнит 12'!AL61+'Юнит 13'!AL61</f>
        <v>628.84703068350041</v>
      </c>
      <c r="AM61" s="89">
        <f>'Юнит 10'!AM61+'Юнит 11'!AM61+'Юнит 12'!AM61+'Юнит 13'!AM61</f>
        <v>0</v>
      </c>
      <c r="AN61" s="325">
        <f t="shared" si="37"/>
        <v>73.784113138988261</v>
      </c>
      <c r="AO61" s="95">
        <f t="shared" si="19"/>
        <v>-531.51114382248875</v>
      </c>
      <c r="AP61" s="96"/>
      <c r="AQ61" s="97">
        <f t="shared" si="7"/>
        <v>948</v>
      </c>
      <c r="AR61" s="98">
        <f t="shared" si="29"/>
        <v>128.94</v>
      </c>
      <c r="AS61" s="98">
        <f t="shared" si="9"/>
        <v>360.61</v>
      </c>
      <c r="AT61" s="98">
        <f t="shared" si="10"/>
        <v>372.89</v>
      </c>
      <c r="AU61" s="98">
        <f t="shared" si="18"/>
        <v>0</v>
      </c>
      <c r="AV61" s="98">
        <f t="array" ref="AV61">_xlfn.IFS(U61=0,AO61,U61&lt;0,AO61/-U61,U61&gt;0,AO61/U61)</f>
        <v>-265.75557191124437</v>
      </c>
      <c r="AW61" s="234">
        <f t="shared" si="38"/>
        <v>-0.28033288176291599</v>
      </c>
      <c r="AX61" s="234">
        <f t="shared" si="39"/>
        <v>-2.0610793540502899</v>
      </c>
      <c r="AY61" s="99"/>
      <c r="AZ61" s="94">
        <f t="shared" si="13"/>
        <v>-128094.18566121979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0"/>
        <v>92</v>
      </c>
      <c r="F62" s="93">
        <f>'Юнит 13'!F62</f>
        <v>0</v>
      </c>
      <c r="G62" s="93">
        <f>'Юнит 13'!G62</f>
        <v>0</v>
      </c>
      <c r="H62" s="93">
        <f>'Юнит 13'!H62</f>
        <v>0</v>
      </c>
      <c r="I62" s="93">
        <f>'Юнит 13'!I62</f>
        <v>0</v>
      </c>
      <c r="J62" s="93">
        <f>'Юнит 13'!J62</f>
        <v>92</v>
      </c>
      <c r="K62" s="93">
        <v>175.74</v>
      </c>
      <c r="L62" s="92">
        <f t="shared" si="36"/>
        <v>16168.080000000002</v>
      </c>
      <c r="M62" s="89">
        <f>'Юнит 13'!M62</f>
        <v>0</v>
      </c>
      <c r="N62" s="89">
        <f>'Юнит 10'!N62+'Юнит 11'!N62+'Юнит 12'!N62+'Юнит 13'!N62</f>
        <v>0</v>
      </c>
      <c r="O62" s="89">
        <v>0</v>
      </c>
      <c r="P62" s="399">
        <v>0</v>
      </c>
      <c r="Q62" s="406"/>
      <c r="R62" s="92">
        <f t="shared" si="15"/>
        <v>0</v>
      </c>
      <c r="S62" s="89">
        <f>'Юнит 10'!S62+'Юнит 11'!S62+'Юнит 12'!S62+'Юнит 13'!S62</f>
        <v>0</v>
      </c>
      <c r="T62" s="89">
        <f>'Юнит 10'!T62+'Юнит 11'!T62+'Юнит 12'!T62+'Юнит 13'!T62</f>
        <v>0</v>
      </c>
      <c r="U62" s="92">
        <f t="shared" si="1"/>
        <v>0</v>
      </c>
      <c r="V62" s="89">
        <f>'Юнит 10'!V62+'Юнит 11'!V62+'Юнит 12'!V62+'Юнит 13'!V62</f>
        <v>0</v>
      </c>
      <c r="W62" s="89">
        <f>'Юнит 10'!W62+'Юнит 11'!W62+'Юнит 12'!W62+'Юнит 13'!W62</f>
        <v>0</v>
      </c>
      <c r="X62" s="92">
        <f t="shared" si="2"/>
        <v>0</v>
      </c>
      <c r="Y62" s="89">
        <f>'Юнит 10'!Y62+'Юнит 11'!Y62+'Юнит 12'!Y62+'Юнит 13'!Y62</f>
        <v>0</v>
      </c>
      <c r="Z62" s="89">
        <f>'Юнит 10'!Z62+'Юнит 11'!Z62+'Юнит 12'!Z62+'Юнит 13'!Z62</f>
        <v>0</v>
      </c>
      <c r="AA62" s="232">
        <f t="shared" si="16"/>
        <v>0</v>
      </c>
      <c r="AB62" s="92">
        <f t="shared" si="17"/>
        <v>0</v>
      </c>
      <c r="AC62" s="234">
        <f t="shared" si="3"/>
        <v>0</v>
      </c>
      <c r="AD62" s="92">
        <f t="shared" si="4"/>
        <v>0</v>
      </c>
      <c r="AE62" s="89">
        <f>'Юнит 10'!AE62+'Юнит 11'!AE62+'Юнит 12'!AE62+'Юнит 13'!AE62</f>
        <v>0</v>
      </c>
      <c r="AF62" s="234">
        <f t="shared" si="5"/>
        <v>0</v>
      </c>
      <c r="AG62" s="89">
        <f>'Юнит 10'!AG62+'Юнит 11'!AG62+'Юнит 12'!AG62+'Юнит 13'!AG62</f>
        <v>0</v>
      </c>
      <c r="AH62" s="89">
        <f>'Юнит 10'!AH62+'Юнит 11'!AH62+'Юнит 12'!AH62+'Юнит 13'!AH62</f>
        <v>0</v>
      </c>
      <c r="AI62" s="89">
        <f>'Юнит 10'!AI62+'Юнит 11'!AI62+'Юнит 12'!AI62+'Юнит 13'!AI62</f>
        <v>0</v>
      </c>
      <c r="AJ62" s="89">
        <f>'Юнит 10'!AJ62+'Юнит 11'!AJ62+'Юнит 12'!AJ62+'Юнит 13'!AJ62</f>
        <v>0</v>
      </c>
      <c r="AK62" s="89">
        <f>'Юнит 10'!AK62+'Юнит 11'!AK62+'Юнит 12'!AK62+'Юнит 13'!AK62</f>
        <v>0</v>
      </c>
      <c r="AL62" s="89">
        <f>'Юнит 10'!AL62+'Юнит 11'!AL62+'Юнит 12'!AL62+'Юнит 13'!AL62</f>
        <v>0</v>
      </c>
      <c r="AM62" s="89">
        <f>'Юнит 10'!AM62+'Юнит 11'!AM62+'Юнит 12'!AM62+'Юнит 13'!AM62</f>
        <v>0</v>
      </c>
      <c r="AN62" s="325">
        <f t="shared" si="37"/>
        <v>0</v>
      </c>
      <c r="AO62" s="95">
        <f t="shared" si="19"/>
        <v>0</v>
      </c>
      <c r="AP62" s="96"/>
      <c r="AQ62" s="97">
        <f t="shared" si="7"/>
        <v>0</v>
      </c>
      <c r="AR62" s="98">
        <f t="shared" si="29"/>
        <v>175.74</v>
      </c>
      <c r="AS62" s="98">
        <f t="shared" si="9"/>
        <v>0</v>
      </c>
      <c r="AT62" s="98">
        <f t="shared" si="10"/>
        <v>0</v>
      </c>
      <c r="AU62" s="98">
        <f t="shared" si="18"/>
        <v>0</v>
      </c>
      <c r="AV62" s="98">
        <f t="array" ref="AV62">_xlfn.IFS(U62=0,AO62,U62&lt;0,AO62/-U62,U62&gt;0,AO62/U62)</f>
        <v>0</v>
      </c>
      <c r="AW62" s="234">
        <f t="shared" si="38"/>
        <v>0</v>
      </c>
      <c r="AX62" s="234">
        <f t="shared" si="39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0"/>
        <v>3</v>
      </c>
      <c r="F63" s="93">
        <f>'Юнит 13'!F63</f>
        <v>0</v>
      </c>
      <c r="G63" s="93">
        <f>'Юнит 13'!G63</f>
        <v>0</v>
      </c>
      <c r="H63" s="93">
        <f>'Юнит 13'!H63</f>
        <v>0</v>
      </c>
      <c r="I63" s="93">
        <f>'Юнит 13'!I63</f>
        <v>0</v>
      </c>
      <c r="J63" s="93">
        <f>'Юнит 13'!J63</f>
        <v>3</v>
      </c>
      <c r="K63" s="93">
        <v>140.63999999999999</v>
      </c>
      <c r="L63" s="92">
        <f t="shared" si="36"/>
        <v>421.91999999999996</v>
      </c>
      <c r="M63" s="89">
        <f>'Юнит 13'!M63</f>
        <v>0</v>
      </c>
      <c r="N63" s="89">
        <f>'Юнит 10'!N63+'Юнит 11'!N63+'Юнит 12'!N63+'Юнит 13'!N63</f>
        <v>0</v>
      </c>
      <c r="O63" s="89">
        <v>0</v>
      </c>
      <c r="P63" s="399">
        <v>0</v>
      </c>
      <c r="Q63" s="406"/>
      <c r="R63" s="92">
        <f t="shared" si="15"/>
        <v>0</v>
      </c>
      <c r="S63" s="89">
        <f>'Юнит 10'!S63+'Юнит 11'!S63+'Юнит 12'!S63+'Юнит 13'!S63</f>
        <v>0</v>
      </c>
      <c r="T63" s="89">
        <f>'Юнит 10'!T63+'Юнит 11'!T63+'Юнит 12'!T63+'Юнит 13'!T63</f>
        <v>0</v>
      </c>
      <c r="U63" s="92">
        <f t="shared" si="1"/>
        <v>0</v>
      </c>
      <c r="V63" s="89">
        <f>'Юнит 10'!V63+'Юнит 11'!V63+'Юнит 12'!V63+'Юнит 13'!V63</f>
        <v>0</v>
      </c>
      <c r="W63" s="89">
        <f>'Юнит 10'!W63+'Юнит 11'!W63+'Юнит 12'!W63+'Юнит 13'!W63</f>
        <v>0</v>
      </c>
      <c r="X63" s="92">
        <f t="shared" si="2"/>
        <v>0</v>
      </c>
      <c r="Y63" s="89">
        <f>'Юнит 10'!Y63+'Юнит 11'!Y63+'Юнит 12'!Y63+'Юнит 13'!Y63</f>
        <v>0</v>
      </c>
      <c r="Z63" s="89">
        <f>'Юнит 10'!Z63+'Юнит 11'!Z63+'Юнит 12'!Z63+'Юнит 13'!Z63</f>
        <v>0</v>
      </c>
      <c r="AA63" s="232">
        <f t="shared" si="16"/>
        <v>0</v>
      </c>
      <c r="AB63" s="92">
        <f t="shared" si="17"/>
        <v>0</v>
      </c>
      <c r="AC63" s="234">
        <f t="shared" si="3"/>
        <v>0</v>
      </c>
      <c r="AD63" s="92">
        <f t="shared" si="4"/>
        <v>0</v>
      </c>
      <c r="AE63" s="89">
        <f>'Юнит 10'!AE63+'Юнит 11'!AE63+'Юнит 12'!AE63+'Юнит 13'!AE63</f>
        <v>0</v>
      </c>
      <c r="AF63" s="234">
        <f t="shared" si="5"/>
        <v>0</v>
      </c>
      <c r="AG63" s="89">
        <f>'Юнит 10'!AG63+'Юнит 11'!AG63+'Юнит 12'!AG63+'Юнит 13'!AG63</f>
        <v>0</v>
      </c>
      <c r="AH63" s="89">
        <f>'Юнит 10'!AH63+'Юнит 11'!AH63+'Юнит 12'!AH63+'Юнит 13'!AH63</f>
        <v>0</v>
      </c>
      <c r="AI63" s="89">
        <f>'Юнит 10'!AI63+'Юнит 11'!AI63+'Юнит 12'!AI63+'Юнит 13'!AI63</f>
        <v>0</v>
      </c>
      <c r="AJ63" s="89">
        <f>'Юнит 10'!AJ63+'Юнит 11'!AJ63+'Юнит 12'!AJ63+'Юнит 13'!AJ63</f>
        <v>0</v>
      </c>
      <c r="AK63" s="89">
        <f>'Юнит 10'!AK63+'Юнит 11'!AK63+'Юнит 12'!AK63+'Юнит 13'!AK63</f>
        <v>0</v>
      </c>
      <c r="AL63" s="89">
        <f>'Юнит 10'!AL63+'Юнит 11'!AL63+'Юнит 12'!AL63+'Юнит 13'!AL63</f>
        <v>0</v>
      </c>
      <c r="AM63" s="89">
        <f>'Юнит 10'!AM63+'Юнит 11'!AM63+'Юнит 12'!AM63+'Юнит 13'!AM63</f>
        <v>0</v>
      </c>
      <c r="AN63" s="325">
        <f t="shared" si="37"/>
        <v>0</v>
      </c>
      <c r="AO63" s="95">
        <f t="shared" si="19"/>
        <v>0</v>
      </c>
      <c r="AP63" s="96"/>
      <c r="AQ63" s="97">
        <f t="shared" si="7"/>
        <v>0</v>
      </c>
      <c r="AR63" s="98">
        <f t="shared" si="29"/>
        <v>140.63999999999999</v>
      </c>
      <c r="AS63" s="98">
        <f t="shared" si="9"/>
        <v>0</v>
      </c>
      <c r="AT63" s="98">
        <f t="shared" si="10"/>
        <v>0</v>
      </c>
      <c r="AU63" s="98">
        <f t="shared" si="18"/>
        <v>0</v>
      </c>
      <c r="AV63" s="98">
        <f t="array" ref="AV63">_xlfn.IFS(U63=0,AO63,U63&lt;0,AO63/-U63,U63&gt;0,AO63/U63)</f>
        <v>0</v>
      </c>
      <c r="AW63" s="234">
        <f t="shared" si="38"/>
        <v>0</v>
      </c>
      <c r="AX63" s="234">
        <f t="shared" si="39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0"/>
        <v>43</v>
      </c>
      <c r="F64" s="93">
        <f>'Юнит 13'!F64</f>
        <v>0</v>
      </c>
      <c r="G64" s="93">
        <f>'Юнит 13'!G64</f>
        <v>0</v>
      </c>
      <c r="H64" s="93">
        <f>'Юнит 13'!H64</f>
        <v>0</v>
      </c>
      <c r="I64" s="93">
        <f>'Юнит 13'!I64</f>
        <v>0</v>
      </c>
      <c r="J64" s="93">
        <f>'Юнит 13'!J64</f>
        <v>43</v>
      </c>
      <c r="K64" s="93">
        <v>99.69</v>
      </c>
      <c r="L64" s="92">
        <f t="shared" si="36"/>
        <v>4286.67</v>
      </c>
      <c r="M64" s="89">
        <f>'Юнит 13'!M64</f>
        <v>0</v>
      </c>
      <c r="N64" s="89">
        <f>'Юнит 10'!N64+'Юнит 11'!N64+'Юнит 12'!N64+'Юнит 13'!N64</f>
        <v>0</v>
      </c>
      <c r="O64" s="89">
        <v>0</v>
      </c>
      <c r="P64" s="399">
        <v>0</v>
      </c>
      <c r="Q64" s="406"/>
      <c r="R64" s="92">
        <f t="shared" si="15"/>
        <v>0</v>
      </c>
      <c r="S64" s="89">
        <f>'Юнит 10'!S64+'Юнит 11'!S64+'Юнит 12'!S64+'Юнит 13'!S64</f>
        <v>0</v>
      </c>
      <c r="T64" s="89">
        <f>'Юнит 10'!T64+'Юнит 11'!T64+'Юнит 12'!T64+'Юнит 13'!T64</f>
        <v>0</v>
      </c>
      <c r="U64" s="92">
        <f t="shared" si="1"/>
        <v>0</v>
      </c>
      <c r="V64" s="89">
        <f>'Юнит 10'!V64+'Юнит 11'!V64+'Юнит 12'!V64+'Юнит 13'!V64</f>
        <v>0</v>
      </c>
      <c r="W64" s="89">
        <f>'Юнит 10'!W64+'Юнит 11'!W64+'Юнит 12'!W64+'Юнит 13'!W64</f>
        <v>0</v>
      </c>
      <c r="X64" s="92">
        <f t="shared" si="2"/>
        <v>0</v>
      </c>
      <c r="Y64" s="89">
        <f>'Юнит 10'!Y64+'Юнит 11'!Y64+'Юнит 12'!Y64+'Юнит 13'!Y64</f>
        <v>0</v>
      </c>
      <c r="Z64" s="89">
        <f>'Юнит 10'!Z64+'Юнит 11'!Z64+'Юнит 12'!Z64+'Юнит 13'!Z64</f>
        <v>0</v>
      </c>
      <c r="AA64" s="232">
        <f t="shared" si="16"/>
        <v>0</v>
      </c>
      <c r="AB64" s="92">
        <f t="shared" si="17"/>
        <v>0</v>
      </c>
      <c r="AC64" s="234">
        <f t="shared" si="3"/>
        <v>0</v>
      </c>
      <c r="AD64" s="92">
        <f t="shared" si="4"/>
        <v>0</v>
      </c>
      <c r="AE64" s="89">
        <f>'Юнит 10'!AE64+'Юнит 11'!AE64+'Юнит 12'!AE64+'Юнит 13'!AE64</f>
        <v>0</v>
      </c>
      <c r="AF64" s="234">
        <f t="shared" si="5"/>
        <v>0</v>
      </c>
      <c r="AG64" s="89">
        <f>'Юнит 10'!AG64+'Юнит 11'!AG64+'Юнит 12'!AG64+'Юнит 13'!AG64</f>
        <v>0</v>
      </c>
      <c r="AH64" s="89">
        <f>'Юнит 10'!AH64+'Юнит 11'!AH64+'Юнит 12'!AH64+'Юнит 13'!AH64</f>
        <v>0</v>
      </c>
      <c r="AI64" s="89">
        <f>'Юнит 10'!AI64+'Юнит 11'!AI64+'Юнит 12'!AI64+'Юнит 13'!AI64</f>
        <v>0</v>
      </c>
      <c r="AJ64" s="89">
        <f>'Юнит 10'!AJ64+'Юнит 11'!AJ64+'Юнит 12'!AJ64+'Юнит 13'!AJ64</f>
        <v>0</v>
      </c>
      <c r="AK64" s="89">
        <f>'Юнит 10'!AK64+'Юнит 11'!AK64+'Юнит 12'!AK64+'Юнит 13'!AK64</f>
        <v>0</v>
      </c>
      <c r="AL64" s="89">
        <f>'Юнит 10'!AL64+'Юнит 11'!AL64+'Юнит 12'!AL64+'Юнит 13'!AL64</f>
        <v>0</v>
      </c>
      <c r="AM64" s="89">
        <f>'Юнит 10'!AM64+'Юнит 11'!AM64+'Юнит 12'!AM64+'Юнит 13'!AM64</f>
        <v>0</v>
      </c>
      <c r="AN64" s="325">
        <f t="shared" si="37"/>
        <v>0</v>
      </c>
      <c r="AO64" s="95">
        <f t="shared" si="19"/>
        <v>0</v>
      </c>
      <c r="AP64" s="96"/>
      <c r="AQ64" s="97">
        <f t="shared" si="7"/>
        <v>0</v>
      </c>
      <c r="AR64" s="98">
        <f t="shared" si="29"/>
        <v>99.69</v>
      </c>
      <c r="AS64" s="98">
        <f t="shared" si="9"/>
        <v>0</v>
      </c>
      <c r="AT64" s="98">
        <f t="shared" si="10"/>
        <v>0</v>
      </c>
      <c r="AU64" s="98">
        <f t="shared" si="18"/>
        <v>0</v>
      </c>
      <c r="AV64" s="98">
        <f t="array" ref="AV64">_xlfn.IFS(U64=0,AO64,U64&lt;0,AO64/-U64,U64&gt;0,AO64/U64)</f>
        <v>0</v>
      </c>
      <c r="AW64" s="234">
        <f t="shared" si="38"/>
        <v>0</v>
      </c>
      <c r="AX64" s="234">
        <f t="shared" si="39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0"/>
        <v>95</v>
      </c>
      <c r="F65" s="93" t="str">
        <f>'Юнит 13'!F65</f>
        <v/>
      </c>
      <c r="G65" s="93" t="str">
        <f>'Юнит 13'!G65</f>
        <v/>
      </c>
      <c r="H65" s="93">
        <f>'Юнит 13'!H65</f>
        <v>1</v>
      </c>
      <c r="I65" s="93">
        <f>'Юнит 13'!I65</f>
        <v>0</v>
      </c>
      <c r="J65" s="93">
        <f>'Юнит 13'!J65</f>
        <v>94</v>
      </c>
      <c r="K65" s="93">
        <v>99.69</v>
      </c>
      <c r="L65" s="92">
        <f t="shared" si="36"/>
        <v>9470.5499999999993</v>
      </c>
      <c r="M65" s="89">
        <f>'Юнит 13'!M65</f>
        <v>999</v>
      </c>
      <c r="N65" s="89">
        <f>'Юнит 10'!N65+'Юнит 11'!N65+'Юнит 12'!N65+'Юнит 13'!N65</f>
        <v>1</v>
      </c>
      <c r="O65" s="89">
        <v>998</v>
      </c>
      <c r="P65" s="399">
        <v>0</v>
      </c>
      <c r="Q65" s="406">
        <f t="shared" si="14"/>
        <v>0</v>
      </c>
      <c r="R65" s="92">
        <f t="shared" si="15"/>
        <v>0</v>
      </c>
      <c r="S65" s="89">
        <f>'Юнит 10'!S65+'Юнит 11'!S65+'Юнит 12'!S65+'Юнит 13'!S65</f>
        <v>0</v>
      </c>
      <c r="T65" s="89">
        <f>'Юнит 10'!T65+'Юнит 11'!T65+'Юнит 12'!T65+'Юнит 13'!T65</f>
        <v>0</v>
      </c>
      <c r="U65" s="92">
        <f t="shared" si="1"/>
        <v>0</v>
      </c>
      <c r="V65" s="89">
        <f>'Юнит 10'!V65+'Юнит 11'!V65+'Юнит 12'!V65+'Юнит 13'!V65</f>
        <v>0</v>
      </c>
      <c r="W65" s="89">
        <f>'Юнит 10'!W65+'Юнит 11'!W65+'Юнит 12'!W65+'Юнит 13'!W65</f>
        <v>0</v>
      </c>
      <c r="X65" s="92">
        <f t="shared" si="2"/>
        <v>0</v>
      </c>
      <c r="Y65" s="89">
        <f>'Юнит 10'!Y65+'Юнит 11'!Y65+'Юнит 12'!Y65+'Юнит 13'!Y65</f>
        <v>0</v>
      </c>
      <c r="Z65" s="89">
        <f>'Юнит 10'!Z65+'Юнит 11'!Z65+'Юнит 12'!Z65+'Юнит 13'!Z65</f>
        <v>0</v>
      </c>
      <c r="AA65" s="232">
        <f t="shared" si="16"/>
        <v>0</v>
      </c>
      <c r="AB65" s="92">
        <f t="shared" si="17"/>
        <v>0</v>
      </c>
      <c r="AC65" s="234">
        <f t="shared" si="3"/>
        <v>0</v>
      </c>
      <c r="AD65" s="92">
        <f t="shared" si="4"/>
        <v>0</v>
      </c>
      <c r="AE65" s="89">
        <f>'Юнит 10'!AE65+'Юнит 11'!AE65+'Юнит 12'!AE65+'Юнит 13'!AE65</f>
        <v>0</v>
      </c>
      <c r="AF65" s="234">
        <f t="shared" si="5"/>
        <v>0</v>
      </c>
      <c r="AG65" s="89">
        <f>'Юнит 10'!AG65+'Юнит 11'!AG65+'Юнит 12'!AG65+'Юнит 13'!AG65</f>
        <v>173.3</v>
      </c>
      <c r="AH65" s="89">
        <f>'Юнит 10'!AH65+'Юнит 11'!AH65+'Юнит 12'!AH65+'Юнит 13'!AH65</f>
        <v>0</v>
      </c>
      <c r="AI65" s="89">
        <f>'Юнит 10'!AI65+'Юнит 11'!AI65+'Юнит 12'!AI65+'Юнит 13'!AI65</f>
        <v>0</v>
      </c>
      <c r="AJ65" s="89">
        <f>'Юнит 10'!AJ65+'Юнит 11'!AJ65+'Юнит 12'!AJ65+'Юнит 13'!AJ65</f>
        <v>0</v>
      </c>
      <c r="AK65" s="89">
        <f>'Юнит 10'!AK65+'Юнит 11'!AK65+'Юнит 12'!AK65+'Юнит 13'!AK65</f>
        <v>0</v>
      </c>
      <c r="AL65" s="89">
        <f>'Юнит 10'!AL65+'Юнит 11'!AL65+'Юнит 12'!AL65+'Юнит 13'!AL65</f>
        <v>3.9571611160744453</v>
      </c>
      <c r="AM65" s="89">
        <f>'Юнит 10'!AM65+'Юнит 11'!AM65+'Юнит 12'!AM65+'Юнит 13'!AM65</f>
        <v>0</v>
      </c>
      <c r="AN65" s="325">
        <f t="shared" si="37"/>
        <v>0</v>
      </c>
      <c r="AO65" s="95">
        <f t="shared" si="19"/>
        <v>-177.25716111607446</v>
      </c>
      <c r="AP65" s="96"/>
      <c r="AQ65" s="97">
        <f t="shared" si="7"/>
        <v>0</v>
      </c>
      <c r="AR65" s="98">
        <f t="shared" si="29"/>
        <v>99.69</v>
      </c>
      <c r="AS65" s="98">
        <f t="shared" si="9"/>
        <v>0</v>
      </c>
      <c r="AT65" s="98">
        <f t="shared" si="10"/>
        <v>173.3</v>
      </c>
      <c r="AU65" s="98">
        <f t="shared" si="18"/>
        <v>0</v>
      </c>
      <c r="AV65" s="98">
        <f t="array" ref="AV65">_xlfn.IFS(U65=0,AO65,U65&lt;0,AO65/-U65,U65&gt;0,AO65/U65)</f>
        <v>-177.25716111607446</v>
      </c>
      <c r="AW65" s="234">
        <f t="shared" si="38"/>
        <v>0</v>
      </c>
      <c r="AX65" s="234">
        <f t="shared" si="39"/>
        <v>-1.7780836705394167</v>
      </c>
      <c r="AY65" s="99"/>
      <c r="AZ65" s="94">
        <f t="shared" si="13"/>
        <v>-16839.430306027072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0"/>
        <v>95</v>
      </c>
      <c r="F66" s="93" t="str">
        <f>'Юнит 13'!F66</f>
        <v/>
      </c>
      <c r="G66" s="93" t="str">
        <f>'Юнит 13'!G66</f>
        <v/>
      </c>
      <c r="H66" s="93">
        <f>'Юнит 13'!H66</f>
        <v>2</v>
      </c>
      <c r="I66" s="93">
        <f>'Юнит 13'!I66</f>
        <v>0</v>
      </c>
      <c r="J66" s="93">
        <f>'Юнит 13'!J66</f>
        <v>93</v>
      </c>
      <c r="K66" s="93">
        <v>97.35</v>
      </c>
      <c r="L66" s="92">
        <f t="shared" si="36"/>
        <v>9248.25</v>
      </c>
      <c r="M66" s="89">
        <f>'Юнит 13'!M66</f>
        <v>999</v>
      </c>
      <c r="N66" s="89">
        <f>'Юнит 10'!N66+'Юнит 11'!N66+'Юнит 12'!N66+'Юнит 13'!N66</f>
        <v>0</v>
      </c>
      <c r="O66" s="89">
        <v>0</v>
      </c>
      <c r="P66" s="399">
        <v>0</v>
      </c>
      <c r="Q66" s="406"/>
      <c r="R66" s="92">
        <f t="shared" si="15"/>
        <v>0</v>
      </c>
      <c r="S66" s="89">
        <f>'Юнит 10'!S66+'Юнит 11'!S66+'Юнит 12'!S66+'Юнит 13'!S66</f>
        <v>0</v>
      </c>
      <c r="T66" s="89">
        <f>'Юнит 10'!T66+'Юнит 11'!T66+'Юнит 12'!T66+'Юнит 13'!T66</f>
        <v>0</v>
      </c>
      <c r="U66" s="92">
        <f t="shared" si="1"/>
        <v>0</v>
      </c>
      <c r="V66" s="89">
        <f>'Юнит 10'!V66+'Юнит 11'!V66+'Юнит 12'!V66+'Юнит 13'!V66</f>
        <v>0</v>
      </c>
      <c r="W66" s="89">
        <f>'Юнит 10'!W66+'Юнит 11'!W66+'Юнит 12'!W66+'Юнит 13'!W66</f>
        <v>0</v>
      </c>
      <c r="X66" s="92">
        <f t="shared" si="2"/>
        <v>0</v>
      </c>
      <c r="Y66" s="89">
        <f>'Юнит 10'!Y66+'Юнит 11'!Y66+'Юнит 12'!Y66+'Юнит 13'!Y66</f>
        <v>0</v>
      </c>
      <c r="Z66" s="89">
        <f>'Юнит 10'!Z66+'Юнит 11'!Z66+'Юнит 12'!Z66+'Юнит 13'!Z66</f>
        <v>0</v>
      </c>
      <c r="AA66" s="232">
        <f t="shared" si="16"/>
        <v>0</v>
      </c>
      <c r="AB66" s="92">
        <f t="shared" si="17"/>
        <v>0</v>
      </c>
      <c r="AC66" s="234">
        <f t="shared" si="3"/>
        <v>0</v>
      </c>
      <c r="AD66" s="92">
        <f t="shared" si="4"/>
        <v>0</v>
      </c>
      <c r="AE66" s="89">
        <f>'Юнит 10'!AE66+'Юнит 11'!AE66+'Юнит 12'!AE66+'Юнит 13'!AE66</f>
        <v>0</v>
      </c>
      <c r="AF66" s="234">
        <f t="shared" si="5"/>
        <v>0</v>
      </c>
      <c r="AG66" s="89">
        <f>'Юнит 10'!AG66+'Юнит 11'!AG66+'Юнит 12'!AG66+'Юнит 13'!AG66</f>
        <v>0</v>
      </c>
      <c r="AH66" s="89">
        <f>'Юнит 10'!AH66+'Юнит 11'!AH66+'Юнит 12'!AH66+'Юнит 13'!AH66</f>
        <v>0</v>
      </c>
      <c r="AI66" s="89">
        <f>'Юнит 10'!AI66+'Юнит 11'!AI66+'Юнит 12'!AI66+'Юнит 13'!AI66</f>
        <v>0</v>
      </c>
      <c r="AJ66" s="89">
        <f>'Юнит 10'!AJ66+'Юнит 11'!AJ66+'Юнит 12'!AJ66+'Юнит 13'!AJ66</f>
        <v>0</v>
      </c>
      <c r="AK66" s="89">
        <f>'Юнит 10'!AK66+'Юнит 11'!AK66+'Юнит 12'!AK66+'Юнит 13'!AK66</f>
        <v>0</v>
      </c>
      <c r="AL66" s="89">
        <f>'Юнит 10'!AL66+'Юнит 11'!AL66+'Юнит 12'!AL66+'Юнит 13'!AL66</f>
        <v>6.9109071588401365</v>
      </c>
      <c r="AM66" s="89">
        <f>'Юнит 10'!AM66+'Юнит 11'!AM66+'Юнит 12'!AM66+'Юнит 13'!AM66</f>
        <v>0</v>
      </c>
      <c r="AN66" s="325">
        <f t="shared" si="37"/>
        <v>0</v>
      </c>
      <c r="AO66" s="95">
        <f t="shared" si="19"/>
        <v>-6.9109071588401365</v>
      </c>
      <c r="AP66" s="96"/>
      <c r="AQ66" s="97">
        <f t="shared" si="7"/>
        <v>0</v>
      </c>
      <c r="AR66" s="98">
        <f t="shared" si="29"/>
        <v>97.35</v>
      </c>
      <c r="AS66" s="98">
        <f t="shared" si="9"/>
        <v>0</v>
      </c>
      <c r="AT66" s="98">
        <f t="shared" si="10"/>
        <v>0</v>
      </c>
      <c r="AU66" s="98">
        <f t="shared" si="18"/>
        <v>0</v>
      </c>
      <c r="AV66" s="98">
        <f t="array" ref="AV66">_xlfn.IFS(U66=0,AO66,U66&lt;0,AO66/-U66,U66&gt;0,AO66/U66)</f>
        <v>-6.9109071588401365</v>
      </c>
      <c r="AW66" s="234">
        <f t="shared" si="38"/>
        <v>0</v>
      </c>
      <c r="AX66" s="234">
        <f t="shared" si="39"/>
        <v>-7.0990314934156515E-2</v>
      </c>
      <c r="AY66" s="99"/>
      <c r="AZ66" s="94">
        <f t="shared" si="13"/>
        <v>-656.536180089813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0"/>
        <v>1</v>
      </c>
      <c r="F67" s="93">
        <f>'Юнит 13'!F67</f>
        <v>0</v>
      </c>
      <c r="G67" s="93">
        <f>'Юнит 13'!G67</f>
        <v>0</v>
      </c>
      <c r="H67" s="93">
        <f>'Юнит 13'!H67</f>
        <v>0</v>
      </c>
      <c r="I67" s="93">
        <f>'Юнит 13'!I67</f>
        <v>0</v>
      </c>
      <c r="J67" s="93">
        <f>'Юнит 13'!J67</f>
        <v>1</v>
      </c>
      <c r="K67" s="93">
        <v>161.69999999999999</v>
      </c>
      <c r="L67" s="92">
        <f t="shared" si="36"/>
        <v>161.69999999999999</v>
      </c>
      <c r="M67" s="89">
        <f>'Юнит 13'!M67</f>
        <v>999</v>
      </c>
      <c r="N67" s="89">
        <f>'Юнит 10'!N67+'Юнит 11'!N67+'Юнит 12'!N67+'Юнит 13'!N67</f>
        <v>2</v>
      </c>
      <c r="O67" s="89">
        <v>1049</v>
      </c>
      <c r="P67" s="399">
        <v>0.5</v>
      </c>
      <c r="Q67" s="406">
        <f t="shared" si="14"/>
        <v>1</v>
      </c>
      <c r="R67" s="92">
        <f t="shared" si="15"/>
        <v>0.2857142857142857</v>
      </c>
      <c r="S67" s="89">
        <f>'Юнит 10'!S67+'Юнит 11'!S67+'Юнит 12'!S67+'Юнит 13'!S67</f>
        <v>2</v>
      </c>
      <c r="T67" s="89">
        <f>'Юнит 10'!T67+'Юнит 11'!T67+'Юнит 12'!T67+'Юнит 13'!T67</f>
        <v>0</v>
      </c>
      <c r="U67" s="92">
        <f t="shared" ref="U67:U103" si="41">S67+T67</f>
        <v>2</v>
      </c>
      <c r="V67" s="89">
        <f>'Юнит 10'!V67+'Юнит 11'!V67+'Юнит 12'!V67+'Юнит 13'!V67</f>
        <v>1220</v>
      </c>
      <c r="W67" s="89">
        <f>'Юнит 10'!W67+'Юнит 11'!W67+'Юнит 12'!W67+'Юнит 13'!W67</f>
        <v>0</v>
      </c>
      <c r="X67" s="92">
        <f t="shared" ref="X67:X103" si="42">V67+W67</f>
        <v>1220</v>
      </c>
      <c r="Y67" s="89">
        <f>'Юнит 10'!Y67+'Юнит 11'!Y67+'Юнит 12'!Y67+'Юнит 13'!Y67</f>
        <v>2066.5299999999997</v>
      </c>
      <c r="Z67" s="89">
        <f>'Юнит 10'!Z67+'Юнит 11'!Z67+'Юнит 12'!Z67+'Юнит 13'!Z67</f>
        <v>0</v>
      </c>
      <c r="AA67" s="232">
        <f t="shared" si="16"/>
        <v>2066.5299999999997</v>
      </c>
      <c r="AB67" s="92">
        <f t="shared" si="17"/>
        <v>10.49</v>
      </c>
      <c r="AC67" s="234">
        <f t="shared" ref="AC67:AC103" si="43">AA67/$AA$126</f>
        <v>1.1350527210576208E-4</v>
      </c>
      <c r="AD67" s="92">
        <f t="shared" ref="AD67:AD103" si="44">U67*K67</f>
        <v>323.39999999999998</v>
      </c>
      <c r="AE67" s="89">
        <f>'Юнит 10'!AE67+'Юнит 11'!AE67+'Юнит 12'!AE67+'Юнит 13'!AE67</f>
        <v>777.24</v>
      </c>
      <c r="AF67" s="234">
        <f t="shared" ref="AF67:AF103" si="45">IF(AA67=0,0,AE67/AA67)</f>
        <v>0.37610874267491889</v>
      </c>
      <c r="AG67" s="89">
        <f>'Юнит 10'!AG67+'Юнит 11'!AG67+'Юнит 12'!AG67+'Юнит 13'!AG67</f>
        <v>206.75</v>
      </c>
      <c r="AH67" s="89">
        <f>'Юнит 10'!AH67+'Юнит 11'!AH67+'Юнит 12'!AH67+'Юнит 13'!AH67</f>
        <v>0</v>
      </c>
      <c r="AI67" s="89">
        <f>'Юнит 10'!AI67+'Юнит 11'!AI67+'Юнит 12'!AI67+'Юнит 13'!AI67</f>
        <v>0</v>
      </c>
      <c r="AJ67" s="89">
        <f>'Юнит 10'!AJ67+'Юнит 11'!AJ67+'Юнит 12'!AJ67+'Юнит 13'!AJ67</f>
        <v>0</v>
      </c>
      <c r="AK67" s="89">
        <f>'Юнит 10'!AK67+'Юнит 11'!AK67+'Юнит 12'!AK67+'Юнит 13'!AK67</f>
        <v>0</v>
      </c>
      <c r="AL67" s="89">
        <f>'Юнит 10'!AL67+'Юнит 11'!AL67+'Юнит 12'!AL67+'Юнит 13'!AL67</f>
        <v>0</v>
      </c>
      <c r="AM67" s="89">
        <f>'Юнит 10'!AM67+'Юнит 11'!AM67+'Юнит 12'!AM67+'Юнит 13'!AM67</f>
        <v>0</v>
      </c>
      <c r="AN67" s="325">
        <f t="shared" ref="AN67:AN103" si="46">666212.62*X67/$X$126</f>
        <v>68.091239054134391</v>
      </c>
      <c r="AO67" s="95">
        <f t="shared" si="19"/>
        <v>691.0487609458653</v>
      </c>
      <c r="AP67" s="96"/>
      <c r="AQ67" s="97">
        <f t="shared" si="7"/>
        <v>1033.2649999999999</v>
      </c>
      <c r="AR67" s="98">
        <f t="shared" si="29"/>
        <v>161.69999999999999</v>
      </c>
      <c r="AS67" s="98">
        <f t="shared" si="9"/>
        <v>388.62</v>
      </c>
      <c r="AT67" s="98">
        <f t="shared" si="10"/>
        <v>103.375</v>
      </c>
      <c r="AU67" s="98">
        <f t="shared" si="18"/>
        <v>0</v>
      </c>
      <c r="AV67" s="98">
        <f t="array" ref="AV67">_xlfn.IFS(U67=0,AO67,U67&lt;0,AO67/-U67,U67&gt;0,AO67/U67)</f>
        <v>345.52438047293265</v>
      </c>
      <c r="AW67" s="234">
        <f t="shared" si="38"/>
        <v>0.33440054630025473</v>
      </c>
      <c r="AX67" s="234">
        <f t="shared" si="39"/>
        <v>2.1368236269198064</v>
      </c>
      <c r="AY67" s="99"/>
      <c r="AZ67" s="94">
        <f t="shared" si="13"/>
        <v>345.52438047293265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0"/>
        <v>1</v>
      </c>
      <c r="F68" s="93">
        <f>'Юнит 13'!F68</f>
        <v>0</v>
      </c>
      <c r="G68" s="93">
        <f>'Юнит 13'!G68</f>
        <v>0</v>
      </c>
      <c r="H68" s="93">
        <f>'Юнит 13'!H68</f>
        <v>0</v>
      </c>
      <c r="I68" s="93">
        <f>'Юнит 13'!I68</f>
        <v>0</v>
      </c>
      <c r="J68" s="93">
        <f>'Юнит 13'!J68</f>
        <v>1</v>
      </c>
      <c r="K68" s="93">
        <v>161.69999999999999</v>
      </c>
      <c r="L68" s="92">
        <f t="shared" si="36"/>
        <v>161.69999999999999</v>
      </c>
      <c r="M68" s="89">
        <f>'Юнит 13'!M68</f>
        <v>0</v>
      </c>
      <c r="N68" s="89">
        <f>'Юнит 10'!N68+'Юнит 11'!N68+'Юнит 12'!N68+'Юнит 13'!N68</f>
        <v>0</v>
      </c>
      <c r="O68" s="89">
        <v>0</v>
      </c>
      <c r="P68" s="399">
        <v>0</v>
      </c>
      <c r="Q68" s="406"/>
      <c r="R68" s="92">
        <f t="shared" ref="R68:R103" si="47">U68/7</f>
        <v>0</v>
      </c>
      <c r="S68" s="89">
        <f>'Юнит 10'!S68+'Юнит 11'!S68+'Юнит 12'!S68+'Юнит 13'!S68</f>
        <v>0</v>
      </c>
      <c r="T68" s="89">
        <f>'Юнит 10'!T68+'Юнит 11'!T68+'Юнит 12'!T68+'Юнит 13'!T68</f>
        <v>0</v>
      </c>
      <c r="U68" s="92">
        <f t="shared" si="41"/>
        <v>0</v>
      </c>
      <c r="V68" s="89">
        <f>'Юнит 10'!V68+'Юнит 11'!V68+'Юнит 12'!V68+'Юнит 13'!V68</f>
        <v>0</v>
      </c>
      <c r="W68" s="89">
        <f>'Юнит 10'!W68+'Юнит 11'!W68+'Юнит 12'!W68+'Юнит 13'!W68</f>
        <v>0</v>
      </c>
      <c r="X68" s="92">
        <f t="shared" si="42"/>
        <v>0</v>
      </c>
      <c r="Y68" s="89">
        <f>'Юнит 10'!Y68+'Юнит 11'!Y68+'Юнит 12'!Y68+'Юнит 13'!Y68</f>
        <v>0</v>
      </c>
      <c r="Z68" s="89">
        <f>'Юнит 10'!Z68+'Юнит 11'!Z68+'Юнит 12'!Z68+'Юнит 13'!Z68</f>
        <v>0</v>
      </c>
      <c r="AA68" s="232">
        <f t="shared" ref="AA68:AA103" si="48">Y68+Z68</f>
        <v>0</v>
      </c>
      <c r="AB68" s="92">
        <f t="shared" ref="AB68:AB103" si="49">N68*O68*P68/100</f>
        <v>0</v>
      </c>
      <c r="AC68" s="234">
        <f t="shared" si="43"/>
        <v>0</v>
      </c>
      <c r="AD68" s="92">
        <f t="shared" si="44"/>
        <v>0</v>
      </c>
      <c r="AE68" s="89">
        <f>'Юнит 10'!AE68+'Юнит 11'!AE68+'Юнит 12'!AE68+'Юнит 13'!AE68</f>
        <v>0</v>
      </c>
      <c r="AF68" s="234">
        <f t="shared" si="45"/>
        <v>0</v>
      </c>
      <c r="AG68" s="89">
        <f>'Юнит 10'!AG68+'Юнит 11'!AG68+'Юнит 12'!AG68+'Юнит 13'!AG68</f>
        <v>0</v>
      </c>
      <c r="AH68" s="89">
        <f>'Юнит 10'!AH68+'Юнит 11'!AH68+'Юнит 12'!AH68+'Юнит 13'!AH68</f>
        <v>0</v>
      </c>
      <c r="AI68" s="89">
        <f>'Юнит 10'!AI68+'Юнит 11'!AI68+'Юнит 12'!AI68+'Юнит 13'!AI68</f>
        <v>0</v>
      </c>
      <c r="AJ68" s="89">
        <f>'Юнит 10'!AJ68+'Юнит 11'!AJ68+'Юнит 12'!AJ68+'Юнит 13'!AJ68</f>
        <v>0</v>
      </c>
      <c r="AK68" s="89">
        <f>'Юнит 10'!AK68+'Юнит 11'!AK68+'Юнит 12'!AK68+'Юнит 13'!AK68</f>
        <v>0</v>
      </c>
      <c r="AL68" s="89">
        <f>'Юнит 10'!AL68+'Юнит 11'!AL68+'Юнит 12'!AL68+'Юнит 13'!AL68</f>
        <v>0</v>
      </c>
      <c r="AM68" s="89">
        <f>'Юнит 10'!AM68+'Юнит 11'!AM68+'Юнит 12'!AM68+'Юнит 13'!AM68</f>
        <v>0</v>
      </c>
      <c r="AN68" s="325">
        <f t="shared" si="46"/>
        <v>0</v>
      </c>
      <c r="AO68" s="95">
        <f t="shared" si="19"/>
        <v>0</v>
      </c>
      <c r="AP68" s="96"/>
      <c r="AQ68" s="97">
        <f t="shared" si="7"/>
        <v>0</v>
      </c>
      <c r="AR68" s="98">
        <f t="shared" si="29"/>
        <v>161.69999999999999</v>
      </c>
      <c r="AS68" s="98">
        <f t="shared" si="9"/>
        <v>0</v>
      </c>
      <c r="AT68" s="98">
        <f t="shared" si="10"/>
        <v>0</v>
      </c>
      <c r="AU68" s="98">
        <f t="shared" si="18"/>
        <v>0</v>
      </c>
      <c r="AV68" s="98">
        <f t="array" ref="AV68">_xlfn.IFS(U68=0,AO68,U68&lt;0,AO68/-U68,U68&gt;0,AO68/U68)</f>
        <v>0</v>
      </c>
      <c r="AW68" s="234">
        <f t="shared" si="38"/>
        <v>0</v>
      </c>
      <c r="AX68" s="234">
        <f t="shared" si="39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0"/>
        <v>10</v>
      </c>
      <c r="F69" s="93">
        <f>'Юнит 13'!F69</f>
        <v>4</v>
      </c>
      <c r="G69" s="93" t="str">
        <f>'Юнит 13'!G69</f>
        <v/>
      </c>
      <c r="H69" s="93">
        <f>'Юнит 13'!H69</f>
        <v>5</v>
      </c>
      <c r="I69" s="93">
        <f>'Юнит 13'!I69</f>
        <v>0</v>
      </c>
      <c r="J69" s="93">
        <f>'Юнит 13'!J69</f>
        <v>1</v>
      </c>
      <c r="K69" s="93">
        <v>140.63999999999999</v>
      </c>
      <c r="L69" s="92">
        <f t="shared" si="36"/>
        <v>1406.3999999999999</v>
      </c>
      <c r="M69" s="89">
        <f>'Юнит 13'!M69</f>
        <v>38</v>
      </c>
      <c r="N69" s="89">
        <f>'Юнит 10'!N69+'Юнит 11'!N69+'Юнит 12'!N69+'Юнит 13'!N69</f>
        <v>9</v>
      </c>
      <c r="O69" s="89">
        <v>998</v>
      </c>
      <c r="P69" s="399">
        <v>0.56000000000000005</v>
      </c>
      <c r="Q69" s="406">
        <f t="shared" ref="Q69:Q102" si="50">U69/N69</f>
        <v>0.33333333333333331</v>
      </c>
      <c r="R69" s="92">
        <f t="shared" si="47"/>
        <v>0.42857142857142855</v>
      </c>
      <c r="S69" s="89">
        <f>'Юнит 10'!S69+'Юнит 11'!S69+'Юнит 12'!S69+'Юнит 13'!S69</f>
        <v>3</v>
      </c>
      <c r="T69" s="89">
        <f>'Юнит 10'!T69+'Юнит 11'!T69+'Юнит 12'!T69+'Юнит 13'!T69</f>
        <v>0</v>
      </c>
      <c r="U69" s="92">
        <f t="shared" si="41"/>
        <v>3</v>
      </c>
      <c r="V69" s="89">
        <f>'Юнит 10'!V69+'Юнит 11'!V69+'Юнит 12'!V69+'Юнит 13'!V69</f>
        <v>2057.04</v>
      </c>
      <c r="W69" s="89">
        <f>'Юнит 10'!W69+'Юнит 11'!W69+'Юнит 12'!W69+'Юнит 13'!W69</f>
        <v>0</v>
      </c>
      <c r="X69" s="92">
        <f t="shared" si="42"/>
        <v>2057.04</v>
      </c>
      <c r="Y69" s="89">
        <f>'Юнит 10'!Y69+'Юнит 11'!Y69+'Юнит 12'!Y69+'Юнит 13'!Y69</f>
        <v>2993.88</v>
      </c>
      <c r="Z69" s="89">
        <f>'Юнит 10'!Z69+'Юнит 11'!Z69+'Юнит 12'!Z69+'Юнит 13'!Z69</f>
        <v>0</v>
      </c>
      <c r="AA69" s="232">
        <f t="shared" si="48"/>
        <v>2993.88</v>
      </c>
      <c r="AB69" s="92">
        <f t="shared" si="49"/>
        <v>50.299199999999999</v>
      </c>
      <c r="AC69" s="234">
        <f t="shared" si="43"/>
        <v>1.6444046979816361E-4</v>
      </c>
      <c r="AD69" s="92">
        <f t="shared" si="44"/>
        <v>421.91999999999996</v>
      </c>
      <c r="AE69" s="89">
        <f>'Юнит 10'!AE69+'Юнит 11'!AE69+'Юнит 12'!AE69+'Юнит 13'!AE69</f>
        <v>1124.67</v>
      </c>
      <c r="AF69" s="234">
        <f t="shared" si="45"/>
        <v>0.37565633893142009</v>
      </c>
      <c r="AG69" s="89">
        <f>'Юнит 10'!AG69+'Юнит 11'!AG69+'Юнит 12'!AG69+'Юнит 13'!AG69</f>
        <v>533.46</v>
      </c>
      <c r="AH69" s="89">
        <f>'Юнит 10'!AH69+'Юнит 11'!AH69+'Юнит 12'!AH69+'Юнит 13'!AH69</f>
        <v>0</v>
      </c>
      <c r="AI69" s="89">
        <f>'Юнит 10'!AI69+'Юнит 11'!AI69+'Юнит 12'!AI69+'Юнит 13'!AI69</f>
        <v>0</v>
      </c>
      <c r="AJ69" s="89">
        <f>'Юнит 10'!AJ69+'Юнит 11'!AJ69+'Юнит 12'!AJ69+'Юнит 13'!AJ69</f>
        <v>0</v>
      </c>
      <c r="AK69" s="89">
        <f>'Юнит 10'!AK69+'Юнит 11'!AK69+'Юнит 12'!AK69+'Юнит 13'!AK69</f>
        <v>0</v>
      </c>
      <c r="AL69" s="89">
        <f>'Юнит 10'!AL69+'Юнит 11'!AL69+'Юнит 12'!AL69+'Юнит 13'!AL69</f>
        <v>29.671536359114313</v>
      </c>
      <c r="AM69" s="89">
        <f>'Юнит 10'!AM69+'Юнит 11'!AM69+'Юнит 12'!AM69+'Юнит 13'!AM69</f>
        <v>0</v>
      </c>
      <c r="AN69" s="325">
        <f t="shared" si="46"/>
        <v>114.80852654419395</v>
      </c>
      <c r="AO69" s="95">
        <f t="shared" ref="AO69:AO103" si="51">AA69-AD69-AE69-AG69-AH69-AI69-AK69-AL69-AN69-AM69</f>
        <v>769.34993709669175</v>
      </c>
      <c r="AP69" s="96"/>
      <c r="AQ69" s="97">
        <f t="shared" si="7"/>
        <v>997.96</v>
      </c>
      <c r="AR69" s="98">
        <f t="shared" si="29"/>
        <v>140.63999999999999</v>
      </c>
      <c r="AS69" s="98">
        <f t="shared" si="9"/>
        <v>374.89000000000004</v>
      </c>
      <c r="AT69" s="98">
        <f t="shared" si="10"/>
        <v>177.82000000000002</v>
      </c>
      <c r="AU69" s="98">
        <f t="shared" si="18"/>
        <v>0</v>
      </c>
      <c r="AV69" s="98">
        <f t="array" ref="AV69">_xlfn.IFS(U69=0,AO69,U69&lt;0,AO69/-U69,U69&gt;0,AO69/U69)</f>
        <v>256.4499790322306</v>
      </c>
      <c r="AW69" s="234">
        <f t="shared" si="38"/>
        <v>0.25697420641331375</v>
      </c>
      <c r="AX69" s="234">
        <f t="shared" si="39"/>
        <v>1.8234497940289436</v>
      </c>
      <c r="AY69" s="99"/>
      <c r="AZ69" s="94">
        <f t="shared" si="13"/>
        <v>2564.4997903223061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0"/>
        <v>3</v>
      </c>
      <c r="F70" s="93">
        <f>'Юнит 13'!F70</f>
        <v>1</v>
      </c>
      <c r="G70" s="93">
        <f>'Юнит 13'!G70</f>
        <v>1</v>
      </c>
      <c r="H70" s="93" t="str">
        <f>'Юнит 13'!H70</f>
        <v/>
      </c>
      <c r="I70" s="93">
        <f>'Юнит 13'!I70</f>
        <v>0</v>
      </c>
      <c r="J70" s="93">
        <f>'Юнит 13'!J70</f>
        <v>1</v>
      </c>
      <c r="K70" s="93">
        <v>117.24</v>
      </c>
      <c r="L70" s="92">
        <f t="shared" si="36"/>
        <v>351.71999999999997</v>
      </c>
      <c r="M70" s="89">
        <f>'Юнит 13'!M70</f>
        <v>19</v>
      </c>
      <c r="N70" s="89">
        <f>'Юнит 10'!N70+'Юнит 11'!N70+'Юнит 12'!N70+'Юнит 13'!N70</f>
        <v>11</v>
      </c>
      <c r="O70" s="89">
        <v>1048</v>
      </c>
      <c r="P70" s="399">
        <v>0.36</v>
      </c>
      <c r="Q70" s="406">
        <f t="shared" si="50"/>
        <v>0.36363636363636365</v>
      </c>
      <c r="R70" s="92">
        <f t="shared" si="47"/>
        <v>0.5714285714285714</v>
      </c>
      <c r="S70" s="89">
        <f>'Юнит 10'!S70+'Юнит 11'!S70+'Юнит 12'!S70+'Юнит 13'!S70</f>
        <v>4</v>
      </c>
      <c r="T70" s="89">
        <f>'Юнит 10'!T70+'Юнит 11'!T70+'Юнит 12'!T70+'Юнит 13'!T70</f>
        <v>0</v>
      </c>
      <c r="U70" s="92">
        <f t="shared" si="41"/>
        <v>4</v>
      </c>
      <c r="V70" s="89">
        <f>'Юнит 10'!V70+'Юнит 11'!V70+'Юнит 12'!V70+'Юнит 13'!V70</f>
        <v>2632</v>
      </c>
      <c r="W70" s="89">
        <f>'Юнит 10'!W70+'Юнит 11'!W70+'Юнит 12'!W70+'Юнит 13'!W70</f>
        <v>0</v>
      </c>
      <c r="X70" s="92">
        <f t="shared" si="42"/>
        <v>2632</v>
      </c>
      <c r="Y70" s="89">
        <f>'Юнит 10'!Y70+'Юнит 11'!Y70+'Юнит 12'!Y70+'Юнит 13'!Y70</f>
        <v>4192</v>
      </c>
      <c r="Z70" s="89">
        <f>'Юнит 10'!Z70+'Юнит 11'!Z70+'Юнит 12'!Z70+'Юнит 13'!Z70</f>
        <v>0</v>
      </c>
      <c r="AA70" s="232">
        <f t="shared" si="48"/>
        <v>4192</v>
      </c>
      <c r="AB70" s="92">
        <f t="shared" si="49"/>
        <v>41.500799999999998</v>
      </c>
      <c r="AC70" s="234">
        <f t="shared" si="43"/>
        <v>2.3024785542303023E-4</v>
      </c>
      <c r="AD70" s="92">
        <f t="shared" si="44"/>
        <v>468.96</v>
      </c>
      <c r="AE70" s="89">
        <f>'Юнит 10'!AE70+'Юнит 11'!AE70+'Юнит 12'!AE70+'Юнит 13'!AE70</f>
        <v>1582.96</v>
      </c>
      <c r="AF70" s="234">
        <f t="shared" si="45"/>
        <v>0.3776145038167939</v>
      </c>
      <c r="AG70" s="89">
        <f>'Юнит 10'!AG70+'Юнит 11'!AG70+'Юнит 12'!AG70+'Юнит 13'!AG70</f>
        <v>973.22</v>
      </c>
      <c r="AH70" s="89">
        <f>'Юнит 10'!AH70+'Юнит 11'!AH70+'Юнит 12'!AH70+'Юнит 13'!AH70</f>
        <v>0</v>
      </c>
      <c r="AI70" s="89">
        <f>'Юнит 10'!AI70+'Юнит 11'!AI70+'Юнит 12'!AI70+'Юнит 13'!AI70</f>
        <v>0</v>
      </c>
      <c r="AJ70" s="89">
        <f>'Юнит 10'!AJ70+'Юнит 11'!AJ70+'Юнит 12'!AJ70+'Юнит 13'!AJ70</f>
        <v>0</v>
      </c>
      <c r="AK70" s="89">
        <f>'Юнит 10'!AK70+'Юнит 11'!AK70+'Юнит 12'!AK70+'Юнит 13'!AK70</f>
        <v>0</v>
      </c>
      <c r="AL70" s="89">
        <f>'Юнит 10'!AL70+'Юнит 11'!AL70+'Юнит 12'!AL70+'Юнит 13'!AL70</f>
        <v>7.2244151332278657</v>
      </c>
      <c r="AM70" s="89">
        <f>'Юнит 10'!AM70+'Юнит 11'!AM70+'Юнит 12'!AM70+'Юнит 13'!AM70</f>
        <v>0</v>
      </c>
      <c r="AN70" s="325">
        <f t="shared" si="46"/>
        <v>146.89847638564078</v>
      </c>
      <c r="AO70" s="95">
        <f t="shared" si="51"/>
        <v>1012.7371084811311</v>
      </c>
      <c r="AP70" s="96"/>
      <c r="AQ70" s="97">
        <f t="shared" si="7"/>
        <v>1048</v>
      </c>
      <c r="AR70" s="98">
        <f t="shared" si="29"/>
        <v>117.24</v>
      </c>
      <c r="AS70" s="98">
        <f t="shared" si="9"/>
        <v>395.74</v>
      </c>
      <c r="AT70" s="98">
        <f t="shared" si="10"/>
        <v>243.30500000000001</v>
      </c>
      <c r="AU70" s="98">
        <f t="shared" si="18"/>
        <v>0</v>
      </c>
      <c r="AV70" s="98">
        <f t="array" ref="AV70">_xlfn.IFS(U70=0,AO70,U70&lt;0,AO70/-U70,U70&gt;0,AO70/U70)</f>
        <v>253.18427712028279</v>
      </c>
      <c r="AW70" s="234">
        <f t="shared" si="38"/>
        <v>0.24158805068729272</v>
      </c>
      <c r="AX70" s="234">
        <f t="shared" si="39"/>
        <v>2.159538358241921</v>
      </c>
      <c r="AY70" s="99"/>
      <c r="AZ70" s="94">
        <f t="shared" si="13"/>
        <v>759.55283136084836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0"/>
        <v>28</v>
      </c>
      <c r="F71" s="93">
        <f>'Юнит 13'!F71</f>
        <v>2</v>
      </c>
      <c r="G71" s="93">
        <f>'Юнит 13'!G71</f>
        <v>2</v>
      </c>
      <c r="H71" s="93" t="str">
        <f>'Юнит 13'!H71</f>
        <v/>
      </c>
      <c r="I71" s="93">
        <f>'Юнит 13'!I71</f>
        <v>0</v>
      </c>
      <c r="J71" s="93">
        <f>'Юнит 13'!J71</f>
        <v>24</v>
      </c>
      <c r="K71" s="93">
        <v>123.09</v>
      </c>
      <c r="L71" s="92">
        <f t="shared" si="36"/>
        <v>3446.52</v>
      </c>
      <c r="M71" s="89">
        <f>'Юнит 13'!M71</f>
        <v>9</v>
      </c>
      <c r="N71" s="89">
        <f>'Юнит 10'!N71+'Юнит 11'!N71+'Юнит 12'!N71+'Юнит 13'!N71</f>
        <v>33</v>
      </c>
      <c r="O71" s="89">
        <v>702</v>
      </c>
      <c r="P71" s="399">
        <v>0.35</v>
      </c>
      <c r="Q71" s="406">
        <f t="shared" si="50"/>
        <v>0.33333333333333331</v>
      </c>
      <c r="R71" s="92">
        <f t="shared" si="47"/>
        <v>1.5714285714285714</v>
      </c>
      <c r="S71" s="89">
        <f>'Юнит 10'!S71+'Юнит 11'!S71+'Юнит 12'!S71+'Юнит 13'!S71</f>
        <v>11</v>
      </c>
      <c r="T71" s="89">
        <f>'Юнит 10'!T71+'Юнит 11'!T71+'Юнит 12'!T71+'Юнит 13'!T71</f>
        <v>0</v>
      </c>
      <c r="U71" s="92">
        <f t="shared" si="41"/>
        <v>11</v>
      </c>
      <c r="V71" s="89">
        <f>'Юнит 10'!V71+'Юнит 11'!V71+'Юнит 12'!V71+'Юнит 13'!V71</f>
        <v>5198.28</v>
      </c>
      <c r="W71" s="89">
        <f>'Юнит 10'!W71+'Юнит 11'!W71+'Юнит 12'!W71+'Юнит 13'!W71</f>
        <v>0</v>
      </c>
      <c r="X71" s="92">
        <f t="shared" si="42"/>
        <v>5198.28</v>
      </c>
      <c r="Y71" s="89">
        <f>'Юнит 10'!Y71+'Юнит 11'!Y71+'Юнит 12'!Y71+'Юнит 13'!Y71</f>
        <v>7679.9700000000012</v>
      </c>
      <c r="Z71" s="89">
        <f>'Юнит 10'!Z71+'Юнит 11'!Z71+'Юнит 12'!Z71+'Юнит 13'!Z71</f>
        <v>0</v>
      </c>
      <c r="AA71" s="232">
        <f t="shared" si="48"/>
        <v>7679.9700000000012</v>
      </c>
      <c r="AB71" s="92">
        <f t="shared" si="49"/>
        <v>81.080999999999989</v>
      </c>
      <c r="AC71" s="234">
        <f t="shared" si="43"/>
        <v>4.218264843065863E-4</v>
      </c>
      <c r="AD71" s="92">
        <f t="shared" si="44"/>
        <v>1353.99</v>
      </c>
      <c r="AE71" s="89">
        <f>'Юнит 10'!AE71+'Юнит 11'!AE71+'Юнит 12'!AE71+'Юнит 13'!AE71</f>
        <v>2907.6300000000006</v>
      </c>
      <c r="AF71" s="234">
        <f t="shared" si="45"/>
        <v>0.37859913515287169</v>
      </c>
      <c r="AG71" s="89">
        <f>'Юнит 10'!AG71+'Юнит 11'!AG71+'Юнит 12'!AG71+'Юнит 13'!AG71</f>
        <v>3027.05</v>
      </c>
      <c r="AH71" s="89">
        <f>'Юнит 10'!AH71+'Юнит 11'!AH71+'Юнит 12'!AH71+'Юнит 13'!AH71</f>
        <v>0</v>
      </c>
      <c r="AI71" s="89">
        <f>'Юнит 10'!AI71+'Юнит 11'!AI71+'Юнит 12'!AI71+'Юнит 13'!AI71</f>
        <v>0</v>
      </c>
      <c r="AJ71" s="89">
        <f>'Юнит 10'!AJ71+'Юнит 11'!AJ71+'Юнит 12'!AJ71+'Юнит 13'!AJ71</f>
        <v>0</v>
      </c>
      <c r="AK71" s="89">
        <f>'Юнит 10'!AK71+'Юнит 11'!AK71+'Юнит 12'!AK71+'Юнит 13'!AK71</f>
        <v>0</v>
      </c>
      <c r="AL71" s="89">
        <f>'Юнит 10'!AL71+'Юнит 11'!AL71+'Юнит 12'!AL71+'Юнит 13'!AL71</f>
        <v>4.3361115482985788</v>
      </c>
      <c r="AM71" s="89">
        <f>'Юнит 10'!AM71+'Юнит 11'!AM71+'Юнит 12'!AM71+'Юнит 13'!AM71</f>
        <v>0</v>
      </c>
      <c r="AN71" s="325">
        <f t="shared" si="46"/>
        <v>290.1289558609227</v>
      </c>
      <c r="AO71" s="95">
        <f t="shared" si="51"/>
        <v>96.834932590779374</v>
      </c>
      <c r="AP71" s="96"/>
      <c r="AQ71" s="97">
        <f t="shared" si="7"/>
        <v>698.17909090909097</v>
      </c>
      <c r="AR71" s="98">
        <f t="shared" si="29"/>
        <v>123.09</v>
      </c>
      <c r="AS71" s="98">
        <f t="shared" si="9"/>
        <v>264.33000000000004</v>
      </c>
      <c r="AT71" s="98">
        <f t="shared" si="10"/>
        <v>275.18636363636364</v>
      </c>
      <c r="AU71" s="98">
        <f t="shared" ref="AU71:AU103" si="52">IF(S71=0,0,(AH71+AI71+AJ71)/S71)</f>
        <v>0</v>
      </c>
      <c r="AV71" s="98">
        <f t="array" ref="AV71">_xlfn.IFS(U71=0,AO71,U71&lt;0,AO71/-U71,U71&gt;0,AO71/U71)</f>
        <v>8.8031756900708515</v>
      </c>
      <c r="AW71" s="234">
        <f t="shared" si="38"/>
        <v>1.2608764434077133E-2</v>
      </c>
      <c r="AX71" s="234">
        <f t="shared" si="39"/>
        <v>7.1518203672685438E-2</v>
      </c>
      <c r="AY71" s="99"/>
      <c r="AZ71" s="94">
        <f t="shared" si="13"/>
        <v>246.48891932198384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0"/>
        <v>2</v>
      </c>
      <c r="F72" s="93" t="str">
        <f>'Юнит 13'!F72</f>
        <v/>
      </c>
      <c r="G72" s="93">
        <f>'Юнит 13'!G72</f>
        <v>1</v>
      </c>
      <c r="H72" s="93" t="str">
        <f>'Юнит 13'!H72</f>
        <v/>
      </c>
      <c r="I72" s="93">
        <f>'Юнит 13'!I72</f>
        <v>0</v>
      </c>
      <c r="J72" s="93">
        <f>'Юнит 13'!J72</f>
        <v>1</v>
      </c>
      <c r="K72" s="93">
        <v>123.09</v>
      </c>
      <c r="L72" s="92">
        <f t="shared" si="36"/>
        <v>246.18</v>
      </c>
      <c r="M72" s="89">
        <f>'Юнит 13'!M72</f>
        <v>999</v>
      </c>
      <c r="N72" s="89">
        <f>'Юнит 10'!N72+'Юнит 11'!N72+'Юнит 12'!N72+'Юнит 13'!N72</f>
        <v>7</v>
      </c>
      <c r="O72" s="89">
        <v>837</v>
      </c>
      <c r="P72" s="399">
        <v>0.5</v>
      </c>
      <c r="Q72" s="406">
        <f t="shared" si="50"/>
        <v>0.8571428571428571</v>
      </c>
      <c r="R72" s="92">
        <f t="shared" si="47"/>
        <v>0.8571428571428571</v>
      </c>
      <c r="S72" s="89">
        <f>'Юнит 10'!S72+'Юнит 11'!S72+'Юнит 12'!S72+'Юнит 13'!S72</f>
        <v>6</v>
      </c>
      <c r="T72" s="89">
        <f>'Юнит 10'!T72+'Юнит 11'!T72+'Юнит 12'!T72+'Юнит 13'!T72</f>
        <v>0</v>
      </c>
      <c r="U72" s="92">
        <f t="shared" si="41"/>
        <v>6</v>
      </c>
      <c r="V72" s="89">
        <f>'Юнит 10'!V72+'Юнит 11'!V72+'Юнит 12'!V72+'Юнит 13'!V72</f>
        <v>3145</v>
      </c>
      <c r="W72" s="89">
        <f>'Юнит 10'!W72+'Юнит 11'!W72+'Юнит 12'!W72+'Юнит 13'!W72</f>
        <v>0</v>
      </c>
      <c r="X72" s="92">
        <f t="shared" si="42"/>
        <v>3145</v>
      </c>
      <c r="Y72" s="89">
        <f>'Юнит 10'!Y72+'Юнит 11'!Y72+'Юнит 12'!Y72+'Юнит 13'!Y72</f>
        <v>4971.78</v>
      </c>
      <c r="Z72" s="89">
        <f>'Юнит 10'!Z72+'Юнит 11'!Z72+'Юнит 12'!Z72+'Юнит 13'!Z72</f>
        <v>0</v>
      </c>
      <c r="AA72" s="232">
        <f t="shared" si="48"/>
        <v>4971.78</v>
      </c>
      <c r="AB72" s="92">
        <f t="shared" si="49"/>
        <v>29.295000000000002</v>
      </c>
      <c r="AC72" s="234">
        <f t="shared" si="43"/>
        <v>2.7307769146829992E-4</v>
      </c>
      <c r="AD72" s="92">
        <f t="shared" si="44"/>
        <v>738.54</v>
      </c>
      <c r="AE72" s="89">
        <f>'Юнит 10'!AE72+'Юнит 11'!AE72+'Юнит 12'!AE72+'Юнит 13'!AE72</f>
        <v>1874.4599999999996</v>
      </c>
      <c r="AF72" s="234">
        <f t="shared" si="45"/>
        <v>0.3770199003173913</v>
      </c>
      <c r="AG72" s="89">
        <f>'Юнит 10'!AG72+'Юнит 11'!AG72+'Юнит 12'!AG72+'Юнит 13'!AG72</f>
        <v>782.11</v>
      </c>
      <c r="AH72" s="89">
        <f>'Юнит 10'!AH72+'Юнит 11'!AH72+'Юнит 12'!AH72+'Юнит 13'!AH72</f>
        <v>0</v>
      </c>
      <c r="AI72" s="89">
        <f>'Юнит 10'!AI72+'Юнит 11'!AI72+'Юнит 12'!AI72+'Юнит 13'!AI72</f>
        <v>0</v>
      </c>
      <c r="AJ72" s="89">
        <f>'Юнит 10'!AJ72+'Юнит 11'!AJ72+'Юнит 12'!AJ72+'Юнит 13'!AJ72</f>
        <v>0</v>
      </c>
      <c r="AK72" s="89">
        <f>'Юнит 10'!AK72+'Юнит 11'!AK72+'Юнит 12'!AK72+'Юнит 13'!AK72</f>
        <v>0</v>
      </c>
      <c r="AL72" s="89">
        <f>'Юнит 10'!AL72+'Юнит 11'!AL72+'Юнит 12'!AL72+'Юнит 13'!AL72</f>
        <v>0</v>
      </c>
      <c r="AM72" s="89">
        <f>'Юнит 10'!AM72+'Юнит 11'!AM72+'Юнит 12'!AM72+'Юнит 13'!AM72</f>
        <v>0</v>
      </c>
      <c r="AN72" s="325">
        <f t="shared" si="46"/>
        <v>175.53028428299402</v>
      </c>
      <c r="AO72" s="95">
        <f t="shared" si="51"/>
        <v>1401.1397157170061</v>
      </c>
      <c r="AP72" s="96"/>
      <c r="AQ72" s="97">
        <f t="shared" si="7"/>
        <v>828.63</v>
      </c>
      <c r="AR72" s="98">
        <f t="shared" si="29"/>
        <v>123.09</v>
      </c>
      <c r="AS72" s="98">
        <f t="shared" si="9"/>
        <v>312.40999999999991</v>
      </c>
      <c r="AT72" s="98">
        <f t="shared" si="10"/>
        <v>130.35166666666666</v>
      </c>
      <c r="AU72" s="98">
        <f t="shared" si="52"/>
        <v>0</v>
      </c>
      <c r="AV72" s="98">
        <f t="array" ref="AV72">_xlfn.IFS(U72=0,AO72,U72&lt;0,AO72/-U72,U72&gt;0,AO72/U72)</f>
        <v>233.52328595283436</v>
      </c>
      <c r="AW72" s="234">
        <f t="shared" si="38"/>
        <v>0.28181852690927717</v>
      </c>
      <c r="AX72" s="234">
        <f t="shared" si="39"/>
        <v>1.8971751235099061</v>
      </c>
      <c r="AY72" s="99"/>
      <c r="AZ72" s="94">
        <f t="shared" si="13"/>
        <v>467.04657190566871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0"/>
        <v>6</v>
      </c>
      <c r="F73" s="93">
        <f>'Юнит 13'!F73</f>
        <v>4</v>
      </c>
      <c r="G73" s="93">
        <f>'Юнит 13'!G73</f>
        <v>1</v>
      </c>
      <c r="H73" s="93" t="str">
        <f>'Юнит 13'!H73</f>
        <v/>
      </c>
      <c r="I73" s="93">
        <f>'Юнит 13'!I73</f>
        <v>0</v>
      </c>
      <c r="J73" s="93">
        <f>'Юнит 13'!J73</f>
        <v>1</v>
      </c>
      <c r="K73" s="93">
        <v>123.09</v>
      </c>
      <c r="L73" s="92">
        <f t="shared" si="36"/>
        <v>738.54</v>
      </c>
      <c r="M73" s="89">
        <f>'Юнит 13'!M73</f>
        <v>7</v>
      </c>
      <c r="N73" s="89">
        <f>'Юнит 10'!N73+'Юнит 11'!N73+'Юнит 12'!N73+'Юнит 13'!N73</f>
        <v>18</v>
      </c>
      <c r="O73" s="89">
        <v>807</v>
      </c>
      <c r="P73" s="399">
        <v>0.17</v>
      </c>
      <c r="Q73" s="406">
        <f t="shared" si="50"/>
        <v>0.16666666666666666</v>
      </c>
      <c r="R73" s="92">
        <f t="shared" si="47"/>
        <v>0.42857142857142855</v>
      </c>
      <c r="S73" s="89">
        <f>'Юнит 10'!S73+'Юнит 11'!S73+'Юнит 12'!S73+'Юнит 13'!S73</f>
        <v>4</v>
      </c>
      <c r="T73" s="89">
        <f>'Юнит 10'!T73+'Юнит 11'!T73+'Юнит 12'!T73+'Юнит 13'!T73</f>
        <v>-1</v>
      </c>
      <c r="U73" s="92">
        <f t="shared" si="41"/>
        <v>3</v>
      </c>
      <c r="V73" s="89">
        <f>'Юнит 10'!V73+'Юнит 11'!V73+'Юнит 12'!V73+'Юнит 13'!V73</f>
        <v>2248.6799999999998</v>
      </c>
      <c r="W73" s="89">
        <f>'Юнит 10'!W73+'Юнит 11'!W73+'Юнит 12'!W73+'Юнит 13'!W73</f>
        <v>-527</v>
      </c>
      <c r="X73" s="92">
        <f t="shared" si="42"/>
        <v>1721.6799999999998</v>
      </c>
      <c r="Y73" s="89">
        <f>'Юнит 10'!Y73+'Юнит 11'!Y73+'Юнит 12'!Y73+'Юнит 13'!Y73</f>
        <v>3228.21</v>
      </c>
      <c r="Z73" s="89">
        <f>'Юнит 10'!Z73+'Юнит 11'!Z73+'Юнит 12'!Z73+'Юнит 13'!Z73</f>
        <v>-807</v>
      </c>
      <c r="AA73" s="232">
        <f t="shared" si="48"/>
        <v>2421.21</v>
      </c>
      <c r="AB73" s="92">
        <f t="shared" si="49"/>
        <v>24.694200000000002</v>
      </c>
      <c r="AC73" s="234">
        <f t="shared" si="43"/>
        <v>1.3298626193434997E-4</v>
      </c>
      <c r="AD73" s="92">
        <f t="shared" si="44"/>
        <v>369.27</v>
      </c>
      <c r="AE73" s="89">
        <f>'Юнит 10'!AE73+'Юнит 11'!AE73+'Юнит 12'!AE73+'Юнит 13'!AE73</f>
        <v>912.74</v>
      </c>
      <c r="AF73" s="234">
        <f t="shared" si="45"/>
        <v>0.37697680085577046</v>
      </c>
      <c r="AG73" s="89">
        <f>'Юнит 10'!AG73+'Юнит 11'!AG73+'Юнит 12'!AG73+'Юнит 13'!AG73</f>
        <v>1952.8600000000001</v>
      </c>
      <c r="AH73" s="89">
        <f>'Юнит 10'!AH73+'Юнит 11'!AH73+'Юнит 12'!AH73+'Юнит 13'!AH73</f>
        <v>0</v>
      </c>
      <c r="AI73" s="89">
        <f>'Юнит 10'!AI73+'Юнит 11'!AI73+'Юнит 12'!AI73+'Юнит 13'!AI73</f>
        <v>0</v>
      </c>
      <c r="AJ73" s="89">
        <f>'Юнит 10'!AJ73+'Юнит 11'!AJ73+'Юнит 12'!AJ73+'Юнит 13'!AJ73</f>
        <v>0</v>
      </c>
      <c r="AK73" s="89">
        <f>'Юнит 10'!AK73+'Юнит 11'!AK73+'Юнит 12'!AK73+'Юнит 13'!AK73</f>
        <v>0</v>
      </c>
      <c r="AL73" s="89">
        <f>'Юнит 10'!AL73+'Юнит 11'!AL73+'Юнит 12'!AL73+'Юнит 13'!AL73</f>
        <v>3.0102452199262624</v>
      </c>
      <c r="AM73" s="89">
        <f>'Юнит 10'!AM73+'Юнит 11'!AM73+'Юнит 12'!AM73+'Юнит 13'!AM73</f>
        <v>0</v>
      </c>
      <c r="AN73" s="325">
        <f t="shared" si="46"/>
        <v>96.091249553050901</v>
      </c>
      <c r="AO73" s="95">
        <f t="shared" si="51"/>
        <v>-912.76149477297724</v>
      </c>
      <c r="AP73" s="96"/>
      <c r="AQ73" s="97">
        <f t="shared" si="7"/>
        <v>807.07</v>
      </c>
      <c r="AR73" s="98">
        <f t="shared" si="29"/>
        <v>123.09</v>
      </c>
      <c r="AS73" s="98">
        <f t="shared" si="9"/>
        <v>304.24666666666667</v>
      </c>
      <c r="AT73" s="98">
        <f t="shared" si="10"/>
        <v>488.21500000000003</v>
      </c>
      <c r="AU73" s="98">
        <f t="shared" si="52"/>
        <v>0</v>
      </c>
      <c r="AV73" s="98">
        <f t="array" ref="AV73">_xlfn.IFS(U73=0,AO73,U73&lt;0,AO73/-U73,U73&gt;0,AO73/U73)</f>
        <v>-304.25383159099243</v>
      </c>
      <c r="AW73" s="234">
        <f t="shared" si="38"/>
        <v>-0.37698567855451498</v>
      </c>
      <c r="AX73" s="234">
        <f t="shared" si="39"/>
        <v>-2.471799752953062</v>
      </c>
      <c r="AY73" s="99"/>
      <c r="AZ73" s="94">
        <f t="shared" si="13"/>
        <v>-1825.5229895459547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0"/>
        <v>3</v>
      </c>
      <c r="F74" s="93">
        <f>'Юнит 13'!F74</f>
        <v>2</v>
      </c>
      <c r="G74" s="93" t="str">
        <f>'Юнит 13'!G74</f>
        <v/>
      </c>
      <c r="H74" s="93" t="str">
        <f>'Юнит 13'!H74</f>
        <v/>
      </c>
      <c r="I74" s="93">
        <f>'Юнит 13'!I74</f>
        <v>0</v>
      </c>
      <c r="J74" s="93">
        <f>'Юнит 13'!J74</f>
        <v>1</v>
      </c>
      <c r="K74" s="93">
        <v>134.79</v>
      </c>
      <c r="L74" s="92">
        <f t="shared" si="36"/>
        <v>404.37</v>
      </c>
      <c r="M74" s="89">
        <f>'Юнит 13'!M74</f>
        <v>999</v>
      </c>
      <c r="N74" s="89">
        <f>'Юнит 10'!N74+'Юнит 11'!N74+'Юнит 12'!N74+'Юнит 13'!N74</f>
        <v>2</v>
      </c>
      <c r="O74" s="89">
        <v>781</v>
      </c>
      <c r="P74" s="399">
        <v>0</v>
      </c>
      <c r="Q74" s="406">
        <f t="shared" si="50"/>
        <v>0</v>
      </c>
      <c r="R74" s="92">
        <f t="shared" si="47"/>
        <v>0</v>
      </c>
      <c r="S74" s="89">
        <f>'Юнит 10'!S74+'Юнит 11'!S74+'Юнит 12'!S74+'Юнит 13'!S74</f>
        <v>0</v>
      </c>
      <c r="T74" s="89">
        <f>'Юнит 10'!T74+'Юнит 11'!T74+'Юнит 12'!T74+'Юнит 13'!T74</f>
        <v>0</v>
      </c>
      <c r="U74" s="92">
        <f t="shared" si="41"/>
        <v>0</v>
      </c>
      <c r="V74" s="89">
        <f>'Юнит 10'!V74+'Юнит 11'!V74+'Юнит 12'!V74+'Юнит 13'!V74</f>
        <v>0</v>
      </c>
      <c r="W74" s="89">
        <f>'Юнит 10'!W74+'Юнит 11'!W74+'Юнит 12'!W74+'Юнит 13'!W74</f>
        <v>0</v>
      </c>
      <c r="X74" s="92">
        <f t="shared" si="42"/>
        <v>0</v>
      </c>
      <c r="Y74" s="89">
        <f>'Юнит 10'!Y74+'Юнит 11'!Y74+'Юнит 12'!Y74+'Юнит 13'!Y74</f>
        <v>0</v>
      </c>
      <c r="Z74" s="89">
        <f>'Юнит 10'!Z74+'Юнит 11'!Z74+'Юнит 12'!Z74+'Юнит 13'!Z74</f>
        <v>0</v>
      </c>
      <c r="AA74" s="232">
        <f t="shared" si="48"/>
        <v>0</v>
      </c>
      <c r="AB74" s="92">
        <f t="shared" si="49"/>
        <v>0</v>
      </c>
      <c r="AC74" s="234">
        <f t="shared" si="43"/>
        <v>0</v>
      </c>
      <c r="AD74" s="92">
        <f t="shared" si="44"/>
        <v>0</v>
      </c>
      <c r="AE74" s="89">
        <f>'Юнит 10'!AE74+'Юнит 11'!AE74+'Юнит 12'!AE74+'Юнит 13'!AE74</f>
        <v>0</v>
      </c>
      <c r="AF74" s="234">
        <f t="shared" si="45"/>
        <v>0</v>
      </c>
      <c r="AG74" s="89">
        <f>'Юнит 10'!AG74+'Юнит 11'!AG74+'Юнит 12'!AG74+'Юнит 13'!AG74</f>
        <v>204.83</v>
      </c>
      <c r="AH74" s="89">
        <f>'Юнит 10'!AH74+'Юнит 11'!AH74+'Юнит 12'!AH74+'Юнит 13'!AH74</f>
        <v>0</v>
      </c>
      <c r="AI74" s="89">
        <f>'Юнит 10'!AI74+'Юнит 11'!AI74+'Юнит 12'!AI74+'Юнит 13'!AI74</f>
        <v>0</v>
      </c>
      <c r="AJ74" s="89">
        <f>'Юнит 10'!AJ74+'Юнит 11'!AJ74+'Юнит 12'!AJ74+'Юнит 13'!AJ74</f>
        <v>0</v>
      </c>
      <c r="AK74" s="89">
        <f>'Юнит 10'!AK74+'Юнит 11'!AK74+'Юнит 12'!AK74+'Юнит 13'!AK74</f>
        <v>0</v>
      </c>
      <c r="AL74" s="89">
        <f>'Юнит 10'!AL74+'Юнит 11'!AL74+'Юнит 12'!AL74+'Юнит 13'!AL74</f>
        <v>0</v>
      </c>
      <c r="AM74" s="89">
        <f>'Юнит 10'!AM74+'Юнит 11'!AM74+'Юнит 12'!AM74+'Юнит 13'!AM74</f>
        <v>0</v>
      </c>
      <c r="AN74" s="325">
        <f t="shared" si="46"/>
        <v>0</v>
      </c>
      <c r="AO74" s="95">
        <f t="shared" si="51"/>
        <v>-204.83</v>
      </c>
      <c r="AP74" s="96"/>
      <c r="AQ74" s="97">
        <f t="shared" si="7"/>
        <v>0</v>
      </c>
      <c r="AR74" s="98">
        <f t="shared" si="29"/>
        <v>134.79</v>
      </c>
      <c r="AS74" s="98">
        <f t="shared" si="9"/>
        <v>0</v>
      </c>
      <c r="AT74" s="98">
        <f t="shared" si="10"/>
        <v>204.83</v>
      </c>
      <c r="AU74" s="98">
        <f t="shared" si="52"/>
        <v>0</v>
      </c>
      <c r="AV74" s="98">
        <f t="array" ref="AV74">_xlfn.IFS(U74=0,AO74,U74&lt;0,AO74/-U74,U74&gt;0,AO74/U74)</f>
        <v>-204.83</v>
      </c>
      <c r="AW74" s="234">
        <f t="shared" si="38"/>
        <v>0</v>
      </c>
      <c r="AX74" s="234">
        <f t="shared" si="39"/>
        <v>-1.519623117441947</v>
      </c>
      <c r="AY74" s="99"/>
      <c r="AZ74" s="94">
        <f t="shared" si="13"/>
        <v>-614.49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0"/>
        <v>21</v>
      </c>
      <c r="F75" s="93">
        <f>'Юнит 13'!F75</f>
        <v>8</v>
      </c>
      <c r="G75" s="93">
        <f>'Юнит 13'!G75</f>
        <v>7</v>
      </c>
      <c r="H75" s="93">
        <f>'Юнит 13'!H75</f>
        <v>5</v>
      </c>
      <c r="I75" s="93">
        <f>'Юнит 13'!I75</f>
        <v>0</v>
      </c>
      <c r="J75" s="93">
        <f>'Юнит 13'!J75</f>
        <v>1</v>
      </c>
      <c r="K75" s="93">
        <v>134.79</v>
      </c>
      <c r="L75" s="92">
        <f t="shared" si="36"/>
        <v>2830.5899999999997</v>
      </c>
      <c r="M75" s="89">
        <f>'Юнит 13'!M75</f>
        <v>17</v>
      </c>
      <c r="N75" s="89">
        <f>'Юнит 10'!N75+'Юнит 11'!N75+'Юнит 12'!N75+'Юнит 13'!N75</f>
        <v>62</v>
      </c>
      <c r="O75" s="89">
        <v>763</v>
      </c>
      <c r="P75" s="399">
        <v>0.21</v>
      </c>
      <c r="Q75" s="406">
        <f t="shared" si="50"/>
        <v>0.17741935483870969</v>
      </c>
      <c r="R75" s="92">
        <f t="shared" si="47"/>
        <v>1.5714285714285714</v>
      </c>
      <c r="S75" s="89">
        <f>'Юнит 10'!S75+'Юнит 11'!S75+'Юнит 12'!S75+'Юнит 13'!S75</f>
        <v>14</v>
      </c>
      <c r="T75" s="89">
        <f>'Юнит 10'!T75+'Юнит 11'!T75+'Юнит 12'!T75+'Юнит 13'!T75</f>
        <v>-3</v>
      </c>
      <c r="U75" s="92">
        <f t="shared" si="41"/>
        <v>11</v>
      </c>
      <c r="V75" s="89">
        <f>'Юнит 10'!V75+'Юнит 11'!V75+'Юнит 12'!V75+'Юнит 13'!V75</f>
        <v>7236.75</v>
      </c>
      <c r="W75" s="89">
        <f>'Юнит 10'!W75+'Юнит 11'!W75+'Юнит 12'!W75+'Юнит 13'!W75</f>
        <v>-1504</v>
      </c>
      <c r="X75" s="92">
        <f t="shared" si="42"/>
        <v>5732.75</v>
      </c>
      <c r="Y75" s="89">
        <f>'Юнит 10'!Y75+'Юнит 11'!Y75+'Юнит 12'!Y75+'Юнит 13'!Y75</f>
        <v>10625.28</v>
      </c>
      <c r="Z75" s="89">
        <f>'Юнит 10'!Z75+'Юнит 11'!Z75+'Юнит 12'!Z75+'Юнит 13'!Z75</f>
        <v>-2266.11</v>
      </c>
      <c r="AA75" s="232">
        <f t="shared" si="48"/>
        <v>8359.17</v>
      </c>
      <c r="AB75" s="92">
        <f t="shared" si="49"/>
        <v>99.342600000000004</v>
      </c>
      <c r="AC75" s="234">
        <f t="shared" si="43"/>
        <v>4.5913190973676806E-4</v>
      </c>
      <c r="AD75" s="92">
        <f t="shared" si="44"/>
        <v>1482.6899999999998</v>
      </c>
      <c r="AE75" s="89">
        <f>'Юнит 10'!AE75+'Юнит 11'!AE75+'Юнит 12'!AE75+'Юнит 13'!AE75</f>
        <v>3161.68</v>
      </c>
      <c r="AF75" s="234">
        <f t="shared" si="45"/>
        <v>0.37822893899753202</v>
      </c>
      <c r="AG75" s="89">
        <f>'Юнит 10'!AG75+'Юнит 11'!AG75+'Юнит 12'!AG75+'Юнит 13'!AG75</f>
        <v>4726.5299999999988</v>
      </c>
      <c r="AH75" s="89">
        <f>'Юнит 10'!AH75+'Юнит 11'!AH75+'Юнит 12'!AH75+'Юнит 13'!AH75</f>
        <v>0</v>
      </c>
      <c r="AI75" s="89">
        <f>'Юнит 10'!AI75+'Юнит 11'!AI75+'Юнит 12'!AI75+'Юнит 13'!AI75</f>
        <v>0</v>
      </c>
      <c r="AJ75" s="89">
        <f>'Юнит 10'!AJ75+'Юнит 11'!AJ75+'Юнит 12'!AJ75+'Юнит 13'!AJ75</f>
        <v>0</v>
      </c>
      <c r="AK75" s="89">
        <f>'Юнит 10'!AK75+'Юнит 11'!AK75+'Юнит 12'!AK75+'Юнит 13'!AK75</f>
        <v>0</v>
      </c>
      <c r="AL75" s="89">
        <f>'Юнит 10'!AL75+'Юнит 11'!AL75+'Юнит 12'!AL75+'Юнит 13'!AL75</f>
        <v>39.256502707756525</v>
      </c>
      <c r="AM75" s="89">
        <f>'Юнит 10'!AM75+'Юнит 11'!AM75+'Юнит 12'!AM75+'Юнит 13'!AM75</f>
        <v>0</v>
      </c>
      <c r="AN75" s="325">
        <f t="shared" si="46"/>
        <v>319.95905794064669</v>
      </c>
      <c r="AO75" s="95">
        <f t="shared" si="51"/>
        <v>-1370.9455606484014</v>
      </c>
      <c r="AP75" s="96"/>
      <c r="AQ75" s="97">
        <f t="shared" si="7"/>
        <v>759.92454545454541</v>
      </c>
      <c r="AR75" s="98">
        <f t="shared" si="29"/>
        <v>134.79</v>
      </c>
      <c r="AS75" s="98">
        <f t="shared" si="9"/>
        <v>287.42545454545456</v>
      </c>
      <c r="AT75" s="98">
        <f t="shared" si="10"/>
        <v>337.60928571428565</v>
      </c>
      <c r="AU75" s="98">
        <f t="shared" si="52"/>
        <v>0</v>
      </c>
      <c r="AV75" s="98">
        <f t="array" ref="AV75">_xlfn.IFS(U75=0,AO75,U75&lt;0,AO75/-U75,U75&gt;0,AO75/U75)</f>
        <v>-124.63141460440012</v>
      </c>
      <c r="AW75" s="234">
        <f t="shared" si="38"/>
        <v>-0.16400498621853621</v>
      </c>
      <c r="AX75" s="234">
        <f t="shared" si="39"/>
        <v>-0.9246339832658218</v>
      </c>
      <c r="AY75" s="99"/>
      <c r="AZ75" s="94">
        <f t="shared" si="13"/>
        <v>-2617.2597066924027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0"/>
        <v>43</v>
      </c>
      <c r="F76" s="93">
        <f>'Юнит 13'!F76</f>
        <v>22</v>
      </c>
      <c r="G76" s="93">
        <f>'Юнит 13'!G76</f>
        <v>3</v>
      </c>
      <c r="H76" s="93">
        <f>'Юнит 13'!H76</f>
        <v>17</v>
      </c>
      <c r="I76" s="93">
        <f>'Юнит 13'!I76</f>
        <v>0</v>
      </c>
      <c r="J76" s="93">
        <f>'Юнит 13'!J76</f>
        <v>1</v>
      </c>
      <c r="K76" s="93">
        <v>123.09</v>
      </c>
      <c r="L76" s="92">
        <f t="shared" si="36"/>
        <v>5292.87</v>
      </c>
      <c r="M76" s="89">
        <f>'Юнит 13'!M76</f>
        <v>44</v>
      </c>
      <c r="N76" s="89">
        <f>'Юнит 10'!N76+'Юнит 11'!N76+'Юнит 12'!N76+'Юнит 13'!N76</f>
        <v>48</v>
      </c>
      <c r="O76" s="89">
        <v>1050</v>
      </c>
      <c r="P76" s="399">
        <v>0.19</v>
      </c>
      <c r="Q76" s="406">
        <f t="shared" si="50"/>
        <v>0.14583333333333334</v>
      </c>
      <c r="R76" s="92">
        <f t="shared" si="47"/>
        <v>1</v>
      </c>
      <c r="S76" s="89">
        <f>'Юнит 10'!S76+'Юнит 11'!S76+'Юнит 12'!S76+'Юнит 13'!S76</f>
        <v>7</v>
      </c>
      <c r="T76" s="89">
        <f>'Юнит 10'!T76+'Юнит 11'!T76+'Юнит 12'!T76+'Юнит 13'!T76</f>
        <v>0</v>
      </c>
      <c r="U76" s="92">
        <f t="shared" si="41"/>
        <v>7</v>
      </c>
      <c r="V76" s="89">
        <f>'Юнит 10'!V76+'Юнит 11'!V76+'Юнит 12'!V76+'Юнит 13'!V76</f>
        <v>4693</v>
      </c>
      <c r="W76" s="89">
        <f>'Юнит 10'!W76+'Юнит 11'!W76+'Юнит 12'!W76+'Юнит 13'!W76</f>
        <v>0</v>
      </c>
      <c r="X76" s="92">
        <f t="shared" si="42"/>
        <v>4693</v>
      </c>
      <c r="Y76" s="89">
        <f>'Юнит 10'!Y76+'Юнит 11'!Y76+'Юнит 12'!Y76+'Юнит 13'!Y76</f>
        <v>7350</v>
      </c>
      <c r="Z76" s="89">
        <f>'Юнит 10'!Z76+'Юнит 11'!Z76+'Юнит 12'!Z76+'Юнит 13'!Z76</f>
        <v>0</v>
      </c>
      <c r="AA76" s="232">
        <f t="shared" si="48"/>
        <v>7350</v>
      </c>
      <c r="AB76" s="92">
        <f t="shared" si="49"/>
        <v>95.76</v>
      </c>
      <c r="AC76" s="234">
        <f t="shared" si="43"/>
        <v>4.0370270452272719E-4</v>
      </c>
      <c r="AD76" s="92">
        <f t="shared" si="44"/>
        <v>861.63</v>
      </c>
      <c r="AE76" s="89">
        <f>'Юнит 10'!AE76+'Юнит 11'!AE76+'Юнит 12'!AE76+'Юнит 13'!AE76</f>
        <v>2744.0799999999995</v>
      </c>
      <c r="AF76" s="234">
        <f t="shared" si="45"/>
        <v>0.37334421768707476</v>
      </c>
      <c r="AG76" s="89">
        <f>'Юнит 10'!AG76+'Юнит 11'!AG76+'Юнит 12'!AG76+'Юнит 13'!AG76</f>
        <v>2217.2299999999996</v>
      </c>
      <c r="AH76" s="89">
        <f>'Юнит 10'!AH76+'Юнит 11'!AH76+'Юнит 12'!AH76+'Юнит 13'!AH76</f>
        <v>434</v>
      </c>
      <c r="AI76" s="89">
        <f>'Юнит 10'!AI76+'Юнит 11'!AI76+'Юнит 12'!AI76+'Юнит 13'!AI76</f>
        <v>4681</v>
      </c>
      <c r="AJ76" s="89">
        <f>'Юнит 10'!AJ76+'Юнит 11'!AJ76+'Юнит 12'!AJ76+'Юнит 13'!AJ76</f>
        <v>0</v>
      </c>
      <c r="AK76" s="89">
        <f>'Юнит 10'!AK76+'Юнит 11'!AK76+'Юнит 12'!AK76+'Юнит 13'!AK76</f>
        <v>0</v>
      </c>
      <c r="AL76" s="89">
        <f>'Юнит 10'!AL76+'Юнит 11'!AL76+'Юнит 12'!AL76+'Юнит 13'!AL76</f>
        <v>153.26206992879108</v>
      </c>
      <c r="AM76" s="89">
        <f>'Юнит 10'!AM76+'Юнит 11'!AM76+'Юнит 12'!AM76+'Юнит 13'!AM76</f>
        <v>0</v>
      </c>
      <c r="AN76" s="325">
        <f t="shared" si="46"/>
        <v>261.92802039430552</v>
      </c>
      <c r="AO76" s="95">
        <f t="shared" si="51"/>
        <v>-4003.1300903230954</v>
      </c>
      <c r="AP76" s="96"/>
      <c r="AQ76" s="97">
        <f t="shared" si="7"/>
        <v>1050</v>
      </c>
      <c r="AR76" s="98">
        <f t="shared" si="29"/>
        <v>123.09</v>
      </c>
      <c r="AS76" s="98">
        <f t="shared" si="9"/>
        <v>392.0114285714285</v>
      </c>
      <c r="AT76" s="98">
        <f t="shared" si="10"/>
        <v>316.74714285714282</v>
      </c>
      <c r="AU76" s="98">
        <f t="shared" si="52"/>
        <v>730.71428571428567</v>
      </c>
      <c r="AV76" s="98">
        <f t="array" ref="AV76">_xlfn.IFS(U76=0,AO76,U76&lt;0,AO76/-U76,U76&gt;0,AO76/U76)</f>
        <v>-571.87572718901367</v>
      </c>
      <c r="AW76" s="234">
        <f t="shared" si="38"/>
        <v>-0.54464354970382256</v>
      </c>
      <c r="AX76" s="234">
        <f t="shared" si="39"/>
        <v>-4.6459966462670703</v>
      </c>
      <c r="AY76" s="99"/>
      <c r="AZ76" s="94">
        <f t="shared" si="13"/>
        <v>-24590.656269127587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0"/>
        <v>40</v>
      </c>
      <c r="F77" s="93">
        <f>'Юнит 13'!F77</f>
        <v>12</v>
      </c>
      <c r="G77" s="93">
        <f>'Юнит 13'!G77</f>
        <v>3</v>
      </c>
      <c r="H77" s="93">
        <f>'Юнит 13'!H77</f>
        <v>21</v>
      </c>
      <c r="I77" s="93">
        <f>'Юнит 13'!I77</f>
        <v>0</v>
      </c>
      <c r="J77" s="93">
        <f>'Юнит 13'!J77</f>
        <v>4</v>
      </c>
      <c r="K77" s="93">
        <v>123.09</v>
      </c>
      <c r="L77" s="92">
        <f t="shared" si="36"/>
        <v>4923.6000000000004</v>
      </c>
      <c r="M77" s="89">
        <f>'Юнит 13'!M77</f>
        <v>68</v>
      </c>
      <c r="N77" s="89">
        <f>'Юнит 10'!N77+'Юнит 11'!N77+'Юнит 12'!N77+'Юнит 13'!N77</f>
        <v>27</v>
      </c>
      <c r="O77" s="89">
        <v>1150</v>
      </c>
      <c r="P77" s="399">
        <v>0.2</v>
      </c>
      <c r="Q77" s="406">
        <f t="shared" si="50"/>
        <v>0.1111111111111111</v>
      </c>
      <c r="R77" s="92">
        <f t="shared" si="47"/>
        <v>0.42857142857142855</v>
      </c>
      <c r="S77" s="89">
        <f>'Юнит 10'!S77+'Юнит 11'!S77+'Юнит 12'!S77+'Юнит 13'!S77</f>
        <v>3</v>
      </c>
      <c r="T77" s="89">
        <f>'Юнит 10'!T77+'Юнит 11'!T77+'Юнит 12'!T77+'Юнит 13'!T77</f>
        <v>0</v>
      </c>
      <c r="U77" s="92">
        <f t="shared" si="41"/>
        <v>3</v>
      </c>
      <c r="V77" s="89">
        <f>'Юнит 10'!V77+'Юнит 11'!V77+'Юнит 12'!V77+'Юнит 13'!V77</f>
        <v>2151</v>
      </c>
      <c r="W77" s="89">
        <f>'Юнит 10'!W77+'Юнит 11'!W77+'Юнит 12'!W77+'Юнит 13'!W77</f>
        <v>0</v>
      </c>
      <c r="X77" s="92">
        <f t="shared" si="42"/>
        <v>2151</v>
      </c>
      <c r="Y77" s="89">
        <f>'Юнит 10'!Y77+'Юнит 11'!Y77+'Юнит 12'!Y77+'Юнит 13'!Y77</f>
        <v>3450</v>
      </c>
      <c r="Z77" s="89">
        <f>'Юнит 10'!Z77+'Юнит 11'!Z77+'Юнит 12'!Z77+'Юнит 13'!Z77</f>
        <v>0</v>
      </c>
      <c r="AA77" s="232">
        <f t="shared" si="48"/>
        <v>3450</v>
      </c>
      <c r="AB77" s="92">
        <f t="shared" si="49"/>
        <v>62.1</v>
      </c>
      <c r="AC77" s="234">
        <f t="shared" si="43"/>
        <v>1.894931062045454E-4</v>
      </c>
      <c r="AD77" s="92">
        <f t="shared" si="44"/>
        <v>369.27</v>
      </c>
      <c r="AE77" s="89">
        <f>'Юнит 10'!AE77+'Юнит 11'!AE77+'Юнит 12'!AE77+'Юнит 13'!AE77</f>
        <v>1302.1799999999998</v>
      </c>
      <c r="AF77" s="234">
        <f t="shared" si="45"/>
        <v>0.37744347826086949</v>
      </c>
      <c r="AG77" s="89">
        <f>'Юнит 10'!AG77+'Юнит 11'!AG77+'Юнит 12'!AG77+'Юнит 13'!AG77</f>
        <v>1348.23</v>
      </c>
      <c r="AH77" s="89">
        <f>'Юнит 10'!AH77+'Юнит 11'!AH77+'Юнит 12'!AH77+'Юнит 13'!AH77</f>
        <v>120</v>
      </c>
      <c r="AI77" s="89">
        <f>'Юнит 10'!AI77+'Юнит 11'!AI77+'Юнит 12'!AI77+'Юнит 13'!AI77</f>
        <v>1552</v>
      </c>
      <c r="AJ77" s="89">
        <f>'Юнит 10'!AJ77+'Юнит 11'!AJ77+'Юнит 12'!AJ77+'Юнит 13'!AJ77</f>
        <v>0</v>
      </c>
      <c r="AK77" s="89">
        <f>'Юнит 10'!AK77+'Юнит 11'!AK77+'Юнит 12'!AK77+'Юнит 13'!AK77</f>
        <v>0</v>
      </c>
      <c r="AL77" s="89">
        <f>'Юнит 10'!AL77+'Юнит 11'!AL77+'Юнит 12'!AL77+'Юнит 13'!AL77</f>
        <v>127.42860248527562</v>
      </c>
      <c r="AM77" s="89">
        <f>'Юнит 10'!AM77+'Юнит 11'!AM77+'Юнит 12'!AM77+'Юнит 13'!AM77</f>
        <v>0</v>
      </c>
      <c r="AN77" s="325">
        <f t="shared" si="46"/>
        <v>120.05266820118285</v>
      </c>
      <c r="AO77" s="95">
        <f t="shared" si="51"/>
        <v>-1489.1612706864582</v>
      </c>
      <c r="AP77" s="96"/>
      <c r="AQ77" s="97">
        <f t="shared" si="7"/>
        <v>1150</v>
      </c>
      <c r="AR77" s="98">
        <f t="shared" si="29"/>
        <v>123.09</v>
      </c>
      <c r="AS77" s="98">
        <f t="shared" si="9"/>
        <v>434.05999999999995</v>
      </c>
      <c r="AT77" s="98">
        <f t="shared" si="10"/>
        <v>449.41</v>
      </c>
      <c r="AU77" s="98">
        <f t="shared" si="52"/>
        <v>557.33333333333337</v>
      </c>
      <c r="AV77" s="98">
        <f t="array" ref="AV77">_xlfn.IFS(U77=0,AO77,U77&lt;0,AO77/-U77,U77&gt;0,AO77/U77)</f>
        <v>-496.38709022881943</v>
      </c>
      <c r="AW77" s="234">
        <f t="shared" si="38"/>
        <v>-0.43164094802506037</v>
      </c>
      <c r="AX77" s="234">
        <f t="shared" si="39"/>
        <v>-4.0327166319670109</v>
      </c>
      <c r="AY77" s="99"/>
      <c r="AZ77" s="94">
        <f t="shared" si="13"/>
        <v>-19855.483609152776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0"/>
        <v>22</v>
      </c>
      <c r="F78" s="93">
        <f>'Юнит 13'!F78</f>
        <v>3</v>
      </c>
      <c r="G78" s="93">
        <f>'Юнит 13'!G78</f>
        <v>3</v>
      </c>
      <c r="H78" s="93">
        <f>'Юнит 13'!H78</f>
        <v>15</v>
      </c>
      <c r="I78" s="93">
        <f>'Юнит 13'!I78</f>
        <v>0</v>
      </c>
      <c r="J78" s="93">
        <f>'Юнит 13'!J78</f>
        <v>1</v>
      </c>
      <c r="K78" s="93">
        <v>123.09</v>
      </c>
      <c r="L78" s="92">
        <f t="shared" si="36"/>
        <v>2707.98</v>
      </c>
      <c r="M78" s="89">
        <f>'Юнит 13'!M78</f>
        <v>97</v>
      </c>
      <c r="N78" s="89">
        <f>'Юнит 10'!N78+'Юнит 11'!N78+'Юнит 12'!N78+'Юнит 13'!N78</f>
        <v>24</v>
      </c>
      <c r="O78" s="89">
        <v>1000</v>
      </c>
      <c r="P78" s="399">
        <v>0.14000000000000001</v>
      </c>
      <c r="Q78" s="406">
        <f t="shared" si="50"/>
        <v>0.16666666666666666</v>
      </c>
      <c r="R78" s="92">
        <f t="shared" si="47"/>
        <v>0.5714285714285714</v>
      </c>
      <c r="S78" s="89">
        <f>'Юнит 10'!S78+'Юнит 11'!S78+'Юнит 12'!S78+'Юнит 13'!S78</f>
        <v>4</v>
      </c>
      <c r="T78" s="89">
        <f>'Юнит 10'!T78+'Юнит 11'!T78+'Юнит 12'!T78+'Юнит 13'!T78</f>
        <v>0</v>
      </c>
      <c r="U78" s="92">
        <f t="shared" si="41"/>
        <v>4</v>
      </c>
      <c r="V78" s="89">
        <f>'Юнит 10'!V78+'Юнит 11'!V78+'Юнит 12'!V78+'Юнит 13'!V78</f>
        <v>2443</v>
      </c>
      <c r="W78" s="89">
        <f>'Юнит 10'!W78+'Юнит 11'!W78+'Юнит 12'!W78+'Юнит 13'!W78</f>
        <v>0</v>
      </c>
      <c r="X78" s="92">
        <f t="shared" si="42"/>
        <v>2443</v>
      </c>
      <c r="Y78" s="89">
        <f>'Юнит 10'!Y78+'Юнит 11'!Y78+'Юнит 12'!Y78+'Юнит 13'!Y78</f>
        <v>3980</v>
      </c>
      <c r="Z78" s="89">
        <f>'Юнит 10'!Z78+'Юнит 11'!Z78+'Юнит 12'!Z78+'Юнит 13'!Z78</f>
        <v>0</v>
      </c>
      <c r="AA78" s="232">
        <f t="shared" si="48"/>
        <v>3980</v>
      </c>
      <c r="AB78" s="92">
        <f t="shared" si="49"/>
        <v>33.6</v>
      </c>
      <c r="AC78" s="234">
        <f t="shared" si="43"/>
        <v>2.18603641360606E-4</v>
      </c>
      <c r="AD78" s="92">
        <f t="shared" si="44"/>
        <v>492.36</v>
      </c>
      <c r="AE78" s="89">
        <f>'Юнит 10'!AE78+'Юнит 11'!AE78+'Юнит 12'!AE78+'Юнит 13'!AE78</f>
        <v>1500.67</v>
      </c>
      <c r="AF78" s="234">
        <f t="shared" si="45"/>
        <v>0.37705276381909547</v>
      </c>
      <c r="AG78" s="89">
        <f>'Юнит 10'!AG78+'Юнит 11'!AG78+'Юнит 12'!AG78+'Юнит 13'!AG78</f>
        <v>2497.3399999999997</v>
      </c>
      <c r="AH78" s="89">
        <f>'Юнит 10'!AH78+'Юнит 11'!AH78+'Юнит 12'!AH78+'Юнит 13'!AH78</f>
        <v>1320</v>
      </c>
      <c r="AI78" s="89">
        <f>'Юнит 10'!AI78+'Юнит 11'!AI78+'Юнит 12'!AI78+'Юнит 13'!AI78</f>
        <v>1000</v>
      </c>
      <c r="AJ78" s="89">
        <f>'Юнит 10'!AJ78+'Юнит 11'!AJ78+'Юнит 12'!AJ78+'Юнит 13'!AJ78</f>
        <v>0</v>
      </c>
      <c r="AK78" s="89">
        <f>'Юнит 10'!AK78+'Юнит 11'!AK78+'Юнит 12'!AK78+'Юнит 13'!AK78</f>
        <v>0</v>
      </c>
      <c r="AL78" s="89">
        <f>'Юнит 10'!AL78+'Юнит 11'!AL78+'Юнит 12'!AL78+'Юнит 13'!AL78</f>
        <v>60.915062503288851</v>
      </c>
      <c r="AM78" s="89">
        <f>'Юнит 10'!AM78+'Юнит 11'!AM78+'Юнит 12'!AM78+'Юнит 13'!AM78</f>
        <v>0</v>
      </c>
      <c r="AN78" s="325">
        <f t="shared" si="46"/>
        <v>136.34991558135275</v>
      </c>
      <c r="AO78" s="95">
        <f t="shared" si="51"/>
        <v>-3027.6349780846417</v>
      </c>
      <c r="AP78" s="96"/>
      <c r="AQ78" s="97">
        <f t="shared" si="7"/>
        <v>995</v>
      </c>
      <c r="AR78" s="98">
        <f t="shared" si="29"/>
        <v>123.09</v>
      </c>
      <c r="AS78" s="98">
        <f t="shared" si="9"/>
        <v>375.16750000000002</v>
      </c>
      <c r="AT78" s="98">
        <f t="shared" si="10"/>
        <v>624.33499999999992</v>
      </c>
      <c r="AU78" s="98">
        <f t="shared" si="52"/>
        <v>580</v>
      </c>
      <c r="AV78" s="98">
        <f t="array" ref="AV78">_xlfn.IFS(U78=0,AO78,U78&lt;0,AO78/-U78,U78&gt;0,AO78/U78)</f>
        <v>-756.90874452116043</v>
      </c>
      <c r="AW78" s="234">
        <f t="shared" si="38"/>
        <v>-0.76071230605141749</v>
      </c>
      <c r="AX78" s="234">
        <f t="shared" si="39"/>
        <v>-6.1492301935263658</v>
      </c>
      <c r="AY78" s="99"/>
      <c r="AZ78" s="94">
        <f t="shared" si="13"/>
        <v>-16651.99237946553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0"/>
        <v>47</v>
      </c>
      <c r="F79" s="93">
        <f>'Юнит 13'!F79</f>
        <v>10</v>
      </c>
      <c r="G79" s="93">
        <f>'Юнит 13'!G79</f>
        <v>3</v>
      </c>
      <c r="H79" s="93">
        <f>'Юнит 13'!H79</f>
        <v>33</v>
      </c>
      <c r="I79" s="93">
        <f>'Юнит 13'!I79</f>
        <v>0</v>
      </c>
      <c r="J79" s="93">
        <f>'Юнит 13'!J79</f>
        <v>1</v>
      </c>
      <c r="K79" s="93">
        <v>164.04</v>
      </c>
      <c r="L79" s="92">
        <f t="shared" si="36"/>
        <v>7709.8799999999992</v>
      </c>
      <c r="M79" s="89">
        <f>'Юнит 13'!M79</f>
        <v>101</v>
      </c>
      <c r="N79" s="89">
        <f>'Юнит 10'!N79+'Юнит 11'!N79+'Юнит 12'!N79+'Юнит 13'!N79</f>
        <v>25</v>
      </c>
      <c r="O79" s="89">
        <v>1493</v>
      </c>
      <c r="P79" s="399">
        <v>0.16</v>
      </c>
      <c r="Q79" s="406">
        <f t="shared" si="50"/>
        <v>0.12</v>
      </c>
      <c r="R79" s="92">
        <f t="shared" si="47"/>
        <v>0.42857142857142855</v>
      </c>
      <c r="S79" s="89">
        <f>'Юнит 10'!S79+'Юнит 11'!S79+'Юнит 12'!S79+'Юнит 13'!S79</f>
        <v>3</v>
      </c>
      <c r="T79" s="89">
        <f>'Юнит 10'!T79+'Юнит 11'!T79+'Юнит 12'!T79+'Юнит 13'!T79</f>
        <v>0</v>
      </c>
      <c r="U79" s="92">
        <f t="shared" si="41"/>
        <v>3</v>
      </c>
      <c r="V79" s="89">
        <f>'Юнит 10'!V79+'Юнит 11'!V79+'Юнит 12'!V79+'Юнит 13'!V79</f>
        <v>2966</v>
      </c>
      <c r="W79" s="89">
        <f>'Юнит 10'!W79+'Юнит 11'!W79+'Юнит 12'!W79+'Юнит 13'!W79</f>
        <v>0</v>
      </c>
      <c r="X79" s="92">
        <f t="shared" si="42"/>
        <v>2966</v>
      </c>
      <c r="Y79" s="89">
        <f>'Юнит 10'!Y79+'Юнит 11'!Y79+'Юнит 12'!Y79+'Юнит 13'!Y79</f>
        <v>4500</v>
      </c>
      <c r="Z79" s="89">
        <f>'Юнит 10'!Z79+'Юнит 11'!Z79+'Юнит 12'!Z79+'Юнит 13'!Z79</f>
        <v>0</v>
      </c>
      <c r="AA79" s="232">
        <f t="shared" si="48"/>
        <v>4500</v>
      </c>
      <c r="AB79" s="92">
        <f t="shared" si="49"/>
        <v>59.72</v>
      </c>
      <c r="AC79" s="234">
        <f t="shared" si="43"/>
        <v>2.4716492113636355E-4</v>
      </c>
      <c r="AD79" s="92">
        <f t="shared" si="44"/>
        <v>492.12</v>
      </c>
      <c r="AE79" s="89">
        <f>'Юнит 10'!AE79+'Юнит 11'!AE79+'Юнит 12'!AE79+'Юнит 13'!AE79</f>
        <v>1713.82</v>
      </c>
      <c r="AF79" s="234">
        <f t="shared" si="45"/>
        <v>0.38084888888888885</v>
      </c>
      <c r="AG79" s="89">
        <f>'Юнит 10'!AG79+'Юнит 11'!AG79+'Юнит 12'!AG79+'Юнит 13'!AG79</f>
        <v>1499.23</v>
      </c>
      <c r="AH79" s="89">
        <f>'Юнит 10'!AH79+'Юнит 11'!AH79+'Юнит 12'!AH79+'Юнит 13'!AH79</f>
        <v>0</v>
      </c>
      <c r="AI79" s="89">
        <f>'Юнит 10'!AI79+'Юнит 11'!AI79+'Юнит 12'!AI79+'Юнит 13'!AI79</f>
        <v>2360</v>
      </c>
      <c r="AJ79" s="89">
        <f>'Юнит 10'!AJ79+'Юнит 11'!AJ79+'Юнит 12'!AJ79+'Юнит 13'!AJ79</f>
        <v>0</v>
      </c>
      <c r="AK79" s="89">
        <f>'Юнит 10'!AK79+'Юнит 11'!AK79+'Юнит 12'!AK79+'Юнит 13'!AK79</f>
        <v>0</v>
      </c>
      <c r="AL79" s="89">
        <f>'Юнит 10'!AL79+'Юнит 11'!AL79+'Юнит 12'!AL79+'Юнит 13'!AL79</f>
        <v>171.02760871431573</v>
      </c>
      <c r="AM79" s="89">
        <f>'Юнит 10'!AM79+'Юнит 11'!AM79+'Юнит 12'!AM79+'Юнит 13'!AM79</f>
        <v>0</v>
      </c>
      <c r="AN79" s="325">
        <f t="shared" si="46"/>
        <v>165.53984838898577</v>
      </c>
      <c r="AO79" s="95">
        <f t="shared" si="51"/>
        <v>-1901.737457103301</v>
      </c>
      <c r="AP79" s="96"/>
      <c r="AQ79" s="97">
        <f t="shared" si="7"/>
        <v>1500</v>
      </c>
      <c r="AR79" s="98">
        <f t="shared" si="29"/>
        <v>164.04</v>
      </c>
      <c r="AS79" s="98">
        <f t="shared" si="9"/>
        <v>571.27333333333331</v>
      </c>
      <c r="AT79" s="98">
        <f t="shared" si="10"/>
        <v>499.74333333333334</v>
      </c>
      <c r="AU79" s="98">
        <f t="shared" si="52"/>
        <v>786.66666666666663</v>
      </c>
      <c r="AV79" s="98">
        <f t="array" ref="AV79">_xlfn.IFS(U79=0,AO79,U79&lt;0,AO79/-U79,U79&gt;0,AO79/U79)</f>
        <v>-633.91248570110031</v>
      </c>
      <c r="AW79" s="234">
        <f t="shared" si="38"/>
        <v>-0.42260832380073354</v>
      </c>
      <c r="AX79" s="234">
        <f t="shared" si="39"/>
        <v>-3.8643775036643522</v>
      </c>
      <c r="AY79" s="99"/>
      <c r="AZ79" s="94">
        <f t="shared" si="13"/>
        <v>-29793.886827951716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0"/>
        <v>32</v>
      </c>
      <c r="F80" s="93">
        <f>'Юнит 13'!F80</f>
        <v>5</v>
      </c>
      <c r="G80" s="93">
        <f>'Юнит 13'!G80</f>
        <v>3</v>
      </c>
      <c r="H80" s="93">
        <f>'Юнит 13'!H80</f>
        <v>23</v>
      </c>
      <c r="I80" s="93">
        <f>'Юнит 13'!I80</f>
        <v>0</v>
      </c>
      <c r="J80" s="93">
        <f>'Юнит 13'!J80</f>
        <v>1</v>
      </c>
      <c r="K80" s="93">
        <v>164.04</v>
      </c>
      <c r="L80" s="92">
        <f t="shared" si="36"/>
        <v>5249.28</v>
      </c>
      <c r="M80" s="89">
        <f>'Юнит 13'!M80</f>
        <v>43</v>
      </c>
      <c r="N80" s="89">
        <f>'Юнит 10'!N80+'Юнит 11'!N80+'Юнит 12'!N80+'Юнит 13'!N80</f>
        <v>57</v>
      </c>
      <c r="O80" s="89">
        <v>987</v>
      </c>
      <c r="P80" s="399">
        <v>0.21</v>
      </c>
      <c r="Q80" s="406">
        <f t="shared" si="50"/>
        <v>0.19298245614035087</v>
      </c>
      <c r="R80" s="92">
        <f t="shared" si="47"/>
        <v>1.5714285714285714</v>
      </c>
      <c r="S80" s="89">
        <f>'Юнит 10'!S80+'Юнит 11'!S80+'Юнит 12'!S80+'Юнит 13'!S80</f>
        <v>15</v>
      </c>
      <c r="T80" s="89">
        <f>'Юнит 10'!T80+'Юнит 11'!T80+'Юнит 12'!T80+'Юнит 13'!T80</f>
        <v>-4</v>
      </c>
      <c r="U80" s="92">
        <f t="shared" si="41"/>
        <v>11</v>
      </c>
      <c r="V80" s="89">
        <f>'Юнит 10'!V80+'Юнит 11'!V80+'Юнит 12'!V80+'Юнит 13'!V80</f>
        <v>9971.9500000000007</v>
      </c>
      <c r="W80" s="89">
        <f>'Юнит 10'!W80+'Юнит 11'!W80+'Юнит 12'!W80+'Юнит 13'!W80</f>
        <v>-2622</v>
      </c>
      <c r="X80" s="92">
        <f t="shared" si="42"/>
        <v>7349.9500000000007</v>
      </c>
      <c r="Y80" s="89">
        <f>'Юнит 10'!Y80+'Юнит 11'!Y80+'Юнит 12'!Y80+'Юнит 13'!Y80</f>
        <v>14747.73</v>
      </c>
      <c r="Z80" s="89">
        <f>'Юнит 10'!Z80+'Юнит 11'!Z80+'Юнит 12'!Z80+'Юнит 13'!Z80</f>
        <v>-4012</v>
      </c>
      <c r="AA80" s="232">
        <f t="shared" si="48"/>
        <v>10735.73</v>
      </c>
      <c r="AB80" s="92">
        <f t="shared" si="49"/>
        <v>118.14389999999999</v>
      </c>
      <c r="AC80" s="234">
        <f t="shared" si="43"/>
        <v>5.8966574639806495E-4</v>
      </c>
      <c r="AD80" s="92">
        <f t="shared" si="44"/>
        <v>1804.4399999999998</v>
      </c>
      <c r="AE80" s="89">
        <f>'Юнит 10'!AE80+'Юнит 11'!AE80+'Юнит 12'!AE80+'Юнит 13'!AE80</f>
        <v>4052.4899999999989</v>
      </c>
      <c r="AF80" s="234">
        <f t="shared" si="45"/>
        <v>0.37747689258206002</v>
      </c>
      <c r="AG80" s="89">
        <f>'Юнит 10'!AG80+'Юнит 11'!AG80+'Юнит 12'!AG80+'Юнит 13'!AG80</f>
        <v>5242.5199999999986</v>
      </c>
      <c r="AH80" s="89">
        <f>'Юнит 10'!AH80+'Юнит 11'!AH80+'Юнит 12'!AH80+'Юнит 13'!AH80</f>
        <v>0</v>
      </c>
      <c r="AI80" s="89">
        <f>'Юнит 10'!AI80+'Юнит 11'!AI80+'Юнит 12'!AI80+'Юнит 13'!AI80</f>
        <v>0</v>
      </c>
      <c r="AJ80" s="89">
        <f>'Юнит 10'!AJ80+'Юнит 11'!AJ80+'Юнит 12'!AJ80+'Юнит 13'!AJ80</f>
        <v>0</v>
      </c>
      <c r="AK80" s="89">
        <f>'Юнит 10'!AK80+'Юнит 11'!AK80+'Юнит 12'!AK80+'Юнит 13'!AK80</f>
        <v>0</v>
      </c>
      <c r="AL80" s="89">
        <f>'Юнит 10'!AL80+'Юнит 11'!AL80+'Юнит 12'!AL80+'Юнит 13'!AL80</f>
        <v>99.26901419559735</v>
      </c>
      <c r="AM80" s="89">
        <f>'Юнит 10'!AM80+'Юнит 11'!AM80+'Юнит 12'!AM80+'Юнит 13'!AM80</f>
        <v>0</v>
      </c>
      <c r="AN80" s="325">
        <f t="shared" si="46"/>
        <v>410.21901843109441</v>
      </c>
      <c r="AO80" s="95">
        <f t="shared" si="51"/>
        <v>-873.20803262669028</v>
      </c>
      <c r="AP80" s="96"/>
      <c r="AQ80" s="97">
        <f t="shared" si="7"/>
        <v>975.97545454545445</v>
      </c>
      <c r="AR80" s="98">
        <f t="shared" si="29"/>
        <v>164.04</v>
      </c>
      <c r="AS80" s="98">
        <f t="shared" si="9"/>
        <v>368.40818181818173</v>
      </c>
      <c r="AT80" s="98">
        <f t="shared" si="10"/>
        <v>349.50133333333326</v>
      </c>
      <c r="AU80" s="98">
        <f t="shared" si="52"/>
        <v>0</v>
      </c>
      <c r="AV80" s="98">
        <f t="array" ref="AV80">_xlfn.IFS(U80=0,AO80,U80&lt;0,AO80/-U80,U80&gt;0,AO80/U80)</f>
        <v>-79.382548420608202</v>
      </c>
      <c r="AW80" s="234">
        <f t="shared" si="38"/>
        <v>-8.1336623837101926E-2</v>
      </c>
      <c r="AX80" s="234">
        <f t="shared" si="39"/>
        <v>-0.48392189966232751</v>
      </c>
      <c r="AY80" s="99"/>
      <c r="AZ80" s="94">
        <f t="shared" si="13"/>
        <v>-2540.2415494594625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0"/>
        <v>16</v>
      </c>
      <c r="F81" s="93">
        <f>'Юнит 13'!F81</f>
        <v>6</v>
      </c>
      <c r="G81" s="93">
        <f>'Юнит 13'!G81</f>
        <v>5</v>
      </c>
      <c r="H81" s="93">
        <f>'Юнит 13'!H81</f>
        <v>4</v>
      </c>
      <c r="I81" s="93">
        <f>'Юнит 13'!I81</f>
        <v>0</v>
      </c>
      <c r="J81" s="93">
        <f>'Юнит 13'!J81</f>
        <v>1</v>
      </c>
      <c r="K81" s="93">
        <v>128.94</v>
      </c>
      <c r="L81" s="92">
        <f t="shared" si="36"/>
        <v>2063.04</v>
      </c>
      <c r="M81" s="89">
        <f>'Юнит 13'!M81</f>
        <v>26</v>
      </c>
      <c r="N81" s="89">
        <f>'Юнит 10'!N81+'Юнит 11'!N81+'Юнит 12'!N81+'Юнит 13'!N81</f>
        <v>46</v>
      </c>
      <c r="O81" s="89">
        <v>1167</v>
      </c>
      <c r="P81" s="399">
        <v>0.33</v>
      </c>
      <c r="Q81" s="406">
        <f t="shared" si="50"/>
        <v>0.39130434782608697</v>
      </c>
      <c r="R81" s="92">
        <f t="shared" si="47"/>
        <v>2.5714285714285716</v>
      </c>
      <c r="S81" s="89">
        <f>'Юнит 10'!S81+'Юнит 11'!S81+'Юнит 12'!S81+'Юнит 13'!S81</f>
        <v>19</v>
      </c>
      <c r="T81" s="89">
        <f>'Юнит 10'!T81+'Юнит 11'!T81+'Юнит 12'!T81+'Юнит 13'!T81</f>
        <v>-1</v>
      </c>
      <c r="U81" s="92">
        <f t="shared" si="41"/>
        <v>18</v>
      </c>
      <c r="V81" s="89">
        <f>'Юнит 10'!V81+'Юнит 11'!V81+'Юнит 12'!V81+'Юнит 13'!V81</f>
        <v>14288.81</v>
      </c>
      <c r="W81" s="89">
        <f>'Юнит 10'!W81+'Юнит 11'!W81+'Юнит 12'!W81+'Юнит 13'!W81</f>
        <v>-770</v>
      </c>
      <c r="X81" s="92">
        <f t="shared" si="42"/>
        <v>13518.81</v>
      </c>
      <c r="Y81" s="89">
        <f>'Юнит 10'!Y81+'Юнит 11'!Y81+'Юнит 12'!Y81+'Юнит 13'!Y81</f>
        <v>22089.32</v>
      </c>
      <c r="Z81" s="89">
        <f>'Юнит 10'!Z81+'Юнит 11'!Z81+'Юнит 12'!Z81+'Юнит 13'!Z81</f>
        <v>-1167</v>
      </c>
      <c r="AA81" s="232">
        <f t="shared" si="48"/>
        <v>20922.32</v>
      </c>
      <c r="AB81" s="92">
        <f t="shared" si="49"/>
        <v>177.15060000000003</v>
      </c>
      <c r="AC81" s="234">
        <f t="shared" si="43"/>
        <v>1.1491696828421693E-3</v>
      </c>
      <c r="AD81" s="92">
        <f t="shared" si="44"/>
        <v>2320.92</v>
      </c>
      <c r="AE81" s="89">
        <f>'Юнит 10'!AE81+'Юнит 11'!AE81+'Юнит 12'!AE81+'Юнит 13'!AE81</f>
        <v>7936.0399999999991</v>
      </c>
      <c r="AF81" s="234">
        <f t="shared" si="45"/>
        <v>0.37930975149983365</v>
      </c>
      <c r="AG81" s="89">
        <f>'Юнит 10'!AG81+'Юнит 11'!AG81+'Юнит 12'!AG81+'Юнит 13'!AG81</f>
        <v>4302.2599999999993</v>
      </c>
      <c r="AH81" s="89">
        <f>'Юнит 10'!AH81+'Юнит 11'!AH81+'Юнит 12'!AH81+'Юнит 13'!AH81</f>
        <v>983</v>
      </c>
      <c r="AI81" s="89">
        <f>'Юнит 10'!AI81+'Юнит 11'!AI81+'Юнит 12'!AI81+'Юнит 13'!AI81</f>
        <v>4515</v>
      </c>
      <c r="AJ81" s="89">
        <f>'Юнит 10'!AJ81+'Юнит 11'!AJ81+'Юнит 12'!AJ81+'Юнит 13'!AJ81</f>
        <v>0</v>
      </c>
      <c r="AK81" s="89">
        <f>'Юнит 10'!AK81+'Юнит 11'!AK81+'Юнит 12'!AK81+'Юнит 13'!AK81</f>
        <v>0</v>
      </c>
      <c r="AL81" s="89">
        <f>'Юнит 10'!AL81+'Юнит 11'!AL81+'Юнит 12'!AL81+'Юнит 13'!AL81</f>
        <v>51.171772149118929</v>
      </c>
      <c r="AM81" s="89">
        <f>'Юнит 10'!AM81+'Юнит 11'!AM81+'Юнит 12'!AM81+'Юнит 13'!AM81</f>
        <v>0</v>
      </c>
      <c r="AN81" s="325">
        <f t="shared" si="46"/>
        <v>754.51846183395298</v>
      </c>
      <c r="AO81" s="95">
        <f t="shared" si="51"/>
        <v>59.409766016931144</v>
      </c>
      <c r="AP81" s="96"/>
      <c r="AQ81" s="97">
        <f t="shared" si="7"/>
        <v>1162.3511111111111</v>
      </c>
      <c r="AR81" s="98">
        <f t="shared" si="29"/>
        <v>128.94</v>
      </c>
      <c r="AS81" s="98">
        <f t="shared" si="9"/>
        <v>440.89111111111106</v>
      </c>
      <c r="AT81" s="98">
        <f t="shared" si="10"/>
        <v>226.43473684210522</v>
      </c>
      <c r="AU81" s="98">
        <f t="shared" si="52"/>
        <v>289.36842105263156</v>
      </c>
      <c r="AV81" s="98">
        <f t="array" ref="AV81">_xlfn.IFS(U81=0,AO81,U81&lt;0,AO81/-U81,U81&gt;0,AO81/U81)</f>
        <v>3.3005425564961746</v>
      </c>
      <c r="AW81" s="234">
        <f t="shared" si="38"/>
        <v>2.8395400709353047E-3</v>
      </c>
      <c r="AX81" s="234">
        <f t="shared" si="39"/>
        <v>2.5597507030372068E-2</v>
      </c>
      <c r="AY81" s="99"/>
      <c r="AZ81" s="94">
        <f t="shared" si="13"/>
        <v>52.808680903938793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0"/>
        <v>46</v>
      </c>
      <c r="F82" s="93">
        <f>'Юнит 13'!F82</f>
        <v>1</v>
      </c>
      <c r="G82" s="93">
        <f>'Юнит 13'!G82</f>
        <v>3</v>
      </c>
      <c r="H82" s="93">
        <f>'Юнит 13'!H82</f>
        <v>41</v>
      </c>
      <c r="I82" s="93">
        <f>'Юнит 13'!I82</f>
        <v>0</v>
      </c>
      <c r="J82" s="93">
        <f>'Юнит 13'!J82</f>
        <v>1</v>
      </c>
      <c r="K82" s="93">
        <v>128.94</v>
      </c>
      <c r="L82" s="92">
        <f t="shared" si="36"/>
        <v>5931.24</v>
      </c>
      <c r="M82" s="89">
        <f>'Юнит 13'!M82</f>
        <v>197</v>
      </c>
      <c r="N82" s="89">
        <f>'Юнит 10'!N82+'Юнит 11'!N82+'Юнит 12'!N82+'Юнит 13'!N82</f>
        <v>9</v>
      </c>
      <c r="O82" s="89">
        <v>1174</v>
      </c>
      <c r="P82" s="399">
        <v>0.33</v>
      </c>
      <c r="Q82" s="406">
        <f t="shared" si="50"/>
        <v>0.33333333333333331</v>
      </c>
      <c r="R82" s="92">
        <f t="shared" si="47"/>
        <v>0.42857142857142855</v>
      </c>
      <c r="S82" s="89">
        <f>'Юнит 10'!S82+'Юнит 11'!S82+'Юнит 12'!S82+'Юнит 13'!S82</f>
        <v>3</v>
      </c>
      <c r="T82" s="89">
        <f>'Юнит 10'!T82+'Юнит 11'!T82+'Юнит 12'!T82+'Юнит 13'!T82</f>
        <v>0</v>
      </c>
      <c r="U82" s="92">
        <f t="shared" si="41"/>
        <v>3</v>
      </c>
      <c r="V82" s="89">
        <f>'Юнит 10'!V82+'Юнит 11'!V82+'Юнит 12'!V82+'Юнит 13'!V82</f>
        <v>2279</v>
      </c>
      <c r="W82" s="89">
        <f>'Юнит 10'!W82+'Юнит 11'!W82+'Юнит 12'!W82+'Юнит 13'!W82</f>
        <v>0</v>
      </c>
      <c r="X82" s="92">
        <f t="shared" si="42"/>
        <v>2279</v>
      </c>
      <c r="Y82" s="89">
        <f>'Юнит 10'!Y82+'Юнит 11'!Y82+'Юнит 12'!Y82+'Юнит 13'!Y82</f>
        <v>3499</v>
      </c>
      <c r="Z82" s="89">
        <f>'Юнит 10'!Z82+'Юнит 11'!Z82+'Юнит 12'!Z82+'Юнит 13'!Z82</f>
        <v>0</v>
      </c>
      <c r="AA82" s="232">
        <f t="shared" si="48"/>
        <v>3499</v>
      </c>
      <c r="AB82" s="92">
        <f t="shared" si="49"/>
        <v>34.867800000000003</v>
      </c>
      <c r="AC82" s="234">
        <f t="shared" si="43"/>
        <v>1.9218445756803026E-4</v>
      </c>
      <c r="AD82" s="92">
        <f t="shared" si="44"/>
        <v>386.82</v>
      </c>
      <c r="AE82" s="89">
        <f>'Юнит 10'!AE82+'Юнит 11'!AE82+'Юнит 12'!AE82+'Юнит 13'!AE82</f>
        <v>1304.8399999999997</v>
      </c>
      <c r="AF82" s="234">
        <f t="shared" si="45"/>
        <v>0.37291797656473269</v>
      </c>
      <c r="AG82" s="89">
        <f>'Юнит 10'!AG82+'Юнит 11'!AG82+'Юнит 12'!AG82+'Юнит 13'!AG82</f>
        <v>635.33999999999992</v>
      </c>
      <c r="AH82" s="89">
        <f>'Юнит 10'!AH82+'Юнит 11'!AH82+'Юнит 12'!AH82+'Юнит 13'!AH82</f>
        <v>0</v>
      </c>
      <c r="AI82" s="89">
        <f>'Юнит 10'!AI82+'Юнит 11'!AI82+'Юнит 12'!AI82+'Юнит 13'!AI82</f>
        <v>0</v>
      </c>
      <c r="AJ82" s="89">
        <f>'Юнит 10'!AJ82+'Юнит 11'!AJ82+'Юнит 12'!AJ82+'Юнит 13'!AJ82</f>
        <v>0</v>
      </c>
      <c r="AK82" s="89">
        <f>'Юнит 10'!AK82+'Юнит 11'!AK82+'Юнит 12'!AK82+'Юнит 13'!AK82</f>
        <v>0</v>
      </c>
      <c r="AL82" s="89">
        <f>'Юнит 10'!AL82+'Юнит 11'!AL82+'Юнит 12'!AL82+'Юнит 13'!AL82</f>
        <v>177.79610590885005</v>
      </c>
      <c r="AM82" s="89">
        <f>'Юнит 10'!AM82+'Юнит 11'!AM82+'Юнит 12'!AM82+'Юнит 13'!AM82</f>
        <v>0</v>
      </c>
      <c r="AN82" s="325">
        <f t="shared" si="46"/>
        <v>127.19666705276418</v>
      </c>
      <c r="AO82" s="95">
        <f t="shared" si="51"/>
        <v>867.00722703838608</v>
      </c>
      <c r="AP82" s="96"/>
      <c r="AQ82" s="97">
        <f t="shared" si="7"/>
        <v>1166.3333333333333</v>
      </c>
      <c r="AR82" s="98">
        <f t="shared" si="29"/>
        <v>128.94</v>
      </c>
      <c r="AS82" s="98">
        <f t="shared" si="9"/>
        <v>434.94666666666654</v>
      </c>
      <c r="AT82" s="98">
        <f t="shared" si="10"/>
        <v>211.77999999999997</v>
      </c>
      <c r="AU82" s="98">
        <f t="shared" si="52"/>
        <v>0</v>
      </c>
      <c r="AV82" s="98">
        <f t="array" ref="AV82">_xlfn.IFS(U82=0,AO82,U82&lt;0,AO82/-U82,U82&gt;0,AO82/U82)</f>
        <v>289.00240901279534</v>
      </c>
      <c r="AW82" s="234">
        <f t="shared" si="38"/>
        <v>0.2477871469100846</v>
      </c>
      <c r="AX82" s="234">
        <f t="shared" si="39"/>
        <v>2.2413712502931236</v>
      </c>
      <c r="AY82" s="99"/>
      <c r="AZ82" s="94">
        <f t="shared" si="13"/>
        <v>13294.110814588586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0"/>
        <v>45</v>
      </c>
      <c r="F83" s="93">
        <f>'Юнит 13'!F83</f>
        <v>3</v>
      </c>
      <c r="G83" s="93">
        <f>'Юнит 13'!G83</f>
        <v>3</v>
      </c>
      <c r="H83" s="93">
        <f>'Юнит 13'!H83</f>
        <v>38</v>
      </c>
      <c r="I83" s="93">
        <f>'Юнит 13'!I83</f>
        <v>0</v>
      </c>
      <c r="J83" s="93">
        <f>'Юнит 13'!J83</f>
        <v>1</v>
      </c>
      <c r="K83" s="93">
        <v>123.09</v>
      </c>
      <c r="L83" s="92">
        <f t="shared" si="36"/>
        <v>5539.05</v>
      </c>
      <c r="M83" s="89">
        <f>'Юнит 13'!M83</f>
        <v>318</v>
      </c>
      <c r="N83" s="89">
        <f>'Юнит 10'!N83+'Юнит 11'!N83+'Юнит 12'!N83+'Юнит 13'!N83</f>
        <v>18</v>
      </c>
      <c r="O83" s="89">
        <v>1375</v>
      </c>
      <c r="P83" s="399">
        <v>0.18</v>
      </c>
      <c r="Q83" s="406">
        <f t="shared" si="50"/>
        <v>0.16666666666666666</v>
      </c>
      <c r="R83" s="92">
        <f t="shared" si="47"/>
        <v>0.42857142857142855</v>
      </c>
      <c r="S83" s="89">
        <f>'Юнит 10'!S83+'Юнит 11'!S83+'Юнит 12'!S83+'Юнит 13'!S83</f>
        <v>3</v>
      </c>
      <c r="T83" s="89">
        <f>'Юнит 10'!T83+'Юнит 11'!T83+'Юнит 12'!T83+'Юнит 13'!T83</f>
        <v>0</v>
      </c>
      <c r="U83" s="92">
        <f t="shared" si="41"/>
        <v>3</v>
      </c>
      <c r="V83" s="89">
        <f>'Юнит 10'!V83+'Юнит 11'!V83+'Юнит 12'!V83+'Юнит 13'!V83</f>
        <v>2631</v>
      </c>
      <c r="W83" s="89">
        <f>'Юнит 10'!W83+'Юнит 11'!W83+'Юнит 12'!W83+'Юнит 13'!W83</f>
        <v>0</v>
      </c>
      <c r="X83" s="92">
        <f t="shared" si="42"/>
        <v>2631</v>
      </c>
      <c r="Y83" s="89">
        <f>'Юнит 10'!Y83+'Юнит 11'!Y83+'Юнит 12'!Y83+'Юнит 13'!Y83</f>
        <v>4125</v>
      </c>
      <c r="Z83" s="89">
        <f>'Юнит 10'!Z83+'Юнит 11'!Z83+'Юнит 12'!Z83+'Юнит 13'!Z83</f>
        <v>0</v>
      </c>
      <c r="AA83" s="232">
        <f t="shared" si="48"/>
        <v>4125</v>
      </c>
      <c r="AB83" s="92">
        <f t="shared" si="49"/>
        <v>44.55</v>
      </c>
      <c r="AC83" s="234">
        <f t="shared" si="43"/>
        <v>2.2656784437499993E-4</v>
      </c>
      <c r="AD83" s="92">
        <f t="shared" si="44"/>
        <v>369.27</v>
      </c>
      <c r="AE83" s="89">
        <f>'Юнит 10'!AE83+'Юнит 11'!AE83+'Юнит 12'!AE83+'Юнит 13'!AE83</f>
        <v>1559.28</v>
      </c>
      <c r="AF83" s="234">
        <f t="shared" si="45"/>
        <v>0.37800727272727275</v>
      </c>
      <c r="AG83" s="89">
        <f>'Юнит 10'!AG83+'Юнит 11'!AG83+'Юнит 12'!AG83+'Юнит 13'!AG83</f>
        <v>1699.31</v>
      </c>
      <c r="AH83" s="89">
        <f>'Юнит 10'!AH83+'Юнит 11'!AH83+'Юнит 12'!AH83+'Юнит 13'!AH83</f>
        <v>0</v>
      </c>
      <c r="AI83" s="89">
        <f>'Юнит 10'!AI83+'Юнит 11'!AI83+'Юнит 12'!AI83+'Юнит 13'!AI83</f>
        <v>0</v>
      </c>
      <c r="AJ83" s="89">
        <f>'Юнит 10'!AJ83+'Юнит 11'!AJ83+'Юнит 12'!AJ83+'Юнит 13'!AJ83</f>
        <v>0</v>
      </c>
      <c r="AK83" s="89">
        <f>'Юнит 10'!AK83+'Юнит 11'!AK83+'Юнит 12'!AK83+'Юнит 13'!AK83</f>
        <v>0</v>
      </c>
      <c r="AL83" s="89">
        <f>'Юнит 10'!AL83+'Юнит 11'!AL83+'Юнит 12'!AL83+'Юнит 13'!AL83</f>
        <v>168.38063709168955</v>
      </c>
      <c r="AM83" s="89">
        <f>'Юнит 10'!AM83+'Юнит 11'!AM83+'Юнит 12'!AM83+'Юнит 13'!AM83</f>
        <v>0</v>
      </c>
      <c r="AN83" s="325">
        <f t="shared" si="46"/>
        <v>146.8426638946128</v>
      </c>
      <c r="AO83" s="95">
        <f t="shared" si="51"/>
        <v>181.91669901369752</v>
      </c>
      <c r="AP83" s="96"/>
      <c r="AQ83" s="97">
        <f t="shared" si="7"/>
        <v>1375</v>
      </c>
      <c r="AR83" s="98">
        <f t="shared" si="29"/>
        <v>123.09</v>
      </c>
      <c r="AS83" s="98">
        <f t="shared" si="9"/>
        <v>519.76</v>
      </c>
      <c r="AT83" s="98">
        <f t="shared" si="10"/>
        <v>566.43666666666661</v>
      </c>
      <c r="AU83" s="98">
        <f t="shared" si="52"/>
        <v>0</v>
      </c>
      <c r="AV83" s="98">
        <f t="array" ref="AV83">_xlfn.IFS(U83=0,AO83,U83&lt;0,AO83/-U83,U83&gt;0,AO83/U83)</f>
        <v>60.638899671232508</v>
      </c>
      <c r="AW83" s="234">
        <f t="shared" si="38"/>
        <v>4.4101017942714552E-2</v>
      </c>
      <c r="AX83" s="234">
        <f t="shared" si="39"/>
        <v>0.4926387169650866</v>
      </c>
      <c r="AY83" s="99"/>
      <c r="AZ83" s="94">
        <f t="shared" si="13"/>
        <v>2728.7504852054631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0"/>
        <v>48</v>
      </c>
      <c r="F84" s="93">
        <f>'Юнит 13'!F84</f>
        <v>13</v>
      </c>
      <c r="G84" s="93">
        <f>'Юнит 13'!G84</f>
        <v>5</v>
      </c>
      <c r="H84" s="93">
        <f>'Юнит 13'!H84</f>
        <v>29</v>
      </c>
      <c r="I84" s="93">
        <f>'Юнит 13'!I84</f>
        <v>0</v>
      </c>
      <c r="J84" s="93">
        <f>'Юнит 13'!J84</f>
        <v>1</v>
      </c>
      <c r="K84" s="93">
        <v>146.49</v>
      </c>
      <c r="L84" s="92">
        <f t="shared" si="36"/>
        <v>7031.52</v>
      </c>
      <c r="M84" s="89">
        <f>'Юнит 13'!M84</f>
        <v>63</v>
      </c>
      <c r="N84" s="89">
        <f>'Юнит 10'!N84+'Юнит 11'!N84+'Юнит 12'!N84+'Юнит 13'!N84</f>
        <v>29</v>
      </c>
      <c r="O84" s="89">
        <v>1438</v>
      </c>
      <c r="P84" s="399">
        <v>0.09</v>
      </c>
      <c r="Q84" s="406">
        <f t="shared" si="50"/>
        <v>3.4482758620689655E-2</v>
      </c>
      <c r="R84" s="92">
        <f t="shared" si="47"/>
        <v>0.14285714285714285</v>
      </c>
      <c r="S84" s="89">
        <f>'Юнит 10'!S84+'Юнит 11'!S84+'Юнит 12'!S84+'Юнит 13'!S84</f>
        <v>1</v>
      </c>
      <c r="T84" s="89">
        <f>'Юнит 10'!T84+'Юнит 11'!T84+'Юнит 12'!T84+'Юнит 13'!T84</f>
        <v>0</v>
      </c>
      <c r="U84" s="92">
        <f t="shared" si="41"/>
        <v>1</v>
      </c>
      <c r="V84" s="89">
        <f>'Юнит 10'!V84+'Юнит 11'!V84+'Юнит 12'!V84+'Юнит 13'!V84</f>
        <v>957</v>
      </c>
      <c r="W84" s="89">
        <f>'Юнит 10'!W84+'Юнит 11'!W84+'Юнит 12'!W84+'Юнит 13'!W84</f>
        <v>0</v>
      </c>
      <c r="X84" s="92">
        <f t="shared" si="42"/>
        <v>957</v>
      </c>
      <c r="Y84" s="89">
        <f>'Юнит 10'!Y84+'Юнит 11'!Y84+'Юнит 12'!Y84+'Юнит 13'!Y84</f>
        <v>1438</v>
      </c>
      <c r="Z84" s="89">
        <f>'Юнит 10'!Z84+'Юнит 11'!Z84+'Юнит 12'!Z84+'Юнит 13'!Z84</f>
        <v>0</v>
      </c>
      <c r="AA84" s="232">
        <f t="shared" si="48"/>
        <v>1438</v>
      </c>
      <c r="AB84" s="92">
        <f t="shared" si="49"/>
        <v>37.531799999999997</v>
      </c>
      <c r="AC84" s="234">
        <f t="shared" si="43"/>
        <v>7.8982923687575737E-5</v>
      </c>
      <c r="AD84" s="92">
        <f t="shared" si="44"/>
        <v>146.49</v>
      </c>
      <c r="AE84" s="89">
        <f>'Юнит 10'!AE84+'Юнит 11'!AE84+'Юнит 12'!AE84+'Юнит 13'!AE84</f>
        <v>545.17999999999995</v>
      </c>
      <c r="AF84" s="234">
        <f t="shared" si="45"/>
        <v>0.37912378303198885</v>
      </c>
      <c r="AG84" s="89">
        <f>'Юнит 10'!AG84+'Юнит 11'!AG84+'Юнит 12'!AG84+'Юнит 13'!AG84</f>
        <v>1502.89</v>
      </c>
      <c r="AH84" s="89">
        <f>'Юнит 10'!AH84+'Юнит 11'!AH84+'Юнит 12'!AH84+'Юнит 13'!AH84</f>
        <v>1000</v>
      </c>
      <c r="AI84" s="89">
        <f>'Юнит 10'!AI84+'Юнит 11'!AI84+'Юнит 12'!AI84+'Юнит 13'!AI84</f>
        <v>3500</v>
      </c>
      <c r="AJ84" s="89">
        <f>'Юнит 10'!AJ84+'Юнит 11'!AJ84+'Юнит 12'!AJ84+'Юнит 13'!AJ84</f>
        <v>0</v>
      </c>
      <c r="AK84" s="89">
        <f>'Юнит 10'!AK84+'Юнит 11'!AK84+'Юнит 12'!AK84+'Юнит 13'!AK84</f>
        <v>0</v>
      </c>
      <c r="AL84" s="89">
        <f>'Юнит 10'!AL84+'Юнит 11'!AL84+'Юнит 12'!AL84+'Юнит 13'!AL84</f>
        <v>169.42080657705861</v>
      </c>
      <c r="AM84" s="89">
        <f>'Юнит 10'!AM84+'Юнит 11'!AM84+'Юнит 12'!AM84+'Юнит 13'!AM84</f>
        <v>0</v>
      </c>
      <c r="AN84" s="325">
        <f t="shared" si="46"/>
        <v>53.412553913775923</v>
      </c>
      <c r="AO84" s="95">
        <f t="shared" si="51"/>
        <v>-5479.3933604908343</v>
      </c>
      <c r="AP84" s="96"/>
      <c r="AQ84" s="97">
        <f t="shared" si="7"/>
        <v>1438</v>
      </c>
      <c r="AR84" s="98">
        <f t="shared" si="29"/>
        <v>146.49</v>
      </c>
      <c r="AS84" s="98">
        <f t="shared" si="9"/>
        <v>545.17999999999995</v>
      </c>
      <c r="AT84" s="98">
        <f t="shared" si="10"/>
        <v>1502.89</v>
      </c>
      <c r="AU84" s="98">
        <f t="shared" si="52"/>
        <v>4500</v>
      </c>
      <c r="AV84" s="98">
        <f t="array" ref="AV84">_xlfn.IFS(U84=0,AO84,U84&lt;0,AO84/-U84,U84&gt;0,AO84/U84)</f>
        <v>-5479.3933604908343</v>
      </c>
      <c r="AW84" s="234">
        <f t="shared" si="38"/>
        <v>-3.8104265371980768</v>
      </c>
      <c r="AX84" s="234">
        <f t="shared" si="39"/>
        <v>-37.404555672679592</v>
      </c>
      <c r="AY84" s="99"/>
      <c r="AZ84" s="94">
        <f t="shared" si="13"/>
        <v>-263010.88130356005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0"/>
        <v>36</v>
      </c>
      <c r="F85" s="93">
        <f>'Юнит 13'!F85</f>
        <v>5</v>
      </c>
      <c r="G85" s="93">
        <f>'Юнит 13'!G85</f>
        <v>6</v>
      </c>
      <c r="H85" s="93">
        <f>'Юнит 13'!H85</f>
        <v>24</v>
      </c>
      <c r="I85" s="93">
        <f>'Юнит 13'!I85</f>
        <v>0</v>
      </c>
      <c r="J85" s="93">
        <f>'Юнит 13'!J85</f>
        <v>1</v>
      </c>
      <c r="K85" s="93">
        <v>103.2</v>
      </c>
      <c r="L85" s="92">
        <f t="shared" si="36"/>
        <v>3715.2000000000003</v>
      </c>
      <c r="M85" s="89">
        <f>'Юнит 13'!M85</f>
        <v>73</v>
      </c>
      <c r="N85" s="89">
        <f>'Юнит 10'!N85+'Юнит 11'!N85+'Юнит 12'!N85+'Юнит 13'!N85</f>
        <v>33</v>
      </c>
      <c r="O85" s="89">
        <v>1008</v>
      </c>
      <c r="P85" s="399">
        <v>0.28999999999999998</v>
      </c>
      <c r="Q85" s="406">
        <f t="shared" si="50"/>
        <v>0.24242424242424243</v>
      </c>
      <c r="R85" s="92">
        <f t="shared" si="47"/>
        <v>1.1428571428571428</v>
      </c>
      <c r="S85" s="89">
        <f>'Юнит 10'!S85+'Юнит 11'!S85+'Юнит 12'!S85+'Юнит 13'!S85</f>
        <v>9</v>
      </c>
      <c r="T85" s="89">
        <f>'Юнит 10'!T85+'Юнит 11'!T85+'Юнит 12'!T85+'Юнит 13'!T85</f>
        <v>-1</v>
      </c>
      <c r="U85" s="92">
        <f t="shared" si="41"/>
        <v>8</v>
      </c>
      <c r="V85" s="89">
        <f>'Юнит 10'!V85+'Юнит 11'!V85+'Юнит 12'!V85+'Юнит 13'!V85</f>
        <v>5718</v>
      </c>
      <c r="W85" s="89">
        <f>'Юнит 10'!W85+'Юнит 11'!W85+'Юнит 12'!W85+'Юнит 13'!W85</f>
        <v>-661</v>
      </c>
      <c r="X85" s="92">
        <f t="shared" si="42"/>
        <v>5057</v>
      </c>
      <c r="Y85" s="89">
        <f>'Юнит 10'!Y85+'Юнит 11'!Y85+'Юнит 12'!Y85+'Юнит 13'!Y85</f>
        <v>9011.52</v>
      </c>
      <c r="Z85" s="89">
        <f>'Юнит 10'!Z85+'Юнит 11'!Z85+'Юнит 12'!Z85+'Юнит 13'!Z85</f>
        <v>-1008</v>
      </c>
      <c r="AA85" s="232">
        <f t="shared" si="48"/>
        <v>8003.52</v>
      </c>
      <c r="AB85" s="92">
        <f t="shared" si="49"/>
        <v>96.465599999999995</v>
      </c>
      <c r="AC85" s="234">
        <f t="shared" si="43"/>
        <v>4.3959764213629082E-4</v>
      </c>
      <c r="AD85" s="92">
        <f t="shared" si="44"/>
        <v>825.6</v>
      </c>
      <c r="AE85" s="89">
        <f>'Юнит 10'!AE85+'Юнит 11'!AE85+'Юнит 12'!AE85+'Юнит 13'!AE85</f>
        <v>3034.8</v>
      </c>
      <c r="AF85" s="234">
        <f t="shared" si="45"/>
        <v>0.37918315940985964</v>
      </c>
      <c r="AG85" s="89">
        <f>'Юнит 10'!AG85+'Юнит 11'!AG85+'Юнит 12'!AG85+'Юнит 13'!AG85</f>
        <v>2609.96</v>
      </c>
      <c r="AH85" s="89">
        <f>'Юнит 10'!AH85+'Юнит 11'!AH85+'Юнит 12'!AH85+'Юнит 13'!AH85</f>
        <v>520</v>
      </c>
      <c r="AI85" s="89">
        <f>'Юнит 10'!AI85+'Юнит 11'!AI85+'Юнит 12'!AI85+'Юнит 13'!AI85</f>
        <v>3304</v>
      </c>
      <c r="AJ85" s="89">
        <f>'Юнит 10'!AJ85+'Юнит 11'!AJ85+'Юнит 12'!AJ85+'Юнит 13'!AJ85</f>
        <v>0</v>
      </c>
      <c r="AK85" s="89">
        <f>'Юнит 10'!AK85+'Юнит 11'!AK85+'Юнит 12'!AK85+'Юнит 13'!AK85</f>
        <v>0</v>
      </c>
      <c r="AL85" s="89">
        <f>'Юнит 10'!AL85+'Юнит 11'!AL85+'Юнит 12'!AL85+'Юнит 13'!AL85</f>
        <v>118.30780425206055</v>
      </c>
      <c r="AM85" s="89">
        <f>'Юнит 10'!AM85+'Юнит 11'!AM85+'Юнит 12'!AM85+'Юнит 13'!AM85</f>
        <v>0</v>
      </c>
      <c r="AN85" s="325">
        <f t="shared" si="46"/>
        <v>282.24376712848988</v>
      </c>
      <c r="AO85" s="95">
        <f t="shared" si="51"/>
        <v>-2691.3915713805504</v>
      </c>
      <c r="AP85" s="96"/>
      <c r="AQ85" s="97">
        <f t="shared" si="7"/>
        <v>1000.44</v>
      </c>
      <c r="AR85" s="98">
        <f t="shared" si="29"/>
        <v>103.2</v>
      </c>
      <c r="AS85" s="98">
        <f t="shared" si="9"/>
        <v>379.35</v>
      </c>
      <c r="AT85" s="98">
        <f t="shared" si="10"/>
        <v>289.99555555555554</v>
      </c>
      <c r="AU85" s="98">
        <f t="shared" si="52"/>
        <v>424.88888888888891</v>
      </c>
      <c r="AV85" s="98">
        <f t="array" ref="AV85">_xlfn.IFS(U85=0,AO85,U85&lt;0,AO85/-U85,U85&gt;0,AO85/U85)</f>
        <v>-336.4239464225688</v>
      </c>
      <c r="AW85" s="234">
        <f t="shared" si="38"/>
        <v>-0.33627598498917355</v>
      </c>
      <c r="AX85" s="234">
        <f t="shared" si="39"/>
        <v>-3.2599219614589998</v>
      </c>
      <c r="AY85" s="99"/>
      <c r="AZ85" s="94">
        <f t="shared" si="13"/>
        <v>-12111.262071212477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0"/>
        <v>44</v>
      </c>
      <c r="F86" s="93">
        <f>'Юнит 13'!F86</f>
        <v>8</v>
      </c>
      <c r="G86" s="93">
        <f>'Юнит 13'!G86</f>
        <v>1</v>
      </c>
      <c r="H86" s="93">
        <f>'Юнит 13'!H86</f>
        <v>34</v>
      </c>
      <c r="I86" s="93">
        <f>'Юнит 13'!I86</f>
        <v>0</v>
      </c>
      <c r="J86" s="93">
        <f>'Юнит 13'!J86</f>
        <v>1</v>
      </c>
      <c r="K86" s="93">
        <v>150</v>
      </c>
      <c r="L86" s="92">
        <f t="shared" si="36"/>
        <v>6600</v>
      </c>
      <c r="M86" s="89">
        <f>'Юнит 13'!M86</f>
        <v>93</v>
      </c>
      <c r="N86" s="89">
        <f>'Юнит 10'!N86+'Юнит 11'!N86+'Юнит 12'!N86+'Юнит 13'!N86</f>
        <v>20</v>
      </c>
      <c r="O86" s="89">
        <v>1387</v>
      </c>
      <c r="P86" s="399">
        <v>0.21</v>
      </c>
      <c r="Q86" s="406">
        <f t="shared" si="50"/>
        <v>0.15</v>
      </c>
      <c r="R86" s="92">
        <f t="shared" si="47"/>
        <v>0.42857142857142855</v>
      </c>
      <c r="S86" s="89">
        <f>'Юнит 10'!S86+'Юнит 11'!S86+'Юнит 12'!S86+'Юнит 13'!S86</f>
        <v>3</v>
      </c>
      <c r="T86" s="89">
        <f>'Юнит 10'!T86+'Юнит 11'!T86+'Юнит 12'!T86+'Юнит 13'!T86</f>
        <v>0</v>
      </c>
      <c r="U86" s="92">
        <f t="shared" si="41"/>
        <v>3</v>
      </c>
      <c r="V86" s="89">
        <f>'Юнит 10'!V86+'Юнит 11'!V86+'Юнит 12'!V86+'Юнит 13'!V86</f>
        <v>2641</v>
      </c>
      <c r="W86" s="89">
        <f>'Юнит 10'!W86+'Юнит 11'!W86+'Юнит 12'!W86+'Юнит 13'!W86</f>
        <v>0</v>
      </c>
      <c r="X86" s="92">
        <f t="shared" si="42"/>
        <v>2641</v>
      </c>
      <c r="Y86" s="89">
        <f>'Юнит 10'!Y86+'Юнит 11'!Y86+'Юнит 12'!Y86+'Юнит 13'!Y86</f>
        <v>4176</v>
      </c>
      <c r="Z86" s="89">
        <f>'Юнит 10'!Z86+'Юнит 11'!Z86+'Юнит 12'!Z86+'Юнит 13'!Z86</f>
        <v>0</v>
      </c>
      <c r="AA86" s="232">
        <f t="shared" si="48"/>
        <v>4176</v>
      </c>
      <c r="AB86" s="92">
        <f t="shared" si="49"/>
        <v>58.253999999999998</v>
      </c>
      <c r="AC86" s="234">
        <f t="shared" si="43"/>
        <v>2.293690468145454E-4</v>
      </c>
      <c r="AD86" s="92">
        <f t="shared" si="44"/>
        <v>450</v>
      </c>
      <c r="AE86" s="89">
        <f>'Юнит 10'!AE86+'Юнит 11'!AE86+'Юнит 12'!AE86+'Юнит 13'!AE86</f>
        <v>1585.5699999999997</v>
      </c>
      <c r="AF86" s="234">
        <f t="shared" si="45"/>
        <v>0.37968630268199227</v>
      </c>
      <c r="AG86" s="89">
        <f>'Юнит 10'!AG86+'Юнит 11'!AG86+'Юнит 12'!AG86+'Юнит 13'!AG86</f>
        <v>1100.23</v>
      </c>
      <c r="AH86" s="89">
        <f>'Юнит 10'!AH86+'Юнит 11'!AH86+'Юнит 12'!AH86+'Юнит 13'!AH86</f>
        <v>0</v>
      </c>
      <c r="AI86" s="89">
        <f>'Юнит 10'!AI86+'Юнит 11'!AI86+'Юнит 12'!AI86+'Юнит 13'!AI86</f>
        <v>2685</v>
      </c>
      <c r="AJ86" s="89">
        <f>'Юнит 10'!AJ86+'Юнит 11'!AJ86+'Юнит 12'!AJ86+'Юнит 13'!AJ86</f>
        <v>0</v>
      </c>
      <c r="AK86" s="89">
        <f>'Юнит 10'!AK86+'Юнит 11'!AK86+'Юнит 12'!AK86+'Юнит 13'!AK86</f>
        <v>0</v>
      </c>
      <c r="AL86" s="89">
        <f>'Юнит 10'!AL86+'Юнит 11'!AL86+'Юнит 12'!AL86+'Юнит 13'!AL86</f>
        <v>151.23091779340425</v>
      </c>
      <c r="AM86" s="89">
        <f>'Юнит 10'!AM86+'Юнит 11'!AM86+'Юнит 12'!AM86+'Юнит 13'!AM86</f>
        <v>0</v>
      </c>
      <c r="AN86" s="325">
        <f t="shared" si="46"/>
        <v>147.40078880489258</v>
      </c>
      <c r="AO86" s="95">
        <f t="shared" si="51"/>
        <v>-1943.4317065982964</v>
      </c>
      <c r="AP86" s="96"/>
      <c r="AQ86" s="97">
        <f t="shared" si="7"/>
        <v>1392</v>
      </c>
      <c r="AR86" s="98">
        <f t="shared" si="29"/>
        <v>150</v>
      </c>
      <c r="AS86" s="98">
        <f t="shared" si="9"/>
        <v>528.5233333333332</v>
      </c>
      <c r="AT86" s="98">
        <f t="shared" si="10"/>
        <v>366.74333333333334</v>
      </c>
      <c r="AU86" s="98">
        <f t="shared" si="52"/>
        <v>895</v>
      </c>
      <c r="AV86" s="98">
        <f t="array" ref="AV86">_xlfn.IFS(U86=0,AO86,U86&lt;0,AO86/-U86,U86&gt;0,AO86/U86)</f>
        <v>-647.81056886609883</v>
      </c>
      <c r="AW86" s="234">
        <f t="shared" si="38"/>
        <v>-0.46538115579461126</v>
      </c>
      <c r="AX86" s="234">
        <f t="shared" si="39"/>
        <v>-4.3187371257739926</v>
      </c>
      <c r="AY86" s="99"/>
      <c r="AZ86" s="94">
        <f t="shared" si="13"/>
        <v>-28503.66503010835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0"/>
        <v>16</v>
      </c>
      <c r="F87" s="93">
        <f>'Юнит 13'!F87</f>
        <v>9</v>
      </c>
      <c r="G87" s="93">
        <f>'Юнит 13'!G87</f>
        <v>5</v>
      </c>
      <c r="H87" s="93">
        <f>'Юнит 13'!H87</f>
        <v>1</v>
      </c>
      <c r="I87" s="93">
        <f>'Юнит 13'!I87</f>
        <v>0</v>
      </c>
      <c r="J87" s="93">
        <f>'Юнит 13'!J87</f>
        <v>1</v>
      </c>
      <c r="K87" s="93">
        <v>150</v>
      </c>
      <c r="L87" s="92">
        <f t="shared" si="36"/>
        <v>2400</v>
      </c>
      <c r="M87" s="89">
        <f>'Юнит 13'!M87</f>
        <v>6</v>
      </c>
      <c r="N87" s="89">
        <f>'Юнит 10'!N87+'Юнит 11'!N87+'Юнит 12'!N87+'Юнит 13'!N87</f>
        <v>103</v>
      </c>
      <c r="O87" s="89">
        <v>1056</v>
      </c>
      <c r="P87" s="399">
        <v>0.27</v>
      </c>
      <c r="Q87" s="406">
        <f t="shared" si="50"/>
        <v>0.27184466019417475</v>
      </c>
      <c r="R87" s="92">
        <f t="shared" si="47"/>
        <v>4</v>
      </c>
      <c r="S87" s="89">
        <f>'Юнит 10'!S87+'Юнит 11'!S87+'Юнит 12'!S87+'Юнит 13'!S87</f>
        <v>31</v>
      </c>
      <c r="T87" s="89">
        <f>'Юнит 10'!T87+'Юнит 11'!T87+'Юнит 12'!T87+'Юнит 13'!T87</f>
        <v>-3</v>
      </c>
      <c r="U87" s="92">
        <f t="shared" si="41"/>
        <v>28</v>
      </c>
      <c r="V87" s="89">
        <f>'Юнит 10'!V87+'Юнит 11'!V87+'Юнит 12'!V87+'Юнит 13'!V87</f>
        <v>22426.09</v>
      </c>
      <c r="W87" s="89">
        <f>'Юнит 10'!W87+'Юнит 11'!W87+'Юнит 12'!W87+'Юнит 13'!W87</f>
        <v>-2603</v>
      </c>
      <c r="X87" s="92">
        <f t="shared" si="42"/>
        <v>19823.09</v>
      </c>
      <c r="Y87" s="89">
        <f>'Юнит 10'!Y87+'Юнит 11'!Y87+'Юнит 12'!Y87+'Юнит 13'!Y87</f>
        <v>32617.86</v>
      </c>
      <c r="Z87" s="89">
        <f>'Юнит 10'!Z87+'Юнит 11'!Z87+'Юнит 12'!Z87+'Юнит 13'!Z87</f>
        <v>-3594</v>
      </c>
      <c r="AA87" s="232">
        <f t="shared" si="48"/>
        <v>29023.86</v>
      </c>
      <c r="AB87" s="92">
        <f t="shared" si="49"/>
        <v>293.67360000000002</v>
      </c>
      <c r="AC87" s="234">
        <f t="shared" si="43"/>
        <v>1.5941511262161905E-3</v>
      </c>
      <c r="AD87" s="92">
        <f t="shared" si="44"/>
        <v>4200</v>
      </c>
      <c r="AE87" s="89">
        <f>'Юнит 10'!AE87+'Юнит 11'!AE87+'Юнит 12'!AE87+'Юнит 13'!AE87</f>
        <v>11011.799999999997</v>
      </c>
      <c r="AF87" s="234">
        <f t="shared" si="45"/>
        <v>0.37940508257688665</v>
      </c>
      <c r="AG87" s="89">
        <f>'Юнит 10'!AG87+'Юнит 11'!AG87+'Юнит 12'!AG87+'Юнит 13'!AG87</f>
        <v>9347.7699999999986</v>
      </c>
      <c r="AH87" s="89">
        <f>'Юнит 10'!AH87+'Юнит 11'!AH87+'Юнит 12'!AH87+'Юнит 13'!AH87</f>
        <v>1000</v>
      </c>
      <c r="AI87" s="89">
        <f>'Юнит 10'!AI87+'Юнит 11'!AI87+'Юнит 12'!AI87+'Юнит 13'!AI87</f>
        <v>6000</v>
      </c>
      <c r="AJ87" s="89">
        <f>'Юнит 10'!AJ87+'Юнит 11'!AJ87+'Юнит 12'!AJ87+'Юнит 13'!AJ87</f>
        <v>0</v>
      </c>
      <c r="AK87" s="89">
        <f>'Юнит 10'!AK87+'Юнит 11'!AK87+'Юнит 12'!AK87+'Юнит 13'!AK87</f>
        <v>0</v>
      </c>
      <c r="AL87" s="89">
        <f>'Юнит 10'!AL87+'Юнит 11'!AL87+'Юнит 12'!AL87+'Юнит 13'!AL87</f>
        <v>4.1793575611047142</v>
      </c>
      <c r="AM87" s="89">
        <f>'Юнит 10'!AM87+'Юнит 11'!AM87+'Юнит 12'!AM87+'Юнит 13'!AM87</f>
        <v>0</v>
      </c>
      <c r="AN87" s="325">
        <f t="shared" si="46"/>
        <v>1106.3760327718205</v>
      </c>
      <c r="AO87" s="95">
        <f t="shared" si="51"/>
        <v>-3646.2653903329206</v>
      </c>
      <c r="AP87" s="96"/>
      <c r="AQ87" s="97">
        <f t="shared" si="7"/>
        <v>1036.5664285714286</v>
      </c>
      <c r="AR87" s="98">
        <f t="shared" si="29"/>
        <v>150</v>
      </c>
      <c r="AS87" s="98">
        <f t="shared" si="9"/>
        <v>393.27857142857135</v>
      </c>
      <c r="AT87" s="98">
        <f t="shared" si="10"/>
        <v>301.54096774193545</v>
      </c>
      <c r="AU87" s="98">
        <f t="shared" si="52"/>
        <v>225.80645161290323</v>
      </c>
      <c r="AV87" s="98">
        <f t="array" ref="AV87">_xlfn.IFS(U87=0,AO87,U87&lt;0,AO87/-U87,U87&gt;0,AO87/U87)</f>
        <v>-130.22376394046145</v>
      </c>
      <c r="AW87" s="234">
        <f t="shared" si="38"/>
        <v>-0.12562992621701319</v>
      </c>
      <c r="AX87" s="234">
        <f t="shared" si="39"/>
        <v>-0.86815842626974304</v>
      </c>
      <c r="AY87" s="99"/>
      <c r="AZ87" s="94">
        <f t="shared" si="13"/>
        <v>-2083.5802230473832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0"/>
        <v>4</v>
      </c>
      <c r="F88" s="93">
        <f>'Юнит 13'!F88</f>
        <v>2</v>
      </c>
      <c r="G88" s="93" t="str">
        <f>'Юнит 13'!G88</f>
        <v/>
      </c>
      <c r="H88" s="93">
        <f>'Юнит 13'!H88</f>
        <v>1</v>
      </c>
      <c r="I88" s="93">
        <f>'Юнит 13'!I88</f>
        <v>0</v>
      </c>
      <c r="J88" s="93">
        <f>'Юнит 13'!J88</f>
        <v>1</v>
      </c>
      <c r="K88" s="93">
        <v>150</v>
      </c>
      <c r="L88" s="92">
        <f t="shared" si="36"/>
        <v>600</v>
      </c>
      <c r="M88" s="89">
        <f>'Юнит 13'!M88</f>
        <v>8</v>
      </c>
      <c r="N88" s="89">
        <f>'Юнит 10'!N88+'Юнит 11'!N88+'Юнит 12'!N88+'Юнит 13'!N88</f>
        <v>23</v>
      </c>
      <c r="O88" s="89">
        <v>1257</v>
      </c>
      <c r="P88" s="399">
        <v>0.36</v>
      </c>
      <c r="Q88" s="406">
        <f t="shared" si="50"/>
        <v>0.39130434782608697</v>
      </c>
      <c r="R88" s="92">
        <f t="shared" si="47"/>
        <v>1.2857142857142858</v>
      </c>
      <c r="S88" s="89">
        <f>'Юнит 10'!S88+'Юнит 11'!S88+'Юнит 12'!S88+'Юнит 13'!S88</f>
        <v>10</v>
      </c>
      <c r="T88" s="89">
        <f>'Юнит 10'!T88+'Юнит 11'!T88+'Юнит 12'!T88+'Юнит 13'!T88</f>
        <v>-1</v>
      </c>
      <c r="U88" s="92">
        <f t="shared" si="41"/>
        <v>9</v>
      </c>
      <c r="V88" s="89">
        <f>'Юнит 10'!V88+'Юнит 11'!V88+'Юнит 12'!V88+'Юнит 13'!V88</f>
        <v>7830</v>
      </c>
      <c r="W88" s="89">
        <f>'Юнит 10'!W88+'Юнит 11'!W88+'Юнит 12'!W88+'Юнит 13'!W88</f>
        <v>-693</v>
      </c>
      <c r="X88" s="92">
        <f t="shared" si="42"/>
        <v>7137</v>
      </c>
      <c r="Y88" s="89">
        <f>'Юнит 10'!Y88+'Юнит 11'!Y88+'Юнит 12'!Y88+'Юнит 13'!Y88</f>
        <v>12494.580000000002</v>
      </c>
      <c r="Z88" s="89">
        <f>'Юнит 10'!Z88+'Юнит 11'!Z88+'Юнит 12'!Z88+'Юнит 13'!Z88</f>
        <v>-1257</v>
      </c>
      <c r="AA88" s="232">
        <f t="shared" si="48"/>
        <v>11237.580000000002</v>
      </c>
      <c r="AB88" s="92">
        <f t="shared" si="49"/>
        <v>104.07959999999999</v>
      </c>
      <c r="AC88" s="234">
        <f t="shared" si="43"/>
        <v>6.172301276585727E-4</v>
      </c>
      <c r="AD88" s="92">
        <f t="shared" si="44"/>
        <v>1350</v>
      </c>
      <c r="AE88" s="89">
        <f>'Юнит 10'!AE88+'Юнит 11'!AE88+'Юнит 12'!AE88+'Юнит 13'!AE88</f>
        <v>4220.3099999999995</v>
      </c>
      <c r="AF88" s="234">
        <f t="shared" si="45"/>
        <v>0.37555327748501</v>
      </c>
      <c r="AG88" s="89">
        <f>'Юнит 10'!AG88+'Юнит 11'!AG88+'Юнит 12'!AG88+'Юнит 13'!AG88</f>
        <v>2479.5</v>
      </c>
      <c r="AH88" s="89">
        <f>'Юнит 10'!AH88+'Юнит 11'!AH88+'Юнит 12'!AH88+'Юнит 13'!AH88</f>
        <v>0</v>
      </c>
      <c r="AI88" s="89">
        <f>'Юнит 10'!AI88+'Юнит 11'!AI88+'Юнит 12'!AI88+'Юнит 13'!AI88</f>
        <v>0</v>
      </c>
      <c r="AJ88" s="89">
        <f>'Юнит 10'!AJ88+'Юнит 11'!AJ88+'Юнит 12'!AJ88+'Юнит 13'!AJ88</f>
        <v>0</v>
      </c>
      <c r="AK88" s="89">
        <f>'Юнит 10'!AK88+'Юнит 11'!AK88+'Юнит 12'!AK88+'Юнит 13'!AK88</f>
        <v>0</v>
      </c>
      <c r="AL88" s="89">
        <f>'Юнит 10'!AL88+'Юнит 11'!AL88+'Юнит 12'!AL88+'Юнит 13'!AL88</f>
        <v>2.9537460427656912</v>
      </c>
      <c r="AM88" s="89">
        <f>'Юнит 10'!AM88+'Юнит 11'!AM88+'Юнит 12'!AM88+'Юнит 13'!AM88</f>
        <v>10</v>
      </c>
      <c r="AN88" s="325">
        <f t="shared" si="46"/>
        <v>398.33374846668619</v>
      </c>
      <c r="AO88" s="95">
        <f t="shared" si="51"/>
        <v>2776.4825054905505</v>
      </c>
      <c r="AP88" s="96"/>
      <c r="AQ88" s="97">
        <f t="shared" si="7"/>
        <v>1248.6200000000001</v>
      </c>
      <c r="AR88" s="98">
        <f t="shared" si="29"/>
        <v>150</v>
      </c>
      <c r="AS88" s="98">
        <f t="shared" si="9"/>
        <v>468.92333333333329</v>
      </c>
      <c r="AT88" s="98">
        <f t="shared" si="10"/>
        <v>247.95</v>
      </c>
      <c r="AU88" s="98">
        <f t="shared" si="52"/>
        <v>0</v>
      </c>
      <c r="AV88" s="98">
        <f t="array" ref="AV88">_xlfn.IFS(U88=0,AO88,U88&lt;0,AO88/-U88,U88&gt;0,AO88/U88)</f>
        <v>308.49805616561673</v>
      </c>
      <c r="AW88" s="234">
        <f t="shared" si="38"/>
        <v>0.24707121155004461</v>
      </c>
      <c r="AX88" s="234">
        <f t="shared" si="39"/>
        <v>2.0566537077707783</v>
      </c>
      <c r="AY88" s="99"/>
      <c r="AZ88" s="94">
        <f t="shared" si="13"/>
        <v>1233.9922246624669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0"/>
        <v>22</v>
      </c>
      <c r="F89" s="93">
        <f>'Юнит 13'!F89</f>
        <v>10</v>
      </c>
      <c r="G89" s="93">
        <f>'Юнит 13'!G89</f>
        <v>7</v>
      </c>
      <c r="H89" s="93">
        <f>'Юнит 13'!H89</f>
        <v>4</v>
      </c>
      <c r="I89" s="93">
        <f>'Юнит 13'!I89</f>
        <v>0</v>
      </c>
      <c r="J89" s="93">
        <f>'Юнит 13'!J89</f>
        <v>1</v>
      </c>
      <c r="K89" s="93">
        <v>169.89</v>
      </c>
      <c r="L89" s="92">
        <f t="shared" si="36"/>
        <v>3737.58</v>
      </c>
      <c r="M89" s="89">
        <f>'Юнит 13'!M89</f>
        <v>23</v>
      </c>
      <c r="N89" s="89">
        <f>'Юнит 10'!N89+'Юнит 11'!N89+'Юнит 12'!N89+'Юнит 13'!N89</f>
        <v>50</v>
      </c>
      <c r="O89" s="89">
        <v>1504</v>
      </c>
      <c r="P89" s="399">
        <v>0.43</v>
      </c>
      <c r="Q89" s="406">
        <f t="shared" si="50"/>
        <v>0.34</v>
      </c>
      <c r="R89" s="92">
        <f t="shared" si="47"/>
        <v>2.4285714285714284</v>
      </c>
      <c r="S89" s="89">
        <f>'Юнит 10'!S89+'Юнит 11'!S89+'Юнит 12'!S89+'Юнит 13'!S89</f>
        <v>18</v>
      </c>
      <c r="T89" s="89">
        <f>'Юнит 10'!T89+'Юнит 11'!T89+'Юнит 12'!T89+'Юнит 13'!T89</f>
        <v>-1</v>
      </c>
      <c r="U89" s="92">
        <f t="shared" si="41"/>
        <v>17</v>
      </c>
      <c r="V89" s="89">
        <f>'Юнит 10'!V89+'Юнит 11'!V89+'Юнит 12'!V89+'Юнит 13'!V89</f>
        <v>17591.309999999998</v>
      </c>
      <c r="W89" s="89">
        <f>'Юнит 10'!W89+'Юнит 11'!W89+'Юнит 12'!W89+'Юнит 13'!W89</f>
        <v>-969</v>
      </c>
      <c r="X89" s="92">
        <f t="shared" si="42"/>
        <v>16622.309999999998</v>
      </c>
      <c r="Y89" s="89">
        <f>'Юнит 10'!Y89+'Юнит 11'!Y89+'Юнит 12'!Y89+'Юнит 13'!Y89</f>
        <v>26841.46</v>
      </c>
      <c r="Z89" s="89">
        <f>'Юнит 10'!Z89+'Юнит 11'!Z89+'Юнит 12'!Z89+'Юнит 13'!Z89</f>
        <v>-1504</v>
      </c>
      <c r="AA89" s="232">
        <f t="shared" si="48"/>
        <v>25337.46</v>
      </c>
      <c r="AB89" s="92">
        <f t="shared" si="49"/>
        <v>323.36</v>
      </c>
      <c r="AC89" s="234">
        <f t="shared" si="43"/>
        <v>1.3916736228212815E-3</v>
      </c>
      <c r="AD89" s="92">
        <f t="shared" si="44"/>
        <v>2888.1299999999997</v>
      </c>
      <c r="AE89" s="89">
        <f>'Юнит 10'!AE89+'Юнит 11'!AE89+'Юнит 12'!AE89+'Юнит 13'!AE89</f>
        <v>9571.119999999999</v>
      </c>
      <c r="AF89" s="234">
        <f t="shared" si="45"/>
        <v>0.3777458356125673</v>
      </c>
      <c r="AG89" s="89">
        <f>'Юнит 10'!AG89+'Юнит 11'!AG89+'Юнит 12'!AG89+'Юнит 13'!AG89</f>
        <v>3039.4799999999996</v>
      </c>
      <c r="AH89" s="89">
        <f>'Юнит 10'!AH89+'Юнит 11'!AH89+'Юнит 12'!AH89+'Юнит 13'!AH89</f>
        <v>0</v>
      </c>
      <c r="AI89" s="89">
        <f>'Юнит 10'!AI89+'Юнит 11'!AI89+'Юнит 12'!AI89+'Юнит 13'!AI89</f>
        <v>0</v>
      </c>
      <c r="AJ89" s="89">
        <f>'Юнит 10'!AJ89+'Юнит 11'!AJ89+'Юнит 12'!AJ89+'Юнит 13'!AJ89</f>
        <v>0</v>
      </c>
      <c r="AK89" s="89">
        <f>'Юнит 10'!AK89+'Юнит 11'!AK89+'Юнит 12'!AK89+'Юнит 13'!AK89</f>
        <v>0</v>
      </c>
      <c r="AL89" s="89">
        <f>'Юнит 10'!AL89+'Юнит 11'!AL89+'Юнит 12'!AL89+'Юнит 13'!AL89</f>
        <v>91.847364314202295</v>
      </c>
      <c r="AM89" s="89">
        <f>'Юнит 10'!AM89+'Юнит 11'!AM89+'Юнит 12'!AM89+'Юнит 13'!AM89</f>
        <v>0</v>
      </c>
      <c r="AN89" s="325">
        <f t="shared" si="46"/>
        <v>927.73252773928573</v>
      </c>
      <c r="AO89" s="95">
        <f t="shared" si="51"/>
        <v>8819.1501079465106</v>
      </c>
      <c r="AP89" s="96"/>
      <c r="AQ89" s="97">
        <f t="shared" si="7"/>
        <v>1490.4388235294118</v>
      </c>
      <c r="AR89" s="98">
        <f t="shared" si="29"/>
        <v>169.89</v>
      </c>
      <c r="AS89" s="98">
        <f t="shared" si="9"/>
        <v>563.00705882352941</v>
      </c>
      <c r="AT89" s="98">
        <f t="shared" si="10"/>
        <v>168.85999999999999</v>
      </c>
      <c r="AU89" s="98">
        <f t="shared" si="52"/>
        <v>0</v>
      </c>
      <c r="AV89" s="98">
        <f t="array" ref="AV89">_xlfn.IFS(U89=0,AO89,U89&lt;0,AO89/-U89,U89&gt;0,AO89/U89)</f>
        <v>518.7735357615594</v>
      </c>
      <c r="AW89" s="234">
        <f t="shared" si="38"/>
        <v>0.34806764797838891</v>
      </c>
      <c r="AX89" s="234">
        <f t="shared" si="39"/>
        <v>3.0535848829334244</v>
      </c>
      <c r="AY89" s="99"/>
      <c r="AZ89" s="94">
        <f t="shared" si="13"/>
        <v>11413.017786754306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0"/>
        <v>51</v>
      </c>
      <c r="F90" s="93">
        <f>'Юнит 13'!F90</f>
        <v>1</v>
      </c>
      <c r="G90" s="93" t="str">
        <f>'Юнит 13'!G90</f>
        <v/>
      </c>
      <c r="H90" s="93">
        <f>'Юнит 13'!H90</f>
        <v>49</v>
      </c>
      <c r="I90" s="93">
        <f>'Юнит 13'!I90</f>
        <v>0</v>
      </c>
      <c r="J90" s="93">
        <f>'Юнит 13'!J90</f>
        <v>1</v>
      </c>
      <c r="K90" s="93">
        <v>107.88</v>
      </c>
      <c r="L90" s="92">
        <f t="shared" si="36"/>
        <v>5501.88</v>
      </c>
      <c r="M90" s="89">
        <f>'Юнит 13'!M90</f>
        <v>999</v>
      </c>
      <c r="N90" s="89">
        <f>'Юнит 10'!N90+'Юнит 11'!N90+'Юнит 12'!N90+'Юнит 13'!N90</f>
        <v>1</v>
      </c>
      <c r="O90" s="89">
        <v>1077</v>
      </c>
      <c r="P90" s="399">
        <v>1</v>
      </c>
      <c r="Q90" s="406">
        <f t="shared" si="50"/>
        <v>0</v>
      </c>
      <c r="R90" s="92">
        <f t="shared" si="47"/>
        <v>0</v>
      </c>
      <c r="S90" s="89">
        <f>'Юнит 10'!S90+'Юнит 11'!S90+'Юнит 12'!S90+'Юнит 13'!S90</f>
        <v>0</v>
      </c>
      <c r="T90" s="89">
        <f>'Юнит 10'!T90+'Юнит 11'!T90+'Юнит 12'!T90+'Юнит 13'!T90</f>
        <v>0</v>
      </c>
      <c r="U90" s="92">
        <f t="shared" si="41"/>
        <v>0</v>
      </c>
      <c r="V90" s="89">
        <f>'Юнит 10'!V90+'Юнит 11'!V90+'Юнит 12'!V90+'Юнит 13'!V90</f>
        <v>0</v>
      </c>
      <c r="W90" s="89">
        <f>'Юнит 10'!W90+'Юнит 11'!W90+'Юнит 12'!W90+'Юнит 13'!W90</f>
        <v>0</v>
      </c>
      <c r="X90" s="92">
        <f t="shared" si="42"/>
        <v>0</v>
      </c>
      <c r="Y90" s="89">
        <f>'Юнит 10'!Y90+'Юнит 11'!Y90+'Юнит 12'!Y90+'Юнит 13'!Y90</f>
        <v>0</v>
      </c>
      <c r="Z90" s="89">
        <f>'Юнит 10'!Z90+'Юнит 11'!Z90+'Юнит 12'!Z90+'Юнит 13'!Z90</f>
        <v>0</v>
      </c>
      <c r="AA90" s="232">
        <f t="shared" si="48"/>
        <v>0</v>
      </c>
      <c r="AB90" s="92">
        <f t="shared" si="49"/>
        <v>10.77</v>
      </c>
      <c r="AC90" s="234">
        <f t="shared" si="43"/>
        <v>0</v>
      </c>
      <c r="AD90" s="92">
        <f t="shared" si="44"/>
        <v>0</v>
      </c>
      <c r="AE90" s="89">
        <f>'Юнит 10'!AE90+'Юнит 11'!AE90+'Юнит 12'!AE90+'Юнит 13'!AE90</f>
        <v>0</v>
      </c>
      <c r="AF90" s="234">
        <f t="shared" si="45"/>
        <v>0</v>
      </c>
      <c r="AG90" s="89">
        <f>'Юнит 10'!AG90+'Юнит 11'!AG90+'Юнит 12'!AG90+'Юнит 13'!AG90</f>
        <v>0</v>
      </c>
      <c r="AH90" s="89">
        <f>'Юнит 10'!AH90+'Юнит 11'!AH90+'Юнит 12'!AH90+'Юнит 13'!AH90</f>
        <v>0</v>
      </c>
      <c r="AI90" s="89">
        <f>'Юнит 10'!AI90+'Юнит 11'!AI90+'Юнит 12'!AI90+'Юнит 13'!AI90</f>
        <v>0</v>
      </c>
      <c r="AJ90" s="89">
        <f>'Юнит 10'!AJ90+'Юнит 11'!AJ90+'Юнит 12'!AJ90+'Юнит 13'!AJ90</f>
        <v>0</v>
      </c>
      <c r="AK90" s="89">
        <f>'Юнит 10'!AK90+'Юнит 11'!AK90+'Юнит 12'!AK90+'Юнит 13'!AK90</f>
        <v>0</v>
      </c>
      <c r="AL90" s="89">
        <f>'Юнит 10'!AL90+'Юнит 11'!AL90+'Юнит 12'!AL90+'Юнит 13'!AL90</f>
        <v>197.0113947176074</v>
      </c>
      <c r="AM90" s="89">
        <f>'Юнит 10'!AM90+'Юнит 11'!AM90+'Юнит 12'!AM90+'Юнит 13'!AM90</f>
        <v>0</v>
      </c>
      <c r="AN90" s="325">
        <f t="shared" si="46"/>
        <v>0</v>
      </c>
      <c r="AO90" s="95">
        <f t="shared" si="51"/>
        <v>-197.0113947176074</v>
      </c>
      <c r="AP90" s="96"/>
      <c r="AQ90" s="97">
        <f t="shared" si="7"/>
        <v>0</v>
      </c>
      <c r="AR90" s="98">
        <f t="shared" si="29"/>
        <v>107.88</v>
      </c>
      <c r="AS90" s="98">
        <f t="shared" si="9"/>
        <v>0</v>
      </c>
      <c r="AT90" s="98">
        <f t="shared" si="10"/>
        <v>0</v>
      </c>
      <c r="AU90" s="98">
        <f t="shared" si="52"/>
        <v>0</v>
      </c>
      <c r="AV90" s="98">
        <f t="array" ref="AV90">_xlfn.IFS(U90=0,AO90,U90&lt;0,AO90/-U90,U90&gt;0,AO90/U90)</f>
        <v>-197.0113947176074</v>
      </c>
      <c r="AW90" s="234">
        <f t="shared" si="38"/>
        <v>0</v>
      </c>
      <c r="AX90" s="234">
        <f t="shared" si="39"/>
        <v>-1.8262087014980295</v>
      </c>
      <c r="AY90" s="99"/>
      <c r="AZ90" s="94">
        <f t="shared" si="13"/>
        <v>-10047.581130597977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0"/>
        <v>34</v>
      </c>
      <c r="F91" s="93">
        <f>'Юнит 13'!F91</f>
        <v>9</v>
      </c>
      <c r="G91" s="93">
        <f>'Юнит 13'!G91</f>
        <v>6</v>
      </c>
      <c r="H91" s="93">
        <f>'Юнит 13'!H91</f>
        <v>13</v>
      </c>
      <c r="I91" s="93">
        <f>'Юнит 13'!I91</f>
        <v>0</v>
      </c>
      <c r="J91" s="93">
        <f>'Юнит 13'!J91</f>
        <v>6</v>
      </c>
      <c r="K91" s="93">
        <v>93.84</v>
      </c>
      <c r="L91" s="92">
        <f t="shared" si="36"/>
        <v>3190.56</v>
      </c>
      <c r="M91" s="89">
        <f>'Юнит 13'!M91</f>
        <v>67</v>
      </c>
      <c r="N91" s="89">
        <f>'Юнит 10'!N91+'Юнит 11'!N91+'Юнит 12'!N91+'Юнит 13'!N91</f>
        <v>43</v>
      </c>
      <c r="O91" s="89">
        <v>1075</v>
      </c>
      <c r="P91" s="399">
        <v>0.15</v>
      </c>
      <c r="Q91" s="406">
        <f t="shared" si="50"/>
        <v>0.11627906976744186</v>
      </c>
      <c r="R91" s="92">
        <f t="shared" si="47"/>
        <v>0.7142857142857143</v>
      </c>
      <c r="S91" s="89">
        <f>'Юнит 10'!S91+'Юнит 11'!S91+'Юнит 12'!S91+'Юнит 13'!S91</f>
        <v>6</v>
      </c>
      <c r="T91" s="89">
        <f>'Юнит 10'!T91+'Юнит 11'!T91+'Юнит 12'!T91+'Юнит 13'!T91</f>
        <v>-1</v>
      </c>
      <c r="U91" s="92">
        <f t="shared" si="41"/>
        <v>5</v>
      </c>
      <c r="V91" s="89">
        <f>'Юнит 10'!V91+'Юнит 11'!V91+'Юнит 12'!V91+'Юнит 13'!V91</f>
        <v>4258.54</v>
      </c>
      <c r="W91" s="89">
        <f>'Юнит 10'!W91+'Юнит 11'!W91+'Юнит 12'!W91+'Юнит 13'!W91</f>
        <v>-709</v>
      </c>
      <c r="X91" s="92">
        <f t="shared" si="42"/>
        <v>3549.54</v>
      </c>
      <c r="Y91" s="89">
        <f>'Юнит 10'!Y91+'Юнит 11'!Y91+'Юнит 12'!Y91+'Юнит 13'!Y91</f>
        <v>6449.75</v>
      </c>
      <c r="Z91" s="89">
        <f>'Юнит 10'!Z91+'Юнит 11'!Z91+'Юнит 12'!Z91+'Юнит 13'!Z91</f>
        <v>-1075</v>
      </c>
      <c r="AA91" s="232">
        <f t="shared" si="48"/>
        <v>5374.75</v>
      </c>
      <c r="AB91" s="92">
        <f t="shared" si="49"/>
        <v>69.337500000000006</v>
      </c>
      <c r="AC91" s="234">
        <f t="shared" si="43"/>
        <v>2.9521103552837113E-4</v>
      </c>
      <c r="AD91" s="92">
        <f t="shared" si="44"/>
        <v>469.20000000000005</v>
      </c>
      <c r="AE91" s="89">
        <f>'Юнит 10'!AE91+'Юнит 11'!AE91+'Юнит 12'!AE91+'Юнит 13'!AE91</f>
        <v>2024.3400000000001</v>
      </c>
      <c r="AF91" s="234">
        <f t="shared" si="45"/>
        <v>0.37663891343783434</v>
      </c>
      <c r="AG91" s="89">
        <f>'Юнит 10'!AG91+'Юнит 11'!AG91+'Юнит 12'!AG91+'Юнит 13'!AG91</f>
        <v>3304.06</v>
      </c>
      <c r="AH91" s="89">
        <f>'Юнит 10'!AH91+'Юнит 11'!AH91+'Юнит 12'!AH91+'Юнит 13'!AH91</f>
        <v>0</v>
      </c>
      <c r="AI91" s="89">
        <f>'Юнит 10'!AI91+'Юнит 11'!AI91+'Юнит 12'!AI91+'Юнит 13'!AI91</f>
        <v>1000</v>
      </c>
      <c r="AJ91" s="89">
        <f>'Юнит 10'!AJ91+'Юнит 11'!AJ91+'Юнит 12'!AJ91+'Юнит 13'!AJ91</f>
        <v>0</v>
      </c>
      <c r="AK91" s="89">
        <f>'Юнит 10'!AK91+'Юнит 11'!AK91+'Юнит 12'!AK91+'Юнит 13'!AK91</f>
        <v>0</v>
      </c>
      <c r="AL91" s="89">
        <f>'Юнит 10'!AL91+'Юнит 11'!AL91+'Юнит 12'!AL91+'Юнит 13'!AL91</f>
        <v>82.918711207939083</v>
      </c>
      <c r="AM91" s="89">
        <f>'Юнит 10'!AM91+'Юнит 11'!AM91+'Юнит 12'!AM91+'Юнит 13'!AM91</f>
        <v>0</v>
      </c>
      <c r="AN91" s="325">
        <f t="shared" si="46"/>
        <v>198.10866940345264</v>
      </c>
      <c r="AO91" s="95">
        <f t="shared" si="51"/>
        <v>-1703.8773806113918</v>
      </c>
      <c r="AP91" s="96"/>
      <c r="AQ91" s="97">
        <f t="shared" si="7"/>
        <v>1074.95</v>
      </c>
      <c r="AR91" s="98">
        <f t="shared" si="29"/>
        <v>93.84</v>
      </c>
      <c r="AS91" s="98">
        <f t="shared" si="9"/>
        <v>404.86800000000005</v>
      </c>
      <c r="AT91" s="98">
        <f t="shared" si="10"/>
        <v>550.67666666666662</v>
      </c>
      <c r="AU91" s="98">
        <f t="shared" si="52"/>
        <v>166.66666666666666</v>
      </c>
      <c r="AV91" s="98">
        <f t="array" ref="AV91">_xlfn.IFS(U91=0,AO91,U91&lt;0,AO91/-U91,U91&gt;0,AO91/U91)</f>
        <v>-340.77547612227835</v>
      </c>
      <c r="AW91" s="234">
        <f t="shared" si="38"/>
        <v>-0.31701518779690063</v>
      </c>
      <c r="AX91" s="234">
        <f t="shared" si="39"/>
        <v>-3.6314522178418409</v>
      </c>
      <c r="AY91" s="99"/>
      <c r="AZ91" s="94">
        <f t="shared" si="13"/>
        <v>-11586.366188157464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0"/>
        <v>50</v>
      </c>
      <c r="F92" s="93">
        <f>'Юнит 13'!F92</f>
        <v>2</v>
      </c>
      <c r="G92" s="93">
        <f>'Юнит 13'!G92</f>
        <v>1</v>
      </c>
      <c r="H92" s="93">
        <f>'Юнит 13'!H92</f>
        <v>46</v>
      </c>
      <c r="I92" s="93">
        <f>'Юнит 13'!I92</f>
        <v>0</v>
      </c>
      <c r="J92" s="93">
        <f>'Юнит 13'!J92</f>
        <v>1</v>
      </c>
      <c r="K92" s="93">
        <v>139.47</v>
      </c>
      <c r="L92" s="92">
        <f t="shared" si="36"/>
        <v>6973.5</v>
      </c>
      <c r="M92" s="89">
        <f>'Юнит 13'!M92</f>
        <v>720</v>
      </c>
      <c r="N92" s="89">
        <f>'Юнит 10'!N92+'Юнит 11'!N92+'Юнит 12'!N92+'Юнит 13'!N92</f>
        <v>7</v>
      </c>
      <c r="O92" s="89">
        <v>1350</v>
      </c>
      <c r="P92" s="399">
        <v>0</v>
      </c>
      <c r="Q92" s="406">
        <f t="shared" si="50"/>
        <v>0</v>
      </c>
      <c r="R92" s="92">
        <f t="shared" si="47"/>
        <v>0</v>
      </c>
      <c r="S92" s="89">
        <f>'Юнит 10'!S92+'Юнит 11'!S92+'Юнит 12'!S92+'Юнит 13'!S92</f>
        <v>0</v>
      </c>
      <c r="T92" s="89">
        <f>'Юнит 10'!T92+'Юнит 11'!T92+'Юнит 12'!T92+'Юнит 13'!T92</f>
        <v>0</v>
      </c>
      <c r="U92" s="92">
        <f t="shared" si="41"/>
        <v>0</v>
      </c>
      <c r="V92" s="89">
        <f>'Юнит 10'!V92+'Юнит 11'!V92+'Юнит 12'!V92+'Юнит 13'!V92</f>
        <v>0</v>
      </c>
      <c r="W92" s="89">
        <f>'Юнит 10'!W92+'Юнит 11'!W92+'Юнит 12'!W92+'Юнит 13'!W92</f>
        <v>0</v>
      </c>
      <c r="X92" s="92">
        <f t="shared" si="42"/>
        <v>0</v>
      </c>
      <c r="Y92" s="89">
        <f>'Юнит 10'!Y92+'Юнит 11'!Y92+'Юнит 12'!Y92+'Юнит 13'!Y92</f>
        <v>0</v>
      </c>
      <c r="Z92" s="89">
        <f>'Юнит 10'!Z92+'Юнит 11'!Z92+'Юнит 12'!Z92+'Юнит 13'!Z92</f>
        <v>0</v>
      </c>
      <c r="AA92" s="232">
        <f t="shared" si="48"/>
        <v>0</v>
      </c>
      <c r="AB92" s="92">
        <f t="shared" si="49"/>
        <v>0</v>
      </c>
      <c r="AC92" s="234">
        <f t="shared" si="43"/>
        <v>0</v>
      </c>
      <c r="AD92" s="92">
        <f t="shared" si="44"/>
        <v>0</v>
      </c>
      <c r="AE92" s="89">
        <f>'Юнит 10'!AE92+'Юнит 11'!AE92+'Юнит 12'!AE92+'Юнит 13'!AE92</f>
        <v>0</v>
      </c>
      <c r="AF92" s="234">
        <f t="shared" si="45"/>
        <v>0</v>
      </c>
      <c r="AG92" s="89">
        <f>'Юнит 10'!AG92+'Юнит 11'!AG92+'Юнит 12'!AG92+'Юнит 13'!AG92</f>
        <v>539.27</v>
      </c>
      <c r="AH92" s="89">
        <f>'Юнит 10'!AH92+'Юнит 11'!AH92+'Юнит 12'!AH92+'Юнит 13'!AH92</f>
        <v>0</v>
      </c>
      <c r="AI92" s="89">
        <f>'Юнит 10'!AI92+'Юнит 11'!AI92+'Юнит 12'!AI92+'Юнит 13'!AI92</f>
        <v>0</v>
      </c>
      <c r="AJ92" s="89">
        <f>'Юнит 10'!AJ92+'Юнит 11'!AJ92+'Юнит 12'!AJ92+'Юнит 13'!AJ92</f>
        <v>0</v>
      </c>
      <c r="AK92" s="89">
        <f>'Юнит 10'!AK92+'Юнит 11'!AK92+'Юнит 12'!AK92+'Юнит 13'!AK92</f>
        <v>0</v>
      </c>
      <c r="AL92" s="89">
        <f>'Юнит 10'!AL92+'Юнит 11'!AL92+'Юнит 12'!AL92+'Юнит 13'!AL92</f>
        <v>189.80805716151579</v>
      </c>
      <c r="AM92" s="89">
        <f>'Юнит 10'!AM92+'Юнит 11'!AM92+'Юнит 12'!AM92+'Юнит 13'!AM92</f>
        <v>0</v>
      </c>
      <c r="AN92" s="325">
        <f t="shared" si="46"/>
        <v>0</v>
      </c>
      <c r="AO92" s="95">
        <f t="shared" si="51"/>
        <v>-729.07805716151574</v>
      </c>
      <c r="AP92" s="96"/>
      <c r="AQ92" s="97">
        <f t="shared" si="7"/>
        <v>0</v>
      </c>
      <c r="AR92" s="98">
        <f t="shared" si="29"/>
        <v>139.47</v>
      </c>
      <c r="AS92" s="98">
        <f t="shared" si="9"/>
        <v>0</v>
      </c>
      <c r="AT92" s="98">
        <f t="shared" si="10"/>
        <v>539.27</v>
      </c>
      <c r="AU92" s="98">
        <f t="shared" si="52"/>
        <v>0</v>
      </c>
      <c r="AV92" s="98">
        <f t="array" ref="AV92">_xlfn.IFS(U92=0,AO92,U92&lt;0,AO92/-U92,U92&gt;0,AO92/U92)</f>
        <v>-729.07805716151574</v>
      </c>
      <c r="AW92" s="234">
        <f t="shared" si="38"/>
        <v>0</v>
      </c>
      <c r="AX92" s="234">
        <f t="shared" si="39"/>
        <v>-5.2274901925970871</v>
      </c>
      <c r="AY92" s="99"/>
      <c r="AZ92" s="94">
        <f t="shared" si="13"/>
        <v>-36453.902858075788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0"/>
        <v>43</v>
      </c>
      <c r="F93" s="93">
        <f>'Юнит 13'!F93</f>
        <v>3</v>
      </c>
      <c r="G93" s="93">
        <f>'Юнит 13'!G93</f>
        <v>3</v>
      </c>
      <c r="H93" s="93">
        <f>'Юнит 13'!H93</f>
        <v>36</v>
      </c>
      <c r="I93" s="93">
        <f>'Юнит 13'!I93</f>
        <v>0</v>
      </c>
      <c r="J93" s="93">
        <f>'Юнит 13'!J93</f>
        <v>1</v>
      </c>
      <c r="K93" s="93">
        <v>139.47</v>
      </c>
      <c r="L93" s="92">
        <f t="shared" si="36"/>
        <v>5997.21</v>
      </c>
      <c r="M93" s="89">
        <f>'Юнит 13'!M93</f>
        <v>105</v>
      </c>
      <c r="N93" s="89">
        <f>'Юнит 10'!N93+'Юнит 11'!N93+'Юнит 12'!N93+'Юнит 13'!N93</f>
        <v>17</v>
      </c>
      <c r="O93" s="89">
        <v>1296</v>
      </c>
      <c r="P93" s="399">
        <v>0.35</v>
      </c>
      <c r="Q93" s="406">
        <f t="shared" si="50"/>
        <v>0.35294117647058826</v>
      </c>
      <c r="R93" s="92">
        <f t="shared" si="47"/>
        <v>0.8571428571428571</v>
      </c>
      <c r="S93" s="89">
        <f>'Юнит 10'!S93+'Юнит 11'!S93+'Юнит 12'!S93+'Юнит 13'!S93</f>
        <v>7</v>
      </c>
      <c r="T93" s="89">
        <f>'Юнит 10'!T93+'Юнит 11'!T93+'Юнит 12'!T93+'Юнит 13'!T93</f>
        <v>-1</v>
      </c>
      <c r="U93" s="92">
        <f t="shared" si="41"/>
        <v>6</v>
      </c>
      <c r="V93" s="89">
        <f>'Юнит 10'!V93+'Юнит 11'!V93+'Юнит 12'!V93+'Юнит 13'!V93</f>
        <v>5969.97</v>
      </c>
      <c r="W93" s="89">
        <f>'Юнит 10'!W93+'Юнит 11'!W93+'Юнит 12'!W93+'Юнит 13'!W93</f>
        <v>-847</v>
      </c>
      <c r="X93" s="92">
        <f t="shared" si="42"/>
        <v>5122.97</v>
      </c>
      <c r="Y93" s="89">
        <f>'Юнит 10'!Y93+'Юнит 11'!Y93+'Юнит 12'!Y93+'Юнит 13'!Y93</f>
        <v>8994.18</v>
      </c>
      <c r="Z93" s="89">
        <f>'Юнит 10'!Z93+'Юнит 11'!Z93+'Юнит 12'!Z93+'Юнит 13'!Z93</f>
        <v>-1296</v>
      </c>
      <c r="AA93" s="232">
        <f t="shared" si="48"/>
        <v>7698.18</v>
      </c>
      <c r="AB93" s="92">
        <f t="shared" si="49"/>
        <v>77.111999999999995</v>
      </c>
      <c r="AC93" s="234">
        <f t="shared" si="43"/>
        <v>4.2282667835411811E-4</v>
      </c>
      <c r="AD93" s="92">
        <f t="shared" si="44"/>
        <v>836.81999999999994</v>
      </c>
      <c r="AE93" s="89">
        <f>'Юнит 10'!AE93+'Юнит 11'!AE93+'Юнит 12'!AE93+'Юнит 13'!AE93</f>
        <v>2921.829999999999</v>
      </c>
      <c r="AF93" s="234">
        <f t="shared" si="45"/>
        <v>0.3795481529400454</v>
      </c>
      <c r="AG93" s="89">
        <f>'Юнит 10'!AG93+'Юнит 11'!AG93+'Юнит 12'!AG93+'Юнит 13'!AG93</f>
        <v>1321.6999999999998</v>
      </c>
      <c r="AH93" s="89">
        <f>'Юнит 10'!AH93+'Юнит 11'!AH93+'Юнит 12'!AH93+'Юнит 13'!AH93</f>
        <v>0</v>
      </c>
      <c r="AI93" s="89">
        <f>'Юнит 10'!AI93+'Юнит 11'!AI93+'Юнит 12'!AI93+'Юнит 13'!AI93</f>
        <v>0</v>
      </c>
      <c r="AJ93" s="89">
        <f>'Юнит 10'!AJ93+'Юнит 11'!AJ93+'Юнит 12'!AJ93+'Юнит 13'!AJ93</f>
        <v>0</v>
      </c>
      <c r="AK93" s="89">
        <f>'Юнит 10'!AK93+'Юнит 11'!AK93+'Юнит 12'!AK93+'Юнит 13'!AK93</f>
        <v>0</v>
      </c>
      <c r="AL93" s="89">
        <f>'Юнит 10'!AL93+'Юнит 11'!AL93+'Юнит 12'!AL93+'Юнит 13'!AL93</f>
        <v>158.91346059175328</v>
      </c>
      <c r="AM93" s="89">
        <f>'Юнит 10'!AM93+'Юнит 11'!AM93+'Юнит 12'!AM93+'Юнит 13'!AM93</f>
        <v>0</v>
      </c>
      <c r="AN93" s="325">
        <f t="shared" si="46"/>
        <v>285.92571716160569</v>
      </c>
      <c r="AO93" s="95">
        <f t="shared" si="51"/>
        <v>2172.9908222466429</v>
      </c>
      <c r="AP93" s="96"/>
      <c r="AQ93" s="97">
        <f t="shared" si="7"/>
        <v>1283.03</v>
      </c>
      <c r="AR93" s="98">
        <f t="shared" si="29"/>
        <v>139.47</v>
      </c>
      <c r="AS93" s="98">
        <f t="shared" si="9"/>
        <v>486.97166666666652</v>
      </c>
      <c r="AT93" s="98">
        <f t="shared" si="10"/>
        <v>188.81428571428569</v>
      </c>
      <c r="AU93" s="98">
        <f t="shared" si="52"/>
        <v>0</v>
      </c>
      <c r="AV93" s="98">
        <f t="array" ref="AV93">_xlfn.IFS(U93=0,AO93,U93&lt;0,AO93/-U93,U93&gt;0,AO93/U93)</f>
        <v>362.16513704110713</v>
      </c>
      <c r="AW93" s="234">
        <f t="shared" si="38"/>
        <v>0.28227331944000306</v>
      </c>
      <c r="AX93" s="234">
        <f t="shared" si="39"/>
        <v>2.5967242922571674</v>
      </c>
      <c r="AY93" s="99"/>
      <c r="AZ93" s="94">
        <f t="shared" si="13"/>
        <v>15573.100892767607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0"/>
        <v>0</v>
      </c>
      <c r="F94" s="93">
        <f>'Юнит 13'!F94</f>
        <v>0</v>
      </c>
      <c r="G94" s="93">
        <f>'Юнит 13'!G94</f>
        <v>0</v>
      </c>
      <c r="H94" s="93">
        <f>'Юнит 13'!H94</f>
        <v>0</v>
      </c>
      <c r="I94" s="93">
        <f>'Юнит 13'!I94</f>
        <v>0</v>
      </c>
      <c r="J94" s="93">
        <f>'Юнит 13'!J94</f>
        <v>0</v>
      </c>
      <c r="K94" s="93">
        <v>400.08</v>
      </c>
      <c r="L94" s="92">
        <f t="shared" si="36"/>
        <v>0</v>
      </c>
      <c r="M94" s="89">
        <f>'Юнит 13'!M94</f>
        <v>1</v>
      </c>
      <c r="N94" s="89">
        <f>'Юнит 10'!N94+'Юнит 11'!N94+'Юнит 12'!N94+'Юнит 13'!N94</f>
        <v>0</v>
      </c>
      <c r="O94" s="89">
        <v>0</v>
      </c>
      <c r="P94" s="399">
        <v>0</v>
      </c>
      <c r="Q94" s="406"/>
      <c r="R94" s="92">
        <f t="shared" si="47"/>
        <v>0.14285714285714285</v>
      </c>
      <c r="S94" s="89">
        <f>'Юнит 10'!S94+'Юнит 11'!S94+'Юнит 12'!S94+'Юнит 13'!S94</f>
        <v>1</v>
      </c>
      <c r="T94" s="89">
        <f>'Юнит 10'!T94+'Юнит 11'!T94+'Юнит 12'!T94+'Юнит 13'!T94</f>
        <v>0</v>
      </c>
      <c r="U94" s="92">
        <f t="shared" si="41"/>
        <v>1</v>
      </c>
      <c r="V94" s="89">
        <f>'Юнит 10'!V94+'Юнит 11'!V94+'Юнит 12'!V94+'Юнит 13'!V94</f>
        <v>830</v>
      </c>
      <c r="W94" s="89">
        <f>'Юнит 10'!W94+'Юнит 11'!W94+'Юнит 12'!W94+'Юнит 13'!W94</f>
        <v>0</v>
      </c>
      <c r="X94" s="92">
        <f t="shared" si="42"/>
        <v>830</v>
      </c>
      <c r="Y94" s="89">
        <f>'Юнит 10'!Y94+'Юнит 11'!Y94+'Юнит 12'!Y94+'Юнит 13'!Y94</f>
        <v>1297</v>
      </c>
      <c r="Z94" s="89">
        <f>'Юнит 10'!Z94+'Юнит 11'!Z94+'Юнит 12'!Z94+'Юнит 13'!Z94</f>
        <v>0</v>
      </c>
      <c r="AA94" s="232">
        <f t="shared" si="48"/>
        <v>1297</v>
      </c>
      <c r="AB94" s="92">
        <f t="shared" si="49"/>
        <v>0</v>
      </c>
      <c r="AC94" s="234">
        <f t="shared" si="43"/>
        <v>7.1238422825303007E-5</v>
      </c>
      <c r="AD94" s="92">
        <f t="shared" si="44"/>
        <v>400.08</v>
      </c>
      <c r="AE94" s="89">
        <f>'Юнит 10'!AE94+'Юнит 11'!AE94+'Юнит 12'!AE94+'Юнит 13'!AE94</f>
        <v>490.39</v>
      </c>
      <c r="AF94" s="234">
        <f t="shared" si="45"/>
        <v>0.37809560524286817</v>
      </c>
      <c r="AG94" s="89">
        <f>'Юнит 10'!AG94+'Юнит 11'!AG94+'Юнит 12'!AG94+'Юнит 13'!AG94</f>
        <v>47.32</v>
      </c>
      <c r="AH94" s="89">
        <f>'Юнит 10'!AH94+'Юнит 11'!AH94+'Юнит 12'!AH94+'Юнит 13'!AH94</f>
        <v>0</v>
      </c>
      <c r="AI94" s="89">
        <f>'Юнит 10'!AI94+'Юнит 11'!AI94+'Юнит 12'!AI94+'Юнит 13'!AI94</f>
        <v>0</v>
      </c>
      <c r="AJ94" s="89">
        <f>'Юнит 10'!AJ94+'Юнит 11'!AJ94+'Юнит 12'!AJ94+'Юнит 13'!AJ94</f>
        <v>0</v>
      </c>
      <c r="AK94" s="89">
        <f>'Юнит 10'!AK94+'Юнит 11'!AK94+'Юнит 12'!AK94+'Юнит 13'!AK94</f>
        <v>0</v>
      </c>
      <c r="AL94" s="89">
        <f>'Юнит 10'!AL94+'Юнит 11'!AL94+'Юнит 12'!AL94+'Юнит 13'!AL94</f>
        <v>0</v>
      </c>
      <c r="AM94" s="89">
        <f>'Юнит 10'!AM94+'Юнит 11'!AM94+'Юнит 12'!AM94+'Юнит 13'!AM94</f>
        <v>0</v>
      </c>
      <c r="AN94" s="325">
        <f t="shared" si="46"/>
        <v>46.324367553222586</v>
      </c>
      <c r="AO94" s="95">
        <f t="shared" si="51"/>
        <v>312.88563244677749</v>
      </c>
      <c r="AP94" s="96"/>
      <c r="AQ94" s="97">
        <f t="shared" si="7"/>
        <v>1297</v>
      </c>
      <c r="AR94" s="98">
        <f t="shared" si="29"/>
        <v>400.08</v>
      </c>
      <c r="AS94" s="98">
        <f t="shared" si="9"/>
        <v>490.39</v>
      </c>
      <c r="AT94" s="98">
        <f t="shared" si="10"/>
        <v>47.32</v>
      </c>
      <c r="AU94" s="98">
        <f t="shared" si="52"/>
        <v>0</v>
      </c>
      <c r="AV94" s="98">
        <f t="array" ref="AV94">_xlfn.IFS(U94=0,AO94,U94&lt;0,AO94/-U94,U94&gt;0,AO94/U94)</f>
        <v>312.88563244677749</v>
      </c>
      <c r="AW94" s="234">
        <f t="shared" si="38"/>
        <v>0.24123795870992867</v>
      </c>
      <c r="AX94" s="234">
        <f t="shared" si="39"/>
        <v>0.78205766958302714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0"/>
        <v>0</v>
      </c>
      <c r="F95" s="93">
        <f>'Юнит 13'!F95</f>
        <v>0</v>
      </c>
      <c r="G95" s="93">
        <f>'Юнит 13'!G95</f>
        <v>0</v>
      </c>
      <c r="H95" s="93">
        <f>'Юнит 13'!H95</f>
        <v>0</v>
      </c>
      <c r="I95" s="93">
        <f>'Юнит 13'!I95</f>
        <v>0</v>
      </c>
      <c r="J95" s="93">
        <f>'Юнит 13'!J95</f>
        <v>0</v>
      </c>
      <c r="K95" s="93">
        <v>400.08</v>
      </c>
      <c r="L95" s="92">
        <f t="shared" si="36"/>
        <v>0</v>
      </c>
      <c r="M95" s="89">
        <f>'Юнит 13'!M95</f>
        <v>1</v>
      </c>
      <c r="N95" s="89">
        <f>'Юнит 10'!N95+'Юнит 11'!N95+'Юнит 12'!N95+'Юнит 13'!N95</f>
        <v>0</v>
      </c>
      <c r="O95" s="89">
        <v>0</v>
      </c>
      <c r="P95" s="399">
        <v>0</v>
      </c>
      <c r="Q95" s="406"/>
      <c r="R95" s="92">
        <f t="shared" si="47"/>
        <v>0</v>
      </c>
      <c r="S95" s="89">
        <f>'Юнит 10'!S95+'Юнит 11'!S95+'Юнит 12'!S95+'Юнит 13'!S95</f>
        <v>0</v>
      </c>
      <c r="T95" s="89">
        <f>'Юнит 10'!T95+'Юнит 11'!T95+'Юнит 12'!T95+'Юнит 13'!T95</f>
        <v>0</v>
      </c>
      <c r="U95" s="92">
        <f t="shared" si="41"/>
        <v>0</v>
      </c>
      <c r="V95" s="89">
        <f>'Юнит 10'!V95+'Юнит 11'!V95+'Юнит 12'!V95+'Юнит 13'!V95</f>
        <v>0</v>
      </c>
      <c r="W95" s="89">
        <f>'Юнит 10'!W95+'Юнит 11'!W95+'Юнит 12'!W95+'Юнит 13'!W95</f>
        <v>0</v>
      </c>
      <c r="X95" s="92">
        <f t="shared" si="42"/>
        <v>0</v>
      </c>
      <c r="Y95" s="89">
        <f>'Юнит 10'!Y95+'Юнит 11'!Y95+'Юнит 12'!Y95+'Юнит 13'!Y95</f>
        <v>0</v>
      </c>
      <c r="Z95" s="89">
        <f>'Юнит 10'!Z95+'Юнит 11'!Z95+'Юнит 12'!Z95+'Юнит 13'!Z95</f>
        <v>0</v>
      </c>
      <c r="AA95" s="232">
        <f t="shared" si="48"/>
        <v>0</v>
      </c>
      <c r="AB95" s="92">
        <f t="shared" si="49"/>
        <v>0</v>
      </c>
      <c r="AC95" s="234">
        <f t="shared" si="43"/>
        <v>0</v>
      </c>
      <c r="AD95" s="92">
        <f t="shared" si="44"/>
        <v>0</v>
      </c>
      <c r="AE95" s="89">
        <f>'Юнит 10'!AE95+'Юнит 11'!AE95+'Юнит 12'!AE95+'Юнит 13'!AE95</f>
        <v>0</v>
      </c>
      <c r="AF95" s="234">
        <f t="shared" si="45"/>
        <v>0</v>
      </c>
      <c r="AG95" s="89">
        <f>'Юнит 10'!AG95+'Юнит 11'!AG95+'Юнит 12'!AG95+'Юнит 13'!AG95</f>
        <v>0</v>
      </c>
      <c r="AH95" s="89">
        <f>'Юнит 10'!AH95+'Юнит 11'!AH95+'Юнит 12'!AH95+'Юнит 13'!AH95</f>
        <v>0</v>
      </c>
      <c r="AI95" s="89">
        <f>'Юнит 10'!AI95+'Юнит 11'!AI95+'Юнит 12'!AI95+'Юнит 13'!AI95</f>
        <v>0</v>
      </c>
      <c r="AJ95" s="89">
        <f>'Юнит 10'!AJ95+'Юнит 11'!AJ95+'Юнит 12'!AJ95+'Юнит 13'!AJ95</f>
        <v>0</v>
      </c>
      <c r="AK95" s="89">
        <f>'Юнит 10'!AK95+'Юнит 11'!AK95+'Юнит 12'!AK95+'Юнит 13'!AK95</f>
        <v>0</v>
      </c>
      <c r="AL95" s="89">
        <f>'Юнит 10'!AL95+'Юнит 11'!AL95+'Юнит 12'!AL95+'Юнит 13'!AL95</f>
        <v>0</v>
      </c>
      <c r="AM95" s="89">
        <f>'Юнит 10'!AM95+'Юнит 11'!AM95+'Юнит 12'!AM95+'Юнит 13'!AM95</f>
        <v>0</v>
      </c>
      <c r="AN95" s="325">
        <f t="shared" si="46"/>
        <v>0</v>
      </c>
      <c r="AO95" s="95">
        <f t="shared" si="51"/>
        <v>0</v>
      </c>
      <c r="AP95" s="96"/>
      <c r="AQ95" s="97">
        <f t="shared" si="7"/>
        <v>0</v>
      </c>
      <c r="AR95" s="98">
        <f t="shared" si="29"/>
        <v>400.08</v>
      </c>
      <c r="AS95" s="98">
        <f t="shared" si="9"/>
        <v>0</v>
      </c>
      <c r="AT95" s="98">
        <f t="shared" si="10"/>
        <v>0</v>
      </c>
      <c r="AU95" s="98">
        <f t="shared" si="52"/>
        <v>0</v>
      </c>
      <c r="AV95" s="98">
        <f t="array" ref="AV95">_xlfn.IFS(U95=0,AO95,U95&lt;0,AO95/-U95,U95&gt;0,AO95/U95)</f>
        <v>0</v>
      </c>
      <c r="AW95" s="234">
        <f t="shared" si="38"/>
        <v>0</v>
      </c>
      <c r="AX95" s="234">
        <f t="shared" si="39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0"/>
        <v>0</v>
      </c>
      <c r="F96" s="93">
        <f>'Юнит 13'!F96</f>
        <v>0</v>
      </c>
      <c r="G96" s="93">
        <f>'Юнит 13'!G96</f>
        <v>0</v>
      </c>
      <c r="H96" s="93">
        <f>'Юнит 13'!H96</f>
        <v>0</v>
      </c>
      <c r="I96" s="93">
        <f>'Юнит 13'!I96</f>
        <v>0</v>
      </c>
      <c r="J96" s="93">
        <f>'Юнит 13'!J96</f>
        <v>0</v>
      </c>
      <c r="K96" s="93">
        <v>300.08</v>
      </c>
      <c r="L96" s="92">
        <f t="shared" si="36"/>
        <v>0</v>
      </c>
      <c r="M96" s="89">
        <f>'Юнит 13'!M96</f>
        <v>1</v>
      </c>
      <c r="N96" s="89">
        <f>'Юнит 10'!N96+'Юнит 11'!N96+'Юнит 12'!N96+'Юнит 13'!N96</f>
        <v>0</v>
      </c>
      <c r="O96" s="89">
        <v>0</v>
      </c>
      <c r="P96" s="399">
        <v>0</v>
      </c>
      <c r="Q96" s="406"/>
      <c r="R96" s="92">
        <f t="shared" si="47"/>
        <v>0</v>
      </c>
      <c r="S96" s="89">
        <f>'Юнит 10'!S96+'Юнит 11'!S96+'Юнит 12'!S96+'Юнит 13'!S96</f>
        <v>0</v>
      </c>
      <c r="T96" s="89">
        <f>'Юнит 10'!T96+'Юнит 11'!T96+'Юнит 12'!T96+'Юнит 13'!T96</f>
        <v>0</v>
      </c>
      <c r="U96" s="92">
        <f t="shared" si="41"/>
        <v>0</v>
      </c>
      <c r="V96" s="89">
        <f>'Юнит 10'!V96+'Юнит 11'!V96+'Юнит 12'!V96+'Юнит 13'!V96</f>
        <v>0</v>
      </c>
      <c r="W96" s="89">
        <f>'Юнит 10'!W96+'Юнит 11'!W96+'Юнит 12'!W96+'Юнит 13'!W96</f>
        <v>0</v>
      </c>
      <c r="X96" s="92">
        <f t="shared" si="42"/>
        <v>0</v>
      </c>
      <c r="Y96" s="89">
        <f>'Юнит 10'!Y96+'Юнит 11'!Y96+'Юнит 12'!Y96+'Юнит 13'!Y96</f>
        <v>0</v>
      </c>
      <c r="Z96" s="89">
        <f>'Юнит 10'!Z96+'Юнит 11'!Z96+'Юнит 12'!Z96+'Юнит 13'!Z96</f>
        <v>0</v>
      </c>
      <c r="AA96" s="232">
        <f t="shared" si="48"/>
        <v>0</v>
      </c>
      <c r="AB96" s="92">
        <f t="shared" si="49"/>
        <v>0</v>
      </c>
      <c r="AC96" s="234">
        <f t="shared" si="43"/>
        <v>0</v>
      </c>
      <c r="AD96" s="92">
        <f t="shared" si="44"/>
        <v>0</v>
      </c>
      <c r="AE96" s="89">
        <f>'Юнит 10'!AE96+'Юнит 11'!AE96+'Юнит 12'!AE96+'Юнит 13'!AE96</f>
        <v>0</v>
      </c>
      <c r="AF96" s="234">
        <f t="shared" si="45"/>
        <v>0</v>
      </c>
      <c r="AG96" s="89">
        <f>'Юнит 10'!AG96+'Юнит 11'!AG96+'Юнит 12'!AG96+'Юнит 13'!AG96</f>
        <v>0</v>
      </c>
      <c r="AH96" s="89">
        <f>'Юнит 10'!AH96+'Юнит 11'!AH96+'Юнит 12'!AH96+'Юнит 13'!AH96</f>
        <v>0</v>
      </c>
      <c r="AI96" s="89">
        <f>'Юнит 10'!AI96+'Юнит 11'!AI96+'Юнит 12'!AI96+'Юнит 13'!AI96</f>
        <v>0</v>
      </c>
      <c r="AJ96" s="89">
        <f>'Юнит 10'!AJ96+'Юнит 11'!AJ96+'Юнит 12'!AJ96+'Юнит 13'!AJ96</f>
        <v>0</v>
      </c>
      <c r="AK96" s="89">
        <f>'Юнит 10'!AK96+'Юнит 11'!AK96+'Юнит 12'!AK96+'Юнит 13'!AK96</f>
        <v>0</v>
      </c>
      <c r="AL96" s="89">
        <f>'Юнит 10'!AL96+'Юнит 11'!AL96+'Юнит 12'!AL96+'Юнит 13'!AL96</f>
        <v>0</v>
      </c>
      <c r="AM96" s="89">
        <f>'Юнит 10'!AM96+'Юнит 11'!AM96+'Юнит 12'!AM96+'Юнит 13'!AM96</f>
        <v>0</v>
      </c>
      <c r="AN96" s="325">
        <f t="shared" si="46"/>
        <v>0</v>
      </c>
      <c r="AO96" s="95">
        <f t="shared" si="51"/>
        <v>0</v>
      </c>
      <c r="AP96" s="96"/>
      <c r="AQ96" s="97">
        <f t="shared" si="7"/>
        <v>0</v>
      </c>
      <c r="AR96" s="98">
        <f t="shared" si="29"/>
        <v>300.08</v>
      </c>
      <c r="AS96" s="98">
        <f t="shared" si="9"/>
        <v>0</v>
      </c>
      <c r="AT96" s="98">
        <f t="shared" si="10"/>
        <v>0</v>
      </c>
      <c r="AU96" s="98">
        <f t="shared" si="52"/>
        <v>0</v>
      </c>
      <c r="AV96" s="98">
        <f t="array" ref="AV96">_xlfn.IFS(U96=0,AO96,U96&lt;0,AO96/-U96,U96&gt;0,AO96/U96)</f>
        <v>0</v>
      </c>
      <c r="AW96" s="234">
        <f t="shared" si="38"/>
        <v>0</v>
      </c>
      <c r="AX96" s="234">
        <f t="shared" si="39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0"/>
        <v>2</v>
      </c>
      <c r="F97" s="93">
        <f>'Юнит 13'!F97</f>
        <v>2</v>
      </c>
      <c r="G97" s="93" t="str">
        <f>'Юнит 13'!G97</f>
        <v/>
      </c>
      <c r="H97" s="93" t="str">
        <f>'Юнит 13'!H97</f>
        <v/>
      </c>
      <c r="I97" s="93">
        <f>'Юнит 13'!I97</f>
        <v>0</v>
      </c>
      <c r="J97" s="93">
        <f>'Юнит 13'!J97</f>
        <v>0</v>
      </c>
      <c r="K97" s="93">
        <v>400.08</v>
      </c>
      <c r="L97" s="92">
        <f t="shared" si="36"/>
        <v>800.16</v>
      </c>
      <c r="M97" s="89">
        <f>'Юнит 13'!M97</f>
        <v>19</v>
      </c>
      <c r="N97" s="89">
        <f>'Юнит 10'!N97+'Юнит 11'!N97+'Юнит 12'!N97+'Юнит 13'!N97</f>
        <v>7</v>
      </c>
      <c r="O97" s="89">
        <v>1509</v>
      </c>
      <c r="P97" s="399">
        <v>0.4</v>
      </c>
      <c r="Q97" s="406">
        <f t="shared" si="50"/>
        <v>0.2857142857142857</v>
      </c>
      <c r="R97" s="92">
        <f t="shared" si="47"/>
        <v>0.2857142857142857</v>
      </c>
      <c r="S97" s="89">
        <f>'Юнит 10'!S97+'Юнит 11'!S97+'Юнит 12'!S97+'Юнит 13'!S97</f>
        <v>2</v>
      </c>
      <c r="T97" s="89">
        <f>'Юнит 10'!T97+'Юнит 11'!T97+'Юнит 12'!T97+'Юнит 13'!T97</f>
        <v>0</v>
      </c>
      <c r="U97" s="92">
        <f t="shared" si="41"/>
        <v>2</v>
      </c>
      <c r="V97" s="89">
        <f>'Юнит 10'!V97+'Юнит 11'!V97+'Юнит 12'!V97+'Юнит 13'!V97</f>
        <v>1880</v>
      </c>
      <c r="W97" s="89">
        <f>'Юнит 10'!W97+'Юнит 11'!W97+'Юнит 12'!W97+'Юнит 13'!W97</f>
        <v>0</v>
      </c>
      <c r="X97" s="92">
        <f t="shared" si="42"/>
        <v>1880</v>
      </c>
      <c r="Y97" s="89">
        <f>'Юнит 10'!Y97+'Юнит 11'!Y97+'Юнит 12'!Y97+'Юнит 13'!Y97</f>
        <v>2988</v>
      </c>
      <c r="Z97" s="89">
        <f>'Юнит 10'!Z97+'Юнит 11'!Z97+'Юнит 12'!Z97+'Юнит 13'!Z97</f>
        <v>0</v>
      </c>
      <c r="AA97" s="232">
        <f t="shared" si="48"/>
        <v>2988</v>
      </c>
      <c r="AB97" s="92">
        <f t="shared" si="49"/>
        <v>42.251999999999995</v>
      </c>
      <c r="AC97" s="234">
        <f t="shared" si="43"/>
        <v>1.641175076345454E-4</v>
      </c>
      <c r="AD97" s="92">
        <f t="shared" si="44"/>
        <v>800.16</v>
      </c>
      <c r="AE97" s="89">
        <f>'Юнит 10'!AE97+'Юнит 11'!AE97+'Юнит 12'!AE97+'Юнит 13'!AE97</f>
        <v>1111.8899999999999</v>
      </c>
      <c r="AF97" s="234">
        <f t="shared" si="45"/>
        <v>0.37211847389558228</v>
      </c>
      <c r="AG97" s="89">
        <f>'Юнит 10'!AG97+'Юнит 11'!AG97+'Юнит 12'!AG97+'Юнит 13'!AG97</f>
        <v>426.75</v>
      </c>
      <c r="AH97" s="89">
        <f>'Юнит 10'!AH97+'Юнит 11'!AH97+'Юнит 12'!AH97+'Юнит 13'!AH97</f>
        <v>0</v>
      </c>
      <c r="AI97" s="89">
        <f>'Юнит 10'!AI97+'Юнит 11'!AI97+'Юнит 12'!AI97+'Юнит 13'!AI97</f>
        <v>0</v>
      </c>
      <c r="AJ97" s="89">
        <f>'Юнит 10'!AJ97+'Юнит 11'!AJ97+'Юнит 12'!AJ97+'Юнит 13'!AJ97</f>
        <v>0</v>
      </c>
      <c r="AK97" s="89">
        <f>'Юнит 10'!AK97+'Юнит 11'!AK97+'Юнит 12'!AK97+'Юнит 13'!AK97</f>
        <v>0</v>
      </c>
      <c r="AL97" s="89">
        <f>'Юнит 10'!AL97+'Юнит 11'!AL97+'Юнит 12'!AL97+'Юнит 13'!AL97</f>
        <v>4.3409030426833741</v>
      </c>
      <c r="AM97" s="89">
        <f>'Юнит 10'!AM97+'Юнит 11'!AM97+'Юнит 12'!AM97+'Юнит 13'!AM97</f>
        <v>0</v>
      </c>
      <c r="AN97" s="325">
        <f t="shared" si="46"/>
        <v>104.92748313260054</v>
      </c>
      <c r="AO97" s="95">
        <f t="shared" si="51"/>
        <v>539.93161382471635</v>
      </c>
      <c r="AP97" s="96"/>
      <c r="AQ97" s="97">
        <f t="shared" si="7"/>
        <v>1494</v>
      </c>
      <c r="AR97" s="98">
        <f t="shared" si="29"/>
        <v>400.08</v>
      </c>
      <c r="AS97" s="98">
        <f t="shared" si="9"/>
        <v>555.94499999999994</v>
      </c>
      <c r="AT97" s="98">
        <f t="shared" si="10"/>
        <v>213.375</v>
      </c>
      <c r="AU97" s="98">
        <f t="shared" si="52"/>
        <v>0</v>
      </c>
      <c r="AV97" s="98">
        <f t="array" ref="AV97">_xlfn.IFS(U97=0,AO97,U97&lt;0,AO97/-U97,U97&gt;0,AO97/U97)</f>
        <v>269.96580691235818</v>
      </c>
      <c r="AW97" s="234">
        <f t="shared" si="38"/>
        <v>0.18070000462674576</v>
      </c>
      <c r="AX97" s="234">
        <f t="shared" si="39"/>
        <v>0.67477956136862172</v>
      </c>
      <c r="AY97" s="99"/>
      <c r="AZ97" s="94">
        <f t="shared" si="13"/>
        <v>539.93161382471635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0"/>
        <v>12</v>
      </c>
      <c r="F98" s="93">
        <f>'Юнит 13'!F98</f>
        <v>1</v>
      </c>
      <c r="G98" s="93" t="str">
        <f>'Юнит 13'!G98</f>
        <v/>
      </c>
      <c r="H98" s="93">
        <f>'Юнит 13'!H98</f>
        <v>11</v>
      </c>
      <c r="I98" s="93">
        <f>'Юнит 13'!I98</f>
        <v>0</v>
      </c>
      <c r="J98" s="93">
        <f>'Юнит 13'!J98</f>
        <v>0</v>
      </c>
      <c r="K98" s="93">
        <v>300.08</v>
      </c>
      <c r="L98" s="92">
        <f t="shared" si="36"/>
        <v>3600.96</v>
      </c>
      <c r="M98" s="89">
        <f>'Юнит 13'!M98</f>
        <v>999</v>
      </c>
      <c r="N98" s="89">
        <f>'Юнит 10'!N98+'Юнит 11'!N98+'Юнит 12'!N98+'Юнит 13'!N98</f>
        <v>4</v>
      </c>
      <c r="O98" s="89">
        <v>878</v>
      </c>
      <c r="P98" s="399">
        <v>0.4</v>
      </c>
      <c r="Q98" s="406">
        <f t="shared" si="50"/>
        <v>0.25</v>
      </c>
      <c r="R98" s="92">
        <f t="shared" si="47"/>
        <v>0.14285714285714285</v>
      </c>
      <c r="S98" s="89">
        <f>'Юнит 10'!S98+'Юнит 11'!S98+'Юнит 12'!S98+'Юнит 13'!S98</f>
        <v>1</v>
      </c>
      <c r="T98" s="89">
        <f>'Юнит 10'!T98+'Юнит 11'!T98+'Юнит 12'!T98+'Юнит 13'!T98</f>
        <v>0</v>
      </c>
      <c r="U98" s="92">
        <f t="shared" si="41"/>
        <v>1</v>
      </c>
      <c r="V98" s="89">
        <f>'Юнит 10'!V98+'Юнит 11'!V98+'Юнит 12'!V98+'Юнит 13'!V98</f>
        <v>556</v>
      </c>
      <c r="W98" s="89">
        <f>'Юнит 10'!W98+'Юнит 11'!W98+'Юнит 12'!W98+'Юнит 13'!W98</f>
        <v>0</v>
      </c>
      <c r="X98" s="92">
        <f t="shared" si="42"/>
        <v>556</v>
      </c>
      <c r="Y98" s="89">
        <f>'Юнит 10'!Y98+'Юнит 11'!Y98+'Юнит 12'!Y98+'Юнит 13'!Y98</f>
        <v>878</v>
      </c>
      <c r="Z98" s="89">
        <f>'Юнит 10'!Z98+'Юнит 11'!Z98+'Юнит 12'!Z98+'Юнит 13'!Z98</f>
        <v>0</v>
      </c>
      <c r="AA98" s="232">
        <f t="shared" si="48"/>
        <v>878</v>
      </c>
      <c r="AB98" s="92">
        <f t="shared" si="49"/>
        <v>14.048000000000002</v>
      </c>
      <c r="AC98" s="234">
        <f t="shared" si="43"/>
        <v>4.8224622390606044E-5</v>
      </c>
      <c r="AD98" s="92">
        <f t="shared" si="44"/>
        <v>300.08</v>
      </c>
      <c r="AE98" s="89">
        <f>'Юнит 10'!AE98+'Юнит 11'!AE98+'Юнит 12'!AE98+'Юнит 13'!AE98</f>
        <v>331.74</v>
      </c>
      <c r="AF98" s="234">
        <f t="shared" si="45"/>
        <v>0.37783599088838271</v>
      </c>
      <c r="AG98" s="89">
        <f>'Юнит 10'!AG98+'Юнит 11'!AG98+'Юнит 12'!AG98+'Юнит 13'!AG98</f>
        <v>429.5</v>
      </c>
      <c r="AH98" s="89">
        <f>'Юнит 10'!AH98+'Юнит 11'!AH98+'Юнит 12'!AH98+'Юнит 13'!AH98</f>
        <v>0</v>
      </c>
      <c r="AI98" s="89">
        <f>'Юнит 10'!AI98+'Юнит 11'!AI98+'Юнит 12'!AI98+'Юнит 13'!AI98</f>
        <v>0</v>
      </c>
      <c r="AJ98" s="89">
        <f>'Юнит 10'!AJ98+'Юнит 11'!AJ98+'Юнит 12'!AJ98+'Юнит 13'!AJ98</f>
        <v>0</v>
      </c>
      <c r="AK98" s="89">
        <f>'Юнит 10'!AK98+'Юнит 11'!AK98+'Юнит 12'!AK98+'Юнит 13'!AK98</f>
        <v>0</v>
      </c>
      <c r="AL98" s="89">
        <f>'Юнит 10'!AL98+'Юнит 11'!AL98+'Юнит 12'!AL98+'Юнит 13'!AL98</f>
        <v>46.639272306778459</v>
      </c>
      <c r="AM98" s="89">
        <f>'Юнит 10'!AM98+'Юнит 11'!AM98+'Юнит 12'!AM98+'Юнит 13'!AM98</f>
        <v>0</v>
      </c>
      <c r="AN98" s="325">
        <f t="shared" si="46"/>
        <v>31.031745011556332</v>
      </c>
      <c r="AO98" s="95">
        <f t="shared" si="51"/>
        <v>-260.99101731833474</v>
      </c>
      <c r="AP98" s="96"/>
      <c r="AQ98" s="97">
        <f t="shared" ref="AQ98:AQ103" si="53">IF(U98=0,0,AA98/U98)</f>
        <v>878</v>
      </c>
      <c r="AR98" s="98">
        <f t="shared" si="29"/>
        <v>300.08</v>
      </c>
      <c r="AS98" s="98">
        <f t="shared" ref="AS98:AS103" si="54">IF(U98=0,0,AE98/U98)</f>
        <v>331.74</v>
      </c>
      <c r="AT98" s="98">
        <f t="shared" ref="AT98:AT103" si="55">IF(S98=0,AG98/1,AG98/S98)</f>
        <v>429.5</v>
      </c>
      <c r="AU98" s="98">
        <f t="shared" si="52"/>
        <v>0</v>
      </c>
      <c r="AV98" s="98">
        <f t="array" ref="AV98">_xlfn.IFS(U98=0,AO98,U98&lt;0,AO98/-U98,U98&gt;0,AO98/U98)</f>
        <v>-260.99101731833474</v>
      </c>
      <c r="AW98" s="234">
        <f t="shared" si="38"/>
        <v>-0.29725628396165688</v>
      </c>
      <c r="AX98" s="234">
        <f t="shared" si="39"/>
        <v>-0.86973812756043312</v>
      </c>
      <c r="AY98" s="99"/>
      <c r="AZ98" s="94">
        <f t="shared" ref="AZ98:AZ103" si="56">AV98*E98</f>
        <v>-3131.8922078200167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0"/>
        <v>0</v>
      </c>
      <c r="F99" s="93">
        <f>'Юнит 13'!F99</f>
        <v>0</v>
      </c>
      <c r="G99" s="93">
        <f>'Юнит 13'!G99</f>
        <v>0</v>
      </c>
      <c r="H99" s="93">
        <f>'Юнит 13'!H99</f>
        <v>0</v>
      </c>
      <c r="I99" s="93">
        <f>'Юнит 13'!I99</f>
        <v>0</v>
      </c>
      <c r="J99" s="93">
        <f>'Юнит 13'!J99</f>
        <v>0</v>
      </c>
      <c r="K99" s="93">
        <v>142.97999999999999</v>
      </c>
      <c r="L99" s="92">
        <f t="shared" ref="L99:L103" si="57">E99*K99</f>
        <v>0</v>
      </c>
      <c r="M99" s="89">
        <f>'Юнит 13'!M99</f>
        <v>0</v>
      </c>
      <c r="N99" s="89">
        <f>'Юнит 10'!N99+'Юнит 11'!N99+'Юнит 12'!N99+'Юнит 13'!N99</f>
        <v>0</v>
      </c>
      <c r="O99" s="89">
        <v>0</v>
      </c>
      <c r="P99" s="399">
        <v>0</v>
      </c>
      <c r="Q99" s="406"/>
      <c r="R99" s="92">
        <f t="shared" si="47"/>
        <v>0</v>
      </c>
      <c r="S99" s="89">
        <f>'Юнит 10'!S99+'Юнит 11'!S99+'Юнит 12'!S99+'Юнит 13'!S99</f>
        <v>0</v>
      </c>
      <c r="T99" s="89">
        <f>'Юнит 10'!T99+'Юнит 11'!T99+'Юнит 12'!T99+'Юнит 13'!T99</f>
        <v>0</v>
      </c>
      <c r="U99" s="92">
        <f t="shared" si="41"/>
        <v>0</v>
      </c>
      <c r="V99" s="89">
        <f>'Юнит 10'!V99+'Юнит 11'!V99+'Юнит 12'!V99+'Юнит 13'!V99</f>
        <v>0</v>
      </c>
      <c r="W99" s="89">
        <f>'Юнит 10'!W99+'Юнит 11'!W99+'Юнит 12'!W99+'Юнит 13'!W99</f>
        <v>0</v>
      </c>
      <c r="X99" s="92">
        <f t="shared" si="42"/>
        <v>0</v>
      </c>
      <c r="Y99" s="89">
        <f>'Юнит 10'!Y99+'Юнит 11'!Y99+'Юнит 12'!Y99+'Юнит 13'!Y99</f>
        <v>0</v>
      </c>
      <c r="Z99" s="89">
        <f>'Юнит 10'!Z99+'Юнит 11'!Z99+'Юнит 12'!Z99+'Юнит 13'!Z99</f>
        <v>0</v>
      </c>
      <c r="AA99" s="232">
        <f t="shared" si="48"/>
        <v>0</v>
      </c>
      <c r="AB99" s="92">
        <f t="shared" si="49"/>
        <v>0</v>
      </c>
      <c r="AC99" s="234">
        <f t="shared" si="43"/>
        <v>0</v>
      </c>
      <c r="AD99" s="92">
        <f t="shared" si="44"/>
        <v>0</v>
      </c>
      <c r="AE99" s="89">
        <f>'Юнит 10'!AE99+'Юнит 11'!AE99+'Юнит 12'!AE99+'Юнит 13'!AE99</f>
        <v>0</v>
      </c>
      <c r="AF99" s="234">
        <f t="shared" si="45"/>
        <v>0</v>
      </c>
      <c r="AG99" s="89">
        <f>'Юнит 10'!AG99+'Юнит 11'!AG99+'Юнит 12'!AG99+'Юнит 13'!AG99</f>
        <v>0</v>
      </c>
      <c r="AH99" s="89">
        <f>'Юнит 10'!AH99+'Юнит 11'!AH99+'Юнит 12'!AH99+'Юнит 13'!AH99</f>
        <v>0</v>
      </c>
      <c r="AI99" s="89">
        <f>'Юнит 10'!AI99+'Юнит 11'!AI99+'Юнит 12'!AI99+'Юнит 13'!AI99</f>
        <v>0</v>
      </c>
      <c r="AJ99" s="89">
        <f>'Юнит 10'!AJ99+'Юнит 11'!AJ99+'Юнит 12'!AJ99+'Юнит 13'!AJ99</f>
        <v>0</v>
      </c>
      <c r="AK99" s="89">
        <f>'Юнит 10'!AK99+'Юнит 11'!AK99+'Юнит 12'!AK99+'Юнит 13'!AK99</f>
        <v>0</v>
      </c>
      <c r="AL99" s="89">
        <f>'Юнит 10'!AL99+'Юнит 11'!AL99+'Юнит 12'!AL99+'Юнит 13'!AL99</f>
        <v>0</v>
      </c>
      <c r="AM99" s="89">
        <f>'Юнит 10'!AM99+'Юнит 11'!AM99+'Юнит 12'!AM99+'Юнит 13'!AM99</f>
        <v>0</v>
      </c>
      <c r="AN99" s="325">
        <f t="shared" si="46"/>
        <v>0</v>
      </c>
      <c r="AO99" s="95">
        <f t="shared" si="51"/>
        <v>0</v>
      </c>
      <c r="AP99" s="96"/>
      <c r="AQ99" s="97">
        <f t="shared" si="53"/>
        <v>0</v>
      </c>
      <c r="AR99" s="98">
        <f t="shared" ref="AR99:AR103" si="58">K99</f>
        <v>142.97999999999999</v>
      </c>
      <c r="AS99" s="98">
        <f t="shared" si="54"/>
        <v>0</v>
      </c>
      <c r="AT99" s="98">
        <f t="shared" si="55"/>
        <v>0</v>
      </c>
      <c r="AU99" s="98">
        <f t="shared" si="52"/>
        <v>0</v>
      </c>
      <c r="AV99" s="98">
        <f t="array" ref="AV99">_xlfn.IFS(U99=0,AO99,U99&lt;0,AO99/-U99,U99&gt;0,AO99/U99)</f>
        <v>0</v>
      </c>
      <c r="AW99" s="234">
        <f t="shared" ref="AW99:AW103" si="59">IF(AQ99=0,0,AV99/AQ99)</f>
        <v>0</v>
      </c>
      <c r="AX99" s="234">
        <f t="shared" ref="AX99:AX103" si="60">IF(AR99=0,0,AV99/AR99)</f>
        <v>0</v>
      </c>
      <c r="AY99" s="99"/>
      <c r="AZ99" s="94">
        <f t="shared" si="56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0"/>
        <v>41</v>
      </c>
      <c r="F100" s="93">
        <f>'Юнит 13'!F100</f>
        <v>4</v>
      </c>
      <c r="G100" s="93">
        <f>'Юнит 13'!G100</f>
        <v>1</v>
      </c>
      <c r="H100" s="93">
        <f>'Юнит 13'!H100</f>
        <v>36</v>
      </c>
      <c r="I100" s="93">
        <f>'Юнит 13'!I100</f>
        <v>0</v>
      </c>
      <c r="J100" s="93">
        <f>'Юнит 13'!J100</f>
        <v>0</v>
      </c>
      <c r="K100" s="93">
        <v>142.97999999999999</v>
      </c>
      <c r="L100" s="92">
        <f t="shared" si="57"/>
        <v>5862.1799999999994</v>
      </c>
      <c r="M100" s="89">
        <f>'Юнит 13'!M100</f>
        <v>89</v>
      </c>
      <c r="N100" s="89">
        <f>'Юнит 10'!N100+'Юнит 11'!N100+'Юнит 12'!N100+'Юнит 13'!N100</f>
        <v>23</v>
      </c>
      <c r="O100" s="89">
        <v>1454</v>
      </c>
      <c r="P100" s="399">
        <v>0.45</v>
      </c>
      <c r="Q100" s="406">
        <f t="shared" si="50"/>
        <v>0.39130434782608697</v>
      </c>
      <c r="R100" s="92">
        <f t="shared" si="47"/>
        <v>1.2857142857142858</v>
      </c>
      <c r="S100" s="89">
        <f>'Юнит 10'!S100+'Юнит 11'!S100+'Юнит 12'!S100+'Юнит 13'!S100</f>
        <v>9</v>
      </c>
      <c r="T100" s="89">
        <f>'Юнит 10'!T100+'Юнит 11'!T100+'Юнит 12'!T100+'Юнит 13'!T100</f>
        <v>0</v>
      </c>
      <c r="U100" s="92">
        <f t="shared" si="41"/>
        <v>9</v>
      </c>
      <c r="V100" s="89">
        <f>'Юнит 10'!V100+'Юнит 11'!V100+'Юнит 12'!V100+'Юнит 13'!V100</f>
        <v>8520</v>
      </c>
      <c r="W100" s="89">
        <f>'Юнит 10'!W100+'Юнит 11'!W100+'Юнит 12'!W100+'Юнит 13'!W100</f>
        <v>0</v>
      </c>
      <c r="X100" s="92">
        <f t="shared" si="42"/>
        <v>8520</v>
      </c>
      <c r="Y100" s="89">
        <f>'Юнит 10'!Y100+'Юнит 11'!Y100+'Юнит 12'!Y100+'Юнит 13'!Y100</f>
        <v>13300</v>
      </c>
      <c r="Z100" s="89">
        <f>'Юнит 10'!Z100+'Юнит 11'!Z100+'Юнит 12'!Z100+'Юнит 13'!Z100</f>
        <v>0</v>
      </c>
      <c r="AA100" s="232">
        <f t="shared" si="48"/>
        <v>13300</v>
      </c>
      <c r="AB100" s="92">
        <f t="shared" si="49"/>
        <v>150.489</v>
      </c>
      <c r="AC100" s="234">
        <f t="shared" si="43"/>
        <v>7.3050965580303011E-4</v>
      </c>
      <c r="AD100" s="92">
        <f t="shared" si="44"/>
        <v>1286.82</v>
      </c>
      <c r="AE100" s="89">
        <f>'Юнит 10'!AE100+'Юнит 11'!AE100+'Юнит 12'!AE100+'Юнит 13'!AE100</f>
        <v>5029.0499999999993</v>
      </c>
      <c r="AF100" s="234">
        <f t="shared" si="45"/>
        <v>0.37812406015037586</v>
      </c>
      <c r="AG100" s="89">
        <f>'Юнит 10'!AG100+'Юнит 11'!AG100+'Юнит 12'!AG100+'Юнит 13'!AG100</f>
        <v>1360.1599999999999</v>
      </c>
      <c r="AH100" s="89">
        <f>'Юнит 10'!AH100+'Юнит 11'!AH100+'Юнит 12'!AH100+'Юнит 13'!AH100</f>
        <v>2000</v>
      </c>
      <c r="AI100" s="89">
        <f>'Юнит 10'!AI100+'Юнит 11'!AI100+'Юнит 12'!AI100+'Юнит 13'!AI100</f>
        <v>2500</v>
      </c>
      <c r="AJ100" s="89">
        <f>'Юнит 10'!AJ100+'Юнит 11'!AJ100+'Юнит 12'!AJ100+'Юнит 13'!AJ100</f>
        <v>0</v>
      </c>
      <c r="AK100" s="89">
        <f>'Юнит 10'!AK100+'Юнит 11'!AK100+'Юнит 12'!AK100+'Юнит 13'!AK100</f>
        <v>0</v>
      </c>
      <c r="AL100" s="89">
        <f>'Юнит 10'!AL100+'Юнит 11'!AL100+'Юнит 12'!AL100+'Юнит 13'!AL100</f>
        <v>164.3532420233939</v>
      </c>
      <c r="AM100" s="89">
        <f>'Юнит 10'!AM100+'Юнит 11'!AM100+'Юнит 12'!AM100+'Юнит 13'!AM100</f>
        <v>0</v>
      </c>
      <c r="AN100" s="325">
        <f t="shared" si="46"/>
        <v>475.52242355838121</v>
      </c>
      <c r="AO100" s="95">
        <f t="shared" si="51"/>
        <v>484.09433441822603</v>
      </c>
      <c r="AP100" s="96"/>
      <c r="AQ100" s="97">
        <f t="shared" si="53"/>
        <v>1477.7777777777778</v>
      </c>
      <c r="AR100" s="98">
        <f t="shared" si="58"/>
        <v>142.97999999999999</v>
      </c>
      <c r="AS100" s="98">
        <f t="shared" si="54"/>
        <v>558.7833333333333</v>
      </c>
      <c r="AT100" s="98">
        <f t="shared" si="55"/>
        <v>151.12888888888887</v>
      </c>
      <c r="AU100" s="98">
        <f t="shared" si="52"/>
        <v>500</v>
      </c>
      <c r="AV100" s="98">
        <f t="array" ref="AV100">_xlfn.IFS(U100=0,AO100,U100&lt;0,AO100/-U100,U100&gt;0,AO100/U100)</f>
        <v>53.788259379802895</v>
      </c>
      <c r="AW100" s="234">
        <f t="shared" si="59"/>
        <v>3.6398070257009474E-2</v>
      </c>
      <c r="AX100" s="234">
        <f t="shared" si="60"/>
        <v>0.37619428857044973</v>
      </c>
      <c r="AY100" s="99"/>
      <c r="AZ100" s="94">
        <f t="shared" si="56"/>
        <v>2205.3186345719187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0"/>
        <v>0</v>
      </c>
      <c r="F101" s="93">
        <f>'Юнит 13'!F101</f>
        <v>0</v>
      </c>
      <c r="G101" s="93">
        <f>'Юнит 13'!G101</f>
        <v>0</v>
      </c>
      <c r="H101" s="93">
        <f>'Юнит 13'!H101</f>
        <v>0</v>
      </c>
      <c r="I101" s="93">
        <f>'Юнит 13'!I101</f>
        <v>0</v>
      </c>
      <c r="J101" s="93">
        <f>'Юнит 13'!J101</f>
        <v>0</v>
      </c>
      <c r="K101" s="92">
        <v>123.09</v>
      </c>
      <c r="L101" s="92">
        <f t="shared" si="57"/>
        <v>0</v>
      </c>
      <c r="M101" s="89">
        <f>'Юнит 13'!M101</f>
        <v>0</v>
      </c>
      <c r="N101" s="89">
        <f>'Юнит 10'!N101+'Юнит 11'!N101+'Юнит 12'!N101+'Юнит 13'!N101</f>
        <v>0</v>
      </c>
      <c r="O101" s="89">
        <v>0</v>
      </c>
      <c r="P101" s="399">
        <v>0</v>
      </c>
      <c r="Q101" s="406"/>
      <c r="R101" s="92">
        <f t="shared" si="47"/>
        <v>0</v>
      </c>
      <c r="S101" s="89">
        <f>'Юнит 10'!S101+'Юнит 11'!S101+'Юнит 12'!S101+'Юнит 13'!S101</f>
        <v>0</v>
      </c>
      <c r="T101" s="89">
        <f>'Юнит 10'!T101+'Юнит 11'!T101+'Юнит 12'!T101+'Юнит 13'!T101</f>
        <v>0</v>
      </c>
      <c r="U101" s="92">
        <f t="shared" si="41"/>
        <v>0</v>
      </c>
      <c r="V101" s="89">
        <f>'Юнит 10'!V101+'Юнит 11'!V101+'Юнит 12'!V101+'Юнит 13'!V101</f>
        <v>0</v>
      </c>
      <c r="W101" s="89">
        <f>'Юнит 10'!W101+'Юнит 11'!W101+'Юнит 12'!W101+'Юнит 13'!W101</f>
        <v>0</v>
      </c>
      <c r="X101" s="92">
        <f t="shared" si="42"/>
        <v>0</v>
      </c>
      <c r="Y101" s="89">
        <f>'Юнит 10'!Y101+'Юнит 11'!Y101+'Юнит 12'!Y101+'Юнит 13'!Y101</f>
        <v>0</v>
      </c>
      <c r="Z101" s="89">
        <f>'Юнит 10'!Z101+'Юнит 11'!Z101+'Юнит 12'!Z101+'Юнит 13'!Z101</f>
        <v>0</v>
      </c>
      <c r="AA101" s="232">
        <f t="shared" si="48"/>
        <v>0</v>
      </c>
      <c r="AB101" s="92">
        <f t="shared" si="49"/>
        <v>0</v>
      </c>
      <c r="AC101" s="234">
        <f t="shared" si="43"/>
        <v>0</v>
      </c>
      <c r="AD101" s="92">
        <f t="shared" si="44"/>
        <v>0</v>
      </c>
      <c r="AE101" s="89">
        <f>'Юнит 10'!AE101+'Юнит 11'!AE101+'Юнит 12'!AE101+'Юнит 13'!AE101</f>
        <v>0</v>
      </c>
      <c r="AF101" s="234">
        <f t="shared" si="45"/>
        <v>0</v>
      </c>
      <c r="AG101" s="89">
        <f>'Юнит 10'!AG101+'Юнит 11'!AG101+'Юнит 12'!AG101+'Юнит 13'!AG101</f>
        <v>0</v>
      </c>
      <c r="AH101" s="89">
        <f>'Юнит 10'!AH101+'Юнит 11'!AH101+'Юнит 12'!AH101+'Юнит 13'!AH101</f>
        <v>0</v>
      </c>
      <c r="AI101" s="89">
        <f>'Юнит 10'!AI101+'Юнит 11'!AI101+'Юнит 12'!AI101+'Юнит 13'!AI101</f>
        <v>0</v>
      </c>
      <c r="AJ101" s="89">
        <f>'Юнит 10'!AJ101+'Юнит 11'!AJ101+'Юнит 12'!AJ101+'Юнит 13'!AJ101</f>
        <v>0</v>
      </c>
      <c r="AK101" s="89">
        <f>'Юнит 10'!AK101+'Юнит 11'!AK101+'Юнит 12'!AK101+'Юнит 13'!AK101</f>
        <v>0</v>
      </c>
      <c r="AL101" s="89">
        <f>'Юнит 10'!AL101+'Юнит 11'!AL101+'Юнит 12'!AL101+'Юнит 13'!AL101</f>
        <v>0</v>
      </c>
      <c r="AM101" s="89">
        <f>'Юнит 10'!AM101+'Юнит 11'!AM101+'Юнит 12'!AM101+'Юнит 13'!AM101</f>
        <v>0</v>
      </c>
      <c r="AN101" s="325">
        <f t="shared" si="46"/>
        <v>0</v>
      </c>
      <c r="AO101" s="95">
        <f t="shared" si="51"/>
        <v>0</v>
      </c>
      <c r="AP101" s="96"/>
      <c r="AQ101" s="97">
        <f t="shared" si="53"/>
        <v>0</v>
      </c>
      <c r="AR101" s="98">
        <f t="shared" si="58"/>
        <v>123.09</v>
      </c>
      <c r="AS101" s="98">
        <f t="shared" si="54"/>
        <v>0</v>
      </c>
      <c r="AT101" s="98">
        <f t="shared" si="55"/>
        <v>0</v>
      </c>
      <c r="AU101" s="98">
        <f t="shared" si="52"/>
        <v>0</v>
      </c>
      <c r="AV101" s="98">
        <f t="array" ref="AV101">_xlfn.IFS(U101=0,AO101,U101&lt;0,AO101/-U101,U101&gt;0,AO101/U101)</f>
        <v>0</v>
      </c>
      <c r="AW101" s="234">
        <f t="shared" si="59"/>
        <v>0</v>
      </c>
      <c r="AX101" s="234">
        <f t="shared" si="60"/>
        <v>0</v>
      </c>
      <c r="AY101" s="99"/>
      <c r="AZ101" s="94">
        <f t="shared" si="56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0"/>
        <v>156</v>
      </c>
      <c r="F102" s="93">
        <f>'Юнит 13'!F102</f>
        <v>37</v>
      </c>
      <c r="G102" s="93">
        <f>'Юнит 13'!G102</f>
        <v>12</v>
      </c>
      <c r="H102" s="93">
        <f>'Юнит 13'!H102</f>
        <v>107</v>
      </c>
      <c r="I102" s="93">
        <f>'Юнит 13'!I102</f>
        <v>0</v>
      </c>
      <c r="J102" s="93">
        <f>'Юнит 13'!J102</f>
        <v>0</v>
      </c>
      <c r="K102" s="92">
        <v>123.09</v>
      </c>
      <c r="L102" s="92">
        <f t="shared" si="57"/>
        <v>19202.04</v>
      </c>
      <c r="M102" s="89">
        <f>'Юнит 13'!M102</f>
        <v>16</v>
      </c>
      <c r="N102" s="89">
        <f>'Юнит 10'!N102+'Юнит 11'!N102+'Юнит 12'!N102+'Юнит 13'!N102</f>
        <v>149</v>
      </c>
      <c r="O102" s="89">
        <v>1300</v>
      </c>
      <c r="P102" s="399">
        <v>0.37</v>
      </c>
      <c r="Q102" s="406">
        <f t="shared" si="50"/>
        <v>0.29530201342281881</v>
      </c>
      <c r="R102" s="92">
        <f t="shared" si="47"/>
        <v>6.2857142857142856</v>
      </c>
      <c r="S102" s="89">
        <f>'Юнит 10'!S102+'Юнит 11'!S102+'Юнит 12'!S102+'Юнит 13'!S102</f>
        <v>46</v>
      </c>
      <c r="T102" s="89">
        <f>'Юнит 10'!T102+'Юнит 11'!T102+'Юнит 12'!T102+'Юнит 13'!T102</f>
        <v>-2</v>
      </c>
      <c r="U102" s="92">
        <f t="shared" si="41"/>
        <v>44</v>
      </c>
      <c r="V102" s="89">
        <f>'Юнит 10'!V102+'Юнит 11'!V102+'Юнит 12'!V102+'Юнит 13'!V102</f>
        <v>39732.18</v>
      </c>
      <c r="W102" s="89">
        <f>'Юнит 10'!W102+'Юнит 11'!W102+'Юнит 12'!W102+'Юнит 13'!W102</f>
        <v>-1606</v>
      </c>
      <c r="X102" s="92">
        <f t="shared" si="42"/>
        <v>38126.18</v>
      </c>
      <c r="Y102" s="89">
        <f>'Юнит 10'!Y102+'Юнит 11'!Y102+'Юнит 12'!Y102+'Юнит 13'!Y102</f>
        <v>59800.2</v>
      </c>
      <c r="Z102" s="89">
        <f>'Юнит 10'!Z102+'Юнит 11'!Z102+'Юнит 12'!Z102+'Юнит 13'!Z102</f>
        <v>-2600</v>
      </c>
      <c r="AA102" s="232">
        <f t="shared" si="48"/>
        <v>57200.2</v>
      </c>
      <c r="AB102" s="92">
        <f t="shared" si="49"/>
        <v>716.69</v>
      </c>
      <c r="AC102" s="234">
        <f t="shared" si="43"/>
        <v>3.1417517604409384E-3</v>
      </c>
      <c r="AD102" s="92">
        <f t="shared" si="44"/>
        <v>5415.96</v>
      </c>
      <c r="AE102" s="89">
        <f>'Юнит 10'!AE102+'Юнит 11'!AE102+'Юнит 12'!AE102+'Юнит 13'!AE102</f>
        <v>21585.8</v>
      </c>
      <c r="AF102" s="234">
        <f t="shared" si="45"/>
        <v>0.37737280638878884</v>
      </c>
      <c r="AG102" s="89">
        <f>'Юнит 10'!AG102+'Юнит 11'!AG102+'Юнит 12'!AG102+'Юнит 13'!AG102</f>
        <v>8273.5399999999991</v>
      </c>
      <c r="AH102" s="89">
        <f>'Юнит 10'!AH102+'Юнит 11'!AH102+'Юнит 12'!AH102+'Юнит 13'!AH102</f>
        <v>9623</v>
      </c>
      <c r="AI102" s="89">
        <f>'Юнит 10'!AI102+'Юнит 11'!AI102+'Юнит 12'!AI102+'Юнит 13'!AI102</f>
        <v>7500</v>
      </c>
      <c r="AJ102" s="89">
        <f>'Юнит 10'!AJ102+'Юнит 11'!AJ102+'Юнит 12'!AJ102+'Юнит 13'!AJ102</f>
        <v>0</v>
      </c>
      <c r="AK102" s="89">
        <f>'Юнит 10'!AK102+'Юнит 11'!AK102+'Юнит 12'!AK102+'Юнит 13'!AK102</f>
        <v>0</v>
      </c>
      <c r="AL102" s="89">
        <f>'Юнит 10'!AL102+'Юнит 11'!AL102+'Юнит 12'!AL102+'Юнит 13'!AL102</f>
        <v>193.16761498765078</v>
      </c>
      <c r="AM102" s="89">
        <f>'Юнит 10'!AM102+'Юнит 11'!AM102+'Юнит 12'!AM102+'Юнит 13'!AM102</f>
        <v>0</v>
      </c>
      <c r="AN102" s="325">
        <f t="shared" si="46"/>
        <v>2127.917079181113</v>
      </c>
      <c r="AO102" s="95">
        <f t="shared" si="51"/>
        <v>2480.8153058312373</v>
      </c>
      <c r="AP102" s="96"/>
      <c r="AQ102" s="97">
        <f t="shared" si="53"/>
        <v>1300.0045454545455</v>
      </c>
      <c r="AR102" s="98">
        <f t="shared" si="58"/>
        <v>123.09</v>
      </c>
      <c r="AS102" s="98">
        <f t="shared" si="54"/>
        <v>490.58636363636361</v>
      </c>
      <c r="AT102" s="98">
        <f t="shared" si="55"/>
        <v>179.85956521739129</v>
      </c>
      <c r="AU102" s="98">
        <f t="shared" si="52"/>
        <v>372.23913043478262</v>
      </c>
      <c r="AV102" s="98">
        <f t="array" ref="AV102">_xlfn.IFS(U102=0,AO102,U102&lt;0,AO102/-U102,U102&gt;0,AO102/U102)</f>
        <v>56.38216604161903</v>
      </c>
      <c r="AW102" s="234">
        <f t="shared" si="59"/>
        <v>4.337074530912894E-2</v>
      </c>
      <c r="AX102" s="234">
        <f t="shared" si="60"/>
        <v>0.45805643059240414</v>
      </c>
      <c r="AY102" s="99"/>
      <c r="AZ102" s="94">
        <f t="shared" si="56"/>
        <v>8795.6179024925696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0"/>
        <v>0</v>
      </c>
      <c r="F103" s="93">
        <f>'Юнит 13'!F103</f>
        <v>0</v>
      </c>
      <c r="G103" s="93">
        <f>'Юнит 13'!G103</f>
        <v>0</v>
      </c>
      <c r="H103" s="93">
        <f>'Юнит 13'!H103</f>
        <v>0</v>
      </c>
      <c r="I103" s="93">
        <f>'Юнит 13'!I103</f>
        <v>0</v>
      </c>
      <c r="J103" s="93">
        <f>'Юнит 13'!J103</f>
        <v>0</v>
      </c>
      <c r="K103" s="93">
        <v>107.88</v>
      </c>
      <c r="L103" s="92">
        <f t="shared" si="57"/>
        <v>0</v>
      </c>
      <c r="M103" s="89" t="str">
        <f>'Юнит 13'!M103</f>
        <v/>
      </c>
      <c r="N103" s="89">
        <f>'Юнит 10'!N103+'Юнит 11'!N103+'Юнит 12'!N103+'Юнит 13'!N103</f>
        <v>0</v>
      </c>
      <c r="O103" s="89">
        <v>0</v>
      </c>
      <c r="P103" s="399">
        <v>0</v>
      </c>
      <c r="Q103" s="406"/>
      <c r="R103" s="92">
        <f t="shared" si="47"/>
        <v>0</v>
      </c>
      <c r="S103" s="89">
        <f>'Юнит 10'!S103+'Юнит 11'!S103+'Юнит 12'!S103+'Юнит 13'!S103</f>
        <v>0</v>
      </c>
      <c r="T103" s="89">
        <f>'Юнит 10'!T103+'Юнит 11'!T103+'Юнит 12'!T103+'Юнит 13'!T103</f>
        <v>0</v>
      </c>
      <c r="U103" s="92">
        <f t="shared" si="41"/>
        <v>0</v>
      </c>
      <c r="V103" s="89">
        <f>'Юнит 10'!V103+'Юнит 11'!V103+'Юнит 12'!V103+'Юнит 13'!V103</f>
        <v>0</v>
      </c>
      <c r="W103" s="89">
        <f>'Юнит 10'!W103+'Юнит 11'!W103+'Юнит 12'!W103+'Юнит 13'!W103</f>
        <v>0</v>
      </c>
      <c r="X103" s="92">
        <f t="shared" si="42"/>
        <v>0</v>
      </c>
      <c r="Y103" s="89">
        <f>'Юнит 10'!Y103+'Юнит 11'!Y103+'Юнит 12'!Y103+'Юнит 13'!Y103</f>
        <v>0</v>
      </c>
      <c r="Z103" s="89">
        <f>'Юнит 10'!Z103+'Юнит 11'!Z103+'Юнит 12'!Z103+'Юнит 13'!Z103</f>
        <v>0</v>
      </c>
      <c r="AA103" s="232">
        <f t="shared" si="48"/>
        <v>0</v>
      </c>
      <c r="AB103" s="92">
        <f t="shared" si="49"/>
        <v>0</v>
      </c>
      <c r="AC103" s="234">
        <f t="shared" si="43"/>
        <v>0</v>
      </c>
      <c r="AD103" s="92">
        <f t="shared" si="44"/>
        <v>0</v>
      </c>
      <c r="AE103" s="89">
        <f>'Юнит 10'!AE103+'Юнит 11'!AE103+'Юнит 12'!AE103+'Юнит 13'!AE103</f>
        <v>0</v>
      </c>
      <c r="AF103" s="234">
        <f t="shared" si="45"/>
        <v>0</v>
      </c>
      <c r="AG103" s="89">
        <f>'Юнит 10'!AG103+'Юнит 11'!AG103+'Юнит 12'!AG103+'Юнит 13'!AG103</f>
        <v>0</v>
      </c>
      <c r="AH103" s="89">
        <f>'Юнит 10'!AH103+'Юнит 11'!AH103+'Юнит 12'!AH103+'Юнит 13'!AH103</f>
        <v>0</v>
      </c>
      <c r="AI103" s="89">
        <f>'Юнит 10'!AI103+'Юнит 11'!AI103+'Юнит 12'!AI103+'Юнит 13'!AI103</f>
        <v>0</v>
      </c>
      <c r="AJ103" s="89">
        <f>'Юнит 10'!AJ103+'Юнит 11'!AJ103+'Юнит 12'!AJ103+'Юнит 13'!AJ103</f>
        <v>0</v>
      </c>
      <c r="AK103" s="89">
        <f>'Юнит 10'!AK103+'Юнит 11'!AK103+'Юнит 12'!AK103+'Юнит 13'!AK103</f>
        <v>0</v>
      </c>
      <c r="AL103" s="89">
        <f>'Юнит 10'!AL103+'Юнит 11'!AL103+'Юнит 12'!AL103+'Юнит 13'!AL103</f>
        <v>0</v>
      </c>
      <c r="AM103" s="89">
        <f>'Юнит 10'!AM103+'Юнит 11'!AM103+'Юнит 12'!AM103+'Юнит 13'!AM103</f>
        <v>0</v>
      </c>
      <c r="AN103" s="325">
        <f t="shared" si="46"/>
        <v>0</v>
      </c>
      <c r="AO103" s="95">
        <f t="shared" si="51"/>
        <v>0</v>
      </c>
      <c r="AP103" s="96"/>
      <c r="AQ103" s="97">
        <f t="shared" si="53"/>
        <v>0</v>
      </c>
      <c r="AR103" s="98">
        <f t="shared" si="58"/>
        <v>107.88</v>
      </c>
      <c r="AS103" s="98">
        <f t="shared" si="54"/>
        <v>0</v>
      </c>
      <c r="AT103" s="98">
        <f t="shared" si="55"/>
        <v>0</v>
      </c>
      <c r="AU103" s="98">
        <f t="shared" si="52"/>
        <v>0</v>
      </c>
      <c r="AV103" s="98">
        <f t="array" ref="AV103">_xlfn.IFS(U103=0,AO103,U103&lt;0,AO103/-U103,U103&gt;0,AO103/U103)</f>
        <v>0</v>
      </c>
      <c r="AW103" s="234">
        <f t="shared" si="59"/>
        <v>0</v>
      </c>
      <c r="AX103" s="234">
        <f t="shared" si="60"/>
        <v>0</v>
      </c>
      <c r="AY103" s="99"/>
      <c r="AZ103" s="94">
        <f t="shared" si="56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23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1">AVERAGE(AQ7:AQ98)</f>
        <v>856.6107474160284</v>
      </c>
      <c r="AR104" s="111">
        <f t="shared" si="61"/>
        <v>141.22217391304349</v>
      </c>
      <c r="AS104" s="111">
        <f t="shared" si="61"/>
        <v>323.04147902601778</v>
      </c>
      <c r="AT104" s="111">
        <f t="shared" si="61"/>
        <v>196.02642985629498</v>
      </c>
      <c r="AU104" s="111">
        <f t="shared" si="61"/>
        <v>180.06933909375516</v>
      </c>
      <c r="AV104" s="111">
        <f t="shared" si="61"/>
        <v>-28.885093674304091</v>
      </c>
      <c r="AW104" s="112">
        <f t="shared" si="61"/>
        <v>6.4587101573854722E-3</v>
      </c>
      <c r="AX104" s="112">
        <f t="shared" si="61"/>
        <v>-0.20825517220191425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2">SUM(E3:E103)</f>
        <v>91055</v>
      </c>
      <c r="F105" s="116">
        <f t="shared" si="62"/>
        <v>3894</v>
      </c>
      <c r="G105" s="116">
        <f t="shared" si="62"/>
        <v>1299</v>
      </c>
      <c r="H105" s="116">
        <f t="shared" si="62"/>
        <v>9557</v>
      </c>
      <c r="I105" s="116">
        <f t="shared" si="62"/>
        <v>1461</v>
      </c>
      <c r="J105" s="116">
        <f t="shared" si="62"/>
        <v>74844</v>
      </c>
      <c r="K105" s="116"/>
      <c r="L105" s="116">
        <f>SUM(L3:L103)</f>
        <v>11268240.420000004</v>
      </c>
      <c r="M105" s="116"/>
      <c r="N105" s="116">
        <f>SUM(N3:N103)</f>
        <v>25647</v>
      </c>
      <c r="O105" s="116"/>
      <c r="P105" s="116"/>
      <c r="Q105" s="212"/>
      <c r="R105" s="116"/>
      <c r="S105" s="116">
        <f t="shared" ref="S105:AE105" si="63">SUM(S3:S103)</f>
        <v>13213</v>
      </c>
      <c r="T105" s="116">
        <f t="shared" si="63"/>
        <v>-304</v>
      </c>
      <c r="U105" s="116">
        <f t="shared" si="63"/>
        <v>12909</v>
      </c>
      <c r="V105" s="116">
        <f t="shared" si="63"/>
        <v>12210305.429999998</v>
      </c>
      <c r="W105" s="116">
        <f t="shared" si="63"/>
        <v>-273683.21999999997</v>
      </c>
      <c r="X105" s="116">
        <f t="shared" si="63"/>
        <v>11936622.209999999</v>
      </c>
      <c r="Y105" s="116">
        <f t="shared" si="63"/>
        <v>18627467.790000003</v>
      </c>
      <c r="Z105" s="116">
        <f t="shared" si="63"/>
        <v>-421000.7099999999</v>
      </c>
      <c r="AA105" s="238">
        <f t="shared" si="63"/>
        <v>18206467.080000002</v>
      </c>
      <c r="AB105" s="116">
        <f t="shared" si="63"/>
        <v>201352.66159999985</v>
      </c>
      <c r="AC105" s="239">
        <f t="shared" si="63"/>
        <v>1</v>
      </c>
      <c r="AD105" s="117">
        <f t="shared" si="63"/>
        <v>1602704.03</v>
      </c>
      <c r="AE105" s="116">
        <f t="shared" si="63"/>
        <v>6851388.7999999989</v>
      </c>
      <c r="AF105" s="239">
        <f>AE105/AA105</f>
        <v>0.3763162160947921</v>
      </c>
      <c r="AG105" s="116">
        <f t="shared" ref="AG105:AO105" si="64">SUM(AG3:AG103)</f>
        <v>1746311.8200000022</v>
      </c>
      <c r="AH105" s="117">
        <f t="shared" si="64"/>
        <v>515858</v>
      </c>
      <c r="AI105" s="117">
        <f t="shared" si="64"/>
        <v>1364049</v>
      </c>
      <c r="AJ105" s="117">
        <f t="shared" si="64"/>
        <v>46</v>
      </c>
      <c r="AK105" s="117">
        <f t="shared" si="64"/>
        <v>0</v>
      </c>
      <c r="AL105" s="117">
        <f t="shared" si="64"/>
        <v>36082.619999999988</v>
      </c>
      <c r="AM105" s="116">
        <f t="shared" si="64"/>
        <v>899</v>
      </c>
      <c r="AN105" s="117">
        <f t="shared" si="64"/>
        <v>666212.61999999976</v>
      </c>
      <c r="AO105" s="117">
        <f t="shared" si="64"/>
        <v>5422961.1899999958</v>
      </c>
      <c r="AP105" s="118"/>
      <c r="AQ105" s="116"/>
      <c r="AR105" s="116"/>
      <c r="AS105" s="116"/>
      <c r="AT105" s="116"/>
      <c r="AU105" s="240">
        <f>(AH105+AI105+AJ105)/S105</f>
        <v>142.2805570271702</v>
      </c>
      <c r="AV105" s="116"/>
      <c r="AW105" s="116"/>
      <c r="AX105" s="116"/>
      <c r="AY105" s="119"/>
      <c r="AZ105" s="116">
        <f>SUM(AZ3:AZ103)</f>
        <v>34285727.159226887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241"/>
      <c r="AB106" s="93"/>
      <c r="AC106" s="243"/>
      <c r="AD106" s="93"/>
      <c r="AE106" s="93"/>
      <c r="AF106" s="243"/>
      <c r="AG106" s="93"/>
      <c r="AH106" s="545"/>
      <c r="AI106" s="545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23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23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23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23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23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241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65">AVERAGE(AS107:AS111)</f>
        <v>#DIV/0!</v>
      </c>
      <c r="AT112" s="245" t="e">
        <f t="shared" si="65"/>
        <v>#DIV/0!</v>
      </c>
      <c r="AU112" s="245" t="e">
        <f t="shared" si="65"/>
        <v>#DIV/0!</v>
      </c>
      <c r="AV112" s="245" t="e">
        <f t="shared" si="65"/>
        <v>#DIV/0!</v>
      </c>
      <c r="AW112" s="246" t="e">
        <f t="shared" si="65"/>
        <v>#DIV/0!</v>
      </c>
      <c r="AX112" s="246" t="e">
        <f t="shared" si="65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66">SUM(E107:E111)</f>
        <v>0</v>
      </c>
      <c r="F113" s="249">
        <f t="shared" si="66"/>
        <v>0</v>
      </c>
      <c r="G113" s="249">
        <f t="shared" si="66"/>
        <v>0</v>
      </c>
      <c r="H113" s="249">
        <f t="shared" si="66"/>
        <v>0</v>
      </c>
      <c r="I113" s="249">
        <f t="shared" si="66"/>
        <v>0</v>
      </c>
      <c r="J113" s="249">
        <f t="shared" si="66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67">SUM(S107:S111)</f>
        <v>0</v>
      </c>
      <c r="T113" s="249">
        <f t="shared" si="67"/>
        <v>0</v>
      </c>
      <c r="U113" s="249">
        <f t="shared" si="67"/>
        <v>0</v>
      </c>
      <c r="V113" s="249">
        <f t="shared" si="67"/>
        <v>0</v>
      </c>
      <c r="W113" s="249">
        <f t="shared" si="67"/>
        <v>0</v>
      </c>
      <c r="X113" s="249">
        <f t="shared" si="67"/>
        <v>0</v>
      </c>
      <c r="Y113" s="249">
        <f t="shared" si="67"/>
        <v>0</v>
      </c>
      <c r="Z113" s="249">
        <f t="shared" si="67"/>
        <v>0</v>
      </c>
      <c r="AA113" s="250">
        <f t="shared" si="67"/>
        <v>0</v>
      </c>
      <c r="AB113" s="249">
        <f t="shared" si="67"/>
        <v>0</v>
      </c>
      <c r="AC113" s="252">
        <f t="shared" si="67"/>
        <v>0</v>
      </c>
      <c r="AD113" s="253">
        <f t="shared" si="67"/>
        <v>0</v>
      </c>
      <c r="AE113" s="249">
        <f t="shared" si="67"/>
        <v>0</v>
      </c>
      <c r="AF113" s="252" t="e">
        <f>AE113/AA113</f>
        <v>#DIV/0!</v>
      </c>
      <c r="AG113" s="249">
        <f t="shared" ref="AG113:AO113" si="68">SUM(AG107:AG111)</f>
        <v>0</v>
      </c>
      <c r="AH113" s="253">
        <f t="shared" si="68"/>
        <v>0</v>
      </c>
      <c r="AI113" s="253">
        <f t="shared" si="68"/>
        <v>0</v>
      </c>
      <c r="AJ113" s="253">
        <f t="shared" si="68"/>
        <v>0</v>
      </c>
      <c r="AK113" s="253">
        <f t="shared" si="68"/>
        <v>0</v>
      </c>
      <c r="AL113" s="253">
        <f t="shared" si="68"/>
        <v>0</v>
      </c>
      <c r="AM113" s="249">
        <f t="shared" si="68"/>
        <v>0</v>
      </c>
      <c r="AN113" s="253">
        <f t="shared" si="68"/>
        <v>0</v>
      </c>
      <c r="AO113" s="253">
        <f t="shared" si="68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546"/>
      <c r="AI114" s="547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23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23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23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23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23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23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23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23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23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69">AVERAGE(AQ115:AQ122)</f>
        <v>#DIV/0!</v>
      </c>
      <c r="AR123" s="130" t="e">
        <f t="shared" si="69"/>
        <v>#DIV/0!</v>
      </c>
      <c r="AS123" s="130" t="e">
        <f t="shared" si="69"/>
        <v>#DIV/0!</v>
      </c>
      <c r="AT123" s="130" t="e">
        <f t="shared" si="69"/>
        <v>#DIV/0!</v>
      </c>
      <c r="AU123" s="130" t="e">
        <f t="shared" si="69"/>
        <v>#DIV/0!</v>
      </c>
      <c r="AV123" s="130" t="e">
        <f t="shared" si="69"/>
        <v>#DIV/0!</v>
      </c>
      <c r="AW123" s="131" t="e">
        <f t="shared" si="69"/>
        <v>#DIV/0!</v>
      </c>
      <c r="AX123" s="131" t="e">
        <f t="shared" si="69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0">SUM(E115:E122)</f>
        <v>0</v>
      </c>
      <c r="F124" s="134">
        <f t="shared" si="70"/>
        <v>0</v>
      </c>
      <c r="G124" s="134">
        <f t="shared" si="70"/>
        <v>0</v>
      </c>
      <c r="H124" s="134">
        <f t="shared" si="70"/>
        <v>0</v>
      </c>
      <c r="I124" s="134">
        <f t="shared" si="70"/>
        <v>0</v>
      </c>
      <c r="J124" s="134">
        <f t="shared" si="70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1">SUM(S115:S122)</f>
        <v>0</v>
      </c>
      <c r="T124" s="134">
        <f t="shared" si="71"/>
        <v>0</v>
      </c>
      <c r="U124" s="134">
        <f t="shared" si="71"/>
        <v>0</v>
      </c>
      <c r="V124" s="134">
        <f t="shared" si="71"/>
        <v>0</v>
      </c>
      <c r="W124" s="134">
        <f t="shared" si="71"/>
        <v>0</v>
      </c>
      <c r="X124" s="134">
        <f t="shared" si="71"/>
        <v>0</v>
      </c>
      <c r="Y124" s="134">
        <f t="shared" si="71"/>
        <v>0</v>
      </c>
      <c r="Z124" s="134">
        <f t="shared" si="71"/>
        <v>0</v>
      </c>
      <c r="AA124" s="264">
        <f t="shared" si="71"/>
        <v>0</v>
      </c>
      <c r="AB124" s="134">
        <f t="shared" si="71"/>
        <v>0</v>
      </c>
      <c r="AC124" s="265">
        <f t="shared" si="71"/>
        <v>0</v>
      </c>
      <c r="AD124" s="135">
        <f t="shared" si="71"/>
        <v>0</v>
      </c>
      <c r="AE124" s="134">
        <f t="shared" si="71"/>
        <v>0</v>
      </c>
      <c r="AF124" s="265" t="e">
        <f>AE124/AA124</f>
        <v>#DIV/0!</v>
      </c>
      <c r="AG124" s="134">
        <f t="shared" ref="AG124:AO124" si="72">SUM(AG115:AG122)</f>
        <v>0</v>
      </c>
      <c r="AH124" s="134">
        <f t="shared" si="72"/>
        <v>0</v>
      </c>
      <c r="AI124" s="134">
        <f t="shared" si="72"/>
        <v>0</v>
      </c>
      <c r="AJ124" s="134">
        <f t="shared" si="72"/>
        <v>0</v>
      </c>
      <c r="AK124" s="134">
        <f t="shared" si="72"/>
        <v>0</v>
      </c>
      <c r="AL124" s="136">
        <f t="shared" si="72"/>
        <v>0</v>
      </c>
      <c r="AM124" s="134">
        <f t="shared" si="72"/>
        <v>0</v>
      </c>
      <c r="AN124" s="134">
        <f t="shared" si="72"/>
        <v>0</v>
      </c>
      <c r="AO124" s="134">
        <f t="shared" si="72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303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3">E105+E113+E124</f>
        <v>91055</v>
      </c>
      <c r="F126" s="267">
        <f t="shared" si="73"/>
        <v>3894</v>
      </c>
      <c r="G126" s="267">
        <f t="shared" si="73"/>
        <v>1299</v>
      </c>
      <c r="H126" s="267">
        <f t="shared" si="73"/>
        <v>9557</v>
      </c>
      <c r="I126" s="267">
        <f t="shared" si="73"/>
        <v>1461</v>
      </c>
      <c r="J126" s="267">
        <f t="shared" si="73"/>
        <v>74844</v>
      </c>
      <c r="K126" s="267">
        <f t="shared" si="73"/>
        <v>0</v>
      </c>
      <c r="L126" s="267">
        <f t="shared" si="73"/>
        <v>11268240.420000004</v>
      </c>
      <c r="M126" s="267">
        <f t="shared" si="73"/>
        <v>0</v>
      </c>
      <c r="N126" s="267">
        <f t="shared" si="73"/>
        <v>25647</v>
      </c>
      <c r="O126" s="267">
        <f t="shared" si="73"/>
        <v>0</v>
      </c>
      <c r="P126" s="267">
        <f t="shared" si="73"/>
        <v>0</v>
      </c>
      <c r="Q126" s="215">
        <f t="shared" si="73"/>
        <v>0</v>
      </c>
      <c r="R126" s="267">
        <f t="shared" si="73"/>
        <v>0</v>
      </c>
      <c r="S126" s="267">
        <f t="shared" si="73"/>
        <v>13213</v>
      </c>
      <c r="T126" s="267">
        <f t="shared" si="73"/>
        <v>-304</v>
      </c>
      <c r="U126" s="267">
        <f t="shared" si="73"/>
        <v>12909</v>
      </c>
      <c r="V126" s="267">
        <f t="shared" si="73"/>
        <v>12210305.429999998</v>
      </c>
      <c r="W126" s="267">
        <f t="shared" si="73"/>
        <v>-273683.21999999997</v>
      </c>
      <c r="X126" s="267">
        <f t="shared" si="73"/>
        <v>11936622.209999999</v>
      </c>
      <c r="Y126" s="267">
        <f t="shared" si="73"/>
        <v>18627467.790000003</v>
      </c>
      <c r="Z126" s="267">
        <f t="shared" si="73"/>
        <v>-421000.7099999999</v>
      </c>
      <c r="AA126" s="267">
        <f t="shared" si="73"/>
        <v>18206467.080000002</v>
      </c>
      <c r="AB126" s="267">
        <f t="shared" si="73"/>
        <v>201352.66159999985</v>
      </c>
      <c r="AC126" s="267">
        <f t="shared" si="73"/>
        <v>1</v>
      </c>
      <c r="AD126" s="267">
        <f t="shared" si="73"/>
        <v>1602704.03</v>
      </c>
      <c r="AE126" s="267">
        <f t="shared" si="73"/>
        <v>6851388.7999999989</v>
      </c>
      <c r="AF126" s="268">
        <f>AE126/AA126</f>
        <v>0.3763162160947921</v>
      </c>
      <c r="AG126" s="267">
        <f t="shared" ref="AG126:AO126" si="74">AG105+AG113+AG124</f>
        <v>1746311.8200000022</v>
      </c>
      <c r="AH126" s="267">
        <f t="shared" si="74"/>
        <v>515858</v>
      </c>
      <c r="AI126" s="267">
        <f t="shared" si="74"/>
        <v>1364049</v>
      </c>
      <c r="AJ126" s="267">
        <f t="shared" si="74"/>
        <v>46</v>
      </c>
      <c r="AK126" s="267">
        <f t="shared" si="74"/>
        <v>0</v>
      </c>
      <c r="AL126" s="267">
        <f t="shared" si="74"/>
        <v>36082.619999999988</v>
      </c>
      <c r="AM126" s="267">
        <f t="shared" si="74"/>
        <v>899</v>
      </c>
      <c r="AN126" s="267">
        <f t="shared" si="74"/>
        <v>666212.61999999976</v>
      </c>
      <c r="AO126" s="267">
        <f t="shared" si="74"/>
        <v>5422961.1899999958</v>
      </c>
      <c r="AP126" s="155"/>
      <c r="AQ126" s="155"/>
      <c r="AR126" s="155"/>
      <c r="AS126" s="155"/>
      <c r="AT126" s="155"/>
      <c r="AU126" s="155">
        <f>(AH126+AI126)/S126</f>
        <v>142.27707560735638</v>
      </c>
      <c r="AV126" s="155"/>
      <c r="AW126" s="155"/>
      <c r="AX126" s="155"/>
      <c r="AY126" s="157"/>
      <c r="AZ126" s="155">
        <f>AZ105+AZ124</f>
        <v>34285727.159226887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3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AO128" s="339">
        <f>Сводная!AF45+Сводная!T45+Сводная!V45</f>
        <v>5422961.1900000013</v>
      </c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82" priority="15" operator="greaterThan">
      <formula>0.23</formula>
    </cfRule>
  </conditionalFormatting>
  <conditionalFormatting sqref="M123:O123 M106:M112 M3:M104">
    <cfRule type="cellIs" dxfId="81" priority="26" operator="greaterThan">
      <formula>120</formula>
    </cfRule>
  </conditionalFormatting>
  <conditionalFormatting sqref="AC125 AC127">
    <cfRule type="cellIs" dxfId="80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{16E9312C-26DC-4D65-86C2-D8E4253DB791}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{B2742C42-9B96-4657-B9EE-83F69B8316D7}</x14:id>
        </ext>
      </extLst>
    </cfRule>
  </conditionalFormatting>
  <conditionalFormatting sqref="AC1">
    <cfRule type="cellIs" dxfId="79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{4431FC17-4663-473C-891E-B4D563B96422}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{622FACBE-F51A-44FF-BF45-1E9416C904A7}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{C1E074CA-F8F2-4E61-93DE-6D216B75CE4B}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{D390F609-4AED-4C6C-BD58-DA4FFEF7145D}</x14:id>
        </ext>
      </extLst>
    </cfRule>
  </conditionalFormatting>
  <conditionalFormatting sqref="Q123">
    <cfRule type="cellIs" dxfId="78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{2E4FB6B0-78E9-4C30-B45A-9B6352C1CCF0}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{EA4B32DE-3041-4446-BB23-74B22D1C54B9}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{66854498-FA82-4475-9215-60B6659AAB61}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{955A8B5C-7224-4F0B-8F98-48C541A57599}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{AB126543-0472-4825-8366-AE8A2F619B4A}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{E1B440F4-787F-4AF4-BB89-47FF09E46104}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{397CDD41-EF18-4C8A-8F01-CDFB73847378}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{44608464-A78F-49C7-9D59-0FB741ED1564}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{23B291AB-E33A-4999-BF32-3BA0EE6BFCF0}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{3E39E4FA-9363-4E83-9311-0E3DC41B24E2}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{204F83D0-0A57-48DB-8CC2-8138DCCD8323}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{4BD2F633-EA13-4B9E-BDE1-75B310B91921}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{73E607F3-67F7-4FAF-8191-942FFAAC7E25}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{F5564716-14D2-48B6-8887-404409946AF9}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{3A249955-435D-464C-8A6F-96BDBF2A1DA6}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{B369037D-1C56-4ADD-8BB5-5BC394705F2F}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{90651041-8B58-4E04-8572-6AAEBF3A2BC9}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{CA2A79F7-2786-4B4E-BE1C-D6796C6F99F6}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{DF2E2983-351C-437B-A0DF-3F05509BD8CF}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{9FF1D80D-1A58-46CD-BEDE-6406A2585DC7}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{BDE9F3EB-B559-41DE-AAA8-10F27F7A9CE2}</x14:id>
        </ext>
      </extLst>
    </cfRule>
  </conditionalFormatting>
  <conditionalFormatting sqref="M115:M122">
    <cfRule type="cellIs" dxfId="77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{E366806F-1EDC-4530-9298-D390602B03CC}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{80CAFF46-6168-4B29-98FE-ABDC32B7FB94}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{16C6411A-8C67-4804-82D7-2ACBA068F919}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{BE740626-19AF-41F2-BFAF-A3067A3D4521}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{336FBFDD-D693-43E8-A926-39DC35B1A280}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{1C3A64CC-4FAA-4BF8-823D-7F654368927C}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E9312C-26DC-4D65-86C2-D8E4253DB7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2742C42-9B96-4657-B9EE-83F69B8316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4431FC17-4663-473C-891E-B4D563B96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622FACBE-F51A-44FF-BF45-1E9416C90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C1E074CA-F8F2-4E61-93DE-6D216B75CE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390F609-4AED-4C6C-BD58-DA4FFEF714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E4FB6B0-78E9-4C30-B45A-9B6352C1C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A4B32DE-3041-4446-BB23-74B22D1C54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6854498-FA82-4475-9215-60B6659AAB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55A8B5C-7224-4F0B-8F98-48C541A57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B126543-0472-4825-8366-AE8A2F619B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E1B440F4-787F-4AF4-BB89-47FF09E461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397CDD41-EF18-4C8A-8F01-CDFB738473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4608464-A78F-49C7-9D59-0FB741ED15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3B291AB-E33A-4999-BF32-3BA0EE6BF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E39E4FA-9363-4E83-9311-0E3DC41B24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204F83D0-0A57-48DB-8CC2-8138DCCD83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4BD2F633-EA13-4B9E-BDE1-75B310B919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3E607F3-67F7-4FAF-8191-942FFAAC7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F5564716-14D2-48B6-8887-404409946A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3A249955-435D-464C-8A6F-96BDBF2A1D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B369037D-1C56-4ADD-8BB5-5BC394705F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90651041-8B58-4E04-8572-6AAEBF3A2B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CA2A79F7-2786-4B4E-BE1C-D6796C6F9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DF2E2983-351C-437B-A0DF-3F05509BD8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FF1D80D-1A58-46CD-BEDE-6406A2585D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BDE9F3EB-B559-41DE-AAA8-10F27F7A9C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E366806F-1EDC-4530-9298-D390602B03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80CAFF46-6168-4B29-98FE-ABDC32B7F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16C6411A-8C67-4804-82D7-2ACBA068F9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E740626-19AF-41F2-BFAF-A3067A3D45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336FBFDD-D693-43E8-A926-39DC35B1A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1C3A64CC-4FAA-4BF8-823D-7F65436892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3E0A-D4BC-4577-87B7-21DAC0378E44}">
  <dimension ref="A1:AZ129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Q47" sqref="Q47:Q5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293</v>
      </c>
      <c r="B1" s="73"/>
      <c r="C1" s="72"/>
      <c r="D1" s="72"/>
      <c r="E1" s="222"/>
      <c r="F1" s="539" t="s">
        <v>42</v>
      </c>
      <c r="G1" s="539"/>
      <c r="H1" s="539"/>
      <c r="I1" s="540" t="s">
        <v>115</v>
      </c>
      <c r="J1" s="541"/>
      <c r="M1" s="350" t="s">
        <v>43</v>
      </c>
      <c r="N1" s="539" t="s">
        <v>116</v>
      </c>
      <c r="O1" s="539"/>
      <c r="P1" s="539"/>
      <c r="R1" s="224"/>
      <c r="S1" s="542"/>
      <c r="T1" s="542"/>
      <c r="U1" s="224"/>
      <c r="V1" s="543"/>
      <c r="W1" s="544"/>
      <c r="X1" s="224"/>
      <c r="Y1" s="542"/>
      <c r="Z1" s="542"/>
      <c r="AA1" s="224"/>
      <c r="AB1" s="224"/>
      <c r="AC1" s="224"/>
      <c r="AD1" s="224"/>
      <c r="AE1" s="225"/>
      <c r="AF1" s="224"/>
      <c r="AG1" s="225"/>
      <c r="AH1" s="535"/>
      <c r="AI1" s="535"/>
      <c r="AJ1" s="283" t="s">
        <v>248</v>
      </c>
      <c r="AK1" s="349"/>
      <c r="AL1" s="351" t="s">
        <v>44</v>
      </c>
      <c r="AM1" s="225"/>
      <c r="AQ1" s="536" t="s">
        <v>45</v>
      </c>
      <c r="AR1" s="537"/>
      <c r="AS1" s="537"/>
      <c r="AT1" s="537"/>
      <c r="AU1" s="537"/>
      <c r="AV1" s="537"/>
      <c r="AW1" s="537"/>
      <c r="AX1" s="538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292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4356</v>
      </c>
      <c r="F3" s="93">
        <v>207</v>
      </c>
      <c r="G3" s="93">
        <v>50</v>
      </c>
      <c r="H3" s="93">
        <v>443</v>
      </c>
      <c r="I3" s="93">
        <v>1</v>
      </c>
      <c r="J3" s="93">
        <v>3655</v>
      </c>
      <c r="K3" s="92">
        <v>142.97999999999999</v>
      </c>
      <c r="L3" s="92">
        <f t="shared" ref="L3" si="0">E3*K3</f>
        <v>622820.88</v>
      </c>
      <c r="M3" s="89">
        <v>20</v>
      </c>
      <c r="N3" s="89">
        <v>315</v>
      </c>
      <c r="O3" s="89">
        <v>1585</v>
      </c>
      <c r="P3" s="89">
        <v>59</v>
      </c>
      <c r="Q3" s="233">
        <f>N3/7</f>
        <v>45</v>
      </c>
      <c r="R3" s="92">
        <f>U3/7</f>
        <v>24.714285714285715</v>
      </c>
      <c r="S3" s="93">
        <v>175</v>
      </c>
      <c r="T3" s="93">
        <v>-2</v>
      </c>
      <c r="U3" s="92">
        <f t="shared" ref="U3" si="1">S3+T3</f>
        <v>173</v>
      </c>
      <c r="V3" s="93">
        <v>179919.41999999998</v>
      </c>
      <c r="W3" s="93">
        <v>-2022</v>
      </c>
      <c r="X3" s="92">
        <f t="shared" ref="X3" si="2">V3+W3</f>
        <v>177897.41999999998</v>
      </c>
      <c r="Y3" s="93">
        <v>274927.94</v>
      </c>
      <c r="Z3" s="93">
        <v>-3170</v>
      </c>
      <c r="AA3" s="92">
        <f>Y3+Z3</f>
        <v>271757.94</v>
      </c>
      <c r="AB3" s="92">
        <f>N3*O3*P3/100</f>
        <v>294572.25</v>
      </c>
      <c r="AC3" s="234">
        <f t="shared" ref="AC3" si="3">AA3/$AA$126</f>
        <v>5.1847437248137562E-2</v>
      </c>
      <c r="AD3" s="92">
        <f t="shared" ref="AD3" si="4">U3*K3</f>
        <v>24735.539999999997</v>
      </c>
      <c r="AE3" s="93">
        <v>102125.22000000002</v>
      </c>
      <c r="AF3" s="234">
        <f t="shared" ref="AF3" si="5">IF(AA3=0,0,AE3/AA3)</f>
        <v>0.3757947973847609</v>
      </c>
      <c r="AG3" s="93">
        <v>20354.469999999968</v>
      </c>
      <c r="AH3" s="93">
        <v>4713</v>
      </c>
      <c r="AI3" s="93">
        <v>20478</v>
      </c>
      <c r="AJ3" s="93"/>
      <c r="AK3" s="93"/>
      <c r="AL3" s="122">
        <f t="shared" ref="AL3" si="6">IFERROR($AL$126*H3/$H$126,0)</f>
        <v>375.07086114889614</v>
      </c>
      <c r="AM3" s="93">
        <v>0</v>
      </c>
      <c r="AN3" s="94">
        <f>X3*5.71%</f>
        <v>10157.942681999999</v>
      </c>
      <c r="AO3" s="95">
        <f>AA3-AD3-AE3-AG3-AH3-AI3-AK3-AL3-AN3-AM3</f>
        <v>88818.696456851132</v>
      </c>
      <c r="AP3" s="96"/>
      <c r="AQ3" s="97">
        <f t="shared" ref="AQ3:AQ97" si="7">IF(U3=0,0,AA3/U3)</f>
        <v>1570.8551445086705</v>
      </c>
      <c r="AR3" s="98">
        <f t="shared" ref="AR3:AR19" si="8">K3</f>
        <v>142.97999999999999</v>
      </c>
      <c r="AS3" s="98">
        <f t="shared" ref="AS3:AS97" si="9">IF(U3=0,0,AE3/U3)</f>
        <v>590.31919075144515</v>
      </c>
      <c r="AT3" s="98">
        <f t="shared" ref="AT3:AT97" si="10">IF(S3=0,AG3/1,AG3/S3)</f>
        <v>116.31125714285696</v>
      </c>
      <c r="AU3" s="98">
        <f>IF(S3=0,0,(AH3+AI3+AJ3)/S3)</f>
        <v>143.94857142857143</v>
      </c>
      <c r="AV3" s="98">
        <f>_xlfn.IFS(U3=0,AO3,U3&lt;0,AO3/-U3,U3&gt;0,AO3/U3)</f>
        <v>513.40286969278111</v>
      </c>
      <c r="AW3" s="234">
        <f t="shared" ref="AW3" si="11">IF(AQ3=0,0,AV3/AQ3)</f>
        <v>0.3268301800376141</v>
      </c>
      <c r="AX3" s="234">
        <f t="shared" ref="AX3" si="12">IF(AR3=0,0,AV3/AR3)</f>
        <v>3.5907320582793476</v>
      </c>
      <c r="AY3" s="99"/>
      <c r="AZ3" s="94">
        <f t="shared" ref="AZ3:AZ97" si="13">AV3*E3</f>
        <v>2236382.9003817546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7018</v>
      </c>
      <c r="F4" s="93">
        <v>545</v>
      </c>
      <c r="G4" s="93">
        <v>186</v>
      </c>
      <c r="H4" s="93">
        <v>674</v>
      </c>
      <c r="I4" s="93">
        <v>0</v>
      </c>
      <c r="J4" s="93">
        <v>5613</v>
      </c>
      <c r="K4" s="92">
        <v>123.09</v>
      </c>
      <c r="L4" s="92">
        <f>E4*K4</f>
        <v>863845.62</v>
      </c>
      <c r="M4" s="89">
        <v>11</v>
      </c>
      <c r="N4" s="89">
        <v>972</v>
      </c>
      <c r="O4" s="89">
        <v>1596</v>
      </c>
      <c r="P4" s="89">
        <v>60</v>
      </c>
      <c r="Q4" s="233">
        <f t="shared" ref="Q4:Q67" si="14">N4/7</f>
        <v>138.85714285714286</v>
      </c>
      <c r="R4" s="92">
        <f t="shared" ref="R4:R67" si="15">U4/7</f>
        <v>84.142857142857139</v>
      </c>
      <c r="S4" s="93">
        <v>609</v>
      </c>
      <c r="T4" s="93">
        <v>-20</v>
      </c>
      <c r="U4" s="92">
        <f t="shared" ref="U4:U67" si="16">S4+T4</f>
        <v>589</v>
      </c>
      <c r="V4" s="93">
        <v>647012.16</v>
      </c>
      <c r="W4" s="93">
        <v>-20679</v>
      </c>
      <c r="X4" s="92">
        <f t="shared" ref="X4:X67" si="17">V4+W4</f>
        <v>626333.16</v>
      </c>
      <c r="Y4" s="93">
        <v>959664.89999999991</v>
      </c>
      <c r="Z4" s="93">
        <v>-31135</v>
      </c>
      <c r="AA4" s="92">
        <f t="shared" ref="AA4:AA67" si="18">Y4+Z4</f>
        <v>928529.89999999991</v>
      </c>
      <c r="AB4" s="92">
        <f t="shared" ref="AB4:AB67" si="19">N4*O4*P4/100</f>
        <v>930787.2</v>
      </c>
      <c r="AC4" s="234">
        <f t="shared" ref="AC4:AC67" si="20">AA4/$AA$126</f>
        <v>0.17714991408629843</v>
      </c>
      <c r="AD4" s="92">
        <f t="shared" ref="AD4:AD67" si="21">U4*K4</f>
        <v>72500.009999999995</v>
      </c>
      <c r="AE4" s="93">
        <v>350649.06999999896</v>
      </c>
      <c r="AF4" s="234">
        <f t="shared" ref="AF4:AF67" si="22">IF(AA4=0,0,AE4/AA4)</f>
        <v>0.37763896456107554</v>
      </c>
      <c r="AG4" s="93">
        <v>76168.280000000188</v>
      </c>
      <c r="AH4" s="93">
        <v>6000</v>
      </c>
      <c r="AI4" s="93">
        <v>38500</v>
      </c>
      <c r="AJ4" s="93"/>
      <c r="AK4" s="93"/>
      <c r="AL4" s="122">
        <f t="shared" ref="AL4:AL67" si="23">IFERROR($AL$126*H4/$H$126,0)</f>
        <v>570.64957204143559</v>
      </c>
      <c r="AM4" s="93">
        <v>40</v>
      </c>
      <c r="AN4" s="94">
        <f t="shared" ref="AN4:AN67" si="24">X4*5.71%</f>
        <v>35763.623436000002</v>
      </c>
      <c r="AO4" s="95">
        <f>AA4-AD4-AE4-AG4-AH4-AI4-AK4-AL4-AN4-AM4</f>
        <v>348338.2669919593</v>
      </c>
      <c r="AP4" s="96"/>
      <c r="AQ4" s="97">
        <f t="shared" si="7"/>
        <v>1576.4514431239388</v>
      </c>
      <c r="AR4" s="98">
        <f t="shared" si="8"/>
        <v>123.09</v>
      </c>
      <c r="AS4" s="98">
        <f t="shared" si="9"/>
        <v>595.32949066213746</v>
      </c>
      <c r="AT4" s="98">
        <f t="shared" si="10"/>
        <v>125.07106732348143</v>
      </c>
      <c r="AU4" s="98">
        <f t="shared" ref="AU4:AU70" si="25">IF(S4=0,0,(AH4+AI4+AJ4)/S4)</f>
        <v>73.070607553366173</v>
      </c>
      <c r="AV4" s="98">
        <f t="array" ref="AV4">_xlfn.IFS(U4=0,AO4,U4&lt;0,AO4/-U4,U4&gt;0,AO4/U4)</f>
        <v>591.40622579280023</v>
      </c>
      <c r="AW4" s="234">
        <f>IF(AQ4=0,0,AV4/AQ4)</f>
        <v>0.37515029617458667</v>
      </c>
      <c r="AX4" s="234">
        <f>IF(AR4=0,0,AV4/AR4)</f>
        <v>4.8046650889008058</v>
      </c>
      <c r="AY4" s="99"/>
      <c r="AZ4" s="94">
        <f t="shared" si="13"/>
        <v>4150488.892613872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5722</v>
      </c>
      <c r="F5" s="93">
        <v>163</v>
      </c>
      <c r="G5" s="93">
        <v>35</v>
      </c>
      <c r="H5" s="93">
        <v>531</v>
      </c>
      <c r="I5" s="93">
        <v>0</v>
      </c>
      <c r="J5" s="93">
        <v>4993</v>
      </c>
      <c r="K5" s="92">
        <v>123.09</v>
      </c>
      <c r="L5" s="92">
        <f>E5*K5</f>
        <v>704320.98</v>
      </c>
      <c r="M5" s="89">
        <v>16</v>
      </c>
      <c r="N5" s="89">
        <v>260</v>
      </c>
      <c r="O5" s="89">
        <v>1500</v>
      </c>
      <c r="P5" s="89">
        <v>77</v>
      </c>
      <c r="Q5" s="233">
        <f t="shared" si="14"/>
        <v>37.142857142857146</v>
      </c>
      <c r="R5" s="92">
        <f t="shared" si="15"/>
        <v>27.142857142857142</v>
      </c>
      <c r="S5" s="93">
        <v>192</v>
      </c>
      <c r="T5" s="93">
        <v>-2</v>
      </c>
      <c r="U5" s="92">
        <f t="shared" si="16"/>
        <v>190</v>
      </c>
      <c r="V5" s="93">
        <v>185865.49</v>
      </c>
      <c r="W5" s="93">
        <v>-1875</v>
      </c>
      <c r="X5" s="92">
        <f t="shared" si="17"/>
        <v>183990.49</v>
      </c>
      <c r="Y5" s="93">
        <v>285071.14</v>
      </c>
      <c r="Z5" s="93">
        <v>-2970</v>
      </c>
      <c r="AA5" s="92">
        <f t="shared" si="18"/>
        <v>282101.14</v>
      </c>
      <c r="AB5" s="92">
        <f t="shared" si="19"/>
        <v>300300</v>
      </c>
      <c r="AC5" s="234">
        <f t="shared" si="20"/>
        <v>5.3820768415370202E-2</v>
      </c>
      <c r="AD5" s="92">
        <f t="shared" si="21"/>
        <v>23387.100000000002</v>
      </c>
      <c r="AE5" s="93">
        <v>106514.48999999976</v>
      </c>
      <c r="AF5" s="234">
        <f t="shared" si="22"/>
        <v>0.37757553904248581</v>
      </c>
      <c r="AG5" s="93">
        <v>17391.119999999992</v>
      </c>
      <c r="AH5" s="93">
        <v>4819</v>
      </c>
      <c r="AI5" s="93">
        <v>13724</v>
      </c>
      <c r="AJ5" s="93"/>
      <c r="AK5" s="93"/>
      <c r="AL5" s="122">
        <f t="shared" si="23"/>
        <v>449.57703672700643</v>
      </c>
      <c r="AM5" s="93">
        <v>0</v>
      </c>
      <c r="AN5" s="94">
        <f t="shared" si="24"/>
        <v>10505.856978999998</v>
      </c>
      <c r="AO5" s="95">
        <f t="shared" ref="AO5:AO68" si="26">AA5-AD5-AE5-AG5-AH5-AI5-AK5-AL5-AN5-AM5</f>
        <v>105309.99598427325</v>
      </c>
      <c r="AP5" s="96"/>
      <c r="AQ5" s="97">
        <f t="shared" si="7"/>
        <v>1484.7428421052632</v>
      </c>
      <c r="AR5" s="98">
        <f t="shared" si="8"/>
        <v>123.09</v>
      </c>
      <c r="AS5" s="98">
        <f t="shared" si="9"/>
        <v>560.60257894736719</v>
      </c>
      <c r="AT5" s="98">
        <f t="shared" si="10"/>
        <v>90.578749999999957</v>
      </c>
      <c r="AU5" s="98">
        <f t="shared" si="25"/>
        <v>96.578125</v>
      </c>
      <c r="AV5" s="98">
        <f t="array" ref="AV5">_xlfn.IFS(U5=0,AO5,U5&lt;0,AO5/-U5,U5&gt;0,AO5/U5)</f>
        <v>554.26313675933284</v>
      </c>
      <c r="AW5" s="234">
        <f>IF(AQ5=0,0,AV5/AQ5)</f>
        <v>0.37330581501469023</v>
      </c>
      <c r="AX5" s="234">
        <f>IF(AR5=0,0,AV5/AR5)</f>
        <v>4.502909552029676</v>
      </c>
      <c r="AY5" s="99"/>
      <c r="AZ5" s="94">
        <f t="shared" si="13"/>
        <v>3171493.6685369024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10684</v>
      </c>
      <c r="F6" s="93">
        <v>112</v>
      </c>
      <c r="G6" s="93">
        <v>32</v>
      </c>
      <c r="H6" s="93">
        <v>436</v>
      </c>
      <c r="I6" s="93">
        <v>0</v>
      </c>
      <c r="J6" s="93">
        <v>10104</v>
      </c>
      <c r="K6" s="92">
        <v>123.09</v>
      </c>
      <c r="L6" s="92">
        <f t="shared" ref="L6" si="28">E6*K6</f>
        <v>1315093.56</v>
      </c>
      <c r="M6" s="89">
        <v>18</v>
      </c>
      <c r="N6" s="89">
        <v>177</v>
      </c>
      <c r="O6" s="89">
        <v>1434</v>
      </c>
      <c r="P6" s="89">
        <v>55</v>
      </c>
      <c r="Q6" s="233">
        <f t="shared" si="14"/>
        <v>25.285714285714285</v>
      </c>
      <c r="R6" s="92">
        <f t="shared" si="15"/>
        <v>11.857142857142858</v>
      </c>
      <c r="S6" s="93">
        <v>85</v>
      </c>
      <c r="T6" s="93">
        <v>-2</v>
      </c>
      <c r="U6" s="92">
        <f t="shared" si="16"/>
        <v>83</v>
      </c>
      <c r="V6" s="93">
        <v>78099.5</v>
      </c>
      <c r="W6" s="93">
        <v>-1709</v>
      </c>
      <c r="X6" s="92">
        <f t="shared" si="17"/>
        <v>76390.5</v>
      </c>
      <c r="Y6" s="93">
        <v>119066.74000000002</v>
      </c>
      <c r="Z6" s="93">
        <v>-2811</v>
      </c>
      <c r="AA6" s="92">
        <f t="shared" si="18"/>
        <v>116255.74000000002</v>
      </c>
      <c r="AB6" s="92">
        <f t="shared" si="19"/>
        <v>139599.9</v>
      </c>
      <c r="AC6" s="234">
        <f t="shared" si="20"/>
        <v>2.2179893564051145E-2</v>
      </c>
      <c r="AD6" s="92">
        <f t="shared" si="21"/>
        <v>10216.470000000001</v>
      </c>
      <c r="AE6" s="93">
        <v>43399.589999999982</v>
      </c>
      <c r="AF6" s="234">
        <f t="shared" si="22"/>
        <v>0.37331137370077361</v>
      </c>
      <c r="AG6" s="93">
        <v>10992.139999999998</v>
      </c>
      <c r="AH6" s="93">
        <v>1989</v>
      </c>
      <c r="AI6" s="93">
        <v>6070</v>
      </c>
      <c r="AJ6" s="93"/>
      <c r="AK6" s="93"/>
      <c r="AL6" s="122">
        <f t="shared" si="23"/>
        <v>369.14423354609187</v>
      </c>
      <c r="AM6" s="93">
        <v>10</v>
      </c>
      <c r="AN6" s="94">
        <f t="shared" si="24"/>
        <v>4361.8975499999997</v>
      </c>
      <c r="AO6" s="95">
        <f t="shared" si="26"/>
        <v>38847.498216453947</v>
      </c>
      <c r="AP6" s="96"/>
      <c r="AQ6" s="97">
        <f t="shared" si="7"/>
        <v>1400.6715662650604</v>
      </c>
      <c r="AR6" s="98">
        <f t="shared" si="8"/>
        <v>123.09</v>
      </c>
      <c r="AS6" s="98">
        <f t="shared" si="9"/>
        <v>522.88662650602384</v>
      </c>
      <c r="AT6" s="98">
        <f t="shared" si="10"/>
        <v>129.31929411764702</v>
      </c>
      <c r="AU6" s="98">
        <f t="shared" si="25"/>
        <v>94.811764705882354</v>
      </c>
      <c r="AV6" s="98">
        <f t="array" ref="AV6">_xlfn.IFS(U6=0,AO6,U6&lt;0,AO6/-U6,U6&gt;0,AO6/U6)</f>
        <v>468.04214718619215</v>
      </c>
      <c r="AW6" s="234">
        <f t="shared" ref="AW6" si="29">IF(AQ6=0,0,AV6/AQ6)</f>
        <v>0.33415552829007794</v>
      </c>
      <c r="AX6" s="234">
        <f t="shared" ref="AX6" si="30">IF(AR6=0,0,AV6/AR6)</f>
        <v>3.8024384368039006</v>
      </c>
      <c r="AY6" s="99"/>
      <c r="AZ6" s="94">
        <f t="shared" si="13"/>
        <v>5000562.300537277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2905</v>
      </c>
      <c r="F7" s="93">
        <v>243</v>
      </c>
      <c r="G7" s="93">
        <v>71</v>
      </c>
      <c r="H7" s="93">
        <v>631</v>
      </c>
      <c r="I7" s="93">
        <v>3</v>
      </c>
      <c r="J7" s="93">
        <v>1957</v>
      </c>
      <c r="K7" s="92">
        <v>117.24</v>
      </c>
      <c r="L7" s="92">
        <f>E7*K7</f>
        <v>340582.2</v>
      </c>
      <c r="M7" s="89">
        <v>27</v>
      </c>
      <c r="N7" s="89">
        <v>434</v>
      </c>
      <c r="O7" s="89">
        <v>1473</v>
      </c>
      <c r="P7" s="89">
        <v>61</v>
      </c>
      <c r="Q7" s="233">
        <f t="shared" si="14"/>
        <v>62</v>
      </c>
      <c r="R7" s="92">
        <f t="shared" si="15"/>
        <v>35</v>
      </c>
      <c r="S7" s="93">
        <v>249</v>
      </c>
      <c r="T7" s="93">
        <v>-4</v>
      </c>
      <c r="U7" s="92">
        <f t="shared" si="16"/>
        <v>245</v>
      </c>
      <c r="V7" s="93">
        <v>240169.66999999998</v>
      </c>
      <c r="W7" s="93">
        <v>-4091.96</v>
      </c>
      <c r="X7" s="92">
        <f t="shared" si="17"/>
        <v>236077.71</v>
      </c>
      <c r="Y7" s="93">
        <v>364875.55</v>
      </c>
      <c r="Z7" s="93">
        <v>-5872.49</v>
      </c>
      <c r="AA7" s="92">
        <f t="shared" si="18"/>
        <v>359003.06</v>
      </c>
      <c r="AB7" s="92">
        <f t="shared" si="19"/>
        <v>389962.02</v>
      </c>
      <c r="AC7" s="234">
        <f t="shared" si="20"/>
        <v>6.8492529142807623E-2</v>
      </c>
      <c r="AD7" s="92">
        <f t="shared" si="21"/>
        <v>28723.8</v>
      </c>
      <c r="AE7" s="93">
        <v>135651.05999999974</v>
      </c>
      <c r="AF7" s="234">
        <f t="shared" si="22"/>
        <v>0.3778548851366329</v>
      </c>
      <c r="AG7" s="93">
        <v>27044.919999999973</v>
      </c>
      <c r="AH7" s="93">
        <v>9177</v>
      </c>
      <c r="AI7" s="93">
        <v>37434</v>
      </c>
      <c r="AJ7" s="93"/>
      <c r="AK7" s="93"/>
      <c r="AL7" s="122">
        <f t="shared" si="23"/>
        <v>534.24314533849542</v>
      </c>
      <c r="AM7" s="93">
        <v>0</v>
      </c>
      <c r="AN7" s="94">
        <f t="shared" si="24"/>
        <v>13480.037240999998</v>
      </c>
      <c r="AO7" s="95">
        <f t="shared" si="26"/>
        <v>106957.9996136618</v>
      </c>
      <c r="AP7" s="96"/>
      <c r="AQ7" s="97">
        <f t="shared" si="7"/>
        <v>1465.3186122448978</v>
      </c>
      <c r="AR7" s="98">
        <f t="shared" si="8"/>
        <v>117.24</v>
      </c>
      <c r="AS7" s="98">
        <f t="shared" si="9"/>
        <v>553.67779591836631</v>
      </c>
      <c r="AT7" s="98">
        <f t="shared" si="10"/>
        <v>108.61413654618462</v>
      </c>
      <c r="AU7" s="98">
        <f t="shared" si="25"/>
        <v>187.19277108433735</v>
      </c>
      <c r="AV7" s="98">
        <f t="array" ref="AV7">_xlfn.IFS(U7=0,AO7,U7&lt;0,AO7/-U7,U7&gt;0,AO7/U7)</f>
        <v>436.56326372923183</v>
      </c>
      <c r="AW7" s="234">
        <f>IF(AQ7=0,0,AV7/AQ7)</f>
        <v>0.29793060709193342</v>
      </c>
      <c r="AX7" s="234">
        <f>IF(AR7=0,0,AV7/AR7)</f>
        <v>3.7236716455922196</v>
      </c>
      <c r="AY7" s="99"/>
      <c r="AZ7" s="94">
        <f t="shared" si="13"/>
        <v>1268216.2811334184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236</v>
      </c>
      <c r="F8" s="93">
        <v>72</v>
      </c>
      <c r="G8" s="93">
        <v>20</v>
      </c>
      <c r="H8" s="93">
        <v>144</v>
      </c>
      <c r="I8" s="93">
        <v>0</v>
      </c>
      <c r="J8" s="93">
        <v>0</v>
      </c>
      <c r="K8" s="92">
        <v>169.89</v>
      </c>
      <c r="L8" s="92">
        <f>E8*K8</f>
        <v>40094.039999999994</v>
      </c>
      <c r="M8" s="89">
        <v>43</v>
      </c>
      <c r="N8" s="89">
        <v>115</v>
      </c>
      <c r="O8" s="89">
        <v>1464</v>
      </c>
      <c r="P8" s="89">
        <v>50</v>
      </c>
      <c r="Q8" s="233">
        <f t="shared" si="14"/>
        <v>16.428571428571427</v>
      </c>
      <c r="R8" s="92">
        <f t="shared" si="15"/>
        <v>8.1428571428571423</v>
      </c>
      <c r="S8" s="93">
        <v>58</v>
      </c>
      <c r="T8" s="93">
        <v>-1</v>
      </c>
      <c r="U8" s="92">
        <f t="shared" si="16"/>
        <v>57</v>
      </c>
      <c r="V8" s="93">
        <v>55677.009999999995</v>
      </c>
      <c r="W8" s="93">
        <v>-961</v>
      </c>
      <c r="X8" s="92">
        <f t="shared" si="17"/>
        <v>54716.009999999995</v>
      </c>
      <c r="Y8" s="93">
        <v>84772.98</v>
      </c>
      <c r="Z8" s="93">
        <v>-1464</v>
      </c>
      <c r="AA8" s="92">
        <f t="shared" si="18"/>
        <v>83308.98</v>
      </c>
      <c r="AB8" s="92">
        <f t="shared" si="19"/>
        <v>84180</v>
      </c>
      <c r="AC8" s="234">
        <f t="shared" si="20"/>
        <v>1.5894133995703483E-2</v>
      </c>
      <c r="AD8" s="92">
        <f t="shared" si="21"/>
        <v>9683.73</v>
      </c>
      <c r="AE8" s="93">
        <v>31291.979999999974</v>
      </c>
      <c r="AF8" s="234">
        <f t="shared" si="22"/>
        <v>0.37561352929780167</v>
      </c>
      <c r="AG8" s="93">
        <v>6853.87</v>
      </c>
      <c r="AH8" s="93">
        <v>3811</v>
      </c>
      <c r="AI8" s="93">
        <v>7187</v>
      </c>
      <c r="AJ8" s="93"/>
      <c r="AK8" s="93"/>
      <c r="AL8" s="122">
        <f t="shared" si="23"/>
        <v>121.91919640054411</v>
      </c>
      <c r="AM8" s="93">
        <v>0</v>
      </c>
      <c r="AN8" s="94">
        <f t="shared" si="24"/>
        <v>3124.2841709999998</v>
      </c>
      <c r="AO8" s="95">
        <f t="shared" si="26"/>
        <v>21235.19663259948</v>
      </c>
      <c r="AP8" s="96"/>
      <c r="AQ8" s="97">
        <f t="shared" si="7"/>
        <v>1461.5610526315788</v>
      </c>
      <c r="AR8" s="98">
        <f t="shared" si="8"/>
        <v>169.89</v>
      </c>
      <c r="AS8" s="98">
        <f t="shared" si="9"/>
        <v>548.98210526315745</v>
      </c>
      <c r="AT8" s="98">
        <f t="shared" si="10"/>
        <v>118.1701724137931</v>
      </c>
      <c r="AU8" s="98">
        <f t="shared" si="25"/>
        <v>189.62068965517241</v>
      </c>
      <c r="AV8" s="98">
        <f t="array" ref="AV8">_xlfn.IFS(U8=0,AO8,U8&lt;0,AO8/-U8,U8&gt;0,AO8/U8)</f>
        <v>372.54730934385054</v>
      </c>
      <c r="AW8" s="234">
        <f>IF(AQ8=0,0,AV8/AQ8)</f>
        <v>0.25489685064682682</v>
      </c>
      <c r="AX8" s="234">
        <f>IF(AR8=0,0,AV8/AR8)</f>
        <v>2.192873679109133</v>
      </c>
      <c r="AY8" s="99"/>
      <c r="AZ8" s="94">
        <f t="shared" si="13"/>
        <v>87921.165005148723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10364</v>
      </c>
      <c r="F9" s="93">
        <v>344</v>
      </c>
      <c r="G9" s="93">
        <v>127</v>
      </c>
      <c r="H9" s="93">
        <v>426</v>
      </c>
      <c r="I9" s="93">
        <v>0</v>
      </c>
      <c r="J9" s="93">
        <v>9467</v>
      </c>
      <c r="K9" s="92">
        <v>123.09</v>
      </c>
      <c r="L9" s="92">
        <f>E9*K9</f>
        <v>1275704.76</v>
      </c>
      <c r="M9" s="89">
        <v>14</v>
      </c>
      <c r="N9" s="89">
        <v>620</v>
      </c>
      <c r="O9" s="89">
        <v>1685</v>
      </c>
      <c r="P9" s="89">
        <v>51</v>
      </c>
      <c r="Q9" s="233">
        <f t="shared" si="14"/>
        <v>88.571428571428569</v>
      </c>
      <c r="R9" s="92">
        <f t="shared" si="15"/>
        <v>43</v>
      </c>
      <c r="S9" s="93">
        <v>307</v>
      </c>
      <c r="T9" s="93">
        <v>-6</v>
      </c>
      <c r="U9" s="92">
        <f t="shared" si="16"/>
        <v>301</v>
      </c>
      <c r="V9" s="93">
        <v>348329.5</v>
      </c>
      <c r="W9" s="93">
        <v>-6952</v>
      </c>
      <c r="X9" s="92">
        <f t="shared" si="17"/>
        <v>341377.5</v>
      </c>
      <c r="Y9" s="93">
        <v>514872</v>
      </c>
      <c r="Z9" s="93">
        <v>-10050</v>
      </c>
      <c r="AA9" s="92">
        <f t="shared" si="18"/>
        <v>504822</v>
      </c>
      <c r="AB9" s="92">
        <f t="shared" si="19"/>
        <v>532797</v>
      </c>
      <c r="AC9" s="234">
        <f t="shared" si="20"/>
        <v>9.6312648552161165E-2</v>
      </c>
      <c r="AD9" s="92">
        <f t="shared" si="21"/>
        <v>37050.090000000004</v>
      </c>
      <c r="AE9" s="93">
        <v>190417.30999999971</v>
      </c>
      <c r="AF9" s="234">
        <f t="shared" si="22"/>
        <v>0.3771969327802665</v>
      </c>
      <c r="AG9" s="93">
        <v>43997.420000000144</v>
      </c>
      <c r="AH9" s="93">
        <v>9835</v>
      </c>
      <c r="AI9" s="93">
        <v>51500</v>
      </c>
      <c r="AJ9" s="93"/>
      <c r="AK9" s="93"/>
      <c r="AL9" s="122">
        <f t="shared" si="23"/>
        <v>360.677622684943</v>
      </c>
      <c r="AM9" s="93">
        <v>10</v>
      </c>
      <c r="AN9" s="94">
        <f t="shared" si="24"/>
        <v>19492.65525</v>
      </c>
      <c r="AO9" s="95">
        <f t="shared" si="26"/>
        <v>152158.84712731515</v>
      </c>
      <c r="AP9" s="96"/>
      <c r="AQ9" s="97">
        <f t="shared" si="7"/>
        <v>1677.1495016611295</v>
      </c>
      <c r="AR9" s="98">
        <f t="shared" si="8"/>
        <v>123.09</v>
      </c>
      <c r="AS9" s="98">
        <f t="shared" si="9"/>
        <v>632.61564784053064</v>
      </c>
      <c r="AT9" s="98">
        <f t="shared" si="10"/>
        <v>143.31407166123824</v>
      </c>
      <c r="AU9" s="98">
        <f t="shared" si="25"/>
        <v>199.78827361563518</v>
      </c>
      <c r="AV9" s="98">
        <f t="array" ref="AV9">_xlfn.IFS(U9=0,AO9,U9&lt;0,AO9/-U9,U9&gt;0,AO9/U9)</f>
        <v>505.51112002430284</v>
      </c>
      <c r="AW9" s="234">
        <f>IF(AQ9=0,0,AV9/AQ9)</f>
        <v>0.30141088765409424</v>
      </c>
      <c r="AX9" s="234">
        <f>IF(AR9=0,0,AV9/AR9)</f>
        <v>4.1068414982882677</v>
      </c>
      <c r="AY9" s="99"/>
      <c r="AZ9" s="94">
        <f t="shared" si="13"/>
        <v>5239117.2479318744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8969</v>
      </c>
      <c r="F10" s="93">
        <v>219</v>
      </c>
      <c r="G10" s="93">
        <v>70</v>
      </c>
      <c r="H10" s="93">
        <v>594</v>
      </c>
      <c r="I10" s="93">
        <v>0</v>
      </c>
      <c r="J10" s="93">
        <v>8086</v>
      </c>
      <c r="K10" s="92">
        <v>123.09</v>
      </c>
      <c r="L10" s="92">
        <f>E10*K10</f>
        <v>1103994.21</v>
      </c>
      <c r="M10" s="89">
        <v>24</v>
      </c>
      <c r="N10" s="89">
        <v>403</v>
      </c>
      <c r="O10" s="89">
        <v>1388</v>
      </c>
      <c r="P10" s="89">
        <v>61</v>
      </c>
      <c r="Q10" s="233">
        <f t="shared" si="14"/>
        <v>57.571428571428569</v>
      </c>
      <c r="R10" s="92">
        <f t="shared" si="15"/>
        <v>30.142857142857142</v>
      </c>
      <c r="S10" s="93">
        <v>215</v>
      </c>
      <c r="T10" s="93">
        <v>-4</v>
      </c>
      <c r="U10" s="92">
        <f t="shared" si="16"/>
        <v>211</v>
      </c>
      <c r="V10" s="93">
        <v>195095.1</v>
      </c>
      <c r="W10" s="93">
        <v>-3271</v>
      </c>
      <c r="X10" s="92">
        <f t="shared" si="17"/>
        <v>191824.1</v>
      </c>
      <c r="Y10" s="93">
        <v>296519.4499999999</v>
      </c>
      <c r="Z10" s="93">
        <v>-5389</v>
      </c>
      <c r="AA10" s="92">
        <f t="shared" si="18"/>
        <v>291130.4499999999</v>
      </c>
      <c r="AB10" s="92">
        <f t="shared" si="19"/>
        <v>341212.04</v>
      </c>
      <c r="AC10" s="234">
        <f t="shared" si="20"/>
        <v>5.5543428601928041E-2</v>
      </c>
      <c r="AD10" s="92">
        <f t="shared" si="21"/>
        <v>25971.99</v>
      </c>
      <c r="AE10" s="93">
        <v>109529.28999999996</v>
      </c>
      <c r="AF10" s="234">
        <f t="shared" si="22"/>
        <v>0.37622065984509695</v>
      </c>
      <c r="AG10" s="93">
        <v>25156.389999999978</v>
      </c>
      <c r="AH10" s="93">
        <v>5000</v>
      </c>
      <c r="AI10" s="93">
        <v>36028</v>
      </c>
      <c r="AJ10" s="93"/>
      <c r="AK10" s="93"/>
      <c r="AL10" s="122">
        <f t="shared" si="23"/>
        <v>502.91668515224438</v>
      </c>
      <c r="AM10" s="93">
        <v>0</v>
      </c>
      <c r="AN10" s="94">
        <f t="shared" si="24"/>
        <v>10953.15611</v>
      </c>
      <c r="AO10" s="95">
        <f t="shared" si="26"/>
        <v>77988.707204847698</v>
      </c>
      <c r="AP10" s="96"/>
      <c r="AQ10" s="97">
        <f t="shared" si="7"/>
        <v>1379.7651658767768</v>
      </c>
      <c r="AR10" s="98">
        <f t="shared" si="8"/>
        <v>123.09</v>
      </c>
      <c r="AS10" s="98">
        <f t="shared" si="9"/>
        <v>519.09616113744062</v>
      </c>
      <c r="AT10" s="98">
        <f t="shared" si="10"/>
        <v>117.00646511627896</v>
      </c>
      <c r="AU10" s="98">
        <f t="shared" si="25"/>
        <v>190.82790697674417</v>
      </c>
      <c r="AV10" s="98">
        <f t="array" ref="AV10">_xlfn.IFS(U10=0,AO10,U10&lt;0,AO10/-U10,U10&gt;0,AO10/U10)</f>
        <v>369.61472608932559</v>
      </c>
      <c r="AW10" s="234">
        <f>IF(AQ10=0,0,AV10/AQ10)</f>
        <v>0.26788234348158263</v>
      </c>
      <c r="AX10" s="234">
        <f>IF(AR10=0,0,AV10/AR10)</f>
        <v>3.002800601911817</v>
      </c>
      <c r="AY10" s="99"/>
      <c r="AZ10" s="94">
        <f t="shared" si="13"/>
        <v>3315074.4782951614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1780</v>
      </c>
      <c r="F11" s="93">
        <v>116</v>
      </c>
      <c r="G11" s="93">
        <v>26</v>
      </c>
      <c r="H11" s="93">
        <v>286</v>
      </c>
      <c r="I11" s="93">
        <v>0</v>
      </c>
      <c r="J11" s="93">
        <v>1352</v>
      </c>
      <c r="K11" s="92">
        <v>123.09</v>
      </c>
      <c r="L11" s="92">
        <f t="shared" ref="L11" si="32">E11*K11</f>
        <v>219100.2</v>
      </c>
      <c r="M11" s="89">
        <v>17</v>
      </c>
      <c r="N11" s="89">
        <v>182</v>
      </c>
      <c r="O11" s="89">
        <v>1343</v>
      </c>
      <c r="P11" s="89">
        <v>59</v>
      </c>
      <c r="Q11" s="233">
        <f t="shared" si="14"/>
        <v>26</v>
      </c>
      <c r="R11" s="92">
        <f t="shared" si="15"/>
        <v>15.571428571428571</v>
      </c>
      <c r="S11" s="93">
        <v>114</v>
      </c>
      <c r="T11" s="93">
        <v>-5</v>
      </c>
      <c r="U11" s="92">
        <f t="shared" si="16"/>
        <v>109</v>
      </c>
      <c r="V11" s="93">
        <v>100465.1</v>
      </c>
      <c r="W11" s="93">
        <v>-4245</v>
      </c>
      <c r="X11" s="92">
        <f t="shared" si="17"/>
        <v>96220.1</v>
      </c>
      <c r="Y11" s="93">
        <v>152669.83000000002</v>
      </c>
      <c r="Z11" s="93">
        <v>-6661</v>
      </c>
      <c r="AA11" s="92">
        <f t="shared" si="18"/>
        <v>146008.83000000002</v>
      </c>
      <c r="AB11" s="92">
        <f t="shared" si="19"/>
        <v>144211.34</v>
      </c>
      <c r="AC11" s="234">
        <f t="shared" si="20"/>
        <v>2.785634764194557E-2</v>
      </c>
      <c r="AD11" s="92">
        <f t="shared" si="21"/>
        <v>13416.81</v>
      </c>
      <c r="AE11" s="93">
        <v>55057.259999999951</v>
      </c>
      <c r="AF11" s="234">
        <f t="shared" si="22"/>
        <v>0.37708171485245068</v>
      </c>
      <c r="AG11" s="93">
        <v>11074.479999999996</v>
      </c>
      <c r="AH11" s="93">
        <v>3249</v>
      </c>
      <c r="AI11" s="93">
        <v>15329</v>
      </c>
      <c r="AJ11" s="93"/>
      <c r="AK11" s="93"/>
      <c r="AL11" s="122">
        <f t="shared" si="23"/>
        <v>242.14507062885843</v>
      </c>
      <c r="AM11" s="93">
        <v>0</v>
      </c>
      <c r="AN11" s="94">
        <f t="shared" si="24"/>
        <v>5494.1677099999997</v>
      </c>
      <c r="AO11" s="95">
        <f t="shared" si="26"/>
        <v>42145.96721937121</v>
      </c>
      <c r="AP11" s="96"/>
      <c r="AQ11" s="97">
        <f t="shared" si="7"/>
        <v>1339.5305504587157</v>
      </c>
      <c r="AR11" s="98">
        <f t="shared" si="8"/>
        <v>123.09</v>
      </c>
      <c r="AS11" s="98">
        <f t="shared" si="9"/>
        <v>505.11247706421972</v>
      </c>
      <c r="AT11" s="98">
        <f t="shared" si="10"/>
        <v>97.144561403508732</v>
      </c>
      <c r="AU11" s="98">
        <f t="shared" si="25"/>
        <v>162.96491228070175</v>
      </c>
      <c r="AV11" s="98">
        <f t="array" ref="AV11">_xlfn.IFS(U11=0,AO11,U11&lt;0,AO11/-U11,U11&gt;0,AO11/U11)</f>
        <v>386.66024971900191</v>
      </c>
      <c r="AW11" s="234">
        <f t="shared" ref="AW11:AW28" si="33">IF(AQ11=0,0,AV11/AQ11)</f>
        <v>0.28865355074327498</v>
      </c>
      <c r="AX11" s="234">
        <f t="shared" ref="AX11:AX28" si="34">IF(AR11=0,0,AV11/AR11)</f>
        <v>3.1412807678853025</v>
      </c>
      <c r="AY11" s="99"/>
      <c r="AZ11" s="94">
        <f t="shared" si="13"/>
        <v>688255.24449982343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6706</v>
      </c>
      <c r="F12" s="93">
        <v>185</v>
      </c>
      <c r="G12" s="93">
        <v>52</v>
      </c>
      <c r="H12" s="93">
        <v>262</v>
      </c>
      <c r="I12" s="93">
        <v>1</v>
      </c>
      <c r="J12" s="93">
        <v>6206</v>
      </c>
      <c r="K12" s="92">
        <v>117.24</v>
      </c>
      <c r="L12" s="92">
        <f>E12*K12</f>
        <v>786211.44</v>
      </c>
      <c r="M12" s="89">
        <v>18</v>
      </c>
      <c r="N12" s="89">
        <v>300</v>
      </c>
      <c r="O12" s="89">
        <v>1378</v>
      </c>
      <c r="P12" s="89">
        <v>64</v>
      </c>
      <c r="Q12" s="233">
        <f t="shared" si="14"/>
        <v>42.857142857142854</v>
      </c>
      <c r="R12" s="92">
        <f t="shared" si="15"/>
        <v>28.714285714285715</v>
      </c>
      <c r="S12" s="93">
        <v>203</v>
      </c>
      <c r="T12" s="93">
        <v>-2</v>
      </c>
      <c r="U12" s="92">
        <f t="shared" si="16"/>
        <v>201</v>
      </c>
      <c r="V12" s="93">
        <v>183296.28</v>
      </c>
      <c r="W12" s="93">
        <v>-1765</v>
      </c>
      <c r="X12" s="92">
        <f t="shared" si="17"/>
        <v>181531.28</v>
      </c>
      <c r="Y12" s="93">
        <v>277379.08</v>
      </c>
      <c r="Z12" s="93">
        <v>-2724</v>
      </c>
      <c r="AA12" s="92">
        <f t="shared" si="18"/>
        <v>274655.08</v>
      </c>
      <c r="AB12" s="92">
        <f t="shared" si="19"/>
        <v>264576</v>
      </c>
      <c r="AC12" s="234">
        <f t="shared" si="20"/>
        <v>5.2400169154881743E-2</v>
      </c>
      <c r="AD12" s="92">
        <f t="shared" si="21"/>
        <v>23565.239999999998</v>
      </c>
      <c r="AE12" s="93">
        <v>103659.06000000008</v>
      </c>
      <c r="AF12" s="234">
        <f t="shared" si="22"/>
        <v>0.37741541135885809</v>
      </c>
      <c r="AG12" s="93">
        <v>21155.64</v>
      </c>
      <c r="AH12" s="93">
        <v>4248</v>
      </c>
      <c r="AI12" s="93">
        <v>17728</v>
      </c>
      <c r="AJ12" s="93"/>
      <c r="AK12" s="93"/>
      <c r="AL12" s="122">
        <f t="shared" si="23"/>
        <v>221.82520456210108</v>
      </c>
      <c r="AM12" s="93">
        <v>70</v>
      </c>
      <c r="AN12" s="94">
        <f t="shared" si="24"/>
        <v>10365.436088</v>
      </c>
      <c r="AO12" s="95">
        <f t="shared" si="26"/>
        <v>93641.878707437834</v>
      </c>
      <c r="AP12" s="96"/>
      <c r="AQ12" s="97">
        <f t="shared" si="7"/>
        <v>1366.4431840796021</v>
      </c>
      <c r="AR12" s="98">
        <f t="shared" si="8"/>
        <v>117.24</v>
      </c>
      <c r="AS12" s="98">
        <f t="shared" si="9"/>
        <v>515.7167164179109</v>
      </c>
      <c r="AT12" s="98">
        <f t="shared" si="10"/>
        <v>104.21497536945813</v>
      </c>
      <c r="AU12" s="98">
        <f t="shared" si="25"/>
        <v>108.25615763546799</v>
      </c>
      <c r="AV12" s="98">
        <f t="array" ref="AV12">_xlfn.IFS(U12=0,AO12,U12&lt;0,AO12/-U12,U12&gt;0,AO12/U12)</f>
        <v>465.87999356934245</v>
      </c>
      <c r="AW12" s="234">
        <f t="shared" si="33"/>
        <v>0.34094355257305936</v>
      </c>
      <c r="AX12" s="234">
        <f t="shared" si="34"/>
        <v>3.9737290478449543</v>
      </c>
      <c r="AY12" s="99"/>
      <c r="AZ12" s="94">
        <f t="shared" si="13"/>
        <v>3124191.2368760104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4338</v>
      </c>
      <c r="F13" s="93">
        <v>304</v>
      </c>
      <c r="G13" s="93">
        <v>99</v>
      </c>
      <c r="H13" s="93">
        <v>718</v>
      </c>
      <c r="I13" s="93">
        <v>1</v>
      </c>
      <c r="J13" s="93">
        <v>3216</v>
      </c>
      <c r="K13" s="92">
        <v>123.09</v>
      </c>
      <c r="L13" s="92">
        <f t="shared" ref="L13:L28" si="35">E13*K13</f>
        <v>533964.42000000004</v>
      </c>
      <c r="M13" s="89">
        <v>10</v>
      </c>
      <c r="N13" s="89">
        <v>569</v>
      </c>
      <c r="O13" s="89">
        <v>1732</v>
      </c>
      <c r="P13" s="89">
        <v>57</v>
      </c>
      <c r="Q13" s="233">
        <f t="shared" si="14"/>
        <v>81.285714285714292</v>
      </c>
      <c r="R13" s="92">
        <f t="shared" si="15"/>
        <v>43.428571428571431</v>
      </c>
      <c r="S13" s="93">
        <v>311</v>
      </c>
      <c r="T13" s="93">
        <v>-7</v>
      </c>
      <c r="U13" s="92">
        <f t="shared" si="16"/>
        <v>304</v>
      </c>
      <c r="V13" s="93">
        <v>354116.77999999997</v>
      </c>
      <c r="W13" s="93">
        <v>-7946</v>
      </c>
      <c r="X13" s="92">
        <f t="shared" si="17"/>
        <v>346170.77999999997</v>
      </c>
      <c r="Y13" s="93">
        <v>534467.29999999981</v>
      </c>
      <c r="Z13" s="93">
        <v>-12020</v>
      </c>
      <c r="AA13" s="92">
        <f t="shared" si="18"/>
        <v>522447.29999999981</v>
      </c>
      <c r="AB13" s="92">
        <f t="shared" si="19"/>
        <v>561739.56000000006</v>
      </c>
      <c r="AC13" s="234">
        <f t="shared" si="20"/>
        <v>9.9675297811754424E-2</v>
      </c>
      <c r="AD13" s="92">
        <f t="shared" si="21"/>
        <v>37419.360000000001</v>
      </c>
      <c r="AE13" s="93">
        <v>196890.18999999954</v>
      </c>
      <c r="AF13" s="234">
        <f t="shared" si="22"/>
        <v>0.37686134084720047</v>
      </c>
      <c r="AG13" s="93">
        <v>40755.050000000192</v>
      </c>
      <c r="AH13" s="93">
        <v>7000</v>
      </c>
      <c r="AI13" s="93">
        <v>59455</v>
      </c>
      <c r="AJ13" s="93"/>
      <c r="AK13" s="93"/>
      <c r="AL13" s="122">
        <f t="shared" si="23"/>
        <v>607.90265983049073</v>
      </c>
      <c r="AM13" s="93">
        <v>60</v>
      </c>
      <c r="AN13" s="94">
        <f t="shared" si="24"/>
        <v>19766.351537999999</v>
      </c>
      <c r="AO13" s="95">
        <f t="shared" si="26"/>
        <v>160493.44580216962</v>
      </c>
      <c r="AP13" s="96"/>
      <c r="AQ13" s="97">
        <f t="shared" si="7"/>
        <v>1718.5766447368414</v>
      </c>
      <c r="AR13" s="98">
        <f t="shared" si="8"/>
        <v>123.09</v>
      </c>
      <c r="AS13" s="98">
        <f t="shared" si="9"/>
        <v>647.66509868420906</v>
      </c>
      <c r="AT13" s="98">
        <f t="shared" si="10"/>
        <v>131.04517684887523</v>
      </c>
      <c r="AU13" s="98">
        <f t="shared" si="25"/>
        <v>213.68167202572349</v>
      </c>
      <c r="AV13" s="98">
        <f t="array" ref="AV13">_xlfn.IFS(U13=0,AO13,U13&lt;0,AO13/-U13,U13&gt;0,AO13/U13)</f>
        <v>527.93896645450536</v>
      </c>
      <c r="AW13" s="234">
        <f t="shared" si="33"/>
        <v>0.30719547369116407</v>
      </c>
      <c r="AX13" s="234">
        <f t="shared" si="34"/>
        <v>4.2890483910513071</v>
      </c>
      <c r="AY13" s="99"/>
      <c r="AZ13" s="94">
        <f t="shared" si="13"/>
        <v>2290199.2364796442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2668</v>
      </c>
      <c r="F14" s="93">
        <v>78</v>
      </c>
      <c r="G14" s="93">
        <v>17</v>
      </c>
      <c r="H14" s="93">
        <v>232</v>
      </c>
      <c r="I14" s="93">
        <v>2</v>
      </c>
      <c r="J14" s="93">
        <v>2339</v>
      </c>
      <c r="K14" s="92">
        <v>123.09</v>
      </c>
      <c r="L14" s="92">
        <f t="shared" si="35"/>
        <v>328404.12</v>
      </c>
      <c r="M14" s="89">
        <v>31</v>
      </c>
      <c r="N14" s="89">
        <v>135</v>
      </c>
      <c r="O14" s="89">
        <v>1324</v>
      </c>
      <c r="P14" s="89">
        <v>68</v>
      </c>
      <c r="Q14" s="233">
        <f t="shared" si="14"/>
        <v>19.285714285714285</v>
      </c>
      <c r="R14" s="92">
        <f t="shared" si="15"/>
        <v>12.714285714285714</v>
      </c>
      <c r="S14" s="93">
        <v>91</v>
      </c>
      <c r="T14" s="93">
        <v>-2</v>
      </c>
      <c r="U14" s="92">
        <f t="shared" si="16"/>
        <v>89</v>
      </c>
      <c r="V14" s="93">
        <v>78229.16</v>
      </c>
      <c r="W14" s="93">
        <v>-1676</v>
      </c>
      <c r="X14" s="92">
        <f t="shared" si="17"/>
        <v>76553.16</v>
      </c>
      <c r="Y14" s="93">
        <v>119783.69</v>
      </c>
      <c r="Z14" s="93">
        <v>-2608.2799999999997</v>
      </c>
      <c r="AA14" s="92">
        <f t="shared" si="18"/>
        <v>117175.41</v>
      </c>
      <c r="AB14" s="92">
        <f t="shared" si="19"/>
        <v>121543.2</v>
      </c>
      <c r="AC14" s="234">
        <f t="shared" si="20"/>
        <v>2.2355353138899237E-2</v>
      </c>
      <c r="AD14" s="92">
        <f t="shared" si="21"/>
        <v>10955.01</v>
      </c>
      <c r="AE14" s="93">
        <v>44344.030000000013</v>
      </c>
      <c r="AF14" s="234">
        <f t="shared" si="22"/>
        <v>0.37844143237902911</v>
      </c>
      <c r="AG14" s="93">
        <v>8449.2899999999991</v>
      </c>
      <c r="AH14" s="93">
        <v>1051</v>
      </c>
      <c r="AI14" s="93">
        <v>6482</v>
      </c>
      <c r="AJ14" s="93"/>
      <c r="AK14" s="93"/>
      <c r="AL14" s="122">
        <f t="shared" si="23"/>
        <v>196.4253719786544</v>
      </c>
      <c r="AM14" s="93">
        <v>20</v>
      </c>
      <c r="AN14" s="94">
        <f t="shared" si="24"/>
        <v>4371.1854359999998</v>
      </c>
      <c r="AO14" s="95">
        <f t="shared" si="26"/>
        <v>41306.469192021337</v>
      </c>
      <c r="AP14" s="96"/>
      <c r="AQ14" s="97">
        <f t="shared" si="7"/>
        <v>1316.5776404494381</v>
      </c>
      <c r="AR14" s="98">
        <f t="shared" si="8"/>
        <v>123.09</v>
      </c>
      <c r="AS14" s="98">
        <f t="shared" si="9"/>
        <v>498.24752808988779</v>
      </c>
      <c r="AT14" s="98">
        <f t="shared" si="10"/>
        <v>92.849340659340655</v>
      </c>
      <c r="AU14" s="98">
        <f t="shared" si="25"/>
        <v>82.780219780219781</v>
      </c>
      <c r="AV14" s="98">
        <f t="array" ref="AV14">_xlfn.IFS(U14=0,AO14,U14&lt;0,AO14/-U14,U14&gt;0,AO14/U14)</f>
        <v>464.11763137102628</v>
      </c>
      <c r="AW14" s="234">
        <f t="shared" si="33"/>
        <v>0.35251823904026741</v>
      </c>
      <c r="AX14" s="234">
        <f t="shared" si="34"/>
        <v>3.7705551334066638</v>
      </c>
      <c r="AY14" s="99"/>
      <c r="AZ14" s="94">
        <f t="shared" si="13"/>
        <v>1238265.8404978982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4947</v>
      </c>
      <c r="F15" s="93">
        <v>67</v>
      </c>
      <c r="G15" s="93">
        <v>8</v>
      </c>
      <c r="H15" s="93">
        <v>308</v>
      </c>
      <c r="I15" s="93">
        <v>0</v>
      </c>
      <c r="J15" s="93">
        <v>4564</v>
      </c>
      <c r="K15" s="92">
        <v>123.09</v>
      </c>
      <c r="L15" s="92">
        <f t="shared" si="35"/>
        <v>608926.23</v>
      </c>
      <c r="M15" s="89">
        <v>46</v>
      </c>
      <c r="N15" s="89">
        <v>112</v>
      </c>
      <c r="O15" s="89">
        <v>1325</v>
      </c>
      <c r="P15" s="89">
        <v>60</v>
      </c>
      <c r="Q15" s="233">
        <f t="shared" si="14"/>
        <v>16</v>
      </c>
      <c r="R15" s="92">
        <f t="shared" si="15"/>
        <v>10.285714285714286</v>
      </c>
      <c r="S15" s="93">
        <v>74</v>
      </c>
      <c r="T15" s="93">
        <v>-2</v>
      </c>
      <c r="U15" s="92">
        <f t="shared" si="16"/>
        <v>72</v>
      </c>
      <c r="V15" s="93">
        <v>63668.35</v>
      </c>
      <c r="W15" s="93">
        <v>-1655</v>
      </c>
      <c r="X15" s="92">
        <f t="shared" si="17"/>
        <v>62013.35</v>
      </c>
      <c r="Y15" s="93">
        <v>97772.56</v>
      </c>
      <c r="Z15" s="93">
        <v>-2650</v>
      </c>
      <c r="AA15" s="92">
        <f t="shared" si="18"/>
        <v>95122.559999999998</v>
      </c>
      <c r="AB15" s="92">
        <f t="shared" si="19"/>
        <v>89040</v>
      </c>
      <c r="AC15" s="234">
        <f t="shared" si="20"/>
        <v>1.8147992145076609E-2</v>
      </c>
      <c r="AD15" s="92">
        <f t="shared" si="21"/>
        <v>8862.48</v>
      </c>
      <c r="AE15" s="93">
        <v>35842.929999999993</v>
      </c>
      <c r="AF15" s="234">
        <f t="shared" si="22"/>
        <v>0.37680787817316935</v>
      </c>
      <c r="AG15" s="93">
        <v>7466.0999999999958</v>
      </c>
      <c r="AH15" s="93">
        <v>245</v>
      </c>
      <c r="AI15" s="93">
        <v>4395</v>
      </c>
      <c r="AJ15" s="93"/>
      <c r="AK15" s="93"/>
      <c r="AL15" s="122">
        <f t="shared" si="23"/>
        <v>260.77161452338601</v>
      </c>
      <c r="AM15" s="93">
        <v>-1523</v>
      </c>
      <c r="AN15" s="94">
        <f t="shared" si="24"/>
        <v>3540.9622849999996</v>
      </c>
      <c r="AO15" s="95">
        <f t="shared" si="26"/>
        <v>36032.316100476623</v>
      </c>
      <c r="AP15" s="96"/>
      <c r="AQ15" s="97">
        <f t="shared" si="7"/>
        <v>1321.1466666666665</v>
      </c>
      <c r="AR15" s="98">
        <f t="shared" si="8"/>
        <v>123.09</v>
      </c>
      <c r="AS15" s="98">
        <f t="shared" si="9"/>
        <v>497.81847222222211</v>
      </c>
      <c r="AT15" s="98">
        <f t="shared" si="10"/>
        <v>100.89324324324319</v>
      </c>
      <c r="AU15" s="98">
        <f t="shared" si="25"/>
        <v>62.702702702702702</v>
      </c>
      <c r="AV15" s="98">
        <f t="array" ref="AV15">_xlfn.IFS(U15=0,AO15,U15&lt;0,AO15/-U15,U15&gt;0,AO15/U15)</f>
        <v>500.44883472884197</v>
      </c>
      <c r="AW15" s="234">
        <f t="shared" si="33"/>
        <v>0.37879884751289944</v>
      </c>
      <c r="AX15" s="234">
        <f t="shared" si="34"/>
        <v>4.0657147999743435</v>
      </c>
      <c r="AY15" s="99"/>
      <c r="AZ15" s="94">
        <f t="shared" si="13"/>
        <v>2475720.3854035814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3648</v>
      </c>
      <c r="F16" s="93">
        <v>214</v>
      </c>
      <c r="G16" s="93">
        <v>49</v>
      </c>
      <c r="H16" s="93">
        <v>594</v>
      </c>
      <c r="I16" s="93">
        <v>2</v>
      </c>
      <c r="J16" s="93">
        <v>2789</v>
      </c>
      <c r="K16" s="92">
        <v>117.24</v>
      </c>
      <c r="L16" s="92">
        <f t="shared" si="35"/>
        <v>427691.51999999996</v>
      </c>
      <c r="M16" s="89">
        <v>9</v>
      </c>
      <c r="N16" s="89">
        <v>416</v>
      </c>
      <c r="O16" s="89">
        <v>1513</v>
      </c>
      <c r="P16" s="89">
        <v>73</v>
      </c>
      <c r="Q16" s="233">
        <f t="shared" si="14"/>
        <v>59.428571428571431</v>
      </c>
      <c r="R16" s="92">
        <f t="shared" si="15"/>
        <v>37.714285714285715</v>
      </c>
      <c r="S16" s="93">
        <v>267</v>
      </c>
      <c r="T16" s="93">
        <v>-3</v>
      </c>
      <c r="U16" s="92">
        <f t="shared" si="16"/>
        <v>264</v>
      </c>
      <c r="V16" s="93">
        <v>263616.41000000003</v>
      </c>
      <c r="W16" s="93">
        <v>-2909</v>
      </c>
      <c r="X16" s="92">
        <f t="shared" si="17"/>
        <v>260707.41000000003</v>
      </c>
      <c r="Y16" s="93">
        <v>401689.65</v>
      </c>
      <c r="Z16" s="93">
        <v>-4539</v>
      </c>
      <c r="AA16" s="92">
        <f t="shared" si="18"/>
        <v>397150.65</v>
      </c>
      <c r="AB16" s="92">
        <f t="shared" si="19"/>
        <v>459467.84</v>
      </c>
      <c r="AC16" s="234">
        <f t="shared" si="20"/>
        <v>7.5770530950933931E-2</v>
      </c>
      <c r="AD16" s="92">
        <f t="shared" si="21"/>
        <v>30951.359999999997</v>
      </c>
      <c r="AE16" s="93">
        <v>149676.09999999966</v>
      </c>
      <c r="AF16" s="234">
        <f t="shared" si="22"/>
        <v>0.37687487103445416</v>
      </c>
      <c r="AG16" s="93">
        <v>25182.230000000029</v>
      </c>
      <c r="AH16" s="93">
        <v>7500</v>
      </c>
      <c r="AI16" s="93">
        <v>42985</v>
      </c>
      <c r="AJ16" s="93"/>
      <c r="AK16" s="93"/>
      <c r="AL16" s="122">
        <f t="shared" si="23"/>
        <v>502.91668515224438</v>
      </c>
      <c r="AM16" s="93">
        <v>0</v>
      </c>
      <c r="AN16" s="94">
        <f t="shared" si="24"/>
        <v>14886.393111000001</v>
      </c>
      <c r="AO16" s="95">
        <f t="shared" si="26"/>
        <v>125466.6502038481</v>
      </c>
      <c r="AP16" s="96"/>
      <c r="AQ16" s="97">
        <f t="shared" si="7"/>
        <v>1504.3585227272729</v>
      </c>
      <c r="AR16" s="98">
        <f t="shared" si="8"/>
        <v>117.24</v>
      </c>
      <c r="AS16" s="98">
        <f t="shared" si="9"/>
        <v>566.95492424242298</v>
      </c>
      <c r="AT16" s="98">
        <f t="shared" si="10"/>
        <v>94.315468164794112</v>
      </c>
      <c r="AU16" s="98">
        <f t="shared" si="25"/>
        <v>189.08239700374531</v>
      </c>
      <c r="AV16" s="98">
        <f t="array" ref="AV16">_xlfn.IFS(U16=0,AO16,U16&lt;0,AO16/-U16,U16&gt;0,AO16/U16)</f>
        <v>475.252462893364</v>
      </c>
      <c r="AW16" s="234">
        <f t="shared" si="33"/>
        <v>0.31591702091850554</v>
      </c>
      <c r="AX16" s="234">
        <f t="shared" si="34"/>
        <v>4.0536716384626752</v>
      </c>
      <c r="AY16" s="99"/>
      <c r="AZ16" s="94">
        <f t="shared" si="13"/>
        <v>1733720.984634992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2070</v>
      </c>
      <c r="F17" s="93">
        <v>45</v>
      </c>
      <c r="G17" s="93">
        <v>19</v>
      </c>
      <c r="H17" s="93">
        <v>92</v>
      </c>
      <c r="I17" s="93">
        <v>1</v>
      </c>
      <c r="J17" s="93">
        <v>1913</v>
      </c>
      <c r="K17" s="93">
        <v>123.09</v>
      </c>
      <c r="L17" s="92">
        <f t="shared" si="35"/>
        <v>254796.30000000002</v>
      </c>
      <c r="M17" s="89">
        <v>36</v>
      </c>
      <c r="N17" s="89">
        <v>90</v>
      </c>
      <c r="O17" s="89">
        <v>1480</v>
      </c>
      <c r="P17" s="89">
        <v>43</v>
      </c>
      <c r="Q17" s="233">
        <f t="shared" si="14"/>
        <v>12.857142857142858</v>
      </c>
      <c r="R17" s="92">
        <f t="shared" si="15"/>
        <v>5</v>
      </c>
      <c r="S17" s="93">
        <v>38</v>
      </c>
      <c r="T17" s="93">
        <v>-3</v>
      </c>
      <c r="U17" s="92">
        <f t="shared" si="16"/>
        <v>35</v>
      </c>
      <c r="V17" s="93">
        <v>36880.57</v>
      </c>
      <c r="W17" s="93">
        <v>-2863</v>
      </c>
      <c r="X17" s="92">
        <f t="shared" si="17"/>
        <v>34017.57</v>
      </c>
      <c r="Y17" s="93">
        <v>56060.46</v>
      </c>
      <c r="Z17" s="93">
        <v>-4410</v>
      </c>
      <c r="AA17" s="92">
        <f t="shared" si="18"/>
        <v>51650.46</v>
      </c>
      <c r="AB17" s="92">
        <f t="shared" si="19"/>
        <v>57276</v>
      </c>
      <c r="AC17" s="234">
        <f t="shared" si="20"/>
        <v>9.8541517634680303E-3</v>
      </c>
      <c r="AD17" s="92">
        <f t="shared" si="21"/>
        <v>4308.1500000000005</v>
      </c>
      <c r="AE17" s="93">
        <v>19573.609999999997</v>
      </c>
      <c r="AF17" s="234">
        <f t="shared" si="22"/>
        <v>0.37896293663212288</v>
      </c>
      <c r="AG17" s="93">
        <v>5338.4</v>
      </c>
      <c r="AH17" s="93">
        <v>1000</v>
      </c>
      <c r="AI17" s="93">
        <v>5666</v>
      </c>
      <c r="AJ17" s="93"/>
      <c r="AK17" s="93"/>
      <c r="AL17" s="122">
        <f t="shared" si="23"/>
        <v>77.892819922569856</v>
      </c>
      <c r="AM17" s="93">
        <v>0</v>
      </c>
      <c r="AN17" s="94">
        <f t="shared" si="24"/>
        <v>1942.403247</v>
      </c>
      <c r="AO17" s="95">
        <f t="shared" si="26"/>
        <v>13744.003933077433</v>
      </c>
      <c r="AP17" s="96"/>
      <c r="AQ17" s="97">
        <f t="shared" si="7"/>
        <v>1475.7274285714286</v>
      </c>
      <c r="AR17" s="98">
        <f t="shared" si="8"/>
        <v>123.09</v>
      </c>
      <c r="AS17" s="98">
        <f t="shared" si="9"/>
        <v>559.24599999999987</v>
      </c>
      <c r="AT17" s="98">
        <f t="shared" si="10"/>
        <v>140.48421052631579</v>
      </c>
      <c r="AU17" s="98">
        <f t="shared" si="25"/>
        <v>175.42105263157896</v>
      </c>
      <c r="AV17" s="98">
        <f t="array" ref="AV17">_xlfn.IFS(U17=0,AO17,U17&lt;0,AO17/-U17,U17&gt;0,AO17/U17)</f>
        <v>392.6858266593552</v>
      </c>
      <c r="AW17" s="234">
        <f t="shared" si="33"/>
        <v>0.2660964477969302</v>
      </c>
      <c r="AX17" s="234">
        <f t="shared" si="34"/>
        <v>3.1902333793107092</v>
      </c>
      <c r="AY17" s="99"/>
      <c r="AZ17" s="94">
        <f t="shared" si="13"/>
        <v>812859.66118486528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1810</v>
      </c>
      <c r="F18" s="93">
        <v>85</v>
      </c>
      <c r="G18" s="93">
        <v>37</v>
      </c>
      <c r="H18" s="93">
        <v>247</v>
      </c>
      <c r="I18" s="93">
        <v>2</v>
      </c>
      <c r="J18" s="93">
        <v>1439</v>
      </c>
      <c r="K18" s="93">
        <v>123.09</v>
      </c>
      <c r="L18" s="92">
        <f t="shared" si="35"/>
        <v>222792.9</v>
      </c>
      <c r="M18" s="89">
        <v>16</v>
      </c>
      <c r="N18" s="89">
        <v>148</v>
      </c>
      <c r="O18" s="89">
        <v>1782</v>
      </c>
      <c r="P18" s="89">
        <v>34</v>
      </c>
      <c r="Q18" s="233">
        <f t="shared" si="14"/>
        <v>21.142857142857142</v>
      </c>
      <c r="R18" s="92">
        <f t="shared" si="15"/>
        <v>9.4285714285714288</v>
      </c>
      <c r="S18" s="93">
        <v>71</v>
      </c>
      <c r="T18" s="93">
        <v>-5</v>
      </c>
      <c r="U18" s="92">
        <f t="shared" si="16"/>
        <v>66</v>
      </c>
      <c r="V18" s="93">
        <v>84563.65</v>
      </c>
      <c r="W18" s="93">
        <v>-5725</v>
      </c>
      <c r="X18" s="92">
        <f t="shared" si="17"/>
        <v>78838.649999999994</v>
      </c>
      <c r="Y18" s="93">
        <v>121919.18</v>
      </c>
      <c r="Z18" s="93">
        <v>-8348</v>
      </c>
      <c r="AA18" s="92">
        <f t="shared" si="18"/>
        <v>113571.18</v>
      </c>
      <c r="AB18" s="92">
        <f t="shared" si="19"/>
        <v>89670.24</v>
      </c>
      <c r="AC18" s="234">
        <f t="shared" si="20"/>
        <v>2.1667718809786882E-2</v>
      </c>
      <c r="AD18" s="92">
        <f t="shared" si="21"/>
        <v>8123.9400000000005</v>
      </c>
      <c r="AE18" s="93">
        <v>42964.069999999978</v>
      </c>
      <c r="AF18" s="234">
        <f t="shared" si="22"/>
        <v>0.37830081540052662</v>
      </c>
      <c r="AG18" s="93">
        <v>12521.650000000003</v>
      </c>
      <c r="AH18" s="93">
        <v>1635</v>
      </c>
      <c r="AI18" s="93">
        <v>13503</v>
      </c>
      <c r="AJ18" s="93"/>
      <c r="AK18" s="93"/>
      <c r="AL18" s="122">
        <f t="shared" si="23"/>
        <v>209.12528827037772</v>
      </c>
      <c r="AM18" s="93">
        <v>0</v>
      </c>
      <c r="AN18" s="94">
        <f t="shared" si="24"/>
        <v>4501.6869149999993</v>
      </c>
      <c r="AO18" s="95">
        <f t="shared" si="26"/>
        <v>30112.707796729635</v>
      </c>
      <c r="AP18" s="96"/>
      <c r="AQ18" s="97">
        <f t="shared" si="7"/>
        <v>1720.7754545454545</v>
      </c>
      <c r="AR18" s="98">
        <f t="shared" si="8"/>
        <v>123.09</v>
      </c>
      <c r="AS18" s="98">
        <f t="shared" si="9"/>
        <v>650.97075757575726</v>
      </c>
      <c r="AT18" s="98">
        <f t="shared" si="10"/>
        <v>176.36126760563386</v>
      </c>
      <c r="AU18" s="98">
        <f t="shared" si="25"/>
        <v>213.21126760563379</v>
      </c>
      <c r="AV18" s="98">
        <f t="array" ref="AV18">_xlfn.IFS(U18=0,AO18,U18&lt;0,AO18/-U18,U18&gt;0,AO18/U18)</f>
        <v>456.25314843529753</v>
      </c>
      <c r="AW18" s="234">
        <f t="shared" si="33"/>
        <v>0.26514391940569465</v>
      </c>
      <c r="AX18" s="234">
        <f t="shared" si="34"/>
        <v>3.7066629980932451</v>
      </c>
      <c r="AY18" s="99"/>
      <c r="AZ18" s="94">
        <f t="shared" si="13"/>
        <v>825818.19866788853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359</v>
      </c>
      <c r="F20" s="93">
        <v>4</v>
      </c>
      <c r="G20" s="93" t="s">
        <v>100</v>
      </c>
      <c r="H20" s="93">
        <v>64</v>
      </c>
      <c r="I20" s="93">
        <v>1</v>
      </c>
      <c r="J20" s="93">
        <v>290</v>
      </c>
      <c r="K20" s="93">
        <v>117.24</v>
      </c>
      <c r="L20" s="92">
        <f t="shared" si="35"/>
        <v>42089.159999999996</v>
      </c>
      <c r="M20" s="89">
        <v>15</v>
      </c>
      <c r="N20" s="89">
        <v>6</v>
      </c>
      <c r="O20" s="89">
        <v>1397</v>
      </c>
      <c r="P20" s="89">
        <v>100</v>
      </c>
      <c r="Q20" s="233">
        <f t="shared" si="14"/>
        <v>0.8571428571428571</v>
      </c>
      <c r="R20" s="92">
        <f t="shared" si="15"/>
        <v>0.2857142857142857</v>
      </c>
      <c r="S20" s="93">
        <v>2</v>
      </c>
      <c r="T20" s="93">
        <v>0</v>
      </c>
      <c r="U20" s="92">
        <f t="shared" si="16"/>
        <v>2</v>
      </c>
      <c r="V20" s="93">
        <v>1778</v>
      </c>
      <c r="W20" s="93">
        <v>0</v>
      </c>
      <c r="X20" s="92">
        <f t="shared" si="17"/>
        <v>1778</v>
      </c>
      <c r="Y20" s="93">
        <v>2794</v>
      </c>
      <c r="Z20" s="93">
        <v>0</v>
      </c>
      <c r="AA20" s="92">
        <f t="shared" si="18"/>
        <v>2794</v>
      </c>
      <c r="AB20" s="92">
        <f t="shared" si="19"/>
        <v>8382</v>
      </c>
      <c r="AC20" s="234">
        <f t="shared" si="20"/>
        <v>5.3305430439786361E-4</v>
      </c>
      <c r="AD20" s="92">
        <f t="shared" si="21"/>
        <v>234.48</v>
      </c>
      <c r="AE20" s="93">
        <v>1056</v>
      </c>
      <c r="AF20" s="234">
        <f t="shared" si="22"/>
        <v>0.37795275590551181</v>
      </c>
      <c r="AG20" s="93">
        <v>97.34</v>
      </c>
      <c r="AH20" s="93"/>
      <c r="AI20" s="93">
        <v>1433</v>
      </c>
      <c r="AJ20" s="93"/>
      <c r="AK20" s="93"/>
      <c r="AL20" s="122">
        <f t="shared" si="23"/>
        <v>54.186309511352938</v>
      </c>
      <c r="AM20" s="93">
        <v>0</v>
      </c>
      <c r="AN20" s="94">
        <f t="shared" si="24"/>
        <v>101.52379999999999</v>
      </c>
      <c r="AO20" s="95">
        <f t="shared" si="26"/>
        <v>-182.53010951135286</v>
      </c>
      <c r="AP20" s="96"/>
      <c r="AQ20" s="97">
        <f t="shared" si="7"/>
        <v>1397</v>
      </c>
      <c r="AR20" s="98">
        <f>K20</f>
        <v>117.24</v>
      </c>
      <c r="AS20" s="98">
        <f t="shared" si="9"/>
        <v>528</v>
      </c>
      <c r="AT20" s="98">
        <f t="shared" si="10"/>
        <v>48.67</v>
      </c>
      <c r="AU20" s="98">
        <f t="shared" si="25"/>
        <v>716.5</v>
      </c>
      <c r="AV20" s="98">
        <f t="array" ref="AV20">_xlfn.IFS(U20=0,AO20,U20&lt;0,AO20/-U20,U20&gt;0,AO20/U20)</f>
        <v>-91.265054755676431</v>
      </c>
      <c r="AW20" s="234">
        <f t="shared" si="33"/>
        <v>-6.5329316217377545E-2</v>
      </c>
      <c r="AX20" s="234">
        <f t="shared" si="34"/>
        <v>-0.77844638993241588</v>
      </c>
      <c r="AY20" s="99"/>
      <c r="AZ20" s="94">
        <f t="shared" si="13"/>
        <v>-32764.15465728784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351</v>
      </c>
      <c r="F21" s="93">
        <v>4</v>
      </c>
      <c r="G21" s="93">
        <v>3</v>
      </c>
      <c r="H21" s="93">
        <v>48</v>
      </c>
      <c r="I21" s="93">
        <v>1</v>
      </c>
      <c r="J21" s="93">
        <v>295</v>
      </c>
      <c r="K21" s="93">
        <v>117.24</v>
      </c>
      <c r="L21" s="92">
        <f t="shared" si="35"/>
        <v>41151.24</v>
      </c>
      <c r="M21" s="89">
        <v>19</v>
      </c>
      <c r="N21" s="89">
        <v>6</v>
      </c>
      <c r="O21" s="89">
        <v>1304</v>
      </c>
      <c r="P21" s="89">
        <v>0</v>
      </c>
      <c r="Q21" s="233">
        <f t="shared" si="14"/>
        <v>0.8571428571428571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>
        <v>2000</v>
      </c>
      <c r="AJ21" s="93"/>
      <c r="AK21" s="93"/>
      <c r="AL21" s="122">
        <f t="shared" si="23"/>
        <v>40.639732133514698</v>
      </c>
      <c r="AM21" s="93">
        <v>0</v>
      </c>
      <c r="AN21" s="94">
        <f t="shared" si="24"/>
        <v>0</v>
      </c>
      <c r="AO21" s="95">
        <f t="shared" si="26"/>
        <v>-2040.6397321335146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-2040.6397321335146</v>
      </c>
      <c r="AW21" s="234">
        <f t="shared" si="33"/>
        <v>0</v>
      </c>
      <c r="AX21" s="234">
        <f t="shared" si="34"/>
        <v>-17.405661311271874</v>
      </c>
      <c r="AY21" s="99"/>
      <c r="AZ21" s="94">
        <f t="shared" si="13"/>
        <v>-716264.54597886361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349</v>
      </c>
      <c r="F22" s="93">
        <v>4</v>
      </c>
      <c r="G22" s="93">
        <v>1</v>
      </c>
      <c r="H22" s="93">
        <v>53</v>
      </c>
      <c r="I22" s="93">
        <v>1</v>
      </c>
      <c r="J22" s="93">
        <v>290</v>
      </c>
      <c r="K22" s="93">
        <v>117.24</v>
      </c>
      <c r="L22" s="92">
        <f t="shared" si="35"/>
        <v>40916.759999999995</v>
      </c>
      <c r="M22" s="89">
        <v>24</v>
      </c>
      <c r="N22" s="89">
        <v>5</v>
      </c>
      <c r="O22" s="89">
        <v>1285</v>
      </c>
      <c r="P22" s="89">
        <v>50</v>
      </c>
      <c r="Q22" s="233">
        <f t="shared" si="14"/>
        <v>0.7142857142857143</v>
      </c>
      <c r="R22" s="92">
        <f t="shared" si="15"/>
        <v>0.14285714285714285</v>
      </c>
      <c r="S22" s="93">
        <v>1</v>
      </c>
      <c r="T22" s="93">
        <v>0</v>
      </c>
      <c r="U22" s="92">
        <f t="shared" si="16"/>
        <v>1</v>
      </c>
      <c r="V22" s="93">
        <v>903</v>
      </c>
      <c r="W22" s="93">
        <v>0</v>
      </c>
      <c r="X22" s="92">
        <f t="shared" si="17"/>
        <v>903</v>
      </c>
      <c r="Y22" s="93">
        <v>1397</v>
      </c>
      <c r="Z22" s="93">
        <v>0</v>
      </c>
      <c r="AA22" s="92">
        <f t="shared" si="18"/>
        <v>1397</v>
      </c>
      <c r="AB22" s="92">
        <f t="shared" si="19"/>
        <v>3212.5</v>
      </c>
      <c r="AC22" s="234">
        <f t="shared" si="20"/>
        <v>2.6652715219893181E-4</v>
      </c>
      <c r="AD22" s="92">
        <f t="shared" si="21"/>
        <v>117.24</v>
      </c>
      <c r="AE22" s="93">
        <v>528.55999999999995</v>
      </c>
      <c r="AF22" s="234">
        <f t="shared" si="22"/>
        <v>0.3783536148890479</v>
      </c>
      <c r="AG22" s="93">
        <v>133.32</v>
      </c>
      <c r="AH22" s="93"/>
      <c r="AI22" s="93">
        <v>2000</v>
      </c>
      <c r="AJ22" s="93"/>
      <c r="AK22" s="93"/>
      <c r="AL22" s="122">
        <f t="shared" si="23"/>
        <v>44.873037564089152</v>
      </c>
      <c r="AM22" s="93">
        <v>0</v>
      </c>
      <c r="AN22" s="94">
        <f t="shared" si="24"/>
        <v>51.561299999999996</v>
      </c>
      <c r="AO22" s="95">
        <f t="shared" si="26"/>
        <v>-1478.5543375640891</v>
      </c>
      <c r="AP22" s="96"/>
      <c r="AQ22" s="97">
        <f t="shared" si="7"/>
        <v>1397</v>
      </c>
      <c r="AR22" s="98">
        <f t="shared" si="36"/>
        <v>117.24</v>
      </c>
      <c r="AS22" s="98">
        <f t="shared" si="9"/>
        <v>528.55999999999995</v>
      </c>
      <c r="AT22" s="98">
        <f t="shared" si="10"/>
        <v>133.32</v>
      </c>
      <c r="AU22" s="98">
        <f t="shared" si="25"/>
        <v>2000</v>
      </c>
      <c r="AV22" s="98">
        <f t="array" ref="AV22">_xlfn.IFS(U22=0,AO22,U22&lt;0,AO22/-U22,U22&gt;0,AO22/U22)</f>
        <v>-1478.5543375640891</v>
      </c>
      <c r="AW22" s="234">
        <f t="shared" si="33"/>
        <v>-1.0583781943909012</v>
      </c>
      <c r="AX22" s="234">
        <f t="shared" si="34"/>
        <v>-12.611347130365823</v>
      </c>
      <c r="AY22" s="99"/>
      <c r="AZ22" s="94">
        <f t="shared" si="13"/>
        <v>-516015.4638098671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28</v>
      </c>
      <c r="F24" s="93">
        <v>0</v>
      </c>
      <c r="G24" s="93">
        <v>0</v>
      </c>
      <c r="H24" s="93">
        <v>0</v>
      </c>
      <c r="I24" s="93">
        <v>1</v>
      </c>
      <c r="J24" s="93">
        <v>27</v>
      </c>
      <c r="K24" s="93">
        <v>117.24</v>
      </c>
      <c r="L24" s="92">
        <f t="shared" si="35"/>
        <v>3282.72</v>
      </c>
      <c r="M24" s="89">
        <v>999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0.14285714285714285</v>
      </c>
      <c r="S24" s="93">
        <v>1</v>
      </c>
      <c r="T24" s="93">
        <v>0</v>
      </c>
      <c r="U24" s="92">
        <f t="shared" si="16"/>
        <v>1</v>
      </c>
      <c r="V24" s="93">
        <v>579</v>
      </c>
      <c r="W24" s="93">
        <v>0</v>
      </c>
      <c r="X24" s="92">
        <f t="shared" si="17"/>
        <v>579</v>
      </c>
      <c r="Y24" s="93">
        <v>890.46</v>
      </c>
      <c r="Z24" s="93">
        <v>0</v>
      </c>
      <c r="AA24" s="92">
        <f t="shared" si="18"/>
        <v>890.46</v>
      </c>
      <c r="AB24" s="92">
        <f t="shared" si="19"/>
        <v>0</v>
      </c>
      <c r="AC24" s="234">
        <f t="shared" si="20"/>
        <v>1.6988673439302849E-4</v>
      </c>
      <c r="AD24" s="92">
        <f t="shared" si="21"/>
        <v>117.24</v>
      </c>
      <c r="AE24" s="93">
        <v>337.04000000000008</v>
      </c>
      <c r="AF24" s="234">
        <f t="shared" si="22"/>
        <v>0.37850099948341315</v>
      </c>
      <c r="AG24" s="93">
        <v>57.11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33.060899999999997</v>
      </c>
      <c r="AO24" s="95">
        <f t="shared" si="26"/>
        <v>346.00909999999993</v>
      </c>
      <c r="AP24" s="96"/>
      <c r="AQ24" s="97">
        <f t="shared" si="7"/>
        <v>890.46</v>
      </c>
      <c r="AR24" s="98">
        <f t="shared" si="36"/>
        <v>117.24</v>
      </c>
      <c r="AS24" s="98">
        <f t="shared" si="9"/>
        <v>337.04000000000008</v>
      </c>
      <c r="AT24" s="98">
        <f t="shared" si="10"/>
        <v>57.11</v>
      </c>
      <c r="AU24" s="98">
        <f t="shared" si="25"/>
        <v>0</v>
      </c>
      <c r="AV24" s="98">
        <f t="array" ref="AV24">_xlfn.IFS(U24=0,AO24,U24&lt;0,AO24/-U24,U24&gt;0,AO24/U24)</f>
        <v>346.00909999999993</v>
      </c>
      <c r="AW24" s="234">
        <f t="shared" si="33"/>
        <v>0.3885734339554836</v>
      </c>
      <c r="AX24" s="234">
        <f t="shared" si="34"/>
        <v>2.9512888092801086</v>
      </c>
      <c r="AY24" s="99"/>
      <c r="AZ24" s="94">
        <f t="shared" si="13"/>
        <v>9688.2547999999988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783</v>
      </c>
      <c r="F26" s="93">
        <v>40</v>
      </c>
      <c r="G26" s="93">
        <v>25</v>
      </c>
      <c r="H26" s="93">
        <v>330</v>
      </c>
      <c r="I26" s="93">
        <v>376</v>
      </c>
      <c r="J26" s="93">
        <v>12</v>
      </c>
      <c r="K26" s="93">
        <v>123.09</v>
      </c>
      <c r="L26" s="92">
        <f t="shared" si="35"/>
        <v>96379.47</v>
      </c>
      <c r="M26" s="89">
        <v>87</v>
      </c>
      <c r="N26" s="89">
        <v>59</v>
      </c>
      <c r="O26" s="89">
        <v>1240</v>
      </c>
      <c r="P26" s="89">
        <v>25</v>
      </c>
      <c r="Q26" s="233">
        <f t="shared" si="14"/>
        <v>8.4285714285714288</v>
      </c>
      <c r="R26" s="92">
        <f t="shared" si="15"/>
        <v>2.1428571428571428</v>
      </c>
      <c r="S26" s="93">
        <v>16</v>
      </c>
      <c r="T26" s="93">
        <v>-1</v>
      </c>
      <c r="U26" s="92">
        <f t="shared" si="16"/>
        <v>15</v>
      </c>
      <c r="V26" s="93">
        <v>12850.36</v>
      </c>
      <c r="W26" s="93">
        <v>-630</v>
      </c>
      <c r="X26" s="92">
        <f t="shared" si="17"/>
        <v>12220.36</v>
      </c>
      <c r="Y26" s="93">
        <v>18875.93</v>
      </c>
      <c r="Z26" s="93">
        <v>-1001</v>
      </c>
      <c r="AA26" s="92">
        <f t="shared" si="18"/>
        <v>17874.93</v>
      </c>
      <c r="AB26" s="92">
        <f t="shared" si="19"/>
        <v>18290</v>
      </c>
      <c r="AC26" s="234">
        <f t="shared" si="20"/>
        <v>3.410275009774697E-3</v>
      </c>
      <c r="AD26" s="92">
        <f t="shared" si="21"/>
        <v>1846.3500000000001</v>
      </c>
      <c r="AE26" s="93">
        <v>6782.2700000000013</v>
      </c>
      <c r="AF26" s="234">
        <f t="shared" si="22"/>
        <v>0.37942917818419436</v>
      </c>
      <c r="AG26" s="93">
        <v>6967.9199999999992</v>
      </c>
      <c r="AH26" s="93">
        <v>245</v>
      </c>
      <c r="AI26" s="93">
        <v>3847</v>
      </c>
      <c r="AJ26" s="93"/>
      <c r="AK26" s="93"/>
      <c r="AL26" s="122">
        <f t="shared" si="23"/>
        <v>279.39815841791358</v>
      </c>
      <c r="AM26" s="93">
        <v>0</v>
      </c>
      <c r="AN26" s="94">
        <f t="shared" si="24"/>
        <v>697.782556</v>
      </c>
      <c r="AO26" s="95">
        <f t="shared" si="26"/>
        <v>-2790.7907144179153</v>
      </c>
      <c r="AP26" s="96"/>
      <c r="AQ26" s="97">
        <f t="shared" si="7"/>
        <v>1191.662</v>
      </c>
      <c r="AR26" s="98">
        <f t="shared" si="36"/>
        <v>123.09</v>
      </c>
      <c r="AS26" s="98">
        <f t="shared" si="9"/>
        <v>452.15133333333341</v>
      </c>
      <c r="AT26" s="98">
        <f t="shared" si="10"/>
        <v>435.49499999999995</v>
      </c>
      <c r="AU26" s="98">
        <f t="shared" si="25"/>
        <v>255.75</v>
      </c>
      <c r="AV26" s="98">
        <f t="array" ref="AV26">_xlfn.IFS(U26=0,AO26,U26&lt;0,AO26/-U26,U26&gt;0,AO26/U26)</f>
        <v>-186.05271429452768</v>
      </c>
      <c r="AW26" s="234">
        <f t="shared" si="33"/>
        <v>-0.15612876326888636</v>
      </c>
      <c r="AX26" s="234">
        <f t="shared" si="34"/>
        <v>-1.5115177048868931</v>
      </c>
      <c r="AY26" s="99"/>
      <c r="AZ26" s="94">
        <f t="shared" si="13"/>
        <v>-145679.27529261517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708</v>
      </c>
      <c r="F27" s="93">
        <v>7</v>
      </c>
      <c r="G27" s="93">
        <v>2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5"/>
        <v>128565.72</v>
      </c>
      <c r="M27" s="89">
        <v>11</v>
      </c>
      <c r="N27" s="89">
        <v>6</v>
      </c>
      <c r="O27" s="89">
        <v>478</v>
      </c>
      <c r="P27" s="89">
        <v>50</v>
      </c>
      <c r="Q27" s="233">
        <f t="shared" si="14"/>
        <v>0.8571428571428571</v>
      </c>
      <c r="R27" s="92">
        <f t="shared" si="15"/>
        <v>0.5714285714285714</v>
      </c>
      <c r="S27" s="93">
        <v>4</v>
      </c>
      <c r="T27" s="93">
        <v>0</v>
      </c>
      <c r="U27" s="92">
        <f t="shared" si="16"/>
        <v>4</v>
      </c>
      <c r="V27" s="93">
        <v>1272.67</v>
      </c>
      <c r="W27" s="93">
        <v>0</v>
      </c>
      <c r="X27" s="92">
        <f t="shared" si="17"/>
        <v>1272.67</v>
      </c>
      <c r="Y27" s="93">
        <v>1913.28</v>
      </c>
      <c r="Z27" s="93">
        <v>0</v>
      </c>
      <c r="AA27" s="92">
        <f t="shared" si="18"/>
        <v>1913.28</v>
      </c>
      <c r="AB27" s="92">
        <f t="shared" si="19"/>
        <v>1434</v>
      </c>
      <c r="AC27" s="234">
        <f t="shared" si="20"/>
        <v>3.6502581944106816E-4</v>
      </c>
      <c r="AD27" s="92">
        <f t="shared" si="21"/>
        <v>726.36</v>
      </c>
      <c r="AE27" s="93">
        <v>714.33000000000015</v>
      </c>
      <c r="AF27" s="234">
        <f t="shared" si="22"/>
        <v>0.37335361264425498</v>
      </c>
      <c r="AG27" s="93">
        <v>613.25</v>
      </c>
      <c r="AH27" s="93"/>
      <c r="AI27" s="93"/>
      <c r="AJ27" s="93"/>
      <c r="AK27" s="93"/>
      <c r="AL27" s="122">
        <f t="shared" si="23"/>
        <v>0.84666108611488966</v>
      </c>
      <c r="AM27" s="93">
        <v>0</v>
      </c>
      <c r="AN27" s="94">
        <f t="shared" si="24"/>
        <v>72.669457000000008</v>
      </c>
      <c r="AO27" s="95">
        <f t="shared" si="26"/>
        <v>-214.17611808611497</v>
      </c>
      <c r="AP27" s="96"/>
      <c r="AQ27" s="97">
        <f t="shared" si="7"/>
        <v>478.32</v>
      </c>
      <c r="AR27" s="98">
        <f t="shared" si="36"/>
        <v>181.59</v>
      </c>
      <c r="AS27" s="98">
        <f t="shared" si="9"/>
        <v>178.58250000000004</v>
      </c>
      <c r="AT27" s="98">
        <f t="shared" si="10"/>
        <v>153.3125</v>
      </c>
      <c r="AU27" s="98">
        <f t="shared" si="25"/>
        <v>0</v>
      </c>
      <c r="AV27" s="98">
        <f t="array" ref="AV27">_xlfn.IFS(U27=0,AO27,U27&lt;0,AO27/-U27,U27&gt;0,AO27/U27)</f>
        <v>-53.544029521528742</v>
      </c>
      <c r="AW27" s="234">
        <f t="shared" si="33"/>
        <v>-0.11194185800620661</v>
      </c>
      <c r="AX27" s="234">
        <f t="shared" si="34"/>
        <v>-0.29486221444753974</v>
      </c>
      <c r="AY27" s="99"/>
      <c r="AZ27" s="94">
        <f t="shared" si="13"/>
        <v>-37909.172901242353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1026</v>
      </c>
      <c r="F28" s="93">
        <v>186</v>
      </c>
      <c r="G28" s="93">
        <v>80</v>
      </c>
      <c r="H28" s="93">
        <v>618</v>
      </c>
      <c r="I28" s="93">
        <v>0</v>
      </c>
      <c r="J28" s="93">
        <v>142</v>
      </c>
      <c r="K28" s="93">
        <v>133.62</v>
      </c>
      <c r="L28" s="92">
        <f t="shared" si="35"/>
        <v>137094.12</v>
      </c>
      <c r="M28" s="89">
        <v>19</v>
      </c>
      <c r="N28" s="89">
        <v>277</v>
      </c>
      <c r="O28" s="89">
        <v>1686</v>
      </c>
      <c r="P28" s="89">
        <v>33</v>
      </c>
      <c r="Q28" s="233">
        <f t="shared" si="14"/>
        <v>39.571428571428569</v>
      </c>
      <c r="R28" s="92">
        <f t="shared" si="15"/>
        <v>13.142857142857142</v>
      </c>
      <c r="S28" s="93">
        <v>97</v>
      </c>
      <c r="T28" s="93">
        <v>-5</v>
      </c>
      <c r="U28" s="92">
        <f t="shared" si="16"/>
        <v>92</v>
      </c>
      <c r="V28" s="93">
        <v>107741.59</v>
      </c>
      <c r="W28" s="93">
        <v>-5736.46</v>
      </c>
      <c r="X28" s="92">
        <f t="shared" si="17"/>
        <v>102005.12999999999</v>
      </c>
      <c r="Y28" s="93">
        <v>160897.34</v>
      </c>
      <c r="Z28" s="93">
        <v>-8167.45</v>
      </c>
      <c r="AA28" s="92">
        <f t="shared" si="18"/>
        <v>152729.88999999998</v>
      </c>
      <c r="AB28" s="92">
        <f t="shared" si="19"/>
        <v>154117.26</v>
      </c>
      <c r="AC28" s="234">
        <f t="shared" si="20"/>
        <v>2.9138627514213391E-2</v>
      </c>
      <c r="AD28" s="92">
        <f t="shared" si="21"/>
        <v>12293.04</v>
      </c>
      <c r="AE28" s="93">
        <v>57637.349999999948</v>
      </c>
      <c r="AF28" s="234">
        <f t="shared" si="22"/>
        <v>0.37738094357299645</v>
      </c>
      <c r="AG28" s="93">
        <v>27848.840000000058</v>
      </c>
      <c r="AH28" s="93">
        <v>2000</v>
      </c>
      <c r="AI28" s="93">
        <v>10188</v>
      </c>
      <c r="AJ28" s="93"/>
      <c r="AK28" s="93"/>
      <c r="AL28" s="122">
        <f t="shared" si="23"/>
        <v>523.23655121900174</v>
      </c>
      <c r="AM28" s="93">
        <v>230</v>
      </c>
      <c r="AN28" s="94">
        <f t="shared" si="24"/>
        <v>5824.4929229999989</v>
      </c>
      <c r="AO28" s="95">
        <f t="shared" si="26"/>
        <v>36184.930525780976</v>
      </c>
      <c r="AP28" s="96"/>
      <c r="AQ28" s="97">
        <f t="shared" si="7"/>
        <v>1660.1074999999998</v>
      </c>
      <c r="AR28" s="98">
        <f t="shared" si="36"/>
        <v>133.62</v>
      </c>
      <c r="AS28" s="98">
        <f t="shared" si="9"/>
        <v>626.49293478260813</v>
      </c>
      <c r="AT28" s="98">
        <f t="shared" si="10"/>
        <v>287.10144329896968</v>
      </c>
      <c r="AU28" s="98">
        <f t="shared" si="25"/>
        <v>125.64948453608247</v>
      </c>
      <c r="AV28" s="98">
        <f>_xlfn.IFS(U28=0,AO28,U28&lt;0,AO28/-U28,U28&gt;0,AO28/U28)</f>
        <v>393.31446223674976</v>
      </c>
      <c r="AW28" s="234">
        <f t="shared" si="33"/>
        <v>0.2369210802533871</v>
      </c>
      <c r="AX28" s="234">
        <f t="shared" si="34"/>
        <v>2.9435298775389143</v>
      </c>
      <c r="AY28" s="99"/>
      <c r="AZ28" s="94">
        <f t="shared" si="13"/>
        <v>403540.63825490524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23"/>
        <v>0</v>
      </c>
      <c r="AM30" s="93">
        <v>0</v>
      </c>
      <c r="AN30" s="94">
        <f t="shared" si="24"/>
        <v>0</v>
      </c>
      <c r="AO30" s="95">
        <f t="shared" si="26"/>
        <v>0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0</v>
      </c>
      <c r="AU30" s="98">
        <f t="shared" si="25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269</v>
      </c>
      <c r="F33" s="93">
        <v>15</v>
      </c>
      <c r="G33" s="93">
        <v>5</v>
      </c>
      <c r="H33" s="93">
        <v>110</v>
      </c>
      <c r="I33" s="93">
        <v>20</v>
      </c>
      <c r="J33" s="93">
        <v>119</v>
      </c>
      <c r="K33" s="93">
        <v>123.09</v>
      </c>
      <c r="L33" s="92">
        <f>E33*K33</f>
        <v>33111.21</v>
      </c>
      <c r="M33" s="89">
        <v>133</v>
      </c>
      <c r="N33" s="89">
        <v>25</v>
      </c>
      <c r="O33" s="89">
        <v>1500</v>
      </c>
      <c r="P33" s="89">
        <v>36</v>
      </c>
      <c r="Q33" s="233">
        <f t="shared" si="14"/>
        <v>3.5714285714285716</v>
      </c>
      <c r="R33" s="92">
        <f t="shared" si="15"/>
        <v>0.42857142857142855</v>
      </c>
      <c r="S33" s="93">
        <v>4</v>
      </c>
      <c r="T33" s="93">
        <v>-1</v>
      </c>
      <c r="U33" s="92">
        <f t="shared" si="16"/>
        <v>3</v>
      </c>
      <c r="V33" s="93">
        <v>3968</v>
      </c>
      <c r="W33" s="93">
        <v>-937</v>
      </c>
      <c r="X33" s="92">
        <f t="shared" si="17"/>
        <v>3031</v>
      </c>
      <c r="Y33" s="93">
        <v>6000</v>
      </c>
      <c r="Z33" s="93">
        <v>-1500</v>
      </c>
      <c r="AA33" s="92">
        <f t="shared" si="18"/>
        <v>4500</v>
      </c>
      <c r="AB33" s="92">
        <f t="shared" si="19"/>
        <v>13500</v>
      </c>
      <c r="AC33" s="234">
        <f t="shared" si="20"/>
        <v>8.5853413378324489E-4</v>
      </c>
      <c r="AD33" s="92">
        <f t="shared" si="21"/>
        <v>369.27</v>
      </c>
      <c r="AE33" s="93">
        <v>1725.2199999999998</v>
      </c>
      <c r="AF33" s="234">
        <f t="shared" si="22"/>
        <v>0.38338222222222218</v>
      </c>
      <c r="AG33" s="93">
        <v>1420.7300000000002</v>
      </c>
      <c r="AH33" s="93">
        <v>1000</v>
      </c>
      <c r="AI33" s="93">
        <v>4000</v>
      </c>
      <c r="AJ33" s="93"/>
      <c r="AK33" s="93"/>
      <c r="AL33" s="122">
        <f t="shared" si="23"/>
        <v>93.132719472637859</v>
      </c>
      <c r="AM33" s="93">
        <v>0</v>
      </c>
      <c r="AN33" s="94">
        <f t="shared" si="24"/>
        <v>173.0701</v>
      </c>
      <c r="AO33" s="95">
        <f t="shared" si="26"/>
        <v>-4281.4228194726384</v>
      </c>
      <c r="AP33" s="96"/>
      <c r="AQ33" s="97">
        <f t="shared" si="7"/>
        <v>1500</v>
      </c>
      <c r="AR33" s="98">
        <f t="shared" si="36"/>
        <v>123.09</v>
      </c>
      <c r="AS33" s="98">
        <f t="shared" si="9"/>
        <v>575.07333333333327</v>
      </c>
      <c r="AT33" s="98">
        <f t="shared" si="10"/>
        <v>355.18250000000006</v>
      </c>
      <c r="AU33" s="98">
        <f t="shared" si="25"/>
        <v>1250</v>
      </c>
      <c r="AV33" s="98">
        <f t="array" ref="AV33">_xlfn.IFS(U33=0,AO33,U33&lt;0,AO33/-U33,U33&gt;0,AO33/U33)</f>
        <v>-1427.1409398242129</v>
      </c>
      <c r="AW33" s="234">
        <f>IF(AQ33=0,0,AV33/AQ33)</f>
        <v>-0.95142729321614194</v>
      </c>
      <c r="AX33" s="234">
        <f>IF(AR33=0,0,AV33/AR33)</f>
        <v>-11.594288242945916</v>
      </c>
      <c r="AY33" s="99"/>
      <c r="AZ33" s="94">
        <f t="shared" si="13"/>
        <v>-383900.91281271324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117</v>
      </c>
      <c r="K34" s="93">
        <v>117.24</v>
      </c>
      <c r="L34" s="92">
        <f>E34*K34</f>
        <v>13951.56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0.14285714285714285</v>
      </c>
      <c r="S34" s="93">
        <v>1</v>
      </c>
      <c r="T34" s="93">
        <v>0</v>
      </c>
      <c r="U34" s="92">
        <f t="shared" si="16"/>
        <v>1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117.24</v>
      </c>
      <c r="AE34" s="93">
        <v>-446.23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0</v>
      </c>
      <c r="AO34" s="95">
        <f t="shared" si="26"/>
        <v>328.99</v>
      </c>
      <c r="AP34" s="96"/>
      <c r="AQ34" s="97">
        <f t="shared" si="7"/>
        <v>0</v>
      </c>
      <c r="AR34" s="98">
        <f t="shared" si="36"/>
        <v>117.24</v>
      </c>
      <c r="AS34" s="98">
        <f t="shared" si="9"/>
        <v>-446.23</v>
      </c>
      <c r="AT34" s="98">
        <f t="shared" si="10"/>
        <v>0</v>
      </c>
      <c r="AU34" s="98">
        <f t="shared" si="25"/>
        <v>0</v>
      </c>
      <c r="AV34" s="98">
        <f t="array" ref="AV34">_xlfn.IFS(U34=0,AO34,U34&lt;0,AO34/-U34,U34&gt;0,AO34/U34)</f>
        <v>328.99</v>
      </c>
      <c r="AW34" s="234">
        <f>IF(AQ34=0,0,AV34/AQ34)</f>
        <v>0</v>
      </c>
      <c r="AX34" s="234">
        <f>IF(AR34=0,0,AV34/AR34)</f>
        <v>2.8061241896963494</v>
      </c>
      <c r="AY34" s="99"/>
      <c r="AZ34" s="94">
        <f t="shared" si="13"/>
        <v>39149.81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3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3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3"/>
        <v>4587.03</v>
      </c>
      <c r="M37" s="89">
        <v>7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94.9</v>
      </c>
      <c r="AH37" s="93"/>
      <c r="AI37" s="93"/>
      <c r="AJ37" s="93"/>
      <c r="AK37" s="93"/>
      <c r="AL37" s="122">
        <f t="shared" si="23"/>
        <v>0</v>
      </c>
      <c r="AM37" s="93">
        <v>0</v>
      </c>
      <c r="AN37" s="94">
        <f t="shared" si="24"/>
        <v>0</v>
      </c>
      <c r="AO37" s="95">
        <f t="shared" si="26"/>
        <v>-94.9</v>
      </c>
      <c r="AP37" s="96"/>
      <c r="AQ37" s="97">
        <f t="shared" si="7"/>
        <v>0</v>
      </c>
      <c r="AR37" s="98">
        <f t="shared" si="36"/>
        <v>169.89</v>
      </c>
      <c r="AS37" s="98">
        <f t="shared" si="9"/>
        <v>0</v>
      </c>
      <c r="AT37" s="98">
        <f t="shared" si="10"/>
        <v>94.9</v>
      </c>
      <c r="AU37" s="98">
        <f t="shared" si="25"/>
        <v>0</v>
      </c>
      <c r="AV37" s="98">
        <f t="array" ref="AV37">_xlfn.IFS(U37=0,AO37,U37&lt;0,AO37/-U37,U37&gt;0,AO37/U37)</f>
        <v>-94.9</v>
      </c>
      <c r="AW37" s="234">
        <f t="shared" si="44"/>
        <v>0</v>
      </c>
      <c r="AX37" s="234">
        <f t="shared" si="45"/>
        <v>-0.55859673906645479</v>
      </c>
      <c r="AY37" s="99"/>
      <c r="AZ37" s="94">
        <f t="shared" si="13"/>
        <v>-2562.3000000000002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45</v>
      </c>
      <c r="F38" s="93">
        <v>2</v>
      </c>
      <c r="G38" s="93">
        <v>2</v>
      </c>
      <c r="H38" s="93">
        <v>40</v>
      </c>
      <c r="I38" s="93">
        <v>0</v>
      </c>
      <c r="J38" s="93">
        <v>1</v>
      </c>
      <c r="K38" s="92">
        <v>105.54</v>
      </c>
      <c r="L38" s="92">
        <f t="shared" si="43"/>
        <v>4749.3</v>
      </c>
      <c r="M38" s="89">
        <v>173</v>
      </c>
      <c r="N38" s="89">
        <v>6</v>
      </c>
      <c r="O38" s="89">
        <v>1197</v>
      </c>
      <c r="P38" s="89">
        <v>50</v>
      </c>
      <c r="Q38" s="233">
        <f t="shared" si="14"/>
        <v>0.8571428571428571</v>
      </c>
      <c r="R38" s="92">
        <f t="shared" si="15"/>
        <v>0.2857142857142857</v>
      </c>
      <c r="S38" s="93">
        <v>2</v>
      </c>
      <c r="T38" s="93">
        <v>0</v>
      </c>
      <c r="U38" s="92">
        <f t="shared" si="16"/>
        <v>2</v>
      </c>
      <c r="V38" s="93">
        <v>1506</v>
      </c>
      <c r="W38" s="93">
        <v>0</v>
      </c>
      <c r="X38" s="92">
        <f t="shared" si="17"/>
        <v>1506</v>
      </c>
      <c r="Y38" s="93">
        <v>2370</v>
      </c>
      <c r="Z38" s="93">
        <v>0</v>
      </c>
      <c r="AA38" s="92">
        <f t="shared" si="18"/>
        <v>2370</v>
      </c>
      <c r="AB38" s="92">
        <f t="shared" si="19"/>
        <v>3591</v>
      </c>
      <c r="AC38" s="234">
        <f t="shared" si="20"/>
        <v>4.5216131045917564E-4</v>
      </c>
      <c r="AD38" s="92">
        <f t="shared" si="21"/>
        <v>211.08</v>
      </c>
      <c r="AE38" s="93">
        <v>895.66000000000008</v>
      </c>
      <c r="AF38" s="234">
        <f t="shared" si="22"/>
        <v>0.37791561181434602</v>
      </c>
      <c r="AG38" s="93">
        <v>778.29000000000008</v>
      </c>
      <c r="AH38" s="93"/>
      <c r="AI38" s="93"/>
      <c r="AJ38" s="93"/>
      <c r="AK38" s="93"/>
      <c r="AL38" s="122">
        <f t="shared" si="23"/>
        <v>33.866443444595582</v>
      </c>
      <c r="AM38" s="93">
        <v>0</v>
      </c>
      <c r="AN38" s="94">
        <f t="shared" si="24"/>
        <v>85.992599999999996</v>
      </c>
      <c r="AO38" s="95">
        <f t="shared" si="26"/>
        <v>365.11095655540436</v>
      </c>
      <c r="AP38" s="96"/>
      <c r="AQ38" s="97">
        <f t="shared" si="7"/>
        <v>1185</v>
      </c>
      <c r="AR38" s="98">
        <f t="shared" si="36"/>
        <v>105.54</v>
      </c>
      <c r="AS38" s="98">
        <f t="shared" si="9"/>
        <v>447.83000000000004</v>
      </c>
      <c r="AT38" s="98">
        <f t="shared" si="10"/>
        <v>389.14500000000004</v>
      </c>
      <c r="AU38" s="98">
        <f t="shared" si="25"/>
        <v>0</v>
      </c>
      <c r="AV38" s="98">
        <f t="array" ref="AV38">_xlfn.IFS(U38=0,AO38,U38&lt;0,AO38/-U38,U38&gt;0,AO38/U38)</f>
        <v>182.55547827770218</v>
      </c>
      <c r="AW38" s="234">
        <f t="shared" si="44"/>
        <v>0.15405525593055036</v>
      </c>
      <c r="AX38" s="234">
        <f t="shared" si="45"/>
        <v>1.7297278593680327</v>
      </c>
      <c r="AY38" s="99"/>
      <c r="AZ38" s="94">
        <f t="shared" si="13"/>
        <v>8214.9965224965981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13</v>
      </c>
      <c r="F39" s="93">
        <v>5</v>
      </c>
      <c r="G39" s="93">
        <v>5</v>
      </c>
      <c r="H39" s="93">
        <v>2</v>
      </c>
      <c r="I39" s="93">
        <v>0</v>
      </c>
      <c r="J39" s="93">
        <v>1</v>
      </c>
      <c r="K39" s="92">
        <v>105.54</v>
      </c>
      <c r="L39" s="92">
        <f t="shared" si="43"/>
        <v>1372.02</v>
      </c>
      <c r="M39" s="89">
        <v>8</v>
      </c>
      <c r="N39" s="89">
        <v>10</v>
      </c>
      <c r="O39" s="89">
        <v>1077</v>
      </c>
      <c r="P39" s="89">
        <v>33</v>
      </c>
      <c r="Q39" s="233">
        <f t="shared" si="14"/>
        <v>1.4285714285714286</v>
      </c>
      <c r="R39" s="92">
        <f t="shared" si="15"/>
        <v>0.5714285714285714</v>
      </c>
      <c r="S39" s="93">
        <v>4</v>
      </c>
      <c r="T39" s="93">
        <v>0</v>
      </c>
      <c r="U39" s="92">
        <f t="shared" si="16"/>
        <v>4</v>
      </c>
      <c r="V39" s="93">
        <v>2904.44</v>
      </c>
      <c r="W39" s="93">
        <v>0</v>
      </c>
      <c r="X39" s="92">
        <f t="shared" si="17"/>
        <v>2904.44</v>
      </c>
      <c r="Y39" s="93">
        <v>4265.34</v>
      </c>
      <c r="Z39" s="93">
        <v>0</v>
      </c>
      <c r="AA39" s="92">
        <f t="shared" si="18"/>
        <v>4265.34</v>
      </c>
      <c r="AB39" s="92">
        <f t="shared" si="19"/>
        <v>3554.1</v>
      </c>
      <c r="AC39" s="234">
        <f t="shared" si="20"/>
        <v>8.137644404868946E-4</v>
      </c>
      <c r="AD39" s="92">
        <f t="shared" si="21"/>
        <v>422.16</v>
      </c>
      <c r="AE39" s="93">
        <v>1587.69</v>
      </c>
      <c r="AF39" s="234">
        <f t="shared" si="22"/>
        <v>0.37223058419727384</v>
      </c>
      <c r="AG39" s="93">
        <v>1075.22</v>
      </c>
      <c r="AH39" s="93"/>
      <c r="AI39" s="93"/>
      <c r="AJ39" s="93"/>
      <c r="AK39" s="93"/>
      <c r="AL39" s="122">
        <f t="shared" si="23"/>
        <v>1.6933221722297793</v>
      </c>
      <c r="AM39" s="93">
        <v>0</v>
      </c>
      <c r="AN39" s="94">
        <f t="shared" si="24"/>
        <v>165.843524</v>
      </c>
      <c r="AO39" s="95">
        <f t="shared" si="26"/>
        <v>1012.7331538277705</v>
      </c>
      <c r="AP39" s="96"/>
      <c r="AQ39" s="97">
        <f t="shared" si="7"/>
        <v>1066.335</v>
      </c>
      <c r="AR39" s="98">
        <f t="shared" si="36"/>
        <v>105.54</v>
      </c>
      <c r="AS39" s="98">
        <f t="shared" si="9"/>
        <v>396.92250000000001</v>
      </c>
      <c r="AT39" s="98">
        <f t="shared" si="10"/>
        <v>268.80500000000001</v>
      </c>
      <c r="AU39" s="98">
        <f t="shared" si="25"/>
        <v>0</v>
      </c>
      <c r="AV39" s="98">
        <f t="array" ref="AV39">_xlfn.IFS(U39=0,AO39,U39&lt;0,AO39/-U39,U39&gt;0,AO39/U39)</f>
        <v>253.18328845694262</v>
      </c>
      <c r="AW39" s="234">
        <f t="shared" si="44"/>
        <v>0.23743315980150947</v>
      </c>
      <c r="AX39" s="234">
        <f t="shared" si="45"/>
        <v>2.3989320490519481</v>
      </c>
      <c r="AY39" s="99"/>
      <c r="AZ39" s="94">
        <f t="shared" si="13"/>
        <v>3291.3827499402541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34</v>
      </c>
      <c r="F40" s="93">
        <v>2</v>
      </c>
      <c r="G40" s="93">
        <v>2</v>
      </c>
      <c r="H40" s="93">
        <v>29</v>
      </c>
      <c r="I40" s="93">
        <v>0</v>
      </c>
      <c r="J40" s="93">
        <v>1</v>
      </c>
      <c r="K40" s="92">
        <v>105.54</v>
      </c>
      <c r="L40" s="92">
        <f t="shared" si="43"/>
        <v>3588.36</v>
      </c>
      <c r="M40" s="89">
        <v>71</v>
      </c>
      <c r="N40" s="89">
        <v>7</v>
      </c>
      <c r="O40" s="89">
        <v>1197</v>
      </c>
      <c r="P40" s="89">
        <v>17</v>
      </c>
      <c r="Q40" s="233">
        <f t="shared" si="14"/>
        <v>1</v>
      </c>
      <c r="R40" s="92">
        <f t="shared" si="15"/>
        <v>1</v>
      </c>
      <c r="S40" s="93">
        <v>8</v>
      </c>
      <c r="T40" s="93">
        <v>-1</v>
      </c>
      <c r="U40" s="92">
        <f t="shared" si="16"/>
        <v>7</v>
      </c>
      <c r="V40" s="93">
        <v>6186</v>
      </c>
      <c r="W40" s="93">
        <v>-772</v>
      </c>
      <c r="X40" s="92">
        <f t="shared" si="17"/>
        <v>5414</v>
      </c>
      <c r="Y40" s="93">
        <v>9551</v>
      </c>
      <c r="Z40" s="93">
        <v>-1197</v>
      </c>
      <c r="AA40" s="92">
        <f t="shared" si="18"/>
        <v>8354</v>
      </c>
      <c r="AB40" s="92">
        <f t="shared" si="19"/>
        <v>1424.43</v>
      </c>
      <c r="AC40" s="234">
        <f t="shared" si="20"/>
        <v>1.5938209230278283E-3</v>
      </c>
      <c r="AD40" s="92">
        <f t="shared" si="21"/>
        <v>738.78000000000009</v>
      </c>
      <c r="AE40" s="93">
        <v>3153.69</v>
      </c>
      <c r="AF40" s="234">
        <f t="shared" si="22"/>
        <v>0.37750658367249224</v>
      </c>
      <c r="AG40" s="93">
        <v>1294.22</v>
      </c>
      <c r="AH40" s="93"/>
      <c r="AI40" s="93"/>
      <c r="AJ40" s="93"/>
      <c r="AK40" s="93"/>
      <c r="AL40" s="122">
        <f t="shared" si="23"/>
        <v>24.5531714973318</v>
      </c>
      <c r="AM40" s="93">
        <v>0</v>
      </c>
      <c r="AN40" s="94">
        <f t="shared" si="24"/>
        <v>309.13939999999997</v>
      </c>
      <c r="AO40" s="95">
        <f t="shared" si="26"/>
        <v>2833.6174285026686</v>
      </c>
      <c r="AP40" s="96"/>
      <c r="AQ40" s="97">
        <f t="shared" si="7"/>
        <v>1193.4285714285713</v>
      </c>
      <c r="AR40" s="98">
        <f t="shared" si="36"/>
        <v>105.54</v>
      </c>
      <c r="AS40" s="98">
        <f t="shared" si="9"/>
        <v>450.52714285714285</v>
      </c>
      <c r="AT40" s="98">
        <f t="shared" si="10"/>
        <v>161.7775</v>
      </c>
      <c r="AU40" s="98">
        <f t="shared" si="25"/>
        <v>0</v>
      </c>
      <c r="AV40" s="98">
        <f t="array" ref="AV40">_xlfn.IFS(U40=0,AO40,U40&lt;0,AO40/-U40,U40&gt;0,AO40/U40)</f>
        <v>404.80248978609552</v>
      </c>
      <c r="AW40" s="234">
        <f t="shared" si="44"/>
        <v>0.33919289304556727</v>
      </c>
      <c r="AX40" s="234">
        <f t="shared" si="45"/>
        <v>3.8355361927808933</v>
      </c>
      <c r="AY40" s="99"/>
      <c r="AZ40" s="94">
        <f t="shared" si="13"/>
        <v>13763.284652727249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43</v>
      </c>
      <c r="F41" s="93">
        <v>1</v>
      </c>
      <c r="G41" s="93">
        <v>1</v>
      </c>
      <c r="H41" s="93">
        <v>40</v>
      </c>
      <c r="I41" s="93">
        <v>0</v>
      </c>
      <c r="J41" s="93">
        <v>1</v>
      </c>
      <c r="K41" s="92">
        <v>123.09</v>
      </c>
      <c r="L41" s="92">
        <f t="shared" si="43"/>
        <v>5292.87</v>
      </c>
      <c r="M41" s="89">
        <v>313</v>
      </c>
      <c r="N41" s="89">
        <v>0</v>
      </c>
      <c r="O41" s="89">
        <v>0</v>
      </c>
      <c r="P41" s="89">
        <v>0</v>
      </c>
      <c r="Q41" s="233">
        <f t="shared" si="14"/>
        <v>0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267.92</v>
      </c>
      <c r="AH41" s="93"/>
      <c r="AI41" s="93"/>
      <c r="AJ41" s="93"/>
      <c r="AK41" s="93"/>
      <c r="AL41" s="122">
        <f t="shared" si="23"/>
        <v>33.866443444595582</v>
      </c>
      <c r="AM41" s="93">
        <v>0</v>
      </c>
      <c r="AN41" s="94">
        <f t="shared" si="24"/>
        <v>0</v>
      </c>
      <c r="AO41" s="95">
        <f t="shared" si="26"/>
        <v>-301.78644344459559</v>
      </c>
      <c r="AP41" s="96"/>
      <c r="AQ41" s="97">
        <f t="shared" si="7"/>
        <v>0</v>
      </c>
      <c r="AR41" s="98">
        <f t="shared" si="36"/>
        <v>123.09</v>
      </c>
      <c r="AS41" s="98">
        <f t="shared" si="9"/>
        <v>0</v>
      </c>
      <c r="AT41" s="98">
        <f t="shared" si="10"/>
        <v>267.92</v>
      </c>
      <c r="AU41" s="98">
        <f t="shared" si="25"/>
        <v>0</v>
      </c>
      <c r="AV41" s="98">
        <f t="array" ref="AV41">_xlfn.IFS(U41=0,AO41,U41&lt;0,AO41/-U41,U41&gt;0,AO41/U41)</f>
        <v>-301.78644344459559</v>
      </c>
      <c r="AW41" s="234">
        <f t="shared" si="44"/>
        <v>0</v>
      </c>
      <c r="AX41" s="234">
        <f t="shared" si="45"/>
        <v>-2.4517543540872175</v>
      </c>
      <c r="AY41" s="99"/>
      <c r="AZ41" s="94">
        <f t="shared" si="13"/>
        <v>-12976.817068117611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33</v>
      </c>
      <c r="F42" s="93">
        <v>10</v>
      </c>
      <c r="G42" s="93">
        <v>4</v>
      </c>
      <c r="H42" s="93">
        <v>18</v>
      </c>
      <c r="I42" s="93">
        <v>0</v>
      </c>
      <c r="J42" s="93">
        <v>1</v>
      </c>
      <c r="K42" s="92">
        <v>123.09</v>
      </c>
      <c r="L42" s="92">
        <f t="shared" si="43"/>
        <v>4061.9700000000003</v>
      </c>
      <c r="M42" s="89">
        <v>42</v>
      </c>
      <c r="N42" s="89">
        <v>13</v>
      </c>
      <c r="O42" s="89">
        <v>1176</v>
      </c>
      <c r="P42" s="89">
        <v>29</v>
      </c>
      <c r="Q42" s="233">
        <f t="shared" si="14"/>
        <v>1.8571428571428572</v>
      </c>
      <c r="R42" s="92">
        <f t="shared" si="15"/>
        <v>1</v>
      </c>
      <c r="S42" s="93">
        <v>7</v>
      </c>
      <c r="T42" s="93">
        <v>0</v>
      </c>
      <c r="U42" s="92">
        <f t="shared" si="16"/>
        <v>7</v>
      </c>
      <c r="V42" s="93">
        <v>5440.17</v>
      </c>
      <c r="W42" s="93">
        <v>0</v>
      </c>
      <c r="X42" s="92">
        <f t="shared" si="17"/>
        <v>5440.17</v>
      </c>
      <c r="Y42" s="93">
        <v>8196.4900000000016</v>
      </c>
      <c r="Z42" s="93">
        <v>0</v>
      </c>
      <c r="AA42" s="92">
        <f t="shared" si="18"/>
        <v>8196.4900000000016</v>
      </c>
      <c r="AB42" s="92">
        <f t="shared" si="19"/>
        <v>4433.5200000000004</v>
      </c>
      <c r="AC42" s="234">
        <f t="shared" si="20"/>
        <v>1.5637703204917845E-3</v>
      </c>
      <c r="AD42" s="92">
        <f t="shared" si="21"/>
        <v>861.63</v>
      </c>
      <c r="AE42" s="93">
        <v>3100.4500000000016</v>
      </c>
      <c r="AF42" s="234">
        <f t="shared" si="22"/>
        <v>0.37826557465451688</v>
      </c>
      <c r="AG42" s="93">
        <v>1415.3999999999999</v>
      </c>
      <c r="AH42" s="93"/>
      <c r="AI42" s="93"/>
      <c r="AJ42" s="93"/>
      <c r="AK42" s="93"/>
      <c r="AL42" s="122">
        <f t="shared" si="23"/>
        <v>15.239899550068014</v>
      </c>
      <c r="AM42" s="93">
        <v>0</v>
      </c>
      <c r="AN42" s="94">
        <f t="shared" si="24"/>
        <v>310.63370700000002</v>
      </c>
      <c r="AO42" s="95">
        <f t="shared" si="26"/>
        <v>2493.1363934499323</v>
      </c>
      <c r="AP42" s="96"/>
      <c r="AQ42" s="97">
        <f t="shared" si="7"/>
        <v>1170.9271428571431</v>
      </c>
      <c r="AR42" s="98">
        <f t="shared" si="36"/>
        <v>123.09</v>
      </c>
      <c r="AS42" s="98">
        <f t="shared" si="9"/>
        <v>442.92142857142881</v>
      </c>
      <c r="AT42" s="98">
        <f t="shared" si="10"/>
        <v>202.2</v>
      </c>
      <c r="AU42" s="98">
        <f t="shared" si="25"/>
        <v>0</v>
      </c>
      <c r="AV42" s="98">
        <f t="array" ref="AV42">_xlfn.IFS(U42=0,AO42,U42&lt;0,AO42/-U42,U42&gt;0,AO42/U42)</f>
        <v>356.16234192141889</v>
      </c>
      <c r="AW42" s="234">
        <f t="shared" si="44"/>
        <v>0.30417122371282485</v>
      </c>
      <c r="AX42" s="234">
        <f t="shared" si="45"/>
        <v>2.8935115925048249</v>
      </c>
      <c r="AY42" s="99"/>
      <c r="AZ42" s="94">
        <f t="shared" si="13"/>
        <v>11753.357283406824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9</v>
      </c>
      <c r="F43" s="93">
        <v>5</v>
      </c>
      <c r="G43" s="93">
        <v>3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3"/>
        <v>1107.81</v>
      </c>
      <c r="M43" s="89">
        <v>3</v>
      </c>
      <c r="N43" s="89">
        <v>6</v>
      </c>
      <c r="O43" s="89">
        <v>1102</v>
      </c>
      <c r="P43" s="89">
        <v>33</v>
      </c>
      <c r="Q43" s="233">
        <f t="shared" si="14"/>
        <v>0.8571428571428571</v>
      </c>
      <c r="R43" s="92">
        <f t="shared" si="15"/>
        <v>0.7142857142857143</v>
      </c>
      <c r="S43" s="93">
        <v>5</v>
      </c>
      <c r="T43" s="93">
        <v>0</v>
      </c>
      <c r="U43" s="92">
        <f t="shared" si="16"/>
        <v>5</v>
      </c>
      <c r="V43" s="93">
        <v>3720.13</v>
      </c>
      <c r="W43" s="93">
        <v>0</v>
      </c>
      <c r="X43" s="92">
        <f t="shared" si="17"/>
        <v>3720.13</v>
      </c>
      <c r="Y43" s="93">
        <v>5509.62</v>
      </c>
      <c r="Z43" s="93">
        <v>0</v>
      </c>
      <c r="AA43" s="92">
        <f t="shared" si="18"/>
        <v>5509.62</v>
      </c>
      <c r="AB43" s="92">
        <f t="shared" si="19"/>
        <v>2181.96</v>
      </c>
      <c r="AC43" s="234">
        <f t="shared" si="20"/>
        <v>1.0511548520388536E-3</v>
      </c>
      <c r="AD43" s="92">
        <f t="shared" si="21"/>
        <v>615.45000000000005</v>
      </c>
      <c r="AE43" s="93">
        <v>2085.2099999999996</v>
      </c>
      <c r="AF43" s="234">
        <f t="shared" si="22"/>
        <v>0.37846711751445644</v>
      </c>
      <c r="AG43" s="93">
        <v>513.30999999999995</v>
      </c>
      <c r="AH43" s="93"/>
      <c r="AI43" s="93"/>
      <c r="AJ43" s="93"/>
      <c r="AK43" s="93"/>
      <c r="AL43" s="122">
        <f t="shared" si="23"/>
        <v>0</v>
      </c>
      <c r="AM43" s="93">
        <v>0</v>
      </c>
      <c r="AN43" s="94">
        <f t="shared" si="24"/>
        <v>212.41942299999999</v>
      </c>
      <c r="AO43" s="95">
        <f t="shared" si="26"/>
        <v>2083.2305770000007</v>
      </c>
      <c r="AP43" s="96"/>
      <c r="AQ43" s="97">
        <f t="shared" si="7"/>
        <v>1101.924</v>
      </c>
      <c r="AR43" s="98">
        <f t="shared" si="36"/>
        <v>123.09</v>
      </c>
      <c r="AS43" s="98">
        <f t="shared" si="9"/>
        <v>417.04199999999992</v>
      </c>
      <c r="AT43" s="98">
        <f t="shared" si="10"/>
        <v>102.66199999999999</v>
      </c>
      <c r="AU43" s="98">
        <f t="shared" si="25"/>
        <v>0</v>
      </c>
      <c r="AV43" s="98">
        <f t="array" ref="AV43">_xlfn.IFS(U43=0,AO43,U43&lt;0,AO43/-U43,U43&gt;0,AO43/U43)</f>
        <v>416.64611540000016</v>
      </c>
      <c r="AW43" s="234">
        <f t="shared" si="44"/>
        <v>0.37810785081366788</v>
      </c>
      <c r="AX43" s="234">
        <f t="shared" si="45"/>
        <v>3.3848900430579261</v>
      </c>
      <c r="AY43" s="99"/>
      <c r="AZ43" s="94">
        <f t="shared" si="13"/>
        <v>3749.8150386000016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1279</v>
      </c>
      <c r="F44" s="93">
        <v>53</v>
      </c>
      <c r="G44" s="93">
        <v>35</v>
      </c>
      <c r="H44" s="93">
        <v>134</v>
      </c>
      <c r="I44" s="93">
        <v>0</v>
      </c>
      <c r="J44" s="93">
        <v>1057</v>
      </c>
      <c r="K44" s="92">
        <v>111.39</v>
      </c>
      <c r="L44" s="92">
        <f t="shared" si="43"/>
        <v>142467.81</v>
      </c>
      <c r="M44" s="89">
        <v>14</v>
      </c>
      <c r="N44" s="89">
        <v>110</v>
      </c>
      <c r="O44" s="89">
        <v>1256</v>
      </c>
      <c r="P44" s="89">
        <v>51</v>
      </c>
      <c r="Q44" s="233">
        <f t="shared" si="14"/>
        <v>15.714285714285714</v>
      </c>
      <c r="R44" s="92">
        <f t="shared" si="15"/>
        <v>7.4285714285714288</v>
      </c>
      <c r="S44" s="93">
        <v>52</v>
      </c>
      <c r="T44" s="93">
        <v>0</v>
      </c>
      <c r="U44" s="92">
        <f t="shared" si="16"/>
        <v>52</v>
      </c>
      <c r="V44" s="93">
        <v>42827.24</v>
      </c>
      <c r="W44" s="93">
        <v>0</v>
      </c>
      <c r="X44" s="92">
        <f t="shared" si="17"/>
        <v>42827.24</v>
      </c>
      <c r="Y44" s="93">
        <v>64060.639999999999</v>
      </c>
      <c r="Z44" s="93">
        <v>0</v>
      </c>
      <c r="AA44" s="92">
        <f t="shared" si="18"/>
        <v>64060.639999999999</v>
      </c>
      <c r="AB44" s="92">
        <f t="shared" si="19"/>
        <v>70461.600000000006</v>
      </c>
      <c r="AC44" s="234">
        <f t="shared" si="20"/>
        <v>1.2221832460444507E-2</v>
      </c>
      <c r="AD44" s="92">
        <f t="shared" si="21"/>
        <v>5792.28</v>
      </c>
      <c r="AE44" s="93">
        <v>24201.770000000004</v>
      </c>
      <c r="AF44" s="234">
        <f t="shared" si="22"/>
        <v>0.37779469577575253</v>
      </c>
      <c r="AG44" s="93">
        <v>9120.6400000000031</v>
      </c>
      <c r="AH44" s="93">
        <v>554</v>
      </c>
      <c r="AI44" s="93">
        <v>5856</v>
      </c>
      <c r="AJ44" s="93"/>
      <c r="AK44" s="93"/>
      <c r="AL44" s="122">
        <f t="shared" si="23"/>
        <v>113.45258553939522</v>
      </c>
      <c r="AM44" s="93">
        <v>0</v>
      </c>
      <c r="AN44" s="94">
        <f t="shared" si="24"/>
        <v>2445.4354039999998</v>
      </c>
      <c r="AO44" s="95">
        <f t="shared" si="26"/>
        <v>15977.062010460599</v>
      </c>
      <c r="AP44" s="96"/>
      <c r="AQ44" s="97">
        <f t="shared" si="7"/>
        <v>1231.9353846153847</v>
      </c>
      <c r="AR44" s="98">
        <f t="shared" si="36"/>
        <v>111.39</v>
      </c>
      <c r="AS44" s="98">
        <f t="shared" si="9"/>
        <v>465.41865384615392</v>
      </c>
      <c r="AT44" s="98">
        <f t="shared" si="10"/>
        <v>175.39692307692314</v>
      </c>
      <c r="AU44" s="98">
        <f t="shared" si="25"/>
        <v>123.26923076923077</v>
      </c>
      <c r="AV44" s="98">
        <f t="array" ref="AV44">_xlfn.IFS(U44=0,AO44,U44&lt;0,AO44/-U44,U44&gt;0,AO44/U44)</f>
        <v>307.25119250885768</v>
      </c>
      <c r="AW44" s="234">
        <f t="shared" si="44"/>
        <v>0.24940528240836493</v>
      </c>
      <c r="AX44" s="234">
        <f t="shared" si="45"/>
        <v>2.7583373059418053</v>
      </c>
      <c r="AY44" s="99"/>
      <c r="AZ44" s="94">
        <f t="shared" si="13"/>
        <v>392974.27521882899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361</v>
      </c>
      <c r="F45" s="93">
        <v>41</v>
      </c>
      <c r="G45" s="93">
        <v>30</v>
      </c>
      <c r="H45" s="93">
        <v>135</v>
      </c>
      <c r="I45" s="93">
        <v>0</v>
      </c>
      <c r="J45" s="93">
        <v>155</v>
      </c>
      <c r="K45" s="92">
        <v>107.88</v>
      </c>
      <c r="L45" s="92">
        <f t="shared" si="43"/>
        <v>38944.68</v>
      </c>
      <c r="M45" s="89">
        <v>20</v>
      </c>
      <c r="N45" s="89">
        <v>55</v>
      </c>
      <c r="O45" s="89">
        <v>1913</v>
      </c>
      <c r="P45" s="89">
        <v>26</v>
      </c>
      <c r="Q45" s="233">
        <f t="shared" si="14"/>
        <v>7.8571428571428568</v>
      </c>
      <c r="R45" s="92">
        <f t="shared" si="15"/>
        <v>2.8571428571428572</v>
      </c>
      <c r="S45" s="93">
        <v>24</v>
      </c>
      <c r="T45" s="93">
        <v>-4</v>
      </c>
      <c r="U45" s="92">
        <f t="shared" si="16"/>
        <v>20</v>
      </c>
      <c r="V45" s="93">
        <v>30059.03</v>
      </c>
      <c r="W45" s="93">
        <v>-4729</v>
      </c>
      <c r="X45" s="92">
        <f t="shared" si="17"/>
        <v>25330.03</v>
      </c>
      <c r="Y45" s="93">
        <v>44301.04</v>
      </c>
      <c r="Z45" s="93">
        <v>-7014</v>
      </c>
      <c r="AA45" s="92">
        <f t="shared" si="18"/>
        <v>37287.040000000001</v>
      </c>
      <c r="AB45" s="92">
        <f t="shared" si="19"/>
        <v>27355.9</v>
      </c>
      <c r="AC45" s="234">
        <f t="shared" si="20"/>
        <v>7.1138214639424897E-3</v>
      </c>
      <c r="AD45" s="92">
        <f t="shared" si="21"/>
        <v>2157.6</v>
      </c>
      <c r="AE45" s="93">
        <v>14118.91</v>
      </c>
      <c r="AF45" s="234">
        <f t="shared" si="22"/>
        <v>0.37865462101577385</v>
      </c>
      <c r="AG45" s="93">
        <v>7131.1099999999988</v>
      </c>
      <c r="AH45" s="93"/>
      <c r="AI45" s="93"/>
      <c r="AJ45" s="93"/>
      <c r="AK45" s="93"/>
      <c r="AL45" s="122">
        <f t="shared" si="23"/>
        <v>114.29924662551009</v>
      </c>
      <c r="AM45" s="93">
        <v>0</v>
      </c>
      <c r="AN45" s="94">
        <f t="shared" si="24"/>
        <v>1446.344713</v>
      </c>
      <c r="AO45" s="95">
        <f t="shared" si="26"/>
        <v>12318.776040374492</v>
      </c>
      <c r="AP45" s="96"/>
      <c r="AQ45" s="97">
        <f t="shared" si="7"/>
        <v>1864.3520000000001</v>
      </c>
      <c r="AR45" s="98">
        <f t="shared" si="36"/>
        <v>107.88</v>
      </c>
      <c r="AS45" s="98">
        <f t="shared" si="9"/>
        <v>705.94550000000004</v>
      </c>
      <c r="AT45" s="98">
        <f t="shared" si="10"/>
        <v>297.1295833333333</v>
      </c>
      <c r="AU45" s="98">
        <f t="shared" si="25"/>
        <v>0</v>
      </c>
      <c r="AV45" s="98">
        <f t="array" ref="AV45">_xlfn.IFS(U45=0,AO45,U45&lt;0,AO45/-U45,U45&gt;0,AO45/U45)</f>
        <v>615.93880201872457</v>
      </c>
      <c r="AW45" s="234">
        <f t="shared" si="44"/>
        <v>0.330376882701724</v>
      </c>
      <c r="AX45" s="234">
        <f t="shared" si="45"/>
        <v>5.7094809234216219</v>
      </c>
      <c r="AY45" s="99"/>
      <c r="AZ45" s="94">
        <f t="shared" si="13"/>
        <v>222353.90752875956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71</v>
      </c>
      <c r="F47" s="93">
        <v>14</v>
      </c>
      <c r="G47" s="93">
        <v>6</v>
      </c>
      <c r="H47" s="93">
        <v>31</v>
      </c>
      <c r="I47" s="93">
        <v>0</v>
      </c>
      <c r="J47" s="93">
        <v>20</v>
      </c>
      <c r="K47" s="92">
        <v>123.09</v>
      </c>
      <c r="L47" s="92">
        <f t="shared" si="43"/>
        <v>8739.39</v>
      </c>
      <c r="M47" s="89">
        <v>25</v>
      </c>
      <c r="N47" s="89">
        <v>13</v>
      </c>
      <c r="O47" s="89">
        <v>1404</v>
      </c>
      <c r="P47" s="89">
        <v>40</v>
      </c>
      <c r="Q47" s="233">
        <f t="shared" si="14"/>
        <v>1.8571428571428572</v>
      </c>
      <c r="R47" s="92">
        <f t="shared" si="15"/>
        <v>1.1428571428571428</v>
      </c>
      <c r="S47" s="93">
        <v>8</v>
      </c>
      <c r="T47" s="93">
        <v>0</v>
      </c>
      <c r="U47" s="92">
        <f t="shared" si="16"/>
        <v>8</v>
      </c>
      <c r="V47" s="93">
        <v>6797</v>
      </c>
      <c r="W47" s="93">
        <v>0</v>
      </c>
      <c r="X47" s="92">
        <f t="shared" si="17"/>
        <v>6797</v>
      </c>
      <c r="Y47" s="93">
        <v>10754.400000000001</v>
      </c>
      <c r="Z47" s="93">
        <v>0</v>
      </c>
      <c r="AA47" s="92">
        <f t="shared" si="18"/>
        <v>10754.400000000001</v>
      </c>
      <c r="AB47" s="92">
        <f t="shared" si="19"/>
        <v>7300.8</v>
      </c>
      <c r="AC47" s="234">
        <f t="shared" si="20"/>
        <v>2.0517821085241179E-3</v>
      </c>
      <c r="AD47" s="92">
        <f t="shared" si="21"/>
        <v>984.72</v>
      </c>
      <c r="AE47" s="93">
        <v>4070.4700000000012</v>
      </c>
      <c r="AF47" s="234">
        <f t="shared" si="22"/>
        <v>0.37849345384214839</v>
      </c>
      <c r="AG47" s="93">
        <v>1117.0700000000002</v>
      </c>
      <c r="AH47" s="93"/>
      <c r="AI47" s="93"/>
      <c r="AJ47" s="93"/>
      <c r="AK47" s="93"/>
      <c r="AL47" s="122">
        <f t="shared" si="23"/>
        <v>26.246493669561577</v>
      </c>
      <c r="AM47" s="93">
        <v>0</v>
      </c>
      <c r="AN47" s="94">
        <f t="shared" si="24"/>
        <v>388.1087</v>
      </c>
      <c r="AO47" s="95">
        <f t="shared" si="26"/>
        <v>4167.78480633044</v>
      </c>
      <c r="AP47" s="96"/>
      <c r="AQ47" s="97">
        <f t="shared" si="7"/>
        <v>1344.3000000000002</v>
      </c>
      <c r="AR47" s="98">
        <f t="shared" si="36"/>
        <v>123.09</v>
      </c>
      <c r="AS47" s="98">
        <f t="shared" si="9"/>
        <v>508.80875000000015</v>
      </c>
      <c r="AT47" s="98">
        <f t="shared" si="10"/>
        <v>139.63375000000002</v>
      </c>
      <c r="AU47" s="98">
        <f t="shared" si="25"/>
        <v>0</v>
      </c>
      <c r="AV47" s="98">
        <f t="array" ref="AV47">_xlfn.IFS(U47=0,AO47,U47&lt;0,AO47/-U47,U47&gt;0,AO47/U47)</f>
        <v>520.973100791305</v>
      </c>
      <c r="AW47" s="234">
        <f t="shared" si="44"/>
        <v>0.38754229025612208</v>
      </c>
      <c r="AX47" s="234">
        <f t="shared" si="45"/>
        <v>4.232456745400154</v>
      </c>
      <c r="AY47" s="99"/>
      <c r="AZ47" s="94">
        <f t="shared" si="13"/>
        <v>36989.090156182654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576</v>
      </c>
      <c r="F48" s="93">
        <v>92</v>
      </c>
      <c r="G48" s="93">
        <v>25</v>
      </c>
      <c r="H48" s="93">
        <v>208</v>
      </c>
      <c r="I48" s="93">
        <v>0</v>
      </c>
      <c r="J48" s="93">
        <v>251</v>
      </c>
      <c r="K48" s="92">
        <v>107.88</v>
      </c>
      <c r="L48" s="92">
        <f t="shared" si="43"/>
        <v>62138.879999999997</v>
      </c>
      <c r="M48" s="89">
        <v>23</v>
      </c>
      <c r="N48" s="89">
        <v>168</v>
      </c>
      <c r="O48" s="89">
        <v>1341</v>
      </c>
      <c r="P48" s="89">
        <v>50</v>
      </c>
      <c r="Q48" s="233">
        <f t="shared" si="14"/>
        <v>24</v>
      </c>
      <c r="R48" s="92">
        <f t="shared" si="15"/>
        <v>8.1428571428571423</v>
      </c>
      <c r="S48" s="93">
        <v>60</v>
      </c>
      <c r="T48" s="93">
        <v>-3</v>
      </c>
      <c r="U48" s="92">
        <f t="shared" si="16"/>
        <v>57</v>
      </c>
      <c r="V48" s="93">
        <v>52388.54</v>
      </c>
      <c r="W48" s="93">
        <v>-2561</v>
      </c>
      <c r="X48" s="92">
        <f t="shared" si="17"/>
        <v>49827.54</v>
      </c>
      <c r="Y48" s="93">
        <v>80036.19</v>
      </c>
      <c r="Z48" s="93">
        <v>-4023</v>
      </c>
      <c r="AA48" s="92">
        <f t="shared" si="18"/>
        <v>76013.19</v>
      </c>
      <c r="AB48" s="92">
        <f t="shared" si="19"/>
        <v>112644</v>
      </c>
      <c r="AC48" s="234">
        <f t="shared" si="20"/>
        <v>1.4502204051722492E-2</v>
      </c>
      <c r="AD48" s="92">
        <f t="shared" si="21"/>
        <v>6149.16</v>
      </c>
      <c r="AE48" s="93">
        <v>28697.719999999998</v>
      </c>
      <c r="AF48" s="234">
        <f t="shared" si="22"/>
        <v>0.37753605657123451</v>
      </c>
      <c r="AG48" s="93">
        <v>7742.260000000002</v>
      </c>
      <c r="AH48" s="93">
        <v>2000</v>
      </c>
      <c r="AI48" s="93">
        <v>13000</v>
      </c>
      <c r="AJ48" s="93"/>
      <c r="AK48" s="93"/>
      <c r="AL48" s="122">
        <f t="shared" si="23"/>
        <v>176.10550591189704</v>
      </c>
      <c r="AM48" s="93">
        <v>0</v>
      </c>
      <c r="AN48" s="94">
        <f t="shared" si="24"/>
        <v>2845.1525339999998</v>
      </c>
      <c r="AO48" s="95">
        <f t="shared" si="26"/>
        <v>15402.7919600881</v>
      </c>
      <c r="AP48" s="96"/>
      <c r="AQ48" s="97">
        <f t="shared" si="7"/>
        <v>1333.5647368421053</v>
      </c>
      <c r="AR48" s="98">
        <f t="shared" si="36"/>
        <v>107.88</v>
      </c>
      <c r="AS48" s="98">
        <f t="shared" si="9"/>
        <v>503.46877192982453</v>
      </c>
      <c r="AT48" s="98">
        <f t="shared" si="10"/>
        <v>129.03766666666669</v>
      </c>
      <c r="AU48" s="98">
        <f t="shared" si="25"/>
        <v>250</v>
      </c>
      <c r="AV48" s="98">
        <f t="array" ref="AV48">_xlfn.IFS(U48=0,AO48,U48&lt;0,AO48/-U48,U48&gt;0,AO48/U48)</f>
        <v>270.22442035242278</v>
      </c>
      <c r="AW48" s="234">
        <f t="shared" si="44"/>
        <v>0.20263314774828026</v>
      </c>
      <c r="AX48" s="234">
        <f t="shared" si="45"/>
        <v>2.5048611452764442</v>
      </c>
      <c r="AY48" s="99"/>
      <c r="AZ48" s="94">
        <f t="shared" si="13"/>
        <v>155649.26612299553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1634</v>
      </c>
      <c r="F49" s="93">
        <v>95</v>
      </c>
      <c r="G49" s="93">
        <v>47</v>
      </c>
      <c r="H49" s="93">
        <v>140</v>
      </c>
      <c r="I49" s="93">
        <v>0</v>
      </c>
      <c r="J49" s="93">
        <v>1352</v>
      </c>
      <c r="K49" s="92">
        <v>123.09</v>
      </c>
      <c r="L49" s="92">
        <f t="shared" si="43"/>
        <v>201129.06</v>
      </c>
      <c r="M49" s="89">
        <v>6</v>
      </c>
      <c r="N49" s="89">
        <v>173</v>
      </c>
      <c r="O49" s="89">
        <v>1881</v>
      </c>
      <c r="P49" s="89">
        <v>37</v>
      </c>
      <c r="Q49" s="233">
        <f t="shared" si="14"/>
        <v>24.714285714285715</v>
      </c>
      <c r="R49" s="92">
        <f t="shared" si="15"/>
        <v>10</v>
      </c>
      <c r="S49" s="93">
        <v>74</v>
      </c>
      <c r="T49" s="93">
        <v>-4</v>
      </c>
      <c r="U49" s="92">
        <f t="shared" si="16"/>
        <v>70</v>
      </c>
      <c r="V49" s="93">
        <v>91805.38</v>
      </c>
      <c r="W49" s="93">
        <v>-5317.42</v>
      </c>
      <c r="X49" s="92">
        <f t="shared" si="17"/>
        <v>86487.96</v>
      </c>
      <c r="Y49" s="93">
        <v>133528.15</v>
      </c>
      <c r="Z49" s="93">
        <v>-7321.59</v>
      </c>
      <c r="AA49" s="92">
        <f t="shared" si="18"/>
        <v>126206.56</v>
      </c>
      <c r="AB49" s="92">
        <f t="shared" si="19"/>
        <v>120402.81</v>
      </c>
      <c r="AC49" s="234">
        <f t="shared" si="20"/>
        <v>2.4078364370525136E-2</v>
      </c>
      <c r="AD49" s="92">
        <f t="shared" si="21"/>
        <v>8616.3000000000011</v>
      </c>
      <c r="AE49" s="93">
        <v>46869.140000000043</v>
      </c>
      <c r="AF49" s="234">
        <f t="shared" si="22"/>
        <v>0.37136849304822223</v>
      </c>
      <c r="AG49" s="93">
        <v>14148.799999999992</v>
      </c>
      <c r="AH49" s="93">
        <v>3500</v>
      </c>
      <c r="AI49" s="93">
        <v>18581</v>
      </c>
      <c r="AJ49" s="93"/>
      <c r="AK49" s="93"/>
      <c r="AL49" s="122">
        <f t="shared" si="23"/>
        <v>118.53255205608455</v>
      </c>
      <c r="AM49" s="93">
        <v>0</v>
      </c>
      <c r="AN49" s="94">
        <f t="shared" si="24"/>
        <v>4938.4625160000005</v>
      </c>
      <c r="AO49" s="95">
        <f t="shared" si="26"/>
        <v>29434.324931943876</v>
      </c>
      <c r="AP49" s="96"/>
      <c r="AQ49" s="97">
        <f t="shared" si="7"/>
        <v>1802.9508571428571</v>
      </c>
      <c r="AR49" s="98">
        <f t="shared" si="36"/>
        <v>123.09</v>
      </c>
      <c r="AS49" s="98">
        <f t="shared" si="9"/>
        <v>669.55914285714346</v>
      </c>
      <c r="AT49" s="98">
        <f t="shared" si="10"/>
        <v>191.1999999999999</v>
      </c>
      <c r="AU49" s="98">
        <f t="shared" si="25"/>
        <v>298.39189189189187</v>
      </c>
      <c r="AV49" s="98">
        <f t="array" ref="AV49">_xlfn.IFS(U49=0,AO49,U49&lt;0,AO49/-U49,U49&gt;0,AO49/U49)</f>
        <v>420.4903561706268</v>
      </c>
      <c r="AW49" s="234">
        <f t="shared" si="44"/>
        <v>0.23322341510571143</v>
      </c>
      <c r="AX49" s="234">
        <f t="shared" si="45"/>
        <v>3.41612118101086</v>
      </c>
      <c r="AY49" s="99"/>
      <c r="AZ49" s="94">
        <f t="shared" si="13"/>
        <v>687081.24198280415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1275</v>
      </c>
      <c r="F50" s="93">
        <v>66</v>
      </c>
      <c r="G50" s="93">
        <v>17</v>
      </c>
      <c r="H50" s="93">
        <v>111</v>
      </c>
      <c r="I50" s="93">
        <v>0</v>
      </c>
      <c r="J50" s="93">
        <v>1081</v>
      </c>
      <c r="K50" s="92">
        <v>134.79</v>
      </c>
      <c r="L50" s="92">
        <f t="shared" si="43"/>
        <v>171857.25</v>
      </c>
      <c r="M50" s="89">
        <v>14</v>
      </c>
      <c r="N50" s="89">
        <v>89</v>
      </c>
      <c r="O50" s="89">
        <v>1493</v>
      </c>
      <c r="P50" s="89">
        <v>62</v>
      </c>
      <c r="Q50" s="233">
        <f t="shared" si="14"/>
        <v>12.714285714285714</v>
      </c>
      <c r="R50" s="92">
        <f t="shared" si="15"/>
        <v>6.2857142857142856</v>
      </c>
      <c r="S50" s="93">
        <v>45</v>
      </c>
      <c r="T50" s="93">
        <v>-1</v>
      </c>
      <c r="U50" s="92">
        <f t="shared" si="16"/>
        <v>44</v>
      </c>
      <c r="V50" s="93">
        <v>45052.7</v>
      </c>
      <c r="W50" s="93">
        <v>-1016</v>
      </c>
      <c r="X50" s="92">
        <f t="shared" si="17"/>
        <v>44036.7</v>
      </c>
      <c r="Y50" s="93">
        <v>65148.51</v>
      </c>
      <c r="Z50" s="93">
        <v>-1501</v>
      </c>
      <c r="AA50" s="92">
        <f t="shared" si="18"/>
        <v>63647.51</v>
      </c>
      <c r="AB50" s="92">
        <f t="shared" si="19"/>
        <v>82383.740000000005</v>
      </c>
      <c r="AC50" s="234">
        <f t="shared" si="20"/>
        <v>1.2143013303402315E-2</v>
      </c>
      <c r="AD50" s="92">
        <f t="shared" si="21"/>
        <v>5930.7599999999993</v>
      </c>
      <c r="AE50" s="93">
        <v>24025.309999999994</v>
      </c>
      <c r="AF50" s="234">
        <f t="shared" si="22"/>
        <v>0.37747446836490528</v>
      </c>
      <c r="AG50" s="93">
        <v>4581.7300000000005</v>
      </c>
      <c r="AH50" s="93">
        <v>1461</v>
      </c>
      <c r="AI50" s="93">
        <v>4960</v>
      </c>
      <c r="AJ50" s="93"/>
      <c r="AK50" s="93"/>
      <c r="AL50" s="122">
        <f t="shared" si="23"/>
        <v>93.979380558752737</v>
      </c>
      <c r="AM50" s="93">
        <v>0</v>
      </c>
      <c r="AN50" s="94">
        <f t="shared" si="24"/>
        <v>2514.4955699999996</v>
      </c>
      <c r="AO50" s="95">
        <f t="shared" si="26"/>
        <v>20080.235049441249</v>
      </c>
      <c r="AP50" s="96"/>
      <c r="AQ50" s="97">
        <f t="shared" si="7"/>
        <v>1446.5343181818182</v>
      </c>
      <c r="AR50" s="98">
        <f t="shared" si="36"/>
        <v>134.79</v>
      </c>
      <c r="AS50" s="98">
        <f t="shared" si="9"/>
        <v>546.02977272727264</v>
      </c>
      <c r="AT50" s="98">
        <f t="shared" si="10"/>
        <v>101.81622222222224</v>
      </c>
      <c r="AU50" s="98">
        <f t="shared" si="25"/>
        <v>142.6888888888889</v>
      </c>
      <c r="AV50" s="98">
        <f t="array" ref="AV50">_xlfn.IFS(U50=0,AO50,U50&lt;0,AO50/-U50,U50&gt;0,AO50/U50)</f>
        <v>456.36897839639204</v>
      </c>
      <c r="AW50" s="234">
        <f t="shared" si="44"/>
        <v>0.31549129022394196</v>
      </c>
      <c r="AX50" s="234">
        <f t="shared" si="45"/>
        <v>3.3857777164210408</v>
      </c>
      <c r="AY50" s="99"/>
      <c r="AZ50" s="94">
        <f t="shared" si="13"/>
        <v>581870.4474553999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206</v>
      </c>
      <c r="F51" s="93" t="s">
        <v>100</v>
      </c>
      <c r="G51" s="93">
        <v>1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3"/>
        <v>29694.9</v>
      </c>
      <c r="M51" s="89">
        <v>21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0.14285714285714285</v>
      </c>
      <c r="S51" s="93">
        <v>1</v>
      </c>
      <c r="T51" s="93">
        <v>0</v>
      </c>
      <c r="U51" s="92">
        <f t="shared" si="16"/>
        <v>1</v>
      </c>
      <c r="V51" s="93">
        <v>710</v>
      </c>
      <c r="W51" s="93">
        <v>0</v>
      </c>
      <c r="X51" s="92">
        <f t="shared" si="17"/>
        <v>710</v>
      </c>
      <c r="Y51" s="93">
        <v>1119</v>
      </c>
      <c r="Z51" s="93">
        <v>0</v>
      </c>
      <c r="AA51" s="92">
        <f t="shared" si="18"/>
        <v>1119</v>
      </c>
      <c r="AB51" s="92">
        <f t="shared" si="19"/>
        <v>0</v>
      </c>
      <c r="AC51" s="234">
        <f t="shared" si="20"/>
        <v>2.1348882126743355E-4</v>
      </c>
      <c r="AD51" s="92">
        <f t="shared" si="21"/>
        <v>144.15</v>
      </c>
      <c r="AE51" s="93">
        <v>422.84000000000003</v>
      </c>
      <c r="AF51" s="234">
        <f t="shared" si="22"/>
        <v>0.37787310098302057</v>
      </c>
      <c r="AG51" s="93">
        <v>221.22</v>
      </c>
      <c r="AH51" s="93"/>
      <c r="AI51" s="93"/>
      <c r="AJ51" s="93"/>
      <c r="AK51" s="93"/>
      <c r="AL51" s="122">
        <f t="shared" si="23"/>
        <v>0</v>
      </c>
      <c r="AM51" s="93">
        <v>0</v>
      </c>
      <c r="AN51" s="94">
        <f t="shared" si="24"/>
        <v>40.540999999999997</v>
      </c>
      <c r="AO51" s="95">
        <f t="shared" si="26"/>
        <v>290.24899999999997</v>
      </c>
      <c r="AP51" s="96"/>
      <c r="AQ51" s="97">
        <f t="shared" si="7"/>
        <v>1119</v>
      </c>
      <c r="AR51" s="98">
        <f t="shared" si="36"/>
        <v>144.15</v>
      </c>
      <c r="AS51" s="98">
        <f t="shared" si="9"/>
        <v>422.84000000000003</v>
      </c>
      <c r="AT51" s="98">
        <f t="shared" si="10"/>
        <v>221.22</v>
      </c>
      <c r="AU51" s="98">
        <f t="shared" si="25"/>
        <v>0</v>
      </c>
      <c r="AV51" s="98">
        <f t="array" ref="AV51">_xlfn.IFS(U51=0,AO51,U51&lt;0,AO51/-U51,U51&gt;0,AO51/U51)</f>
        <v>290.24899999999997</v>
      </c>
      <c r="AW51" s="234">
        <f t="shared" si="44"/>
        <v>0.25938248436103661</v>
      </c>
      <c r="AX51" s="234">
        <f t="shared" si="45"/>
        <v>2.013520638224072</v>
      </c>
      <c r="AY51" s="99"/>
      <c r="AZ51" s="94">
        <f t="shared" si="13"/>
        <v>59791.293999999994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33</v>
      </c>
      <c r="F52" s="93">
        <v>23</v>
      </c>
      <c r="G52" s="93">
        <v>5</v>
      </c>
      <c r="H52" s="93">
        <v>4</v>
      </c>
      <c r="I52" s="93">
        <v>0</v>
      </c>
      <c r="J52" s="93">
        <v>1</v>
      </c>
      <c r="K52" s="92">
        <v>96.18</v>
      </c>
      <c r="L52" s="92">
        <f t="shared" si="43"/>
        <v>3173.94</v>
      </c>
      <c r="M52" s="89">
        <v>23</v>
      </c>
      <c r="N52" s="89">
        <v>32</v>
      </c>
      <c r="O52" s="89">
        <v>1302</v>
      </c>
      <c r="P52" s="89">
        <v>40</v>
      </c>
      <c r="Q52" s="233">
        <f t="shared" si="14"/>
        <v>4.5714285714285712</v>
      </c>
      <c r="R52" s="92">
        <f t="shared" si="15"/>
        <v>0.8571428571428571</v>
      </c>
      <c r="S52" s="93">
        <v>6</v>
      </c>
      <c r="T52" s="93">
        <v>0</v>
      </c>
      <c r="U52" s="92">
        <f t="shared" si="16"/>
        <v>6</v>
      </c>
      <c r="V52" s="93">
        <v>5110</v>
      </c>
      <c r="W52" s="93">
        <v>0</v>
      </c>
      <c r="X52" s="92">
        <f t="shared" si="17"/>
        <v>5110</v>
      </c>
      <c r="Y52" s="93">
        <v>7616</v>
      </c>
      <c r="Z52" s="93">
        <v>0</v>
      </c>
      <c r="AA52" s="92">
        <f t="shared" si="18"/>
        <v>7616</v>
      </c>
      <c r="AB52" s="92">
        <f t="shared" si="19"/>
        <v>16665.599999999999</v>
      </c>
      <c r="AC52" s="234">
        <f t="shared" si="20"/>
        <v>1.4530213250873762E-3</v>
      </c>
      <c r="AD52" s="92">
        <f t="shared" si="21"/>
        <v>577.08000000000004</v>
      </c>
      <c r="AE52" s="93">
        <v>2920.6800000000003</v>
      </c>
      <c r="AF52" s="234">
        <f t="shared" si="22"/>
        <v>0.38349264705882358</v>
      </c>
      <c r="AG52" s="93">
        <v>1926.4199999999994</v>
      </c>
      <c r="AH52" s="93">
        <v>617</v>
      </c>
      <c r="AI52" s="93">
        <v>632</v>
      </c>
      <c r="AJ52" s="93"/>
      <c r="AK52" s="93"/>
      <c r="AL52" s="122">
        <f t="shared" si="23"/>
        <v>3.3866443444595586</v>
      </c>
      <c r="AM52" s="93">
        <v>0</v>
      </c>
      <c r="AN52" s="94">
        <f t="shared" si="24"/>
        <v>291.78100000000001</v>
      </c>
      <c r="AO52" s="95">
        <f t="shared" si="26"/>
        <v>647.65235565554099</v>
      </c>
      <c r="AP52" s="96"/>
      <c r="AQ52" s="97">
        <f t="shared" si="7"/>
        <v>1269.3333333333333</v>
      </c>
      <c r="AR52" s="98">
        <f t="shared" si="36"/>
        <v>96.18</v>
      </c>
      <c r="AS52" s="98">
        <f t="shared" si="9"/>
        <v>486.78000000000003</v>
      </c>
      <c r="AT52" s="98">
        <f t="shared" si="10"/>
        <v>321.06999999999988</v>
      </c>
      <c r="AU52" s="98">
        <f t="shared" si="25"/>
        <v>208.16666666666666</v>
      </c>
      <c r="AV52" s="98">
        <f t="array" ref="AV52">_xlfn.IFS(U52=0,AO52,U52&lt;0,AO52/-U52,U52&gt;0,AO52/U52)</f>
        <v>107.9420592759235</v>
      </c>
      <c r="AW52" s="234">
        <f t="shared" si="44"/>
        <v>8.5038387034603605E-2</v>
      </c>
      <c r="AX52" s="234">
        <f t="shared" si="45"/>
        <v>1.1222921530039871</v>
      </c>
      <c r="AY52" s="99"/>
      <c r="AZ52" s="94">
        <f t="shared" si="13"/>
        <v>3562.0879561054753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40</v>
      </c>
      <c r="F53" s="93">
        <v>14</v>
      </c>
      <c r="G53" s="93">
        <v>5</v>
      </c>
      <c r="H53" s="93">
        <v>20</v>
      </c>
      <c r="I53" s="93">
        <v>0</v>
      </c>
      <c r="J53" s="93">
        <v>1</v>
      </c>
      <c r="K53" s="92">
        <v>96.18</v>
      </c>
      <c r="L53" s="92">
        <f t="shared" si="43"/>
        <v>3847.2000000000003</v>
      </c>
      <c r="M53" s="89">
        <v>45</v>
      </c>
      <c r="N53" s="89">
        <v>26</v>
      </c>
      <c r="O53" s="89">
        <v>1106</v>
      </c>
      <c r="P53" s="89">
        <v>17</v>
      </c>
      <c r="Q53" s="233">
        <f t="shared" si="14"/>
        <v>3.7142857142857144</v>
      </c>
      <c r="R53" s="92">
        <f t="shared" si="15"/>
        <v>0.7142857142857143</v>
      </c>
      <c r="S53" s="93">
        <v>6</v>
      </c>
      <c r="T53" s="93">
        <v>-1</v>
      </c>
      <c r="U53" s="92">
        <f t="shared" si="16"/>
        <v>5</v>
      </c>
      <c r="V53" s="93">
        <v>4185</v>
      </c>
      <c r="W53" s="93">
        <v>-725</v>
      </c>
      <c r="X53" s="92">
        <f t="shared" si="17"/>
        <v>3460</v>
      </c>
      <c r="Y53" s="93">
        <v>6536.4599999999991</v>
      </c>
      <c r="Z53" s="93">
        <v>-1106</v>
      </c>
      <c r="AA53" s="92">
        <f t="shared" si="18"/>
        <v>5430.4599999999991</v>
      </c>
      <c r="AB53" s="92">
        <f t="shared" si="19"/>
        <v>4888.5200000000004</v>
      </c>
      <c r="AC53" s="234">
        <f t="shared" si="20"/>
        <v>1.036052282698791E-3</v>
      </c>
      <c r="AD53" s="92">
        <f t="shared" si="21"/>
        <v>480.90000000000003</v>
      </c>
      <c r="AE53" s="93">
        <v>2047.3999999999992</v>
      </c>
      <c r="AF53" s="234">
        <f t="shared" si="22"/>
        <v>0.37702146779462503</v>
      </c>
      <c r="AG53" s="93">
        <v>1723.7899999999997</v>
      </c>
      <c r="AH53" s="93"/>
      <c r="AI53" s="93">
        <v>3448</v>
      </c>
      <c r="AJ53" s="93"/>
      <c r="AK53" s="93"/>
      <c r="AL53" s="122">
        <f t="shared" si="23"/>
        <v>16.933221722297791</v>
      </c>
      <c r="AM53" s="93">
        <v>0</v>
      </c>
      <c r="AN53" s="94">
        <f t="shared" si="24"/>
        <v>197.566</v>
      </c>
      <c r="AO53" s="95">
        <f t="shared" si="26"/>
        <v>-2484.1292217222967</v>
      </c>
      <c r="AP53" s="96"/>
      <c r="AQ53" s="97">
        <f t="shared" si="7"/>
        <v>1086.0919999999999</v>
      </c>
      <c r="AR53" s="98">
        <f t="shared" si="36"/>
        <v>96.18</v>
      </c>
      <c r="AS53" s="98">
        <f t="shared" si="9"/>
        <v>409.47999999999985</v>
      </c>
      <c r="AT53" s="98">
        <f t="shared" si="10"/>
        <v>287.29833333333329</v>
      </c>
      <c r="AU53" s="98">
        <f t="shared" si="25"/>
        <v>574.66666666666663</v>
      </c>
      <c r="AV53" s="98">
        <f t="array" ref="AV53">_xlfn.IFS(U53=0,AO53,U53&lt;0,AO53/-U53,U53&gt;0,AO53/U53)</f>
        <v>-496.82584434445937</v>
      </c>
      <c r="AW53" s="234">
        <f t="shared" si="44"/>
        <v>-0.45744360914587295</v>
      </c>
      <c r="AX53" s="234">
        <f t="shared" si="45"/>
        <v>-5.1655837424044426</v>
      </c>
      <c r="AY53" s="99"/>
      <c r="AZ53" s="94">
        <f t="shared" si="13"/>
        <v>-19873.033773778374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32</v>
      </c>
      <c r="F54" s="93">
        <v>12</v>
      </c>
      <c r="G54" s="93">
        <v>2</v>
      </c>
      <c r="H54" s="93">
        <v>17</v>
      </c>
      <c r="I54" s="93">
        <v>0</v>
      </c>
      <c r="J54" s="93">
        <v>1</v>
      </c>
      <c r="K54" s="93">
        <v>123.09</v>
      </c>
      <c r="L54" s="92">
        <f t="shared" si="43"/>
        <v>3938.88</v>
      </c>
      <c r="M54" s="89">
        <v>34</v>
      </c>
      <c r="N54" s="89">
        <v>15</v>
      </c>
      <c r="O54" s="89">
        <v>998</v>
      </c>
      <c r="P54" s="89">
        <v>29</v>
      </c>
      <c r="Q54" s="233">
        <f t="shared" si="14"/>
        <v>2.1428571428571428</v>
      </c>
      <c r="R54" s="92">
        <f t="shared" si="15"/>
        <v>0.5714285714285714</v>
      </c>
      <c r="S54" s="93">
        <v>5</v>
      </c>
      <c r="T54" s="93">
        <v>-1</v>
      </c>
      <c r="U54" s="92">
        <f t="shared" si="16"/>
        <v>4</v>
      </c>
      <c r="V54" s="93">
        <v>3474.49</v>
      </c>
      <c r="W54" s="93">
        <v>-802.49</v>
      </c>
      <c r="X54" s="92">
        <f t="shared" si="17"/>
        <v>2672</v>
      </c>
      <c r="Y54" s="93">
        <v>4969.05</v>
      </c>
      <c r="Z54" s="93">
        <v>-998.05</v>
      </c>
      <c r="AA54" s="92">
        <f t="shared" si="18"/>
        <v>3971</v>
      </c>
      <c r="AB54" s="92">
        <f t="shared" si="19"/>
        <v>4341.3</v>
      </c>
      <c r="AC54" s="234">
        <f t="shared" si="20"/>
        <v>7.5760867672294786E-4</v>
      </c>
      <c r="AD54" s="92">
        <f t="shared" si="21"/>
        <v>492.36</v>
      </c>
      <c r="AE54" s="93">
        <v>1506.67</v>
      </c>
      <c r="AF54" s="234">
        <f t="shared" si="22"/>
        <v>0.37941828254847648</v>
      </c>
      <c r="AG54" s="93">
        <v>1037.96</v>
      </c>
      <c r="AH54" s="93"/>
      <c r="AI54" s="93"/>
      <c r="AJ54" s="93"/>
      <c r="AK54" s="93"/>
      <c r="AL54" s="122">
        <f t="shared" si="23"/>
        <v>14.393238463953123</v>
      </c>
      <c r="AM54" s="93">
        <v>0</v>
      </c>
      <c r="AN54" s="94">
        <f t="shared" si="24"/>
        <v>152.5712</v>
      </c>
      <c r="AO54" s="95">
        <f t="shared" si="26"/>
        <v>767.04556153604665</v>
      </c>
      <c r="AP54" s="96"/>
      <c r="AQ54" s="97">
        <f t="shared" si="7"/>
        <v>992.75</v>
      </c>
      <c r="AR54" s="98">
        <f t="shared" si="36"/>
        <v>123.09</v>
      </c>
      <c r="AS54" s="98">
        <f t="shared" si="9"/>
        <v>376.66750000000002</v>
      </c>
      <c r="AT54" s="98">
        <f t="shared" si="10"/>
        <v>207.59200000000001</v>
      </c>
      <c r="AU54" s="98">
        <f t="shared" si="25"/>
        <v>0</v>
      </c>
      <c r="AV54" s="98">
        <f t="array" ref="AV54">_xlfn.IFS(U54=0,AO54,U54&lt;0,AO54/-U54,U54&gt;0,AO54/U54)</f>
        <v>191.76139038401166</v>
      </c>
      <c r="AW54" s="234">
        <f t="shared" si="44"/>
        <v>0.19316181353211953</v>
      </c>
      <c r="AX54" s="234">
        <f t="shared" si="45"/>
        <v>1.5578957704444849</v>
      </c>
      <c r="AY54" s="99"/>
      <c r="AZ54" s="94">
        <f t="shared" si="13"/>
        <v>6136.3644922883732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3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3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3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25</v>
      </c>
      <c r="F58" s="93">
        <v>3</v>
      </c>
      <c r="G58" s="93">
        <v>6</v>
      </c>
      <c r="H58" s="93">
        <v>15</v>
      </c>
      <c r="I58" s="93">
        <v>0</v>
      </c>
      <c r="J58" s="93">
        <v>1</v>
      </c>
      <c r="K58" s="93">
        <v>169.89</v>
      </c>
      <c r="L58" s="92">
        <f t="shared" si="43"/>
        <v>4247.25</v>
      </c>
      <c r="M58" s="89">
        <v>45</v>
      </c>
      <c r="N58" s="89">
        <v>8</v>
      </c>
      <c r="O58" s="89">
        <v>1039</v>
      </c>
      <c r="P58" s="89">
        <v>50</v>
      </c>
      <c r="Q58" s="233">
        <f t="shared" si="14"/>
        <v>1.1428571428571428</v>
      </c>
      <c r="R58" s="92">
        <f t="shared" si="15"/>
        <v>0.42857142857142855</v>
      </c>
      <c r="S58" s="93">
        <v>3</v>
      </c>
      <c r="T58" s="93">
        <v>0</v>
      </c>
      <c r="U58" s="92">
        <f t="shared" si="16"/>
        <v>3</v>
      </c>
      <c r="V58" s="93">
        <v>1998</v>
      </c>
      <c r="W58" s="93">
        <v>0</v>
      </c>
      <c r="X58" s="92">
        <f t="shared" si="17"/>
        <v>1998</v>
      </c>
      <c r="Y58" s="93">
        <v>3095</v>
      </c>
      <c r="Z58" s="93">
        <v>0</v>
      </c>
      <c r="AA58" s="92">
        <f t="shared" si="18"/>
        <v>3095</v>
      </c>
      <c r="AB58" s="92">
        <f t="shared" si="19"/>
        <v>4156</v>
      </c>
      <c r="AC58" s="234">
        <f t="shared" si="20"/>
        <v>5.9048069867980954E-4</v>
      </c>
      <c r="AD58" s="92">
        <f t="shared" si="21"/>
        <v>509.66999999999996</v>
      </c>
      <c r="AE58" s="93">
        <v>1176.8500000000001</v>
      </c>
      <c r="AF58" s="234">
        <f t="shared" si="22"/>
        <v>0.38024232633279487</v>
      </c>
      <c r="AG58" s="93">
        <v>1021.3700000000001</v>
      </c>
      <c r="AH58" s="93"/>
      <c r="AI58" s="93"/>
      <c r="AJ58" s="93"/>
      <c r="AK58" s="93"/>
      <c r="AL58" s="122">
        <f t="shared" si="23"/>
        <v>12.699916291723344</v>
      </c>
      <c r="AM58" s="93">
        <v>0</v>
      </c>
      <c r="AN58" s="94">
        <f t="shared" si="24"/>
        <v>114.08579999999999</v>
      </c>
      <c r="AO58" s="95">
        <f t="shared" si="26"/>
        <v>260.32428370827631</v>
      </c>
      <c r="AP58" s="96"/>
      <c r="AQ58" s="97">
        <f t="shared" si="7"/>
        <v>1031.6666666666667</v>
      </c>
      <c r="AR58" s="98">
        <f t="shared" si="36"/>
        <v>169.89</v>
      </c>
      <c r="AS58" s="98">
        <f t="shared" si="9"/>
        <v>392.28333333333336</v>
      </c>
      <c r="AT58" s="98">
        <f t="shared" si="10"/>
        <v>340.45666666666671</v>
      </c>
      <c r="AU58" s="98">
        <f t="shared" si="25"/>
        <v>0</v>
      </c>
      <c r="AV58" s="98">
        <f t="array" ref="AV58">_xlfn.IFS(U58=0,AO58,U58&lt;0,AO58/-U58,U58&gt;0,AO58/U58)</f>
        <v>86.774761236092104</v>
      </c>
      <c r="AW58" s="234">
        <f t="shared" si="44"/>
        <v>8.4111238677956793E-2</v>
      </c>
      <c r="AX58" s="234">
        <f t="shared" si="45"/>
        <v>0.51077027038726297</v>
      </c>
      <c r="AY58" s="99"/>
      <c r="AZ58" s="94">
        <f t="shared" si="13"/>
        <v>2169.3690309023027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3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64</v>
      </c>
      <c r="F60" s="93" t="s">
        <v>100</v>
      </c>
      <c r="G60" s="93">
        <v>2</v>
      </c>
      <c r="H60" s="93">
        <v>21</v>
      </c>
      <c r="I60" s="93">
        <v>0</v>
      </c>
      <c r="J60" s="93">
        <v>41</v>
      </c>
      <c r="K60" s="93">
        <v>158.19</v>
      </c>
      <c r="L60" s="92">
        <f t="shared" si="43"/>
        <v>10124.16</v>
      </c>
      <c r="M60" s="89">
        <v>122</v>
      </c>
      <c r="N60" s="89">
        <v>3</v>
      </c>
      <c r="O60" s="89">
        <v>1049</v>
      </c>
      <c r="P60" s="89">
        <v>0</v>
      </c>
      <c r="Q60" s="233">
        <f t="shared" si="14"/>
        <v>0.42857142857142855</v>
      </c>
      <c r="R60" s="92">
        <f t="shared" si="15"/>
        <v>0.14285714285714285</v>
      </c>
      <c r="S60" s="93">
        <v>1</v>
      </c>
      <c r="T60" s="93">
        <v>0</v>
      </c>
      <c r="U60" s="92">
        <f t="shared" si="16"/>
        <v>1</v>
      </c>
      <c r="V60" s="93">
        <v>707</v>
      </c>
      <c r="W60" s="93">
        <v>0</v>
      </c>
      <c r="X60" s="92">
        <f t="shared" si="17"/>
        <v>707</v>
      </c>
      <c r="Y60" s="93">
        <v>1049</v>
      </c>
      <c r="Z60" s="93">
        <v>0</v>
      </c>
      <c r="AA60" s="92">
        <f t="shared" si="18"/>
        <v>1049</v>
      </c>
      <c r="AB60" s="92">
        <f t="shared" si="19"/>
        <v>0</v>
      </c>
      <c r="AC60" s="234">
        <f t="shared" si="20"/>
        <v>2.0013384585302753E-4</v>
      </c>
      <c r="AD60" s="92">
        <f t="shared" si="21"/>
        <v>158.19</v>
      </c>
      <c r="AE60" s="93">
        <v>404.27</v>
      </c>
      <c r="AF60" s="234">
        <f t="shared" si="22"/>
        <v>0.3853860819828408</v>
      </c>
      <c r="AG60" s="93">
        <v>293.48</v>
      </c>
      <c r="AH60" s="93"/>
      <c r="AI60" s="93"/>
      <c r="AJ60" s="93"/>
      <c r="AK60" s="93"/>
      <c r="AL60" s="122">
        <f t="shared" si="23"/>
        <v>17.779882808412683</v>
      </c>
      <c r="AM60" s="93">
        <v>0</v>
      </c>
      <c r="AN60" s="94">
        <f t="shared" si="24"/>
        <v>40.369700000000002</v>
      </c>
      <c r="AO60" s="95">
        <f t="shared" si="26"/>
        <v>134.91041719158727</v>
      </c>
      <c r="AP60" s="96"/>
      <c r="AQ60" s="97">
        <f t="shared" si="7"/>
        <v>1049</v>
      </c>
      <c r="AR60" s="98">
        <f t="shared" si="36"/>
        <v>158.19</v>
      </c>
      <c r="AS60" s="98">
        <f t="shared" si="9"/>
        <v>404.27</v>
      </c>
      <c r="AT60" s="98">
        <f t="shared" si="10"/>
        <v>293.48</v>
      </c>
      <c r="AU60" s="98">
        <f t="shared" si="25"/>
        <v>0</v>
      </c>
      <c r="AV60" s="98">
        <f t="array" ref="AV60">_xlfn.IFS(U60=0,AO60,U60&lt;0,AO60/-U60,U60&gt;0,AO60/U60)</f>
        <v>134.91041719158727</v>
      </c>
      <c r="AW60" s="234">
        <f t="shared" si="44"/>
        <v>0.1286085959881671</v>
      </c>
      <c r="AX60" s="234">
        <f t="shared" si="45"/>
        <v>0.85283783546107383</v>
      </c>
      <c r="AY60" s="99"/>
      <c r="AZ60" s="94">
        <f t="shared" si="13"/>
        <v>8634.2667002615854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482</v>
      </c>
      <c r="F61" s="93">
        <v>6</v>
      </c>
      <c r="G61" s="93">
        <v>1</v>
      </c>
      <c r="H61" s="93">
        <v>154</v>
      </c>
      <c r="I61" s="93">
        <v>0</v>
      </c>
      <c r="J61" s="93">
        <v>321</v>
      </c>
      <c r="K61" s="93">
        <v>128.94</v>
      </c>
      <c r="L61" s="92">
        <f t="shared" si="43"/>
        <v>62149.08</v>
      </c>
      <c r="M61" s="89">
        <v>535</v>
      </c>
      <c r="N61" s="89">
        <v>9</v>
      </c>
      <c r="O61" s="89">
        <v>948</v>
      </c>
      <c r="P61" s="89">
        <v>0</v>
      </c>
      <c r="Q61" s="233">
        <f t="shared" si="14"/>
        <v>1.2857142857142858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379.3</v>
      </c>
      <c r="AH61" s="93"/>
      <c r="AI61" s="93"/>
      <c r="AJ61" s="93"/>
      <c r="AK61" s="93"/>
      <c r="AL61" s="122">
        <f t="shared" si="23"/>
        <v>130.385807261693</v>
      </c>
      <c r="AM61" s="93">
        <v>0</v>
      </c>
      <c r="AN61" s="94">
        <f t="shared" si="24"/>
        <v>0</v>
      </c>
      <c r="AO61" s="95">
        <f t="shared" si="26"/>
        <v>-509.68580726169301</v>
      </c>
      <c r="AP61" s="96"/>
      <c r="AQ61" s="97">
        <f t="shared" si="7"/>
        <v>0</v>
      </c>
      <c r="AR61" s="98">
        <f t="shared" si="36"/>
        <v>128.94</v>
      </c>
      <c r="AS61" s="98">
        <f t="shared" si="9"/>
        <v>0</v>
      </c>
      <c r="AT61" s="98">
        <f t="shared" si="10"/>
        <v>379.3</v>
      </c>
      <c r="AU61" s="98">
        <f t="shared" si="25"/>
        <v>0</v>
      </c>
      <c r="AV61" s="98">
        <f t="array" ref="AV61">_xlfn.IFS(U61=0,AO61,U61&lt;0,AO61/-U61,U61&gt;0,AO61/U61)</f>
        <v>-509.68580726169301</v>
      </c>
      <c r="AW61" s="234">
        <f t="shared" si="44"/>
        <v>0</v>
      </c>
      <c r="AX61" s="234">
        <f t="shared" si="45"/>
        <v>-3.9528913235744767</v>
      </c>
      <c r="AY61" s="99"/>
      <c r="AZ61" s="94">
        <f t="shared" si="13"/>
        <v>-245668.55910013604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3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3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3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3"/>
        <v>9470.5499999999993</v>
      </c>
      <c r="M65" s="89">
        <v>999</v>
      </c>
      <c r="N65" s="89">
        <v>1</v>
      </c>
      <c r="O65" s="89">
        <v>998</v>
      </c>
      <c r="P65" s="89">
        <v>0</v>
      </c>
      <c r="Q65" s="233">
        <f t="shared" si="14"/>
        <v>0.14285714285714285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64.14</v>
      </c>
      <c r="AH65" s="93"/>
      <c r="AI65" s="93"/>
      <c r="AJ65" s="93"/>
      <c r="AK65" s="93"/>
      <c r="AL65" s="122">
        <f t="shared" si="23"/>
        <v>0.84666108611488966</v>
      </c>
      <c r="AM65" s="93">
        <v>0</v>
      </c>
      <c r="AN65" s="94">
        <f t="shared" si="24"/>
        <v>0</v>
      </c>
      <c r="AO65" s="95">
        <f t="shared" si="26"/>
        <v>-64.986661086114893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64.14</v>
      </c>
      <c r="AU65" s="98">
        <f t="shared" si="25"/>
        <v>0</v>
      </c>
      <c r="AV65" s="98">
        <f t="array" ref="AV65">_xlfn.IFS(U65=0,AO65,U65&lt;0,AO65/-U65,U65&gt;0,AO65/U65)</f>
        <v>-64.986661086114893</v>
      </c>
      <c r="AW65" s="234">
        <f t="shared" si="44"/>
        <v>0</v>
      </c>
      <c r="AX65" s="234">
        <f t="shared" si="45"/>
        <v>-0.65188746199332825</v>
      </c>
      <c r="AY65" s="99"/>
      <c r="AZ65" s="94">
        <f t="shared" si="13"/>
        <v>-6173.7328031809147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3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1.6933221722297793</v>
      </c>
      <c r="AM66" s="93">
        <v>0</v>
      </c>
      <c r="AN66" s="94">
        <f t="shared" si="24"/>
        <v>0</v>
      </c>
      <c r="AO66" s="95">
        <f t="shared" si="26"/>
        <v>-1.6933221722297793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-1.6933221722297793</v>
      </c>
      <c r="AW66" s="234">
        <f t="shared" si="44"/>
        <v>0</v>
      </c>
      <c r="AX66" s="234">
        <f t="shared" si="45"/>
        <v>-1.7394167151821051E-2</v>
      </c>
      <c r="AY66" s="99"/>
      <c r="AZ66" s="94">
        <f t="shared" si="13"/>
        <v>-160.86560636182904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3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0.14285714285714285</v>
      </c>
      <c r="S67" s="93">
        <v>1</v>
      </c>
      <c r="T67" s="93">
        <v>0</v>
      </c>
      <c r="U67" s="92">
        <f t="shared" si="16"/>
        <v>1</v>
      </c>
      <c r="V67" s="93">
        <v>596</v>
      </c>
      <c r="W67" s="93">
        <v>0</v>
      </c>
      <c r="X67" s="92">
        <f t="shared" si="17"/>
        <v>596</v>
      </c>
      <c r="Y67" s="93">
        <v>1017.53</v>
      </c>
      <c r="Z67" s="93">
        <v>0</v>
      </c>
      <c r="AA67" s="92">
        <f t="shared" si="18"/>
        <v>1017.53</v>
      </c>
      <c r="AB67" s="92">
        <f t="shared" si="19"/>
        <v>0</v>
      </c>
      <c r="AC67" s="234">
        <f t="shared" si="20"/>
        <v>1.9412983047743668E-4</v>
      </c>
      <c r="AD67" s="92">
        <f t="shared" si="21"/>
        <v>161.69999999999999</v>
      </c>
      <c r="AE67" s="93">
        <v>382.51</v>
      </c>
      <c r="AF67" s="234">
        <f t="shared" si="22"/>
        <v>0.37592012029129362</v>
      </c>
      <c r="AG67" s="93">
        <v>62.11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34.031599999999997</v>
      </c>
      <c r="AO67" s="95">
        <f t="shared" si="26"/>
        <v>377.1783999999999</v>
      </c>
      <c r="AP67" s="96"/>
      <c r="AQ67" s="97">
        <f t="shared" si="7"/>
        <v>1017.53</v>
      </c>
      <c r="AR67" s="98">
        <f t="shared" si="36"/>
        <v>161.69999999999999</v>
      </c>
      <c r="AS67" s="98">
        <f t="shared" si="9"/>
        <v>382.51</v>
      </c>
      <c r="AT67" s="98">
        <f t="shared" si="10"/>
        <v>62.11</v>
      </c>
      <c r="AU67" s="98">
        <f t="shared" si="25"/>
        <v>0</v>
      </c>
      <c r="AV67" s="98">
        <f t="array" ref="AV67">_xlfn.IFS(U67=0,AO67,U67&lt;0,AO67/-U67,U67&gt;0,AO67/U67)</f>
        <v>377.1783999999999</v>
      </c>
      <c r="AW67" s="234">
        <f t="shared" si="44"/>
        <v>0.37068037306025364</v>
      </c>
      <c r="AX67" s="234">
        <f t="shared" si="45"/>
        <v>2.332581323438466</v>
      </c>
      <c r="AY67" s="99"/>
      <c r="AZ67" s="94">
        <f t="shared" si="13"/>
        <v>377.1783999999999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3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10</v>
      </c>
      <c r="F69" s="93">
        <v>4</v>
      </c>
      <c r="G69" s="93" t="s">
        <v>100</v>
      </c>
      <c r="H69" s="93">
        <v>5</v>
      </c>
      <c r="I69" s="93">
        <v>0</v>
      </c>
      <c r="J69" s="93">
        <v>1</v>
      </c>
      <c r="K69" s="93">
        <v>140.63999999999999</v>
      </c>
      <c r="L69" s="92">
        <f t="shared" si="43"/>
        <v>1406.3999999999999</v>
      </c>
      <c r="M69" s="89">
        <v>38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55"/>
        <v>0</v>
      </c>
      <c r="AG69" s="93">
        <v>75.86</v>
      </c>
      <c r="AH69" s="93"/>
      <c r="AI69" s="93"/>
      <c r="AJ69" s="93"/>
      <c r="AK69" s="93"/>
      <c r="AL69" s="122">
        <f t="shared" si="56"/>
        <v>4.2333054305744477</v>
      </c>
      <c r="AM69" s="93">
        <v>0</v>
      </c>
      <c r="AN69" s="94">
        <f t="shared" si="57"/>
        <v>0</v>
      </c>
      <c r="AO69" s="95">
        <f t="shared" ref="AO69:AO103" si="58">AA69-AD69-AE69-AG69-AH69-AI69-AK69-AL69-AN69-AM69</f>
        <v>-80.093305430574446</v>
      </c>
      <c r="AP69" s="96"/>
      <c r="AQ69" s="97">
        <f t="shared" si="7"/>
        <v>0</v>
      </c>
      <c r="AR69" s="98">
        <f t="shared" si="36"/>
        <v>140.63999999999999</v>
      </c>
      <c r="AS69" s="98">
        <f t="shared" si="9"/>
        <v>0</v>
      </c>
      <c r="AT69" s="98">
        <f t="shared" si="10"/>
        <v>75.86</v>
      </c>
      <c r="AU69" s="98">
        <f t="shared" si="25"/>
        <v>0</v>
      </c>
      <c r="AV69" s="98">
        <f t="array" ref="AV69">_xlfn.IFS(U69=0,AO69,U69&lt;0,AO69/-U69,U69&gt;0,AO69/U69)</f>
        <v>-80.093305430574446</v>
      </c>
      <c r="AW69" s="234">
        <f t="shared" si="44"/>
        <v>0</v>
      </c>
      <c r="AX69" s="234">
        <f t="shared" si="45"/>
        <v>-0.56949164839714483</v>
      </c>
      <c r="AY69" s="99"/>
      <c r="AZ69" s="94">
        <f t="shared" si="13"/>
        <v>-800.93305430574446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3</v>
      </c>
      <c r="F70" s="93">
        <v>1</v>
      </c>
      <c r="G70" s="93">
        <v>1</v>
      </c>
      <c r="H70" s="93" t="s">
        <v>100</v>
      </c>
      <c r="I70" s="93">
        <v>0</v>
      </c>
      <c r="J70" s="93">
        <v>1</v>
      </c>
      <c r="K70" s="93">
        <v>117.24</v>
      </c>
      <c r="L70" s="92">
        <f t="shared" si="43"/>
        <v>351.71999999999997</v>
      </c>
      <c r="M70" s="89">
        <v>19</v>
      </c>
      <c r="N70" s="89">
        <v>2</v>
      </c>
      <c r="O70" s="89">
        <v>1048</v>
      </c>
      <c r="P70" s="89">
        <v>100</v>
      </c>
      <c r="Q70" s="233">
        <f t="shared" si="47"/>
        <v>0.2857142857142857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1312</v>
      </c>
      <c r="W70" s="93">
        <v>0</v>
      </c>
      <c r="X70" s="92">
        <f t="shared" si="50"/>
        <v>1312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2096</v>
      </c>
      <c r="AC70" s="234">
        <f t="shared" si="53"/>
        <v>3.9988612097992916E-4</v>
      </c>
      <c r="AD70" s="92">
        <f t="shared" si="54"/>
        <v>234.48</v>
      </c>
      <c r="AE70" s="93">
        <v>791.32000000000016</v>
      </c>
      <c r="AF70" s="234">
        <f t="shared" si="55"/>
        <v>0.37753816793893136</v>
      </c>
      <c r="AG70" s="93">
        <v>199.7</v>
      </c>
      <c r="AH70" s="93"/>
      <c r="AI70" s="93"/>
      <c r="AJ70" s="93"/>
      <c r="AK70" s="93"/>
      <c r="AL70" s="122">
        <f t="shared" si="56"/>
        <v>0</v>
      </c>
      <c r="AM70" s="93">
        <v>0</v>
      </c>
      <c r="AN70" s="94">
        <f t="shared" si="57"/>
        <v>74.915199999999999</v>
      </c>
      <c r="AO70" s="95">
        <f t="shared" si="58"/>
        <v>795.58479999999975</v>
      </c>
      <c r="AP70" s="96"/>
      <c r="AQ70" s="97">
        <f t="shared" si="7"/>
        <v>1048</v>
      </c>
      <c r="AR70" s="98">
        <f t="shared" si="36"/>
        <v>117.24</v>
      </c>
      <c r="AS70" s="98">
        <f t="shared" si="9"/>
        <v>395.66000000000008</v>
      </c>
      <c r="AT70" s="98">
        <f t="shared" si="10"/>
        <v>99.85</v>
      </c>
      <c r="AU70" s="98">
        <f t="shared" si="25"/>
        <v>0</v>
      </c>
      <c r="AV70" s="98">
        <f t="array" ref="AV70">_xlfn.IFS(U70=0,AO70,U70&lt;0,AO70/-U70,U70&gt;0,AO70/U70)</f>
        <v>397.79239999999987</v>
      </c>
      <c r="AW70" s="234">
        <f t="shared" si="44"/>
        <v>0.37957290076335864</v>
      </c>
      <c r="AX70" s="234">
        <f t="shared" si="45"/>
        <v>3.3929750938246324</v>
      </c>
      <c r="AY70" s="99"/>
      <c r="AZ70" s="94">
        <f t="shared" si="13"/>
        <v>1193.3771999999997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28</v>
      </c>
      <c r="F71" s="93">
        <v>2</v>
      </c>
      <c r="G71" s="93">
        <v>2</v>
      </c>
      <c r="H71" s="93" t="s">
        <v>100</v>
      </c>
      <c r="I71" s="93">
        <v>0</v>
      </c>
      <c r="J71" s="93">
        <v>24</v>
      </c>
      <c r="K71" s="93">
        <v>123.09</v>
      </c>
      <c r="L71" s="92">
        <f t="shared" si="43"/>
        <v>3446.52</v>
      </c>
      <c r="M71" s="89">
        <v>9</v>
      </c>
      <c r="N71" s="89">
        <v>7</v>
      </c>
      <c r="O71" s="89">
        <v>702</v>
      </c>
      <c r="P71" s="89">
        <v>40</v>
      </c>
      <c r="Q71" s="233">
        <f t="shared" si="47"/>
        <v>1</v>
      </c>
      <c r="R71" s="92">
        <f t="shared" si="48"/>
        <v>0.7142857142857143</v>
      </c>
      <c r="S71" s="93">
        <v>5</v>
      </c>
      <c r="T71" s="93">
        <v>0</v>
      </c>
      <c r="U71" s="92">
        <f t="shared" si="49"/>
        <v>5</v>
      </c>
      <c r="V71" s="93">
        <v>2422.2799999999997</v>
      </c>
      <c r="W71" s="93">
        <v>0</v>
      </c>
      <c r="X71" s="92">
        <f t="shared" si="50"/>
        <v>2422.2799999999997</v>
      </c>
      <c r="Y71" s="93">
        <v>3489.03</v>
      </c>
      <c r="Z71" s="93">
        <v>0</v>
      </c>
      <c r="AA71" s="92">
        <f t="shared" si="51"/>
        <v>3489.03</v>
      </c>
      <c r="AB71" s="92">
        <f t="shared" si="52"/>
        <v>1965.6</v>
      </c>
      <c r="AC71" s="234">
        <f t="shared" si="53"/>
        <v>6.6565585528750111E-4</v>
      </c>
      <c r="AD71" s="92">
        <f t="shared" si="54"/>
        <v>615.45000000000005</v>
      </c>
      <c r="AE71" s="93">
        <v>1315.0000000000005</v>
      </c>
      <c r="AF71" s="234">
        <f t="shared" si="55"/>
        <v>0.37689558415949431</v>
      </c>
      <c r="AG71" s="93">
        <v>615.16000000000008</v>
      </c>
      <c r="AH71" s="93"/>
      <c r="AI71" s="93"/>
      <c r="AJ71" s="93"/>
      <c r="AK71" s="93"/>
      <c r="AL71" s="122">
        <f t="shared" si="56"/>
        <v>0</v>
      </c>
      <c r="AM71" s="93">
        <v>0</v>
      </c>
      <c r="AN71" s="94">
        <f t="shared" si="57"/>
        <v>138.31218799999999</v>
      </c>
      <c r="AO71" s="95">
        <f t="shared" si="58"/>
        <v>805.1078119999994</v>
      </c>
      <c r="AP71" s="96"/>
      <c r="AQ71" s="97">
        <f t="shared" si="7"/>
        <v>697.80600000000004</v>
      </c>
      <c r="AR71" s="98">
        <f t="shared" si="36"/>
        <v>123.09</v>
      </c>
      <c r="AS71" s="98">
        <f t="shared" si="9"/>
        <v>263.00000000000011</v>
      </c>
      <c r="AT71" s="98">
        <f t="shared" si="10"/>
        <v>123.03200000000001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161.02156239999988</v>
      </c>
      <c r="AW71" s="234">
        <f t="shared" si="44"/>
        <v>0.23075405255902051</v>
      </c>
      <c r="AX71" s="234">
        <f t="shared" si="45"/>
        <v>1.3081612023722469</v>
      </c>
      <c r="AY71" s="99"/>
      <c r="AZ71" s="94">
        <f t="shared" si="13"/>
        <v>4508.6037471999971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2</v>
      </c>
      <c r="F72" s="93" t="s">
        <v>100</v>
      </c>
      <c r="G72" s="93">
        <v>1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246.18</v>
      </c>
      <c r="M72" s="89">
        <v>999</v>
      </c>
      <c r="N72" s="89">
        <v>1</v>
      </c>
      <c r="O72" s="89">
        <v>837</v>
      </c>
      <c r="P72" s="89">
        <v>0</v>
      </c>
      <c r="Q72" s="233">
        <f t="shared" si="47"/>
        <v>0.14285714285714285</v>
      </c>
      <c r="R72" s="92">
        <f t="shared" si="48"/>
        <v>0</v>
      </c>
      <c r="S72" s="93">
        <v>0</v>
      </c>
      <c r="T72" s="93">
        <v>0</v>
      </c>
      <c r="U72" s="92">
        <f t="shared" si="49"/>
        <v>0</v>
      </c>
      <c r="V72" s="93">
        <v>0</v>
      </c>
      <c r="W72" s="93">
        <v>0</v>
      </c>
      <c r="X72" s="92">
        <f t="shared" si="50"/>
        <v>0</v>
      </c>
      <c r="Y72" s="93">
        <v>0</v>
      </c>
      <c r="Z72" s="93">
        <v>0</v>
      </c>
      <c r="AA72" s="92">
        <f t="shared" si="51"/>
        <v>0</v>
      </c>
      <c r="AB72" s="92">
        <f t="shared" si="52"/>
        <v>0</v>
      </c>
      <c r="AC72" s="234">
        <f t="shared" si="53"/>
        <v>0</v>
      </c>
      <c r="AD72" s="92">
        <f t="shared" si="54"/>
        <v>0</v>
      </c>
      <c r="AE72" s="93">
        <v>0</v>
      </c>
      <c r="AF72" s="234">
        <f t="shared" si="55"/>
        <v>0</v>
      </c>
      <c r="AG72" s="93">
        <v>86.11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0</v>
      </c>
      <c r="AO72" s="95">
        <f t="shared" si="58"/>
        <v>-86.11</v>
      </c>
      <c r="AP72" s="96"/>
      <c r="AQ72" s="97">
        <f t="shared" si="7"/>
        <v>0</v>
      </c>
      <c r="AR72" s="98">
        <f t="shared" si="36"/>
        <v>123.09</v>
      </c>
      <c r="AS72" s="98">
        <f t="shared" si="9"/>
        <v>0</v>
      </c>
      <c r="AT72" s="98">
        <f t="shared" si="10"/>
        <v>86.11</v>
      </c>
      <c r="AU72" s="98">
        <f t="shared" si="59"/>
        <v>0</v>
      </c>
      <c r="AV72" s="98">
        <f t="array" ref="AV72">_xlfn.IFS(U72=0,AO72,U72&lt;0,AO72/-U72,U72&gt;0,AO72/U72)</f>
        <v>-86.11</v>
      </c>
      <c r="AW72" s="234">
        <f t="shared" si="44"/>
        <v>0</v>
      </c>
      <c r="AX72" s="234">
        <f t="shared" si="45"/>
        <v>-0.69956942074904538</v>
      </c>
      <c r="AY72" s="99"/>
      <c r="AZ72" s="94">
        <f t="shared" si="13"/>
        <v>-172.22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6</v>
      </c>
      <c r="F73" s="93">
        <v>4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3"/>
        <v>738.54</v>
      </c>
      <c r="M73" s="89">
        <v>7</v>
      </c>
      <c r="N73" s="89">
        <v>4</v>
      </c>
      <c r="O73" s="89">
        <v>807</v>
      </c>
      <c r="P73" s="89">
        <v>0</v>
      </c>
      <c r="Q73" s="233">
        <f t="shared" si="47"/>
        <v>0.5714285714285714</v>
      </c>
      <c r="R73" s="92">
        <f t="shared" si="48"/>
        <v>0.14285714285714285</v>
      </c>
      <c r="S73" s="93">
        <v>1</v>
      </c>
      <c r="T73" s="93">
        <v>0</v>
      </c>
      <c r="U73" s="92">
        <f t="shared" si="49"/>
        <v>1</v>
      </c>
      <c r="V73" s="93">
        <v>552</v>
      </c>
      <c r="W73" s="93">
        <v>0</v>
      </c>
      <c r="X73" s="92">
        <f t="shared" si="50"/>
        <v>552</v>
      </c>
      <c r="Y73" s="93">
        <v>807</v>
      </c>
      <c r="Z73" s="93">
        <v>0</v>
      </c>
      <c r="AA73" s="92">
        <f t="shared" si="51"/>
        <v>807</v>
      </c>
      <c r="AB73" s="92">
        <f t="shared" si="52"/>
        <v>0</v>
      </c>
      <c r="AC73" s="234">
        <f t="shared" si="53"/>
        <v>1.5396378799179526E-4</v>
      </c>
      <c r="AD73" s="92">
        <f t="shared" si="54"/>
        <v>123.09</v>
      </c>
      <c r="AE73" s="93">
        <v>306.54000000000002</v>
      </c>
      <c r="AF73" s="234">
        <f t="shared" si="55"/>
        <v>0.37985130111524168</v>
      </c>
      <c r="AG73" s="93">
        <v>230.40000000000003</v>
      </c>
      <c r="AH73" s="93"/>
      <c r="AI73" s="93"/>
      <c r="AJ73" s="93"/>
      <c r="AK73" s="93"/>
      <c r="AL73" s="122">
        <f t="shared" si="56"/>
        <v>0</v>
      </c>
      <c r="AM73" s="93">
        <v>0</v>
      </c>
      <c r="AN73" s="94">
        <f t="shared" si="57"/>
        <v>31.519199999999998</v>
      </c>
      <c r="AO73" s="95">
        <f t="shared" si="58"/>
        <v>115.45079999999992</v>
      </c>
      <c r="AP73" s="96"/>
      <c r="AQ73" s="97">
        <f t="shared" si="7"/>
        <v>807</v>
      </c>
      <c r="AR73" s="98">
        <f t="shared" si="36"/>
        <v>123.09</v>
      </c>
      <c r="AS73" s="98">
        <f t="shared" si="9"/>
        <v>306.54000000000002</v>
      </c>
      <c r="AT73" s="98">
        <f t="shared" si="10"/>
        <v>230.40000000000003</v>
      </c>
      <c r="AU73" s="98">
        <f t="shared" si="59"/>
        <v>0</v>
      </c>
      <c r="AV73" s="98">
        <f t="array" ref="AV73">_xlfn.IFS(U73=0,AO73,U73&lt;0,AO73/-U73,U73&gt;0,AO73/U73)</f>
        <v>115.45079999999992</v>
      </c>
      <c r="AW73" s="234">
        <f t="shared" si="44"/>
        <v>0.14306171003717461</v>
      </c>
      <c r="AX73" s="234">
        <f t="shared" si="45"/>
        <v>0.9379380940775035</v>
      </c>
      <c r="AY73" s="99"/>
      <c r="AZ73" s="94">
        <f t="shared" si="13"/>
        <v>692.70479999999952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404.37</v>
      </c>
      <c r="M74" s="89">
        <v>999</v>
      </c>
      <c r="N74" s="89">
        <v>1</v>
      </c>
      <c r="O74" s="89">
        <v>781</v>
      </c>
      <c r="P74" s="89">
        <v>0</v>
      </c>
      <c r="Q74" s="233">
        <f t="shared" si="47"/>
        <v>0.14285714285714285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21</v>
      </c>
      <c r="F75" s="93">
        <v>8</v>
      </c>
      <c r="G75" s="93">
        <v>7</v>
      </c>
      <c r="H75" s="93">
        <v>5</v>
      </c>
      <c r="I75" s="93">
        <v>0</v>
      </c>
      <c r="J75" s="93">
        <v>1</v>
      </c>
      <c r="K75" s="93">
        <v>134.79</v>
      </c>
      <c r="L75" s="92">
        <f t="shared" si="43"/>
        <v>2830.5899999999997</v>
      </c>
      <c r="M75" s="89">
        <v>17</v>
      </c>
      <c r="N75" s="89">
        <v>17</v>
      </c>
      <c r="O75" s="89">
        <v>763</v>
      </c>
      <c r="P75" s="89">
        <v>11</v>
      </c>
      <c r="Q75" s="233">
        <f t="shared" si="47"/>
        <v>2.4285714285714284</v>
      </c>
      <c r="R75" s="92">
        <f t="shared" si="48"/>
        <v>0.14285714285714285</v>
      </c>
      <c r="S75" s="93">
        <v>2</v>
      </c>
      <c r="T75" s="93">
        <v>-1</v>
      </c>
      <c r="U75" s="92">
        <f t="shared" si="49"/>
        <v>1</v>
      </c>
      <c r="V75" s="93">
        <v>1012</v>
      </c>
      <c r="W75" s="93">
        <v>-522</v>
      </c>
      <c r="X75" s="92">
        <f t="shared" si="50"/>
        <v>490</v>
      </c>
      <c r="Y75" s="93">
        <v>1509</v>
      </c>
      <c r="Z75" s="93">
        <v>-763</v>
      </c>
      <c r="AA75" s="92">
        <f t="shared" si="51"/>
        <v>746</v>
      </c>
      <c r="AB75" s="92">
        <f t="shared" si="52"/>
        <v>1426.81</v>
      </c>
      <c r="AC75" s="234">
        <f t="shared" si="53"/>
        <v>1.4232588084495571E-4</v>
      </c>
      <c r="AD75" s="92">
        <f t="shared" si="54"/>
        <v>134.79</v>
      </c>
      <c r="AE75" s="93">
        <v>282.57</v>
      </c>
      <c r="AF75" s="234">
        <f t="shared" si="55"/>
        <v>0.37878016085790883</v>
      </c>
      <c r="AG75" s="93">
        <v>1132.31</v>
      </c>
      <c r="AH75" s="93"/>
      <c r="AI75" s="93"/>
      <c r="AJ75" s="93"/>
      <c r="AK75" s="93"/>
      <c r="AL75" s="122">
        <f t="shared" si="56"/>
        <v>4.2333054305744477</v>
      </c>
      <c r="AM75" s="93">
        <v>0</v>
      </c>
      <c r="AN75" s="94">
        <f t="shared" si="57"/>
        <v>27.978999999999999</v>
      </c>
      <c r="AO75" s="95">
        <f t="shared" si="58"/>
        <v>-835.88230543057432</v>
      </c>
      <c r="AP75" s="96"/>
      <c r="AQ75" s="97">
        <f t="shared" si="7"/>
        <v>746</v>
      </c>
      <c r="AR75" s="98">
        <f t="shared" si="36"/>
        <v>134.79</v>
      </c>
      <c r="AS75" s="98">
        <f t="shared" si="9"/>
        <v>282.57</v>
      </c>
      <c r="AT75" s="98">
        <f t="shared" si="10"/>
        <v>566.15499999999997</v>
      </c>
      <c r="AU75" s="98">
        <f t="shared" si="59"/>
        <v>0</v>
      </c>
      <c r="AV75" s="98">
        <f t="array" ref="AV75">_xlfn.IFS(U75=0,AO75,U75&lt;0,AO75/-U75,U75&gt;0,AO75/U75)</f>
        <v>-835.88230543057432</v>
      </c>
      <c r="AW75" s="234">
        <f t="shared" si="44"/>
        <v>-1.1204856641160514</v>
      </c>
      <c r="AX75" s="234">
        <f t="shared" si="45"/>
        <v>-6.2013673524042909</v>
      </c>
      <c r="AY75" s="99"/>
      <c r="AZ75" s="94">
        <f t="shared" si="13"/>
        <v>-17553.528414042059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43</v>
      </c>
      <c r="F76" s="93">
        <v>22</v>
      </c>
      <c r="G76" s="93">
        <v>3</v>
      </c>
      <c r="H76" s="93">
        <v>17</v>
      </c>
      <c r="I76" s="93">
        <v>0</v>
      </c>
      <c r="J76" s="93">
        <v>1</v>
      </c>
      <c r="K76" s="93">
        <v>123.09</v>
      </c>
      <c r="L76" s="92">
        <f t="shared" si="43"/>
        <v>5292.87</v>
      </c>
      <c r="M76" s="89">
        <v>44</v>
      </c>
      <c r="N76" s="89">
        <v>41</v>
      </c>
      <c r="O76" s="89">
        <v>1050</v>
      </c>
      <c r="P76" s="89">
        <v>20</v>
      </c>
      <c r="Q76" s="233">
        <f t="shared" si="47"/>
        <v>5.8571428571428568</v>
      </c>
      <c r="R76" s="92">
        <f t="shared" si="48"/>
        <v>0.5714285714285714</v>
      </c>
      <c r="S76" s="93">
        <v>4</v>
      </c>
      <c r="T76" s="93">
        <v>0</v>
      </c>
      <c r="U76" s="92">
        <f t="shared" si="49"/>
        <v>4</v>
      </c>
      <c r="V76" s="93">
        <v>2725</v>
      </c>
      <c r="W76" s="93">
        <v>0</v>
      </c>
      <c r="X76" s="92">
        <f t="shared" si="50"/>
        <v>2725</v>
      </c>
      <c r="Y76" s="93">
        <v>4200</v>
      </c>
      <c r="Z76" s="93">
        <v>0</v>
      </c>
      <c r="AA76" s="92">
        <f t="shared" si="51"/>
        <v>4200</v>
      </c>
      <c r="AB76" s="92">
        <f t="shared" si="52"/>
        <v>8610</v>
      </c>
      <c r="AC76" s="234">
        <f t="shared" si="53"/>
        <v>8.0129852486436192E-4</v>
      </c>
      <c r="AD76" s="92">
        <f t="shared" si="54"/>
        <v>492.36</v>
      </c>
      <c r="AE76" s="93">
        <v>1572.8199999999997</v>
      </c>
      <c r="AF76" s="234">
        <f t="shared" si="55"/>
        <v>0.3744809523809523</v>
      </c>
      <c r="AG76" s="93">
        <v>1685.6299999999999</v>
      </c>
      <c r="AH76" s="93">
        <v>434</v>
      </c>
      <c r="AI76" s="93">
        <v>3681</v>
      </c>
      <c r="AJ76" s="93"/>
      <c r="AK76" s="93"/>
      <c r="AL76" s="122">
        <f t="shared" si="56"/>
        <v>14.393238463953123</v>
      </c>
      <c r="AM76" s="93">
        <v>0</v>
      </c>
      <c r="AN76" s="94">
        <f t="shared" si="57"/>
        <v>155.5975</v>
      </c>
      <c r="AO76" s="95">
        <f t="shared" si="58"/>
        <v>-3835.8007384639523</v>
      </c>
      <c r="AP76" s="96"/>
      <c r="AQ76" s="97">
        <f t="shared" si="7"/>
        <v>1050</v>
      </c>
      <c r="AR76" s="98">
        <f t="shared" si="36"/>
        <v>123.09</v>
      </c>
      <c r="AS76" s="98">
        <f t="shared" si="9"/>
        <v>393.20499999999993</v>
      </c>
      <c r="AT76" s="98">
        <f t="shared" si="10"/>
        <v>421.40749999999997</v>
      </c>
      <c r="AU76" s="98">
        <f t="shared" si="59"/>
        <v>1028.75</v>
      </c>
      <c r="AV76" s="98">
        <f t="array" ref="AV76">_xlfn.IFS(U76=0,AO76,U76&lt;0,AO76/-U76,U76&gt;0,AO76/U76)</f>
        <v>-958.95018461598806</v>
      </c>
      <c r="AW76" s="234">
        <f t="shared" si="44"/>
        <v>-0.91328589011046479</v>
      </c>
      <c r="AX76" s="234">
        <f t="shared" si="45"/>
        <v>-7.79064249423989</v>
      </c>
      <c r="AY76" s="99"/>
      <c r="AZ76" s="94">
        <f t="shared" si="13"/>
        <v>-41234.85793848749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40</v>
      </c>
      <c r="F77" s="93">
        <v>12</v>
      </c>
      <c r="G77" s="93">
        <v>3</v>
      </c>
      <c r="H77" s="93">
        <v>21</v>
      </c>
      <c r="I77" s="93">
        <v>0</v>
      </c>
      <c r="J77" s="93">
        <v>4</v>
      </c>
      <c r="K77" s="93">
        <v>123.09</v>
      </c>
      <c r="L77" s="92">
        <f t="shared" si="43"/>
        <v>4923.6000000000004</v>
      </c>
      <c r="M77" s="89">
        <v>68</v>
      </c>
      <c r="N77" s="89">
        <v>18</v>
      </c>
      <c r="O77" s="89">
        <v>1150</v>
      </c>
      <c r="P77" s="89">
        <v>0</v>
      </c>
      <c r="Q77" s="233">
        <f t="shared" si="47"/>
        <v>2.5714285714285716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720</v>
      </c>
      <c r="W77" s="93">
        <v>0</v>
      </c>
      <c r="X77" s="92">
        <f t="shared" si="50"/>
        <v>720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0</v>
      </c>
      <c r="AC77" s="234">
        <f t="shared" si="53"/>
        <v>2.1940316752238481E-4</v>
      </c>
      <c r="AD77" s="92">
        <f t="shared" si="54"/>
        <v>123.09</v>
      </c>
      <c r="AE77" s="93">
        <v>434.17999999999995</v>
      </c>
      <c r="AF77" s="234">
        <f t="shared" si="55"/>
        <v>0.37754782608695647</v>
      </c>
      <c r="AG77" s="93">
        <v>718.19999999999993</v>
      </c>
      <c r="AH77" s="93">
        <v>120</v>
      </c>
      <c r="AI77" s="93">
        <v>1552</v>
      </c>
      <c r="AJ77" s="93"/>
      <c r="AK77" s="93"/>
      <c r="AL77" s="122">
        <f t="shared" si="56"/>
        <v>17.779882808412683</v>
      </c>
      <c r="AM77" s="93">
        <v>0</v>
      </c>
      <c r="AN77" s="94">
        <f t="shared" si="57"/>
        <v>41.112000000000002</v>
      </c>
      <c r="AO77" s="95">
        <f t="shared" si="58"/>
        <v>-1856.3618828084125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434.17999999999995</v>
      </c>
      <c r="AT77" s="98">
        <f t="shared" si="10"/>
        <v>718.19999999999993</v>
      </c>
      <c r="AU77" s="98">
        <f t="shared" si="59"/>
        <v>1672</v>
      </c>
      <c r="AV77" s="98">
        <f t="array" ref="AV77">_xlfn.IFS(U77=0,AO77,U77&lt;0,AO77/-U77,U77&gt;0,AO77/U77)</f>
        <v>-1856.3618828084125</v>
      </c>
      <c r="AW77" s="234">
        <f t="shared" si="44"/>
        <v>-1.6142277241812282</v>
      </c>
      <c r="AX77" s="234">
        <f t="shared" si="45"/>
        <v>-15.081337905665874</v>
      </c>
      <c r="AY77" s="99"/>
      <c r="AZ77" s="94">
        <f t="shared" si="13"/>
        <v>-74254.475312336494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22</v>
      </c>
      <c r="F78" s="93">
        <v>3</v>
      </c>
      <c r="G78" s="93">
        <v>3</v>
      </c>
      <c r="H78" s="93">
        <v>15</v>
      </c>
      <c r="I78" s="93">
        <v>0</v>
      </c>
      <c r="J78" s="93">
        <v>1</v>
      </c>
      <c r="K78" s="93">
        <v>123.09</v>
      </c>
      <c r="L78" s="92">
        <f t="shared" si="43"/>
        <v>2707.98</v>
      </c>
      <c r="M78" s="89">
        <v>97</v>
      </c>
      <c r="N78" s="89">
        <v>5</v>
      </c>
      <c r="O78" s="89">
        <v>1000</v>
      </c>
      <c r="P78" s="89">
        <v>0</v>
      </c>
      <c r="Q78" s="233">
        <f t="shared" si="47"/>
        <v>0.7142857142857143</v>
      </c>
      <c r="R78" s="92">
        <f t="shared" si="48"/>
        <v>0</v>
      </c>
      <c r="S78" s="93">
        <v>0</v>
      </c>
      <c r="T78" s="93">
        <v>0</v>
      </c>
      <c r="U78" s="92">
        <f t="shared" si="49"/>
        <v>0</v>
      </c>
      <c r="V78" s="93">
        <v>0</v>
      </c>
      <c r="W78" s="93">
        <v>0</v>
      </c>
      <c r="X78" s="92">
        <f t="shared" si="50"/>
        <v>0</v>
      </c>
      <c r="Y78" s="93">
        <v>0</v>
      </c>
      <c r="Z78" s="93">
        <v>0</v>
      </c>
      <c r="AA78" s="92">
        <f t="shared" si="51"/>
        <v>0</v>
      </c>
      <c r="AB78" s="92">
        <f t="shared" si="52"/>
        <v>0</v>
      </c>
      <c r="AC78" s="234">
        <f t="shared" si="53"/>
        <v>0</v>
      </c>
      <c r="AD78" s="92">
        <f t="shared" si="54"/>
        <v>0</v>
      </c>
      <c r="AE78" s="93">
        <v>0</v>
      </c>
      <c r="AF78" s="234">
        <f t="shared" si="55"/>
        <v>0</v>
      </c>
      <c r="AG78" s="93">
        <v>487.40999999999997</v>
      </c>
      <c r="AH78" s="93"/>
      <c r="AI78" s="93"/>
      <c r="AJ78" s="93"/>
      <c r="AK78" s="93"/>
      <c r="AL78" s="122">
        <f t="shared" si="56"/>
        <v>12.699916291723344</v>
      </c>
      <c r="AM78" s="93">
        <v>0</v>
      </c>
      <c r="AN78" s="94">
        <f t="shared" si="57"/>
        <v>0</v>
      </c>
      <c r="AO78" s="95">
        <f t="shared" si="58"/>
        <v>-500.10991629172332</v>
      </c>
      <c r="AP78" s="96"/>
      <c r="AQ78" s="97">
        <f t="shared" si="7"/>
        <v>0</v>
      </c>
      <c r="AR78" s="98">
        <f t="shared" si="36"/>
        <v>123.09</v>
      </c>
      <c r="AS78" s="98">
        <f t="shared" si="9"/>
        <v>0</v>
      </c>
      <c r="AT78" s="98">
        <f t="shared" si="10"/>
        <v>487.40999999999997</v>
      </c>
      <c r="AU78" s="98">
        <f t="shared" si="59"/>
        <v>0</v>
      </c>
      <c r="AV78" s="98">
        <f t="array" ref="AV78">_xlfn.IFS(U78=0,AO78,U78&lt;0,AO78/-U78,U78&gt;0,AO78/U78)</f>
        <v>-500.10991629172332</v>
      </c>
      <c r="AW78" s="234">
        <f t="shared" si="44"/>
        <v>0</v>
      </c>
      <c r="AX78" s="234">
        <f t="shared" si="45"/>
        <v>-4.0629613802236033</v>
      </c>
      <c r="AY78" s="99"/>
      <c r="AZ78" s="94">
        <f t="shared" si="13"/>
        <v>-11002.418158417913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47</v>
      </c>
      <c r="F79" s="93">
        <v>10</v>
      </c>
      <c r="G79" s="93">
        <v>3</v>
      </c>
      <c r="H79" s="93">
        <v>33</v>
      </c>
      <c r="I79" s="93">
        <v>0</v>
      </c>
      <c r="J79" s="93">
        <v>1</v>
      </c>
      <c r="K79" s="93">
        <v>164.04</v>
      </c>
      <c r="L79" s="92">
        <f t="shared" si="43"/>
        <v>7709.8799999999992</v>
      </c>
      <c r="M79" s="89">
        <v>101</v>
      </c>
      <c r="N79" s="89">
        <v>15</v>
      </c>
      <c r="O79" s="89">
        <v>1500</v>
      </c>
      <c r="P79" s="89">
        <v>20</v>
      </c>
      <c r="Q79" s="233">
        <f t="shared" si="47"/>
        <v>2.1428571428571428</v>
      </c>
      <c r="R79" s="92">
        <f t="shared" si="48"/>
        <v>0.2857142857142857</v>
      </c>
      <c r="S79" s="93">
        <v>2</v>
      </c>
      <c r="T79" s="93">
        <v>0</v>
      </c>
      <c r="U79" s="92">
        <f t="shared" si="49"/>
        <v>2</v>
      </c>
      <c r="V79" s="93">
        <v>1985</v>
      </c>
      <c r="W79" s="93">
        <v>0</v>
      </c>
      <c r="X79" s="92">
        <f t="shared" si="50"/>
        <v>1985</v>
      </c>
      <c r="Y79" s="93">
        <v>3000</v>
      </c>
      <c r="Z79" s="93">
        <v>0</v>
      </c>
      <c r="AA79" s="92">
        <f t="shared" si="51"/>
        <v>3000</v>
      </c>
      <c r="AB79" s="92">
        <f t="shared" si="52"/>
        <v>4500</v>
      </c>
      <c r="AC79" s="234">
        <f t="shared" si="53"/>
        <v>5.7235608918882993E-4</v>
      </c>
      <c r="AD79" s="92">
        <f t="shared" si="54"/>
        <v>328.08</v>
      </c>
      <c r="AE79" s="93">
        <v>1145.83</v>
      </c>
      <c r="AF79" s="234">
        <f t="shared" si="55"/>
        <v>0.3819433333333333</v>
      </c>
      <c r="AG79" s="93">
        <v>528.20000000000005</v>
      </c>
      <c r="AH79" s="93"/>
      <c r="AI79" s="93">
        <v>2360</v>
      </c>
      <c r="AJ79" s="93"/>
      <c r="AK79" s="93"/>
      <c r="AL79" s="122">
        <f t="shared" si="56"/>
        <v>27.939815841791358</v>
      </c>
      <c r="AM79" s="93">
        <v>0</v>
      </c>
      <c r="AN79" s="94">
        <f t="shared" si="57"/>
        <v>113.34349999999999</v>
      </c>
      <c r="AO79" s="95">
        <f t="shared" si="58"/>
        <v>-1503.3933158417913</v>
      </c>
      <c r="AP79" s="96"/>
      <c r="AQ79" s="97">
        <f t="shared" si="7"/>
        <v>1500</v>
      </c>
      <c r="AR79" s="98">
        <f t="shared" si="36"/>
        <v>164.04</v>
      </c>
      <c r="AS79" s="98">
        <f t="shared" si="9"/>
        <v>572.91499999999996</v>
      </c>
      <c r="AT79" s="98">
        <f t="shared" si="10"/>
        <v>264.10000000000002</v>
      </c>
      <c r="AU79" s="98">
        <f t="shared" si="59"/>
        <v>1180</v>
      </c>
      <c r="AV79" s="98">
        <f t="array" ref="AV79">_xlfn.IFS(U79=0,AO79,U79&lt;0,AO79/-U79,U79&gt;0,AO79/U79)</f>
        <v>-751.69665792089563</v>
      </c>
      <c r="AW79" s="234">
        <f t="shared" si="44"/>
        <v>-0.50113110528059712</v>
      </c>
      <c r="AX79" s="234">
        <f t="shared" si="45"/>
        <v>-4.5823985486521313</v>
      </c>
      <c r="AY79" s="99"/>
      <c r="AZ79" s="94">
        <f t="shared" si="13"/>
        <v>-35329.742922282094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32</v>
      </c>
      <c r="F80" s="93">
        <v>5</v>
      </c>
      <c r="G80" s="93">
        <v>3</v>
      </c>
      <c r="H80" s="93">
        <v>23</v>
      </c>
      <c r="I80" s="93">
        <v>0</v>
      </c>
      <c r="J80" s="93">
        <v>1</v>
      </c>
      <c r="K80" s="93">
        <v>164.04</v>
      </c>
      <c r="L80" s="92">
        <f t="shared" si="43"/>
        <v>5249.28</v>
      </c>
      <c r="M80" s="89">
        <v>43</v>
      </c>
      <c r="N80" s="89">
        <v>12</v>
      </c>
      <c r="O80" s="89">
        <v>987</v>
      </c>
      <c r="P80" s="89">
        <v>0</v>
      </c>
      <c r="Q80" s="233">
        <f t="shared" si="47"/>
        <v>1.7142857142857142</v>
      </c>
      <c r="R80" s="92">
        <f t="shared" si="48"/>
        <v>0.2857142857142857</v>
      </c>
      <c r="S80" s="93">
        <v>4</v>
      </c>
      <c r="T80" s="93">
        <v>-2</v>
      </c>
      <c r="U80" s="92">
        <f t="shared" si="49"/>
        <v>2</v>
      </c>
      <c r="V80" s="93">
        <v>2583</v>
      </c>
      <c r="W80" s="93">
        <v>-1278</v>
      </c>
      <c r="X80" s="92">
        <f t="shared" si="50"/>
        <v>1305</v>
      </c>
      <c r="Y80" s="93">
        <v>3928</v>
      </c>
      <c r="Z80" s="93">
        <v>-1954</v>
      </c>
      <c r="AA80" s="92">
        <f t="shared" si="51"/>
        <v>1974</v>
      </c>
      <c r="AB80" s="92">
        <f t="shared" si="52"/>
        <v>0</v>
      </c>
      <c r="AC80" s="234">
        <f t="shared" si="53"/>
        <v>3.7661030668625006E-4</v>
      </c>
      <c r="AD80" s="92">
        <f t="shared" si="54"/>
        <v>328.08</v>
      </c>
      <c r="AE80" s="93">
        <v>748.01999999999975</v>
      </c>
      <c r="AF80" s="234">
        <f t="shared" si="55"/>
        <v>0.37893617021276582</v>
      </c>
      <c r="AG80" s="93">
        <v>1132.9100000000001</v>
      </c>
      <c r="AH80" s="93"/>
      <c r="AI80" s="93"/>
      <c r="AJ80" s="93"/>
      <c r="AK80" s="93"/>
      <c r="AL80" s="122">
        <f t="shared" si="56"/>
        <v>19.473204980642464</v>
      </c>
      <c r="AM80" s="93">
        <v>0</v>
      </c>
      <c r="AN80" s="94">
        <f t="shared" si="57"/>
        <v>74.515500000000003</v>
      </c>
      <c r="AO80" s="95">
        <f t="shared" si="58"/>
        <v>-328.99870498064223</v>
      </c>
      <c r="AP80" s="96"/>
      <c r="AQ80" s="97">
        <f t="shared" si="7"/>
        <v>987</v>
      </c>
      <c r="AR80" s="98">
        <f t="shared" si="36"/>
        <v>164.04</v>
      </c>
      <c r="AS80" s="98">
        <f t="shared" si="9"/>
        <v>374.00999999999988</v>
      </c>
      <c r="AT80" s="98">
        <f t="shared" si="10"/>
        <v>283.22750000000002</v>
      </c>
      <c r="AU80" s="98">
        <f t="shared" si="59"/>
        <v>0</v>
      </c>
      <c r="AV80" s="98">
        <f t="array" ref="AV80">_xlfn.IFS(U80=0,AO80,U80&lt;0,AO80/-U80,U80&gt;0,AO80/U80)</f>
        <v>-164.49935249032112</v>
      </c>
      <c r="AW80" s="234">
        <f t="shared" si="44"/>
        <v>-0.16666601062849151</v>
      </c>
      <c r="AX80" s="234">
        <f t="shared" si="45"/>
        <v>-1.002800246831999</v>
      </c>
      <c r="AY80" s="99"/>
      <c r="AZ80" s="94">
        <f t="shared" si="13"/>
        <v>-5263.9792796902757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16</v>
      </c>
      <c r="F81" s="93">
        <v>6</v>
      </c>
      <c r="G81" s="93">
        <v>5</v>
      </c>
      <c r="H81" s="93">
        <v>4</v>
      </c>
      <c r="I81" s="93">
        <v>0</v>
      </c>
      <c r="J81" s="93">
        <v>1</v>
      </c>
      <c r="K81" s="93">
        <v>128.94</v>
      </c>
      <c r="L81" s="92">
        <f t="shared" si="43"/>
        <v>2063.04</v>
      </c>
      <c r="M81" s="89">
        <v>26</v>
      </c>
      <c r="N81" s="89">
        <v>6</v>
      </c>
      <c r="O81" s="89">
        <v>1167</v>
      </c>
      <c r="P81" s="89">
        <v>50</v>
      </c>
      <c r="Q81" s="233">
        <f t="shared" si="47"/>
        <v>0.8571428571428571</v>
      </c>
      <c r="R81" s="92">
        <f t="shared" si="48"/>
        <v>0.42857142857142855</v>
      </c>
      <c r="S81" s="93">
        <v>3</v>
      </c>
      <c r="T81" s="93">
        <v>0</v>
      </c>
      <c r="U81" s="92">
        <f t="shared" si="49"/>
        <v>3</v>
      </c>
      <c r="V81" s="93">
        <v>2202</v>
      </c>
      <c r="W81" s="93">
        <v>0</v>
      </c>
      <c r="X81" s="92">
        <f t="shared" si="50"/>
        <v>2202</v>
      </c>
      <c r="Y81" s="93">
        <v>3478</v>
      </c>
      <c r="Z81" s="93">
        <v>0</v>
      </c>
      <c r="AA81" s="92">
        <f t="shared" si="51"/>
        <v>3478</v>
      </c>
      <c r="AB81" s="92">
        <f t="shared" si="52"/>
        <v>3501</v>
      </c>
      <c r="AC81" s="234">
        <f t="shared" si="53"/>
        <v>6.6355149273291682E-4</v>
      </c>
      <c r="AD81" s="92">
        <f t="shared" si="54"/>
        <v>386.82</v>
      </c>
      <c r="AE81" s="93">
        <v>1314.06</v>
      </c>
      <c r="AF81" s="234">
        <f t="shared" si="55"/>
        <v>0.37782058654399081</v>
      </c>
      <c r="AG81" s="93">
        <v>1012.8299999999999</v>
      </c>
      <c r="AH81" s="93"/>
      <c r="AI81" s="93"/>
      <c r="AJ81" s="93"/>
      <c r="AK81" s="93"/>
      <c r="AL81" s="122">
        <f t="shared" si="56"/>
        <v>3.3866443444595586</v>
      </c>
      <c r="AM81" s="93">
        <v>0</v>
      </c>
      <c r="AN81" s="94">
        <f t="shared" si="57"/>
        <v>125.7342</v>
      </c>
      <c r="AO81" s="95">
        <f t="shared" si="58"/>
        <v>635.16915565554041</v>
      </c>
      <c r="AP81" s="96"/>
      <c r="AQ81" s="97">
        <f t="shared" si="7"/>
        <v>1159.3333333333333</v>
      </c>
      <c r="AR81" s="98">
        <f t="shared" si="36"/>
        <v>128.94</v>
      </c>
      <c r="AS81" s="98">
        <f t="shared" si="9"/>
        <v>438.02</v>
      </c>
      <c r="AT81" s="98">
        <f t="shared" si="10"/>
        <v>337.60999999999996</v>
      </c>
      <c r="AU81" s="98">
        <f t="shared" si="59"/>
        <v>0</v>
      </c>
      <c r="AV81" s="98">
        <f t="array" ref="AV81">_xlfn.IFS(U81=0,AO81,U81&lt;0,AO81/-U81,U81&gt;0,AO81/U81)</f>
        <v>211.72305188518013</v>
      </c>
      <c r="AW81" s="234">
        <f t="shared" si="44"/>
        <v>0.18262482911315137</v>
      </c>
      <c r="AX81" s="234">
        <f t="shared" si="45"/>
        <v>1.6420277019170166</v>
      </c>
      <c r="AY81" s="99"/>
      <c r="AZ81" s="94">
        <f t="shared" si="13"/>
        <v>3387.568830162882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46</v>
      </c>
      <c r="F82" s="93">
        <v>1</v>
      </c>
      <c r="G82" s="93">
        <v>3</v>
      </c>
      <c r="H82" s="93">
        <v>41</v>
      </c>
      <c r="I82" s="93">
        <v>0</v>
      </c>
      <c r="J82" s="93">
        <v>1</v>
      </c>
      <c r="K82" s="93">
        <v>128.94</v>
      </c>
      <c r="L82" s="92">
        <f t="shared" si="43"/>
        <v>5931.24</v>
      </c>
      <c r="M82" s="89">
        <v>197</v>
      </c>
      <c r="N82" s="89">
        <v>5</v>
      </c>
      <c r="O82" s="89">
        <v>1174</v>
      </c>
      <c r="P82" s="89">
        <v>25</v>
      </c>
      <c r="Q82" s="233">
        <f t="shared" si="47"/>
        <v>0.7142857142857143</v>
      </c>
      <c r="R82" s="92">
        <f t="shared" si="48"/>
        <v>0.2857142857142857</v>
      </c>
      <c r="S82" s="93">
        <v>2</v>
      </c>
      <c r="T82" s="93">
        <v>0</v>
      </c>
      <c r="U82" s="92">
        <f t="shared" si="49"/>
        <v>2</v>
      </c>
      <c r="V82" s="93">
        <v>1540</v>
      </c>
      <c r="W82" s="93">
        <v>0</v>
      </c>
      <c r="X82" s="92">
        <f t="shared" si="50"/>
        <v>1540</v>
      </c>
      <c r="Y82" s="93">
        <v>2348</v>
      </c>
      <c r="Z82" s="93">
        <v>0</v>
      </c>
      <c r="AA82" s="92">
        <f t="shared" si="51"/>
        <v>2348</v>
      </c>
      <c r="AB82" s="92">
        <f t="shared" si="52"/>
        <v>1467.5</v>
      </c>
      <c r="AC82" s="234">
        <f t="shared" si="53"/>
        <v>4.479640324717909E-4</v>
      </c>
      <c r="AD82" s="92">
        <f t="shared" si="54"/>
        <v>257.88</v>
      </c>
      <c r="AE82" s="93">
        <v>896.15999999999985</v>
      </c>
      <c r="AF82" s="234">
        <f t="shared" si="55"/>
        <v>0.38166950596252125</v>
      </c>
      <c r="AG82" s="93">
        <v>369.7</v>
      </c>
      <c r="AH82" s="93"/>
      <c r="AI82" s="93"/>
      <c r="AJ82" s="93"/>
      <c r="AK82" s="93"/>
      <c r="AL82" s="122">
        <f t="shared" si="56"/>
        <v>34.713104530710474</v>
      </c>
      <c r="AM82" s="93">
        <v>0</v>
      </c>
      <c r="AN82" s="94">
        <f t="shared" si="57"/>
        <v>87.933999999999997</v>
      </c>
      <c r="AO82" s="95">
        <f t="shared" si="58"/>
        <v>701.61289546928958</v>
      </c>
      <c r="AP82" s="96"/>
      <c r="AQ82" s="97">
        <f t="shared" si="7"/>
        <v>1174</v>
      </c>
      <c r="AR82" s="98">
        <f t="shared" si="36"/>
        <v>128.94</v>
      </c>
      <c r="AS82" s="98">
        <f t="shared" si="9"/>
        <v>448.07999999999993</v>
      </c>
      <c r="AT82" s="98">
        <f t="shared" si="10"/>
        <v>184.85</v>
      </c>
      <c r="AU82" s="98">
        <f t="shared" si="59"/>
        <v>0</v>
      </c>
      <c r="AV82" s="98">
        <f t="array" ref="AV82">_xlfn.IFS(U82=0,AO82,U82&lt;0,AO82/-U82,U82&gt;0,AO82/U82)</f>
        <v>350.80644773464479</v>
      </c>
      <c r="AW82" s="234">
        <f t="shared" si="44"/>
        <v>0.29881298784893084</v>
      </c>
      <c r="AX82" s="234">
        <f t="shared" si="45"/>
        <v>2.7206952670594449</v>
      </c>
      <c r="AY82" s="99"/>
      <c r="AZ82" s="94">
        <f t="shared" si="13"/>
        <v>16137.096595793661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45</v>
      </c>
      <c r="F83" s="93">
        <v>3</v>
      </c>
      <c r="G83" s="93">
        <v>3</v>
      </c>
      <c r="H83" s="93">
        <v>38</v>
      </c>
      <c r="I83" s="93">
        <v>0</v>
      </c>
      <c r="J83" s="93">
        <v>1</v>
      </c>
      <c r="K83" s="93">
        <v>123.09</v>
      </c>
      <c r="L83" s="92">
        <f t="shared" si="43"/>
        <v>5539.05</v>
      </c>
      <c r="M83" s="89">
        <v>318</v>
      </c>
      <c r="N83" s="89">
        <v>8</v>
      </c>
      <c r="O83" s="89">
        <v>1375</v>
      </c>
      <c r="P83" s="89">
        <v>20</v>
      </c>
      <c r="Q83" s="233">
        <f t="shared" si="47"/>
        <v>1.1428571428571428</v>
      </c>
      <c r="R83" s="92">
        <f t="shared" si="48"/>
        <v>0.2857142857142857</v>
      </c>
      <c r="S83" s="93">
        <v>2</v>
      </c>
      <c r="T83" s="93">
        <v>0</v>
      </c>
      <c r="U83" s="92">
        <f t="shared" si="49"/>
        <v>2</v>
      </c>
      <c r="V83" s="93">
        <v>1791</v>
      </c>
      <c r="W83" s="93">
        <v>0</v>
      </c>
      <c r="X83" s="92">
        <f t="shared" si="50"/>
        <v>1791</v>
      </c>
      <c r="Y83" s="93">
        <v>2750</v>
      </c>
      <c r="Z83" s="93">
        <v>0</v>
      </c>
      <c r="AA83" s="92">
        <f t="shared" si="51"/>
        <v>2750</v>
      </c>
      <c r="AB83" s="92">
        <f t="shared" si="52"/>
        <v>2200</v>
      </c>
      <c r="AC83" s="234">
        <f t="shared" si="53"/>
        <v>5.2465974842309413E-4</v>
      </c>
      <c r="AD83" s="92">
        <f t="shared" si="54"/>
        <v>246.18</v>
      </c>
      <c r="AE83" s="93">
        <v>1041</v>
      </c>
      <c r="AF83" s="234">
        <f t="shared" si="55"/>
        <v>0.37854545454545452</v>
      </c>
      <c r="AG83" s="93">
        <v>495.3</v>
      </c>
      <c r="AH83" s="93"/>
      <c r="AI83" s="93"/>
      <c r="AJ83" s="93"/>
      <c r="AK83" s="93"/>
      <c r="AL83" s="122">
        <f t="shared" si="56"/>
        <v>32.173121272365805</v>
      </c>
      <c r="AM83" s="93">
        <v>0</v>
      </c>
      <c r="AN83" s="94">
        <f t="shared" si="57"/>
        <v>102.26609999999999</v>
      </c>
      <c r="AO83" s="95">
        <f t="shared" si="58"/>
        <v>833.08077872763442</v>
      </c>
      <c r="AP83" s="96"/>
      <c r="AQ83" s="97">
        <f t="shared" si="7"/>
        <v>1375</v>
      </c>
      <c r="AR83" s="98">
        <f t="shared" si="36"/>
        <v>123.09</v>
      </c>
      <c r="AS83" s="98">
        <f t="shared" si="9"/>
        <v>520.5</v>
      </c>
      <c r="AT83" s="98">
        <f t="shared" si="10"/>
        <v>247.65</v>
      </c>
      <c r="AU83" s="98">
        <f t="shared" si="59"/>
        <v>0</v>
      </c>
      <c r="AV83" s="98">
        <f t="array" ref="AV83">_xlfn.IFS(U83=0,AO83,U83&lt;0,AO83/-U83,U83&gt;0,AO83/U83)</f>
        <v>416.54038936381721</v>
      </c>
      <c r="AW83" s="234">
        <f t="shared" si="44"/>
        <v>0.30293846499186705</v>
      </c>
      <c r="AX83" s="234">
        <f t="shared" si="45"/>
        <v>3.384031110275548</v>
      </c>
      <c r="AY83" s="99"/>
      <c r="AZ83" s="94">
        <f t="shared" si="13"/>
        <v>18744.317521371773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48</v>
      </c>
      <c r="F84" s="93">
        <v>13</v>
      </c>
      <c r="G84" s="93">
        <v>5</v>
      </c>
      <c r="H84" s="93">
        <v>29</v>
      </c>
      <c r="I84" s="93">
        <v>0</v>
      </c>
      <c r="J84" s="93">
        <v>1</v>
      </c>
      <c r="K84" s="93">
        <v>146.49</v>
      </c>
      <c r="L84" s="92">
        <f t="shared" si="43"/>
        <v>7031.52</v>
      </c>
      <c r="M84" s="89">
        <v>63</v>
      </c>
      <c r="N84" s="89">
        <v>21</v>
      </c>
      <c r="O84" s="89">
        <v>1438</v>
      </c>
      <c r="P84" s="89">
        <v>13</v>
      </c>
      <c r="Q84" s="233">
        <f t="shared" si="47"/>
        <v>3</v>
      </c>
      <c r="R84" s="92">
        <f t="shared" si="48"/>
        <v>0.14285714285714285</v>
      </c>
      <c r="S84" s="93">
        <v>1</v>
      </c>
      <c r="T84" s="93">
        <v>0</v>
      </c>
      <c r="U84" s="92">
        <f t="shared" si="49"/>
        <v>1</v>
      </c>
      <c r="V84" s="93">
        <v>957</v>
      </c>
      <c r="W84" s="93">
        <v>0</v>
      </c>
      <c r="X84" s="92">
        <f t="shared" si="50"/>
        <v>957</v>
      </c>
      <c r="Y84" s="93">
        <v>1438</v>
      </c>
      <c r="Z84" s="93">
        <v>0</v>
      </c>
      <c r="AA84" s="92">
        <f t="shared" si="51"/>
        <v>1438</v>
      </c>
      <c r="AB84" s="92">
        <f t="shared" si="52"/>
        <v>3925.74</v>
      </c>
      <c r="AC84" s="234">
        <f t="shared" si="53"/>
        <v>2.7434935208451249E-4</v>
      </c>
      <c r="AD84" s="92">
        <f t="shared" si="54"/>
        <v>146.49</v>
      </c>
      <c r="AE84" s="93">
        <v>545.17999999999995</v>
      </c>
      <c r="AF84" s="234">
        <f t="shared" si="55"/>
        <v>0.37912378303198885</v>
      </c>
      <c r="AG84" s="93">
        <v>889.19</v>
      </c>
      <c r="AH84" s="93">
        <v>1000</v>
      </c>
      <c r="AI84" s="93">
        <v>2860</v>
      </c>
      <c r="AJ84" s="93"/>
      <c r="AK84" s="93"/>
      <c r="AL84" s="122">
        <f t="shared" si="56"/>
        <v>24.5531714973318</v>
      </c>
      <c r="AM84" s="93">
        <v>0</v>
      </c>
      <c r="AN84" s="94">
        <f t="shared" si="57"/>
        <v>54.6447</v>
      </c>
      <c r="AO84" s="95">
        <f t="shared" si="58"/>
        <v>-4082.0578714973317</v>
      </c>
      <c r="AP84" s="96"/>
      <c r="AQ84" s="97">
        <f t="shared" si="7"/>
        <v>1438</v>
      </c>
      <c r="AR84" s="98">
        <f t="shared" si="36"/>
        <v>146.49</v>
      </c>
      <c r="AS84" s="98">
        <f t="shared" si="9"/>
        <v>545.17999999999995</v>
      </c>
      <c r="AT84" s="98">
        <f t="shared" si="10"/>
        <v>889.19</v>
      </c>
      <c r="AU84" s="98">
        <f t="shared" si="59"/>
        <v>3860</v>
      </c>
      <c r="AV84" s="98">
        <f t="array" ref="AV84">_xlfn.IFS(U84=0,AO84,U84&lt;0,AO84/-U84,U84&gt;0,AO84/U84)</f>
        <v>-4082.0578714973317</v>
      </c>
      <c r="AW84" s="234">
        <f t="shared" si="44"/>
        <v>-2.8387050566740832</v>
      </c>
      <c r="AX84" s="234">
        <f t="shared" si="45"/>
        <v>-27.865778356866212</v>
      </c>
      <c r="AY84" s="99"/>
      <c r="AZ84" s="94">
        <f t="shared" si="13"/>
        <v>-195938.77783187194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36</v>
      </c>
      <c r="F85" s="93">
        <v>5</v>
      </c>
      <c r="G85" s="93">
        <v>6</v>
      </c>
      <c r="H85" s="93">
        <v>24</v>
      </c>
      <c r="I85" s="93">
        <v>0</v>
      </c>
      <c r="J85" s="93">
        <v>1</v>
      </c>
      <c r="K85" s="93">
        <v>103.2</v>
      </c>
      <c r="L85" s="92">
        <f t="shared" si="43"/>
        <v>3715.2000000000003</v>
      </c>
      <c r="M85" s="89">
        <v>73</v>
      </c>
      <c r="N85" s="89">
        <v>10</v>
      </c>
      <c r="O85" s="89">
        <v>1008</v>
      </c>
      <c r="P85" s="89">
        <v>25</v>
      </c>
      <c r="Q85" s="233">
        <f t="shared" si="47"/>
        <v>1.4285714285714286</v>
      </c>
      <c r="R85" s="92">
        <f t="shared" si="48"/>
        <v>0.2857142857142857</v>
      </c>
      <c r="S85" s="93">
        <v>2</v>
      </c>
      <c r="T85" s="93">
        <v>0</v>
      </c>
      <c r="U85" s="92">
        <f t="shared" si="49"/>
        <v>2</v>
      </c>
      <c r="V85" s="93">
        <v>1317</v>
      </c>
      <c r="W85" s="93">
        <v>0</v>
      </c>
      <c r="X85" s="92">
        <f t="shared" si="50"/>
        <v>1317</v>
      </c>
      <c r="Y85" s="93">
        <v>2016</v>
      </c>
      <c r="Z85" s="93">
        <v>0</v>
      </c>
      <c r="AA85" s="92">
        <f t="shared" si="51"/>
        <v>2016</v>
      </c>
      <c r="AB85" s="92">
        <f t="shared" si="52"/>
        <v>2520</v>
      </c>
      <c r="AC85" s="234">
        <f t="shared" si="53"/>
        <v>3.8462329193489369E-4</v>
      </c>
      <c r="AD85" s="92">
        <f t="shared" si="54"/>
        <v>206.4</v>
      </c>
      <c r="AE85" s="93">
        <v>769</v>
      </c>
      <c r="AF85" s="234">
        <f t="shared" si="55"/>
        <v>0.38144841269841268</v>
      </c>
      <c r="AG85" s="93">
        <v>898.23000000000013</v>
      </c>
      <c r="AH85" s="93">
        <v>520</v>
      </c>
      <c r="AI85" s="93">
        <v>2304</v>
      </c>
      <c r="AJ85" s="93"/>
      <c r="AK85" s="93"/>
      <c r="AL85" s="122">
        <f t="shared" si="56"/>
        <v>20.319866066757349</v>
      </c>
      <c r="AM85" s="93">
        <v>0</v>
      </c>
      <c r="AN85" s="94">
        <f t="shared" si="57"/>
        <v>75.200699999999998</v>
      </c>
      <c r="AO85" s="95">
        <f t="shared" si="58"/>
        <v>-2777.1505660667572</v>
      </c>
      <c r="AP85" s="96"/>
      <c r="AQ85" s="97">
        <f t="shared" si="7"/>
        <v>1008</v>
      </c>
      <c r="AR85" s="98">
        <f t="shared" si="36"/>
        <v>103.2</v>
      </c>
      <c r="AS85" s="98">
        <f t="shared" si="9"/>
        <v>384.5</v>
      </c>
      <c r="AT85" s="98">
        <f t="shared" si="10"/>
        <v>449.11500000000007</v>
      </c>
      <c r="AU85" s="98">
        <f t="shared" si="59"/>
        <v>1412</v>
      </c>
      <c r="AV85" s="98">
        <f t="array" ref="AV85">_xlfn.IFS(U85=0,AO85,U85&lt;0,AO85/-U85,U85&gt;0,AO85/U85)</f>
        <v>-1388.5752830333786</v>
      </c>
      <c r="AW85" s="234">
        <f t="shared" si="44"/>
        <v>-1.3775548442791454</v>
      </c>
      <c r="AX85" s="234">
        <f t="shared" si="45"/>
        <v>-13.455186851098629</v>
      </c>
      <c r="AY85" s="99"/>
      <c r="AZ85" s="94">
        <f t="shared" si="13"/>
        <v>-49988.710189201629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44</v>
      </c>
      <c r="F86" s="93">
        <v>8</v>
      </c>
      <c r="G86" s="93">
        <v>1</v>
      </c>
      <c r="H86" s="93">
        <v>34</v>
      </c>
      <c r="I86" s="93">
        <v>0</v>
      </c>
      <c r="J86" s="93">
        <v>1</v>
      </c>
      <c r="K86" s="93">
        <v>150</v>
      </c>
      <c r="L86" s="92">
        <f t="shared" si="43"/>
        <v>6600</v>
      </c>
      <c r="M86" s="89">
        <v>93</v>
      </c>
      <c r="N86" s="89">
        <v>4</v>
      </c>
      <c r="O86" s="89">
        <v>1392</v>
      </c>
      <c r="P86" s="89">
        <v>0</v>
      </c>
      <c r="Q86" s="233">
        <f t="shared" si="47"/>
        <v>0.5714285714285714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196.74</v>
      </c>
      <c r="AH86" s="93"/>
      <c r="AI86" s="93">
        <v>594</v>
      </c>
      <c r="AJ86" s="93"/>
      <c r="AK86" s="93"/>
      <c r="AL86" s="122">
        <f t="shared" si="56"/>
        <v>28.786476927906246</v>
      </c>
      <c r="AM86" s="93">
        <v>0</v>
      </c>
      <c r="AN86" s="94">
        <f t="shared" si="57"/>
        <v>0</v>
      </c>
      <c r="AO86" s="95">
        <f t="shared" si="58"/>
        <v>-819.52647692790629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196.74</v>
      </c>
      <c r="AU86" s="98">
        <f t="shared" si="59"/>
        <v>0</v>
      </c>
      <c r="AV86" s="98">
        <f t="array" ref="AV86">_xlfn.IFS(U86=0,AO86,U86&lt;0,AO86/-U86,U86&gt;0,AO86/U86)</f>
        <v>-819.52647692790629</v>
      </c>
      <c r="AW86" s="234">
        <f t="shared" si="44"/>
        <v>0</v>
      </c>
      <c r="AX86" s="234">
        <f t="shared" si="45"/>
        <v>-5.4635098461860423</v>
      </c>
      <c r="AY86" s="99"/>
      <c r="AZ86" s="94">
        <f t="shared" si="13"/>
        <v>-36059.164984827876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16</v>
      </c>
      <c r="F87" s="93">
        <v>9</v>
      </c>
      <c r="G87" s="93">
        <v>5</v>
      </c>
      <c r="H87" s="93">
        <v>1</v>
      </c>
      <c r="I87" s="93">
        <v>0</v>
      </c>
      <c r="J87" s="93">
        <v>1</v>
      </c>
      <c r="K87" s="93">
        <v>150</v>
      </c>
      <c r="L87" s="92">
        <f t="shared" si="43"/>
        <v>2400</v>
      </c>
      <c r="M87" s="89">
        <v>6</v>
      </c>
      <c r="N87" s="89">
        <v>14</v>
      </c>
      <c r="O87" s="89">
        <v>1056</v>
      </c>
      <c r="P87" s="89">
        <v>56</v>
      </c>
      <c r="Q87" s="233">
        <f t="shared" si="47"/>
        <v>2</v>
      </c>
      <c r="R87" s="92">
        <f t="shared" si="48"/>
        <v>1</v>
      </c>
      <c r="S87" s="93">
        <v>8</v>
      </c>
      <c r="T87" s="93">
        <v>-1</v>
      </c>
      <c r="U87" s="92">
        <f t="shared" si="49"/>
        <v>7</v>
      </c>
      <c r="V87" s="93">
        <v>5778</v>
      </c>
      <c r="W87" s="93">
        <v>-1189</v>
      </c>
      <c r="X87" s="92">
        <f t="shared" si="50"/>
        <v>4589</v>
      </c>
      <c r="Y87" s="93">
        <v>8448</v>
      </c>
      <c r="Z87" s="93">
        <v>-1482</v>
      </c>
      <c r="AA87" s="92">
        <f t="shared" si="51"/>
        <v>6966</v>
      </c>
      <c r="AB87" s="92">
        <f t="shared" si="52"/>
        <v>8279.0400000000009</v>
      </c>
      <c r="AC87" s="234">
        <f t="shared" si="53"/>
        <v>1.3290108390964631E-3</v>
      </c>
      <c r="AD87" s="92">
        <f t="shared" si="54"/>
        <v>1050</v>
      </c>
      <c r="AE87" s="93">
        <v>2667.72</v>
      </c>
      <c r="AF87" s="234">
        <f t="shared" si="55"/>
        <v>0.38296296296296295</v>
      </c>
      <c r="AG87" s="93">
        <v>1399.6399999999999</v>
      </c>
      <c r="AH87" s="93"/>
      <c r="AI87" s="93"/>
      <c r="AJ87" s="93"/>
      <c r="AK87" s="93"/>
      <c r="AL87" s="122">
        <f t="shared" si="56"/>
        <v>0.84666108611488966</v>
      </c>
      <c r="AM87" s="93">
        <v>0</v>
      </c>
      <c r="AN87" s="94">
        <f t="shared" si="57"/>
        <v>262.03190000000001</v>
      </c>
      <c r="AO87" s="95">
        <f t="shared" si="58"/>
        <v>1585.7614389138855</v>
      </c>
      <c r="AP87" s="96"/>
      <c r="AQ87" s="97">
        <f t="shared" si="7"/>
        <v>995.14285714285711</v>
      </c>
      <c r="AR87" s="98">
        <f t="shared" si="36"/>
        <v>150</v>
      </c>
      <c r="AS87" s="98">
        <f t="shared" si="9"/>
        <v>381.10285714285709</v>
      </c>
      <c r="AT87" s="98">
        <f t="shared" si="10"/>
        <v>174.95499999999998</v>
      </c>
      <c r="AU87" s="98">
        <f t="shared" si="59"/>
        <v>0</v>
      </c>
      <c r="AV87" s="98">
        <f t="array" ref="AV87">_xlfn.IFS(U87=0,AO87,U87&lt;0,AO87/-U87,U87&gt;0,AO87/U87)</f>
        <v>226.53734841626937</v>
      </c>
      <c r="AW87" s="234">
        <f t="shared" si="44"/>
        <v>0.22764304319751444</v>
      </c>
      <c r="AX87" s="234">
        <f t="shared" si="45"/>
        <v>1.5102489894417959</v>
      </c>
      <c r="AY87" s="99"/>
      <c r="AZ87" s="94">
        <f t="shared" si="13"/>
        <v>3624.5975746603099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4</v>
      </c>
      <c r="F88" s="93">
        <v>2</v>
      </c>
      <c r="G88" s="93" t="s">
        <v>100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3"/>
        <v>600</v>
      </c>
      <c r="M88" s="89">
        <v>8</v>
      </c>
      <c r="N88" s="89">
        <v>4</v>
      </c>
      <c r="O88" s="89">
        <v>1257</v>
      </c>
      <c r="P88" s="89">
        <v>50</v>
      </c>
      <c r="Q88" s="233">
        <f t="shared" si="47"/>
        <v>0.5714285714285714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851</v>
      </c>
      <c r="W88" s="93">
        <v>0</v>
      </c>
      <c r="X88" s="92">
        <f t="shared" si="50"/>
        <v>851</v>
      </c>
      <c r="Y88" s="93">
        <v>1257</v>
      </c>
      <c r="Z88" s="93">
        <v>0</v>
      </c>
      <c r="AA88" s="92">
        <f t="shared" si="51"/>
        <v>1257</v>
      </c>
      <c r="AB88" s="92">
        <f t="shared" si="52"/>
        <v>2514</v>
      </c>
      <c r="AC88" s="234">
        <f t="shared" si="53"/>
        <v>2.3981720137011974E-4</v>
      </c>
      <c r="AD88" s="92">
        <f t="shared" si="54"/>
        <v>150</v>
      </c>
      <c r="AE88" s="93">
        <v>484.62</v>
      </c>
      <c r="AF88" s="234">
        <f t="shared" si="55"/>
        <v>0.38553699284009546</v>
      </c>
      <c r="AG88" s="93">
        <v>422.90000000000003</v>
      </c>
      <c r="AH88" s="93"/>
      <c r="AI88" s="93"/>
      <c r="AJ88" s="93"/>
      <c r="AK88" s="93"/>
      <c r="AL88" s="122">
        <f t="shared" si="56"/>
        <v>0.84666108611488966</v>
      </c>
      <c r="AM88" s="93">
        <v>10</v>
      </c>
      <c r="AN88" s="94">
        <f t="shared" si="57"/>
        <v>48.592099999999995</v>
      </c>
      <c r="AO88" s="95">
        <f t="shared" si="58"/>
        <v>140.04123891388508</v>
      </c>
      <c r="AP88" s="96"/>
      <c r="AQ88" s="97">
        <f t="shared" si="7"/>
        <v>1257</v>
      </c>
      <c r="AR88" s="98">
        <f t="shared" si="36"/>
        <v>150</v>
      </c>
      <c r="AS88" s="98">
        <f t="shared" si="9"/>
        <v>484.62</v>
      </c>
      <c r="AT88" s="98">
        <f t="shared" si="10"/>
        <v>422.90000000000003</v>
      </c>
      <c r="AU88" s="98">
        <f t="shared" si="59"/>
        <v>0</v>
      </c>
      <c r="AV88" s="98">
        <f t="array" ref="AV88">_xlfn.IFS(U88=0,AO88,U88&lt;0,AO88/-U88,U88&gt;0,AO88/U88)</f>
        <v>140.04123891388508</v>
      </c>
      <c r="AW88" s="234">
        <f t="shared" si="44"/>
        <v>0.11140910017015519</v>
      </c>
      <c r="AX88" s="234">
        <f t="shared" si="45"/>
        <v>0.93360825942590053</v>
      </c>
      <c r="AY88" s="99"/>
      <c r="AZ88" s="94">
        <f t="shared" si="13"/>
        <v>560.16495565554033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22</v>
      </c>
      <c r="F89" s="93">
        <v>10</v>
      </c>
      <c r="G89" s="93">
        <v>7</v>
      </c>
      <c r="H89" s="93">
        <v>4</v>
      </c>
      <c r="I89" s="93">
        <v>0</v>
      </c>
      <c r="J89" s="93">
        <v>1</v>
      </c>
      <c r="K89" s="93">
        <v>169.89</v>
      </c>
      <c r="L89" s="92">
        <f t="shared" si="43"/>
        <v>3737.58</v>
      </c>
      <c r="M89" s="89">
        <v>23</v>
      </c>
      <c r="N89" s="89">
        <v>27</v>
      </c>
      <c r="O89" s="89">
        <v>1504</v>
      </c>
      <c r="P89" s="89">
        <v>29</v>
      </c>
      <c r="Q89" s="233">
        <f t="shared" si="47"/>
        <v>3.8571428571428572</v>
      </c>
      <c r="R89" s="92">
        <f t="shared" si="48"/>
        <v>1.4285714285714286</v>
      </c>
      <c r="S89" s="93">
        <v>10</v>
      </c>
      <c r="T89" s="93">
        <v>0</v>
      </c>
      <c r="U89" s="92">
        <f t="shared" si="49"/>
        <v>10</v>
      </c>
      <c r="V89" s="93">
        <v>9929.23</v>
      </c>
      <c r="W89" s="93">
        <v>0</v>
      </c>
      <c r="X89" s="92">
        <f t="shared" si="50"/>
        <v>9929.23</v>
      </c>
      <c r="Y89" s="93">
        <v>14945.08</v>
      </c>
      <c r="Z89" s="93">
        <v>0</v>
      </c>
      <c r="AA89" s="92">
        <f t="shared" si="51"/>
        <v>14945.08</v>
      </c>
      <c r="AB89" s="92">
        <f t="shared" si="52"/>
        <v>11776.32</v>
      </c>
      <c r="AC89" s="234">
        <f t="shared" si="53"/>
        <v>2.8513025138047327E-3</v>
      </c>
      <c r="AD89" s="92">
        <f t="shared" si="54"/>
        <v>1698.8999999999999</v>
      </c>
      <c r="AE89" s="93">
        <v>5657.3799999999992</v>
      </c>
      <c r="AF89" s="234">
        <f t="shared" si="55"/>
        <v>0.37854464479280131</v>
      </c>
      <c r="AG89" s="93">
        <v>1887.2799999999995</v>
      </c>
      <c r="AH89" s="93"/>
      <c r="AI89" s="93"/>
      <c r="AJ89" s="93"/>
      <c r="AK89" s="93"/>
      <c r="AL89" s="122">
        <f t="shared" si="56"/>
        <v>3.3866443444595586</v>
      </c>
      <c r="AM89" s="93">
        <v>0</v>
      </c>
      <c r="AN89" s="94">
        <f t="shared" si="57"/>
        <v>566.95903299999998</v>
      </c>
      <c r="AO89" s="95">
        <f t="shared" si="58"/>
        <v>5131.1743226555418</v>
      </c>
      <c r="AP89" s="96"/>
      <c r="AQ89" s="97">
        <f t="shared" si="7"/>
        <v>1494.508</v>
      </c>
      <c r="AR89" s="98">
        <f t="shared" si="36"/>
        <v>169.89</v>
      </c>
      <c r="AS89" s="98">
        <f t="shared" si="9"/>
        <v>565.73799999999994</v>
      </c>
      <c r="AT89" s="98">
        <f t="shared" si="10"/>
        <v>188.72799999999995</v>
      </c>
      <c r="AU89" s="98">
        <f t="shared" si="59"/>
        <v>0</v>
      </c>
      <c r="AV89" s="98">
        <f t="array" ref="AV89">_xlfn.IFS(U89=0,AO89,U89&lt;0,AO89/-U89,U89&gt;0,AO89/U89)</f>
        <v>513.11743226555416</v>
      </c>
      <c r="AW89" s="234">
        <f t="shared" si="44"/>
        <v>0.34333535335077103</v>
      </c>
      <c r="AX89" s="234">
        <f t="shared" si="45"/>
        <v>3.0202921435373136</v>
      </c>
      <c r="AY89" s="99"/>
      <c r="AZ89" s="94">
        <f t="shared" si="13"/>
        <v>11288.583509842192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>
        <v>1</v>
      </c>
      <c r="G90" s="93" t="s">
        <v>100</v>
      </c>
      <c r="H90" s="93">
        <v>49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1</v>
      </c>
      <c r="O90" s="89">
        <v>1077</v>
      </c>
      <c r="P90" s="89">
        <v>0</v>
      </c>
      <c r="Q90" s="233">
        <f t="shared" si="47"/>
        <v>0.14285714285714285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41.486393219629591</v>
      </c>
      <c r="AM90" s="93">
        <v>0</v>
      </c>
      <c r="AN90" s="94">
        <f t="shared" si="57"/>
        <v>0</v>
      </c>
      <c r="AO90" s="95">
        <f t="shared" si="58"/>
        <v>-41.486393219629591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-41.486393219629591</v>
      </c>
      <c r="AW90" s="234">
        <f t="shared" si="44"/>
        <v>0</v>
      </c>
      <c r="AX90" s="234">
        <f t="shared" si="45"/>
        <v>-0.3845605600633073</v>
      </c>
      <c r="AY90" s="99"/>
      <c r="AZ90" s="94">
        <f t="shared" si="13"/>
        <v>-2115.806054201109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34</v>
      </c>
      <c r="F91" s="93">
        <v>9</v>
      </c>
      <c r="G91" s="93">
        <v>6</v>
      </c>
      <c r="H91" s="93">
        <v>13</v>
      </c>
      <c r="I91" s="93">
        <v>0</v>
      </c>
      <c r="J91" s="93">
        <v>6</v>
      </c>
      <c r="K91" s="93">
        <v>93.84</v>
      </c>
      <c r="L91" s="92">
        <f t="shared" si="43"/>
        <v>3190.56</v>
      </c>
      <c r="M91" s="89">
        <v>67</v>
      </c>
      <c r="N91" s="89">
        <v>16</v>
      </c>
      <c r="O91" s="89">
        <v>1075</v>
      </c>
      <c r="P91" s="89">
        <v>13</v>
      </c>
      <c r="Q91" s="233">
        <f t="shared" si="47"/>
        <v>2.2857142857142856</v>
      </c>
      <c r="R91" s="92">
        <f t="shared" si="48"/>
        <v>0.14285714285714285</v>
      </c>
      <c r="S91" s="93">
        <v>1</v>
      </c>
      <c r="T91" s="93">
        <v>0</v>
      </c>
      <c r="U91" s="92">
        <f t="shared" si="49"/>
        <v>1</v>
      </c>
      <c r="V91" s="93">
        <v>705</v>
      </c>
      <c r="W91" s="93">
        <v>0</v>
      </c>
      <c r="X91" s="92">
        <f t="shared" si="50"/>
        <v>705</v>
      </c>
      <c r="Y91" s="93">
        <v>1075</v>
      </c>
      <c r="Z91" s="93">
        <v>0</v>
      </c>
      <c r="AA91" s="92">
        <f t="shared" si="51"/>
        <v>1075</v>
      </c>
      <c r="AB91" s="92">
        <f t="shared" si="52"/>
        <v>2236</v>
      </c>
      <c r="AC91" s="234">
        <f t="shared" si="53"/>
        <v>2.0509426529266404E-4</v>
      </c>
      <c r="AD91" s="92">
        <f t="shared" si="54"/>
        <v>93.84</v>
      </c>
      <c r="AE91" s="93">
        <v>407.13</v>
      </c>
      <c r="AF91" s="234">
        <f t="shared" si="55"/>
        <v>0.37872558139534884</v>
      </c>
      <c r="AG91" s="93">
        <v>877.15000000000009</v>
      </c>
      <c r="AH91" s="93"/>
      <c r="AI91" s="93"/>
      <c r="AJ91" s="93"/>
      <c r="AK91" s="93"/>
      <c r="AL91" s="122">
        <f t="shared" si="56"/>
        <v>11.006594119493565</v>
      </c>
      <c r="AM91" s="93">
        <v>0</v>
      </c>
      <c r="AN91" s="94">
        <f t="shared" si="57"/>
        <v>40.255499999999998</v>
      </c>
      <c r="AO91" s="95">
        <f t="shared" si="58"/>
        <v>-354.38209411949367</v>
      </c>
      <c r="AP91" s="96"/>
      <c r="AQ91" s="97">
        <f t="shared" si="7"/>
        <v>1075</v>
      </c>
      <c r="AR91" s="98">
        <f t="shared" si="36"/>
        <v>93.84</v>
      </c>
      <c r="AS91" s="98">
        <f t="shared" si="9"/>
        <v>407.13</v>
      </c>
      <c r="AT91" s="98">
        <f t="shared" si="10"/>
        <v>877.15000000000009</v>
      </c>
      <c r="AU91" s="98">
        <f t="shared" si="59"/>
        <v>0</v>
      </c>
      <c r="AV91" s="98">
        <f t="array" ref="AV91">_xlfn.IFS(U91=0,AO91,U91&lt;0,AO91/-U91,U91&gt;0,AO91/U91)</f>
        <v>-354.38209411949367</v>
      </c>
      <c r="AW91" s="234">
        <f t="shared" si="44"/>
        <v>-0.329657761971622</v>
      </c>
      <c r="AX91" s="234">
        <f t="shared" si="45"/>
        <v>-3.7764502783407252</v>
      </c>
      <c r="AY91" s="99"/>
      <c r="AZ91" s="94">
        <f t="shared" si="13"/>
        <v>-12048.991200062785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2</v>
      </c>
      <c r="G92" s="93">
        <v>1</v>
      </c>
      <c r="H92" s="93">
        <v>46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720</v>
      </c>
      <c r="N92" s="89">
        <v>4</v>
      </c>
      <c r="O92" s="89">
        <v>1350</v>
      </c>
      <c r="P92" s="89">
        <v>0</v>
      </c>
      <c r="Q92" s="233">
        <f t="shared" si="47"/>
        <v>0.5714285714285714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326.88</v>
      </c>
      <c r="AH92" s="93"/>
      <c r="AI92" s="93"/>
      <c r="AJ92" s="93"/>
      <c r="AK92" s="93"/>
      <c r="AL92" s="122">
        <f t="shared" si="56"/>
        <v>38.946409961284928</v>
      </c>
      <c r="AM92" s="93">
        <v>0</v>
      </c>
      <c r="AN92" s="94">
        <f t="shared" si="57"/>
        <v>0</v>
      </c>
      <c r="AO92" s="95">
        <f t="shared" si="58"/>
        <v>-365.82640996128492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326.88</v>
      </c>
      <c r="AU92" s="98">
        <f t="shared" si="59"/>
        <v>0</v>
      </c>
      <c r="AV92" s="98">
        <f t="array" ref="AV92">_xlfn.IFS(U92=0,AO92,U92&lt;0,AO92/-U92,U92&gt;0,AO92/U92)</f>
        <v>-365.82640996128492</v>
      </c>
      <c r="AW92" s="234">
        <f t="shared" si="44"/>
        <v>0</v>
      </c>
      <c r="AX92" s="234">
        <f t="shared" si="45"/>
        <v>-2.6229756217199749</v>
      </c>
      <c r="AY92" s="99"/>
      <c r="AZ92" s="94">
        <f t="shared" si="13"/>
        <v>-18291.320498064248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43</v>
      </c>
      <c r="F93" s="93">
        <v>3</v>
      </c>
      <c r="G93" s="93">
        <v>3</v>
      </c>
      <c r="H93" s="93">
        <v>36</v>
      </c>
      <c r="I93" s="93">
        <v>0</v>
      </c>
      <c r="J93" s="93">
        <v>1</v>
      </c>
      <c r="K93" s="93">
        <v>139.47</v>
      </c>
      <c r="L93" s="92">
        <f t="shared" si="43"/>
        <v>5997.21</v>
      </c>
      <c r="M93" s="89">
        <v>105</v>
      </c>
      <c r="N93" s="89">
        <v>6</v>
      </c>
      <c r="O93" s="89">
        <v>1296</v>
      </c>
      <c r="P93" s="89">
        <v>0</v>
      </c>
      <c r="Q93" s="233">
        <f t="shared" si="47"/>
        <v>0.8571428571428571</v>
      </c>
      <c r="R93" s="92">
        <f t="shared" si="48"/>
        <v>-0.14285714285714285</v>
      </c>
      <c r="S93" s="93">
        <v>0</v>
      </c>
      <c r="T93" s="93">
        <v>-1</v>
      </c>
      <c r="U93" s="92">
        <f t="shared" si="49"/>
        <v>-1</v>
      </c>
      <c r="V93" s="93">
        <v>0</v>
      </c>
      <c r="W93" s="93">
        <v>-847</v>
      </c>
      <c r="X93" s="92">
        <f t="shared" si="50"/>
        <v>-847</v>
      </c>
      <c r="Y93" s="93">
        <v>0</v>
      </c>
      <c r="Z93" s="93">
        <v>-1296</v>
      </c>
      <c r="AA93" s="92">
        <f t="shared" si="51"/>
        <v>-1296</v>
      </c>
      <c r="AB93" s="92">
        <f t="shared" si="52"/>
        <v>0</v>
      </c>
      <c r="AC93" s="234">
        <f t="shared" si="53"/>
        <v>-2.472578305295745E-4</v>
      </c>
      <c r="AD93" s="92">
        <f t="shared" si="54"/>
        <v>-139.47</v>
      </c>
      <c r="AE93" s="93">
        <v>-490.72</v>
      </c>
      <c r="AF93" s="234">
        <f t="shared" si="55"/>
        <v>0.37864197530864202</v>
      </c>
      <c r="AG93" s="93">
        <v>391.52</v>
      </c>
      <c r="AH93" s="93"/>
      <c r="AI93" s="93"/>
      <c r="AJ93" s="93"/>
      <c r="AK93" s="93"/>
      <c r="AL93" s="122">
        <f t="shared" si="56"/>
        <v>30.479799100136027</v>
      </c>
      <c r="AM93" s="93">
        <v>0</v>
      </c>
      <c r="AN93" s="94">
        <f t="shared" si="57"/>
        <v>-48.363700000000001</v>
      </c>
      <c r="AO93" s="95">
        <f t="shared" si="58"/>
        <v>-1039.4460991001358</v>
      </c>
      <c r="AP93" s="96"/>
      <c r="AQ93" s="97">
        <f t="shared" si="7"/>
        <v>1296</v>
      </c>
      <c r="AR93" s="98">
        <f t="shared" si="36"/>
        <v>139.47</v>
      </c>
      <c r="AS93" s="98">
        <f t="shared" si="9"/>
        <v>490.72</v>
      </c>
      <c r="AT93" s="98">
        <f t="shared" si="10"/>
        <v>391.52</v>
      </c>
      <c r="AU93" s="98">
        <f t="shared" si="59"/>
        <v>0</v>
      </c>
      <c r="AV93" s="98">
        <f t="array" ref="AV93">_xlfn.IFS(U93=0,AO93,U93&lt;0,AO93/-U93,U93&gt;0,AO93/U93)</f>
        <v>-1039.4460991001358</v>
      </c>
      <c r="AW93" s="234">
        <f t="shared" si="44"/>
        <v>-0.80204174313282084</v>
      </c>
      <c r="AX93" s="234">
        <f t="shared" si="45"/>
        <v>-7.4528292758309016</v>
      </c>
      <c r="AY93" s="99"/>
      <c r="AZ93" s="94">
        <f t="shared" si="13"/>
        <v>-44696.182261305839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3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>
        <v>2</v>
      </c>
      <c r="G97" s="93" t="s">
        <v>100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43"/>
        <v>800.16</v>
      </c>
      <c r="M97" s="89">
        <v>19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149.29</v>
      </c>
      <c r="AH97" s="93"/>
      <c r="AI97" s="93"/>
      <c r="AJ97" s="93"/>
      <c r="AK97" s="93"/>
      <c r="AL97" s="122">
        <f t="shared" si="56"/>
        <v>0</v>
      </c>
      <c r="AM97" s="93">
        <v>0</v>
      </c>
      <c r="AN97" s="94">
        <f t="shared" si="57"/>
        <v>0</v>
      </c>
      <c r="AO97" s="95">
        <f t="shared" si="58"/>
        <v>-149.29</v>
      </c>
      <c r="AP97" s="96"/>
      <c r="AQ97" s="97">
        <f t="shared" si="7"/>
        <v>0</v>
      </c>
      <c r="AR97" s="98">
        <f t="shared" si="36"/>
        <v>400.08</v>
      </c>
      <c r="AS97" s="98">
        <f t="shared" si="9"/>
        <v>0</v>
      </c>
      <c r="AT97" s="98">
        <f t="shared" si="10"/>
        <v>149.29</v>
      </c>
      <c r="AU97" s="98">
        <f t="shared" si="59"/>
        <v>0</v>
      </c>
      <c r="AV97" s="98">
        <f t="array" ref="AV97">_xlfn.IFS(U97=0,AO97,U97&lt;0,AO97/-U97,U97&gt;0,AO97/U97)</f>
        <v>-149.29</v>
      </c>
      <c r="AW97" s="234">
        <f t="shared" si="44"/>
        <v>0</v>
      </c>
      <c r="AX97" s="234">
        <f t="shared" si="45"/>
        <v>-0.3731503699260148</v>
      </c>
      <c r="AY97" s="99"/>
      <c r="AZ97" s="94">
        <f t="shared" si="13"/>
        <v>-298.58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12</v>
      </c>
      <c r="F98" s="93">
        <v>1</v>
      </c>
      <c r="G98" s="93" t="s">
        <v>100</v>
      </c>
      <c r="H98" s="93">
        <v>11</v>
      </c>
      <c r="I98" s="93">
        <v>0</v>
      </c>
      <c r="J98" s="93">
        <v>0</v>
      </c>
      <c r="K98" s="93">
        <v>300.08</v>
      </c>
      <c r="L98" s="92">
        <f t="shared" si="43"/>
        <v>3600.96</v>
      </c>
      <c r="M98" s="89">
        <v>999</v>
      </c>
      <c r="N98" s="89">
        <v>2</v>
      </c>
      <c r="O98" s="89">
        <v>878</v>
      </c>
      <c r="P98" s="89">
        <v>0</v>
      </c>
      <c r="Q98" s="233">
        <f t="shared" si="47"/>
        <v>0.2857142857142857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75.86</v>
      </c>
      <c r="AH98" s="93"/>
      <c r="AI98" s="93"/>
      <c r="AJ98" s="93"/>
      <c r="AK98" s="93"/>
      <c r="AL98" s="122">
        <f t="shared" si="56"/>
        <v>9.3132719472637859</v>
      </c>
      <c r="AM98" s="93">
        <v>0</v>
      </c>
      <c r="AN98" s="94">
        <f t="shared" si="57"/>
        <v>0</v>
      </c>
      <c r="AO98" s="95">
        <f t="shared" si="58"/>
        <v>-85.173271947263785</v>
      </c>
      <c r="AP98" s="96"/>
      <c r="AQ98" s="97">
        <f t="shared" ref="AQ98:AQ103" si="60">IF(U98=0,0,AA98/U98)</f>
        <v>0</v>
      </c>
      <c r="AR98" s="98">
        <f t="shared" si="36"/>
        <v>300.08</v>
      </c>
      <c r="AS98" s="98">
        <f t="shared" ref="AS98:AS103" si="61">IF(U98=0,0,AE98/U98)</f>
        <v>0</v>
      </c>
      <c r="AT98" s="98">
        <f t="shared" ref="AT98:AT103" si="62">IF(S98=0,AG98/1,AG98/S98)</f>
        <v>75.86</v>
      </c>
      <c r="AU98" s="98">
        <f t="shared" si="59"/>
        <v>0</v>
      </c>
      <c r="AV98" s="98">
        <f t="array" ref="AV98">_xlfn.IFS(U98=0,AO98,U98&lt;0,AO98/-U98,U98&gt;0,AO98/U98)</f>
        <v>-85.173271947263785</v>
      </c>
      <c r="AW98" s="234">
        <f t="shared" si="44"/>
        <v>0</v>
      </c>
      <c r="AX98" s="234">
        <f t="shared" si="45"/>
        <v>-0.2838352170996527</v>
      </c>
      <c r="AY98" s="99"/>
      <c r="AZ98" s="94">
        <f t="shared" ref="AZ98:AZ103" si="63">AV98*E98</f>
        <v>-1022.0792633671654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41</v>
      </c>
      <c r="F100" s="93">
        <v>4</v>
      </c>
      <c r="G100" s="93">
        <v>1</v>
      </c>
      <c r="H100" s="93">
        <v>36</v>
      </c>
      <c r="I100" s="93">
        <v>0</v>
      </c>
      <c r="J100" s="93">
        <v>0</v>
      </c>
      <c r="K100" s="93">
        <v>142.97999999999999</v>
      </c>
      <c r="L100" s="92">
        <f t="shared" si="64"/>
        <v>5862.1799999999994</v>
      </c>
      <c r="M100" s="89">
        <v>89</v>
      </c>
      <c r="N100" s="89">
        <v>10</v>
      </c>
      <c r="O100" s="89">
        <v>1300</v>
      </c>
      <c r="P100" s="89">
        <v>67</v>
      </c>
      <c r="Q100" s="233">
        <f t="shared" si="47"/>
        <v>1.4285714285714286</v>
      </c>
      <c r="R100" s="92">
        <f t="shared" si="48"/>
        <v>0.7142857142857143</v>
      </c>
      <c r="S100" s="93">
        <v>5</v>
      </c>
      <c r="T100" s="93">
        <v>0</v>
      </c>
      <c r="U100" s="92">
        <f t="shared" si="49"/>
        <v>5</v>
      </c>
      <c r="V100" s="93">
        <v>4395</v>
      </c>
      <c r="W100" s="93">
        <v>0</v>
      </c>
      <c r="X100" s="92">
        <f t="shared" si="50"/>
        <v>4395</v>
      </c>
      <c r="Y100" s="93">
        <v>6700</v>
      </c>
      <c r="Z100" s="93">
        <v>0</v>
      </c>
      <c r="AA100" s="92">
        <f t="shared" si="51"/>
        <v>6700</v>
      </c>
      <c r="AB100" s="92">
        <f t="shared" si="52"/>
        <v>8710</v>
      </c>
      <c r="AC100" s="234">
        <f t="shared" si="53"/>
        <v>1.2782619325217202E-3</v>
      </c>
      <c r="AD100" s="92">
        <f t="shared" si="54"/>
        <v>714.9</v>
      </c>
      <c r="AE100" s="93">
        <v>2537.5499999999993</v>
      </c>
      <c r="AF100" s="234">
        <f t="shared" si="55"/>
        <v>0.37873880597014914</v>
      </c>
      <c r="AG100" s="93">
        <v>490.1</v>
      </c>
      <c r="AH100" s="93"/>
      <c r="AI100" s="93"/>
      <c r="AJ100" s="93"/>
      <c r="AK100" s="93"/>
      <c r="AL100" s="122">
        <f t="shared" si="56"/>
        <v>30.479799100136027</v>
      </c>
      <c r="AM100" s="93">
        <v>0</v>
      </c>
      <c r="AN100" s="94">
        <f t="shared" si="57"/>
        <v>250.9545</v>
      </c>
      <c r="AO100" s="95">
        <f t="shared" si="58"/>
        <v>2676.0157008998654</v>
      </c>
      <c r="AP100" s="96"/>
      <c r="AQ100" s="97">
        <f t="shared" si="60"/>
        <v>1340</v>
      </c>
      <c r="AR100" s="98">
        <f t="shared" si="65"/>
        <v>142.97999999999999</v>
      </c>
      <c r="AS100" s="98">
        <f t="shared" si="61"/>
        <v>507.50999999999988</v>
      </c>
      <c r="AT100" s="98">
        <f t="shared" si="62"/>
        <v>98.02000000000001</v>
      </c>
      <c r="AU100" s="98">
        <f t="shared" si="59"/>
        <v>0</v>
      </c>
      <c r="AV100" s="98">
        <f t="array" ref="AV100">_xlfn.IFS(U100=0,AO100,U100&lt;0,AO100/-U100,U100&gt;0,AO100/U100)</f>
        <v>535.20314017997305</v>
      </c>
      <c r="AW100" s="234">
        <f t="shared" si="66"/>
        <v>0.3994053284925172</v>
      </c>
      <c r="AX100" s="234">
        <f t="shared" si="67"/>
        <v>3.7432028268287389</v>
      </c>
      <c r="AY100" s="99"/>
      <c r="AZ100" s="94">
        <f t="shared" si="63"/>
        <v>21943.328747378895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156</v>
      </c>
      <c r="F102" s="93">
        <v>37</v>
      </c>
      <c r="G102" s="93">
        <v>12</v>
      </c>
      <c r="H102" s="93">
        <v>107</v>
      </c>
      <c r="I102" s="93">
        <v>0</v>
      </c>
      <c r="J102" s="93">
        <v>0</v>
      </c>
      <c r="K102" s="92">
        <v>123.09</v>
      </c>
      <c r="L102" s="92">
        <f t="shared" si="64"/>
        <v>19202.04</v>
      </c>
      <c r="M102" s="89">
        <v>16</v>
      </c>
      <c r="N102" s="89">
        <v>65</v>
      </c>
      <c r="O102" s="89">
        <v>1300</v>
      </c>
      <c r="P102" s="89">
        <v>28</v>
      </c>
      <c r="Q102" s="233">
        <f t="shared" si="47"/>
        <v>9.2857142857142865</v>
      </c>
      <c r="R102" s="92">
        <f t="shared" si="48"/>
        <v>1.7142857142857142</v>
      </c>
      <c r="S102" s="93">
        <v>12</v>
      </c>
      <c r="T102" s="93">
        <v>0</v>
      </c>
      <c r="U102" s="92">
        <f t="shared" si="49"/>
        <v>12</v>
      </c>
      <c r="V102" s="93">
        <v>10423.16</v>
      </c>
      <c r="W102" s="93">
        <v>0</v>
      </c>
      <c r="X102" s="92">
        <f t="shared" si="50"/>
        <v>10423.16</v>
      </c>
      <c r="Y102" s="93">
        <v>15600.11</v>
      </c>
      <c r="Z102" s="93">
        <v>0</v>
      </c>
      <c r="AA102" s="92">
        <f t="shared" si="51"/>
        <v>15600.11</v>
      </c>
      <c r="AB102" s="92">
        <f t="shared" si="52"/>
        <v>23660</v>
      </c>
      <c r="AC102" s="234">
        <f t="shared" si="53"/>
        <v>2.9762726501718524E-3</v>
      </c>
      <c r="AD102" s="92">
        <f t="shared" si="54"/>
        <v>1477.08</v>
      </c>
      <c r="AE102" s="93">
        <v>5932.3600000000006</v>
      </c>
      <c r="AF102" s="234">
        <f t="shared" si="55"/>
        <v>0.38027680574047235</v>
      </c>
      <c r="AG102" s="93">
        <v>2946.1999999999985</v>
      </c>
      <c r="AH102" s="93">
        <v>3623</v>
      </c>
      <c r="AI102" s="93">
        <v>5000</v>
      </c>
      <c r="AJ102" s="93"/>
      <c r="AK102" s="93"/>
      <c r="AL102" s="122">
        <f t="shared" si="56"/>
        <v>90.592736214293197</v>
      </c>
      <c r="AM102" s="93">
        <v>0</v>
      </c>
      <c r="AN102" s="94">
        <f t="shared" si="57"/>
        <v>595.16243599999996</v>
      </c>
      <c r="AO102" s="95">
        <f t="shared" si="58"/>
        <v>-4064.2851722142923</v>
      </c>
      <c r="AP102" s="96"/>
      <c r="AQ102" s="97">
        <f t="shared" si="60"/>
        <v>1300.0091666666667</v>
      </c>
      <c r="AR102" s="98">
        <f t="shared" si="65"/>
        <v>123.09</v>
      </c>
      <c r="AS102" s="98">
        <f t="shared" si="61"/>
        <v>494.3633333333334</v>
      </c>
      <c r="AT102" s="98">
        <f t="shared" si="62"/>
        <v>245.51666666666654</v>
      </c>
      <c r="AU102" s="98">
        <f t="shared" si="59"/>
        <v>718.58333333333337</v>
      </c>
      <c r="AV102" s="98">
        <f t="array" ref="AV102">_xlfn.IFS(U102=0,AO102,U102&lt;0,AO102/-U102,U102&gt;0,AO102/U102)</f>
        <v>-338.69043101785769</v>
      </c>
      <c r="AW102" s="234">
        <f t="shared" si="66"/>
        <v>-0.26052926371764634</v>
      </c>
      <c r="AX102" s="234">
        <f t="shared" si="67"/>
        <v>-2.7515673979840578</v>
      </c>
      <c r="AY102" s="99"/>
      <c r="AZ102" s="94">
        <f t="shared" si="63"/>
        <v>-52835.707238785799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748.10754484993345</v>
      </c>
      <c r="AR104" s="111">
        <f t="shared" si="68"/>
        <v>141.22217391304349</v>
      </c>
      <c r="AS104" s="111">
        <f t="shared" si="68"/>
        <v>278.18205586054961</v>
      </c>
      <c r="AT104" s="111">
        <f t="shared" si="68"/>
        <v>172.4030997625737</v>
      </c>
      <c r="AU104" s="111">
        <f t="shared" si="68"/>
        <v>185.58003100453357</v>
      </c>
      <c r="AV104" s="111">
        <f t="shared" si="68"/>
        <v>-64.764261226042478</v>
      </c>
      <c r="AW104" s="112">
        <f t="shared" si="68"/>
        <v>-1.8790810363265683E-2</v>
      </c>
      <c r="AX104" s="112">
        <f t="shared" si="68"/>
        <v>-0.47016892491142748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91055</v>
      </c>
      <c r="F105" s="116">
        <f t="shared" si="69"/>
        <v>3894</v>
      </c>
      <c r="G105" s="116">
        <f t="shared" si="69"/>
        <v>1299</v>
      </c>
      <c r="H105" s="116">
        <f t="shared" si="69"/>
        <v>9557</v>
      </c>
      <c r="I105" s="116">
        <f t="shared" si="69"/>
        <v>1461</v>
      </c>
      <c r="J105" s="116">
        <f t="shared" si="69"/>
        <v>74844</v>
      </c>
      <c r="K105" s="116"/>
      <c r="L105" s="116">
        <f>SUM(L3:L103)</f>
        <v>11268240.420000004</v>
      </c>
      <c r="M105" s="116"/>
      <c r="N105" s="116">
        <f>SUM(N3:N103)</f>
        <v>6707</v>
      </c>
      <c r="O105" s="116"/>
      <c r="P105" s="116"/>
      <c r="Q105" s="212"/>
      <c r="R105" s="116"/>
      <c r="S105" s="116">
        <f t="shared" ref="S105:AE105" si="70">SUM(S3:S103)</f>
        <v>3565</v>
      </c>
      <c r="T105" s="116">
        <f t="shared" si="70"/>
        <v>-97</v>
      </c>
      <c r="U105" s="116">
        <f t="shared" si="70"/>
        <v>3468</v>
      </c>
      <c r="V105" s="116">
        <f t="shared" si="70"/>
        <v>3582763.5599999996</v>
      </c>
      <c r="W105" s="116">
        <f t="shared" si="70"/>
        <v>-97407.33</v>
      </c>
      <c r="X105" s="116">
        <f t="shared" si="70"/>
        <v>3485356.2299999995</v>
      </c>
      <c r="Y105" s="116">
        <f t="shared" si="70"/>
        <v>5387638.1000000006</v>
      </c>
      <c r="Z105" s="116">
        <f t="shared" si="70"/>
        <v>-146145.85999999999</v>
      </c>
      <c r="AA105" s="116">
        <f t="shared" si="70"/>
        <v>5241492.24</v>
      </c>
      <c r="AB105" s="116">
        <f t="shared" si="70"/>
        <v>5555043.6399999969</v>
      </c>
      <c r="AC105" s="239">
        <f t="shared" si="70"/>
        <v>0.99999999999999967</v>
      </c>
      <c r="AD105" s="117">
        <f t="shared" si="70"/>
        <v>429364.71000000008</v>
      </c>
      <c r="AE105" s="116">
        <f t="shared" si="70"/>
        <v>1975944.7599999974</v>
      </c>
      <c r="AF105" s="239">
        <f>AE105/AA105</f>
        <v>0.3769813384289199</v>
      </c>
      <c r="AG105" s="116">
        <f t="shared" ref="AG105:AO105" si="71">SUM(AG3:AG103)</f>
        <v>472771.32000000047</v>
      </c>
      <c r="AH105" s="117">
        <f t="shared" si="71"/>
        <v>88346</v>
      </c>
      <c r="AI105" s="117">
        <f t="shared" si="71"/>
        <v>464760</v>
      </c>
      <c r="AJ105" s="117">
        <f t="shared" si="71"/>
        <v>0</v>
      </c>
      <c r="AK105" s="117">
        <f t="shared" si="71"/>
        <v>0</v>
      </c>
      <c r="AL105" s="117">
        <f t="shared" si="71"/>
        <v>8091.5400000000027</v>
      </c>
      <c r="AM105" s="116">
        <f t="shared" si="71"/>
        <v>-1073</v>
      </c>
      <c r="AN105" s="117">
        <f t="shared" si="71"/>
        <v>199013.84073300002</v>
      </c>
      <c r="AO105" s="117">
        <f t="shared" si="71"/>
        <v>1604273.0692670017</v>
      </c>
      <c r="AP105" s="118"/>
      <c r="AQ105" s="116"/>
      <c r="AR105" s="116"/>
      <c r="AS105" s="116"/>
      <c r="AT105" s="116"/>
      <c r="AU105" s="240">
        <f>(AH105+AI105+AJ105)/S105</f>
        <v>155.14894810659186</v>
      </c>
      <c r="AV105" s="116"/>
      <c r="AW105" s="116"/>
      <c r="AX105" s="116"/>
      <c r="AY105" s="119"/>
      <c r="AZ105" s="116">
        <f>SUM(AZ3:AZ103)</f>
        <v>37672252.086103357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45"/>
      <c r="AI106" s="545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46"/>
      <c r="AI114" s="547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91055</v>
      </c>
      <c r="F126" s="267">
        <f t="shared" si="80"/>
        <v>3894</v>
      </c>
      <c r="G126" s="267">
        <f t="shared" si="80"/>
        <v>1299</v>
      </c>
      <c r="H126" s="267">
        <f t="shared" si="80"/>
        <v>9557</v>
      </c>
      <c r="I126" s="267">
        <f t="shared" si="80"/>
        <v>1461</v>
      </c>
      <c r="J126" s="267">
        <f t="shared" si="80"/>
        <v>74844</v>
      </c>
      <c r="K126" s="267">
        <f t="shared" si="80"/>
        <v>0</v>
      </c>
      <c r="L126" s="267">
        <f t="shared" si="80"/>
        <v>11268240.420000004</v>
      </c>
      <c r="M126" s="267">
        <f t="shared" si="80"/>
        <v>0</v>
      </c>
      <c r="N126" s="267">
        <f t="shared" si="80"/>
        <v>6707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3565</v>
      </c>
      <c r="T126" s="267">
        <f t="shared" si="80"/>
        <v>-97</v>
      </c>
      <c r="U126" s="267">
        <f t="shared" si="80"/>
        <v>3468</v>
      </c>
      <c r="V126" s="267">
        <f t="shared" si="80"/>
        <v>3582763.5599999996</v>
      </c>
      <c r="W126" s="267">
        <f t="shared" si="80"/>
        <v>-97407.33</v>
      </c>
      <c r="X126" s="267">
        <f t="shared" si="80"/>
        <v>3485356.2299999995</v>
      </c>
      <c r="Y126" s="267">
        <f t="shared" si="80"/>
        <v>5387638.1000000006</v>
      </c>
      <c r="Z126" s="267">
        <f t="shared" si="80"/>
        <v>-146145.85999999999</v>
      </c>
      <c r="AA126" s="267">
        <f t="shared" si="80"/>
        <v>5241492.24</v>
      </c>
      <c r="AB126" s="267">
        <f t="shared" si="80"/>
        <v>5555043.6399999969</v>
      </c>
      <c r="AC126" s="267">
        <f t="shared" si="80"/>
        <v>0.99999999999999967</v>
      </c>
      <c r="AD126" s="267">
        <f t="shared" si="80"/>
        <v>429364.71000000008</v>
      </c>
      <c r="AE126" s="267">
        <f t="shared" si="80"/>
        <v>1975944.7599999974</v>
      </c>
      <c r="AF126" s="268">
        <f>AE126/AA126</f>
        <v>0.3769813384289199</v>
      </c>
      <c r="AG126" s="267">
        <f>AG105+AG113+AG124+AG125</f>
        <v>472771.32000000047</v>
      </c>
      <c r="AH126" s="267">
        <f>AH105+AH113+AH124</f>
        <v>88346</v>
      </c>
      <c r="AI126" s="267">
        <f>AI105+AI113+AI124</f>
        <v>464760</v>
      </c>
      <c r="AJ126" s="267">
        <f>AJ105+AJ113+AJ124</f>
        <v>0</v>
      </c>
      <c r="AK126" s="267">
        <f>AK105+AK113+AK124</f>
        <v>0</v>
      </c>
      <c r="AL126" s="156">
        <v>8091.54</v>
      </c>
      <c r="AM126" s="267">
        <f>AM105+AM113+AM124</f>
        <v>-1073</v>
      </c>
      <c r="AN126" s="267">
        <f>AN105+AN113+AN124</f>
        <v>199013.84073300002</v>
      </c>
      <c r="AO126" s="267">
        <f>AO105+AO113+AO124</f>
        <v>1604273.0692670017</v>
      </c>
      <c r="AP126" s="155"/>
      <c r="AQ126" s="155"/>
      <c r="AR126" s="155"/>
      <c r="AS126" s="155"/>
      <c r="AT126" s="155"/>
      <c r="AU126" s="155">
        <f>(AH126+AI126)/S126</f>
        <v>155.14894810659186</v>
      </c>
      <c r="AV126" s="155"/>
      <c r="AW126" s="155"/>
      <c r="AX126" s="155"/>
      <c r="AY126" s="157"/>
      <c r="AZ126" s="155">
        <f>AZ105+AZ124</f>
        <v>37672252.086103357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76" priority="15" operator="greaterThan">
      <formula>0.23</formula>
    </cfRule>
  </conditionalFormatting>
  <conditionalFormatting sqref="M123:O123 M106:M112 M3:M104">
    <cfRule type="cellIs" dxfId="75" priority="26" operator="greaterThan">
      <formula>120</formula>
    </cfRule>
  </conditionalFormatting>
  <conditionalFormatting sqref="AC125 AC127">
    <cfRule type="cellIs" dxfId="74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{8822C869-8302-4A6C-9A81-B07634B722A3}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{F39A22CD-6278-478A-97FD-E48506553931}</x14:id>
        </ext>
      </extLst>
    </cfRule>
  </conditionalFormatting>
  <conditionalFormatting sqref="AC1">
    <cfRule type="cellIs" dxfId="73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{D5EC1C9A-AAD6-42D3-A0E6-CCA66F4EF8B4}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{7ECF4545-21DA-40F7-B7D3-07D9215606D9}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{5FD0CBF3-2829-405F-B958-99742A53C2C4}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{B28FB983-8DE8-4016-9B9D-F59AE3ABE6EA}</x14:id>
        </ext>
      </extLst>
    </cfRule>
  </conditionalFormatting>
  <conditionalFormatting sqref="Q123">
    <cfRule type="cellIs" dxfId="72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{58A821FC-B6DA-4EAC-B793-496367396954}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{C9070637-ACF3-42D9-9D51-40A1790DAE8F}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{F5C8EB13-5692-409D-BBA4-559D7EC31F61}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{C94D14D3-7249-4E3C-B606-3DAF5B46DF8D}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{46D2F3E9-21E7-4CAD-A410-0FDDAD4D0848}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{4FE6E32F-5D25-4557-94DE-E79C472A4055}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{56EE589A-DAF0-486F-B949-0BF485025570}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{BCCD76BD-6EE0-47D8-B938-165798F1E960}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{CDC11DD8-44E4-4F05-B94D-B5E89CF77B51}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{9B411975-B075-4EAD-8098-3C909F7A16BE}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{62C10150-610E-46D0-8B89-7B69B6DE99F8}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{1DC4D3C7-76D2-4758-9F25-B36B52A9023D}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{3D204EBB-C599-4945-AEA5-676D855DEF14}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{7EB2D42D-1F2E-45D8-893D-0318BCBF62C8}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{7083AFC5-805E-4369-9E7F-526D9F12FA00}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{0748DD9E-7612-49AB-B9CB-9E3288BE562E}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{64A2D4CA-80F7-4205-AC42-229332F399F0}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{E3BC724E-B2F8-43BF-B4AC-FC4A27A1FAC6}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{26C0D9B9-F0FA-48BD-BF43-A3C9713445F2}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{0E7C7B7D-DA50-4783-998D-32310C528F30}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{DC468479-E706-4127-911F-F60E8F46110D}</x14:id>
        </ext>
      </extLst>
    </cfRule>
  </conditionalFormatting>
  <conditionalFormatting sqref="M115:M122">
    <cfRule type="cellIs" dxfId="71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{05C01B36-ADA2-4273-A364-8D51AFC5FE5D}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{95AAF05D-9A1F-4E99-8639-7DB80C37B0EF}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{56AFBFDF-3AAD-40C7-90E6-A7204A97FAC6}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{9779A022-0548-40AF-A48D-C0D60441B8B3}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{27098038-EF49-4321-9F9A-017CD4426592}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{7933107B-C09B-456E-A8A6-01609CD5F2E7}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22C869-8302-4A6C-9A81-B07634B72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F39A22CD-6278-478A-97FD-E485065539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D5EC1C9A-AAD6-42D3-A0E6-CCA66F4EF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ECF4545-21DA-40F7-B7D3-07D921560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5FD0CBF3-2829-405F-B958-99742A53C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B28FB983-8DE8-4016-9B9D-F59AE3ABE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8A821FC-B6DA-4EAC-B793-4963673969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9070637-ACF3-42D9-9D51-40A1790DAE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F5C8EB13-5692-409D-BBA4-559D7EC31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C94D14D3-7249-4E3C-B606-3DAF5B46DF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46D2F3E9-21E7-4CAD-A410-0FDDAD4D08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FE6E32F-5D25-4557-94DE-E79C472A4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6EE589A-DAF0-486F-B949-0BF485025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BCCD76BD-6EE0-47D8-B938-165798F1E9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DC11DD8-44E4-4F05-B94D-B5E89CF77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9B411975-B075-4EAD-8098-3C909F7A16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2C10150-610E-46D0-8B89-7B69B6DE99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DC4D3C7-76D2-4758-9F25-B36B52A902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D204EBB-C599-4945-AEA5-676D855DEF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EB2D42D-1F2E-45D8-893D-0318BCBF62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7083AFC5-805E-4369-9E7F-526D9F12FA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0748DD9E-7612-49AB-B9CB-9E3288BE56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64A2D4CA-80F7-4205-AC42-229332F39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3BC724E-B2F8-43BF-B4AC-FC4A27A1F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26C0D9B9-F0FA-48BD-BF43-A3C9713445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7C7B7D-DA50-4783-998D-32310C528F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C468479-E706-4127-911F-F60E8F461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05C01B36-ADA2-4273-A364-8D51AFC5FE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95AAF05D-9A1F-4E99-8639-7DB80C37B0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6AFBFDF-3AAD-40C7-90E6-A7204A97FA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779A022-0548-40AF-A48D-C0D60441B8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27098038-EF49-4321-9F9A-017CD4426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7933107B-C09B-456E-A8A6-01609CD5F2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50A2-B368-4C0A-9D33-8529CEECC707}">
  <dimension ref="A1:AZ129"/>
  <sheetViews>
    <sheetView zoomScale="70" zoomScaleNormal="70" workbookViewId="0">
      <pane xSplit="3" ySplit="2" topLeftCell="R3" activePane="bottomRight" state="frozen"/>
      <selection pane="topRight" activeCell="D1" sqref="D1"/>
      <selection pane="bottomLeft" activeCell="A3" sqref="A3"/>
      <selection pane="bottomRight" activeCell="AJ131" sqref="AJ13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291</v>
      </c>
      <c r="B1" s="73"/>
      <c r="C1" s="72"/>
      <c r="D1" s="72"/>
      <c r="E1" s="222"/>
      <c r="F1" s="539" t="s">
        <v>42</v>
      </c>
      <c r="G1" s="539"/>
      <c r="H1" s="539"/>
      <c r="I1" s="540" t="s">
        <v>115</v>
      </c>
      <c r="J1" s="541"/>
      <c r="M1" s="350" t="s">
        <v>43</v>
      </c>
      <c r="N1" s="539" t="s">
        <v>116</v>
      </c>
      <c r="O1" s="539"/>
      <c r="P1" s="539"/>
      <c r="R1" s="224"/>
      <c r="S1" s="542"/>
      <c r="T1" s="542"/>
      <c r="U1" s="224"/>
      <c r="V1" s="543"/>
      <c r="W1" s="544"/>
      <c r="X1" s="224"/>
      <c r="Y1" s="542"/>
      <c r="Z1" s="542"/>
      <c r="AA1" s="224"/>
      <c r="AB1" s="224"/>
      <c r="AC1" s="224"/>
      <c r="AD1" s="224"/>
      <c r="AE1" s="225"/>
      <c r="AF1" s="224"/>
      <c r="AG1" s="225"/>
      <c r="AH1" s="535"/>
      <c r="AI1" s="535"/>
      <c r="AJ1" s="283" t="s">
        <v>248</v>
      </c>
      <c r="AK1" s="349"/>
      <c r="AL1" s="351" t="s">
        <v>44</v>
      </c>
      <c r="AM1" s="225"/>
      <c r="AQ1" s="536" t="s">
        <v>45</v>
      </c>
      <c r="AR1" s="537"/>
      <c r="AS1" s="537"/>
      <c r="AT1" s="537"/>
      <c r="AU1" s="537"/>
      <c r="AV1" s="537"/>
      <c r="AW1" s="537"/>
      <c r="AX1" s="538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292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2156</v>
      </c>
      <c r="F3" s="93">
        <v>210</v>
      </c>
      <c r="G3" s="93">
        <v>54</v>
      </c>
      <c r="H3" s="93">
        <v>476</v>
      </c>
      <c r="I3" s="93">
        <v>1</v>
      </c>
      <c r="J3" s="93">
        <v>1415</v>
      </c>
      <c r="K3" s="92">
        <v>142.97999999999999</v>
      </c>
      <c r="L3" s="92">
        <f t="shared" ref="L3" si="0">E3*K3</f>
        <v>308264.88</v>
      </c>
      <c r="M3" s="89">
        <v>25</v>
      </c>
      <c r="N3" s="89">
        <v>325</v>
      </c>
      <c r="O3" s="89">
        <v>1582</v>
      </c>
      <c r="P3" s="89">
        <v>68</v>
      </c>
      <c r="Q3" s="233">
        <f>N3/7</f>
        <v>46.428571428571431</v>
      </c>
      <c r="R3" s="92">
        <f>U3/7</f>
        <v>32.571428571428569</v>
      </c>
      <c r="S3" s="93">
        <v>229</v>
      </c>
      <c r="T3" s="93">
        <v>-1</v>
      </c>
      <c r="U3" s="92">
        <f t="shared" ref="U3" si="1">S3+T3</f>
        <v>228</v>
      </c>
      <c r="V3" s="93">
        <v>228771.86000000002</v>
      </c>
      <c r="W3" s="93">
        <v>-983</v>
      </c>
      <c r="X3" s="92">
        <f t="shared" ref="X3" si="2">V3+W3</f>
        <v>227788.86000000002</v>
      </c>
      <c r="Y3" s="93">
        <v>351244.03000000009</v>
      </c>
      <c r="Z3" s="93">
        <v>-1515</v>
      </c>
      <c r="AA3" s="92">
        <f>Y3+Z3</f>
        <v>349729.03000000009</v>
      </c>
      <c r="AB3" s="92">
        <f>N3*O3*P3/100</f>
        <v>349622</v>
      </c>
      <c r="AC3" s="234">
        <f t="shared" ref="AC3" si="3">AA3/$AA$126</f>
        <v>6.0492644621980889E-2</v>
      </c>
      <c r="AD3" s="92">
        <f t="shared" ref="AD3" si="4">U3*K3</f>
        <v>32599.439999999999</v>
      </c>
      <c r="AE3" s="93">
        <v>131032.72000000003</v>
      </c>
      <c r="AF3" s="234">
        <f t="shared" ref="AF3" si="5">IF(AA3=0,0,AE3/AA3)</f>
        <v>0.37466926894801955</v>
      </c>
      <c r="AG3" s="93">
        <v>21872.390000000007</v>
      </c>
      <c r="AH3" s="93">
        <v>4781</v>
      </c>
      <c r="AI3" s="93">
        <v>22974</v>
      </c>
      <c r="AJ3" s="93"/>
      <c r="AK3" s="93"/>
      <c r="AL3" s="122">
        <f t="shared" ref="AL3" si="6">IFERROR($AL$126*H3/$H$126,0)</f>
        <v>369.57931573339647</v>
      </c>
      <c r="AM3" s="93">
        <v>0</v>
      </c>
      <c r="AN3" s="94">
        <f>X3*5.71%</f>
        <v>13006.743906</v>
      </c>
      <c r="AO3" s="95">
        <f>AA3-AD3-AE3-AG3-AH3-AI3-AK3-AL3-AN3-AM3</f>
        <v>123093.15677826664</v>
      </c>
      <c r="AP3" s="96"/>
      <c r="AQ3" s="97">
        <f t="shared" ref="AQ3:AQ97" si="7">IF(U3=0,0,AA3/U3)</f>
        <v>1533.8992543859654</v>
      </c>
      <c r="AR3" s="98">
        <f t="shared" ref="AR3:AR19" si="8">K3</f>
        <v>142.97999999999999</v>
      </c>
      <c r="AS3" s="98">
        <f t="shared" ref="AS3:AS97" si="9">IF(U3=0,0,AE3/U3)</f>
        <v>574.70491228070193</v>
      </c>
      <c r="AT3" s="98">
        <f t="shared" ref="AT3:AT97" si="10">IF(S3=0,AG3/1,AG3/S3)</f>
        <v>95.512620087336273</v>
      </c>
      <c r="AU3" s="98">
        <f>IF(S3=0,0,(AH3+AI3+AJ3)/S3)</f>
        <v>121.20087336244542</v>
      </c>
      <c r="AV3" s="98">
        <f>_xlfn.IFS(U3=0,AO3,U3&lt;0,AO3/-U3,U3&gt;0,AO3/U3)</f>
        <v>539.88226657134487</v>
      </c>
      <c r="AW3" s="234">
        <f t="shared" ref="AW3" si="11">IF(AQ3=0,0,AV3/AQ3)</f>
        <v>0.3519672266790852</v>
      </c>
      <c r="AX3" s="234">
        <f t="shared" ref="AX3" si="12">IF(AR3=0,0,AV3/AR3)</f>
        <v>3.7759285674314231</v>
      </c>
      <c r="AY3" s="99"/>
      <c r="AZ3" s="94">
        <f t="shared" ref="AZ3:AZ97" si="13">AV3*E3</f>
        <v>1163986.1667278195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3851</v>
      </c>
      <c r="F4" s="93">
        <v>689</v>
      </c>
      <c r="G4" s="93">
        <v>197</v>
      </c>
      <c r="H4" s="93">
        <v>524</v>
      </c>
      <c r="I4" s="93">
        <v>0</v>
      </c>
      <c r="J4" s="93">
        <v>2441</v>
      </c>
      <c r="K4" s="92">
        <v>123.09</v>
      </c>
      <c r="L4" s="92">
        <f>E4*K4</f>
        <v>474019.59</v>
      </c>
      <c r="M4" s="89">
        <v>11</v>
      </c>
      <c r="N4" s="89">
        <v>1113</v>
      </c>
      <c r="O4" s="89">
        <v>1575</v>
      </c>
      <c r="P4" s="89">
        <v>62</v>
      </c>
      <c r="Q4" s="233">
        <f t="shared" ref="Q4:Q67" si="14">N4/7</f>
        <v>159</v>
      </c>
      <c r="R4" s="92">
        <f t="shared" ref="R4:R67" si="15">U4/7</f>
        <v>113.71428571428571</v>
      </c>
      <c r="S4" s="93">
        <v>812</v>
      </c>
      <c r="T4" s="93">
        <v>-16</v>
      </c>
      <c r="U4" s="92">
        <f t="shared" ref="U4:U67" si="16">S4+T4</f>
        <v>796</v>
      </c>
      <c r="V4" s="93">
        <v>803108.04000000027</v>
      </c>
      <c r="W4" s="93">
        <v>-14557</v>
      </c>
      <c r="X4" s="92">
        <f t="shared" ref="X4:X67" si="17">V4+W4</f>
        <v>788551.04000000027</v>
      </c>
      <c r="Y4" s="93">
        <v>1200500.0700000029</v>
      </c>
      <c r="Z4" s="93">
        <v>-22599</v>
      </c>
      <c r="AA4" s="92">
        <f t="shared" ref="AA4:AA67" si="18">Y4+Z4</f>
        <v>1177901.0700000029</v>
      </c>
      <c r="AB4" s="92">
        <f t="shared" ref="AB4:AB67" si="19">N4*O4*P4/100</f>
        <v>1086844.5</v>
      </c>
      <c r="AC4" s="234">
        <f t="shared" ref="AC4:AC67" si="20">AA4/$AA$126</f>
        <v>0.20374159625056346</v>
      </c>
      <c r="AD4" s="92">
        <f t="shared" ref="AD4:AD67" si="21">U4*K4</f>
        <v>97979.64</v>
      </c>
      <c r="AE4" s="93">
        <v>443482.78000000201</v>
      </c>
      <c r="AF4" s="234">
        <f t="shared" ref="AF4:AF67" si="22">IF(AA4=0,0,AE4/AA4)</f>
        <v>0.37650256994842607</v>
      </c>
      <c r="AG4" s="93">
        <v>94758.72000000035</v>
      </c>
      <c r="AH4" s="93"/>
      <c r="AI4" s="93">
        <v>44000</v>
      </c>
      <c r="AJ4" s="93"/>
      <c r="AK4" s="93"/>
      <c r="AL4" s="122">
        <f t="shared" ref="AL4:AL67" si="23">IFERROR($AL$126*H4/$H$126,0)</f>
        <v>406.84781816029357</v>
      </c>
      <c r="AM4" s="93">
        <v>0</v>
      </c>
      <c r="AN4" s="94">
        <f t="shared" ref="AN4:AN67" si="24">X4*5.71%</f>
        <v>45026.264384000016</v>
      </c>
      <c r="AO4" s="95">
        <f>AA4-AD4-AE4-AG4-AH4-AI4-AK4-AL4-AN4-AM4</f>
        <v>452246.81779784028</v>
      </c>
      <c r="AP4" s="96"/>
      <c r="AQ4" s="97">
        <f t="shared" si="7"/>
        <v>1479.7752135678427</v>
      </c>
      <c r="AR4" s="98">
        <f t="shared" si="8"/>
        <v>123.09</v>
      </c>
      <c r="AS4" s="98">
        <f t="shared" si="9"/>
        <v>557.13917085427386</v>
      </c>
      <c r="AT4" s="98">
        <f t="shared" si="10"/>
        <v>116.69793103448319</v>
      </c>
      <c r="AU4" s="98">
        <f t="shared" ref="AU4:AU70" si="25">IF(S4=0,0,(AH4+AI4+AJ4)/S4)</f>
        <v>54.187192118226598</v>
      </c>
      <c r="AV4" s="98">
        <f t="array" ref="AV4">_xlfn.IFS(U4=0,AO4,U4&lt;0,AO4/-U4,U4&gt;0,AO4/U4)</f>
        <v>568.14926859025161</v>
      </c>
      <c r="AW4" s="234">
        <f>IF(AQ4=0,0,AV4/AQ4)</f>
        <v>0.38394295524142719</v>
      </c>
      <c r="AX4" s="234">
        <f>IF(AR4=0,0,AV4/AR4)</f>
        <v>4.6157223867921973</v>
      </c>
      <c r="AY4" s="99"/>
      <c r="AZ4" s="94">
        <f t="shared" si="13"/>
        <v>2187942.8333410588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6113</v>
      </c>
      <c r="F5" s="93">
        <v>184</v>
      </c>
      <c r="G5" s="93">
        <v>44</v>
      </c>
      <c r="H5" s="93">
        <v>482</v>
      </c>
      <c r="I5" s="93">
        <v>0</v>
      </c>
      <c r="J5" s="93">
        <v>5403</v>
      </c>
      <c r="K5" s="92">
        <v>123.09</v>
      </c>
      <c r="L5" s="92">
        <f>E5*K5</f>
        <v>752449.17</v>
      </c>
      <c r="M5" s="89">
        <v>17</v>
      </c>
      <c r="N5" s="89">
        <v>297</v>
      </c>
      <c r="O5" s="89">
        <v>1498</v>
      </c>
      <c r="P5" s="89">
        <v>68</v>
      </c>
      <c r="Q5" s="233">
        <f t="shared" si="14"/>
        <v>42.428571428571431</v>
      </c>
      <c r="R5" s="92">
        <f t="shared" si="15"/>
        <v>32.142857142857146</v>
      </c>
      <c r="S5" s="93">
        <v>228</v>
      </c>
      <c r="T5" s="93">
        <v>-3</v>
      </c>
      <c r="U5" s="92">
        <f t="shared" si="16"/>
        <v>225</v>
      </c>
      <c r="V5" s="93">
        <v>215280.69000000006</v>
      </c>
      <c r="W5" s="93">
        <v>-2742</v>
      </c>
      <c r="X5" s="92">
        <f t="shared" si="17"/>
        <v>212538.69000000006</v>
      </c>
      <c r="Y5" s="93">
        <v>326342.05</v>
      </c>
      <c r="Z5" s="93">
        <v>-4411</v>
      </c>
      <c r="AA5" s="92">
        <f t="shared" si="18"/>
        <v>321931.05</v>
      </c>
      <c r="AB5" s="92">
        <f t="shared" si="19"/>
        <v>302536.08</v>
      </c>
      <c r="AC5" s="234">
        <f t="shared" si="20"/>
        <v>5.5684426884525871E-2</v>
      </c>
      <c r="AD5" s="92">
        <f t="shared" si="21"/>
        <v>27695.25</v>
      </c>
      <c r="AE5" s="93">
        <v>121777.59999999998</v>
      </c>
      <c r="AF5" s="234">
        <f t="shared" si="22"/>
        <v>0.37827230396073935</v>
      </c>
      <c r="AG5" s="93">
        <v>22125.570000000011</v>
      </c>
      <c r="AH5" s="93">
        <v>1579</v>
      </c>
      <c r="AI5" s="93">
        <v>28000</v>
      </c>
      <c r="AJ5" s="93"/>
      <c r="AK5" s="93"/>
      <c r="AL5" s="122">
        <f t="shared" si="23"/>
        <v>374.23787853675861</v>
      </c>
      <c r="AM5" s="93">
        <v>0</v>
      </c>
      <c r="AN5" s="94">
        <f t="shared" si="24"/>
        <v>12135.959199000003</v>
      </c>
      <c r="AO5" s="95">
        <f t="shared" ref="AO5:AO68" si="26">AA5-AD5-AE5-AG5-AH5-AI5-AK5-AL5-AN5-AM5</f>
        <v>108243.43292246324</v>
      </c>
      <c r="AP5" s="96"/>
      <c r="AQ5" s="97">
        <f t="shared" si="7"/>
        <v>1430.8046666666667</v>
      </c>
      <c r="AR5" s="98">
        <f t="shared" si="8"/>
        <v>123.09</v>
      </c>
      <c r="AS5" s="98">
        <f t="shared" si="9"/>
        <v>541.23377777777762</v>
      </c>
      <c r="AT5" s="98">
        <f t="shared" si="10"/>
        <v>97.041973684210575</v>
      </c>
      <c r="AU5" s="98">
        <f t="shared" si="25"/>
        <v>129.73245614035088</v>
      </c>
      <c r="AV5" s="98">
        <f t="array" ref="AV5">_xlfn.IFS(U5=0,AO5,U5&lt;0,AO5/-U5,U5&gt;0,AO5/U5)</f>
        <v>481.08192409983661</v>
      </c>
      <c r="AW5" s="234">
        <f>IF(AQ5=0,0,AV5/AQ5)</f>
        <v>0.33623172701876142</v>
      </c>
      <c r="AX5" s="234">
        <f>IF(AR5=0,0,AV5/AR5)</f>
        <v>3.9083753684282767</v>
      </c>
      <c r="AY5" s="99"/>
      <c r="AZ5" s="94">
        <f t="shared" si="13"/>
        <v>2940853.8020223011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1304</v>
      </c>
      <c r="F6" s="93">
        <v>100</v>
      </c>
      <c r="G6" s="93">
        <v>31</v>
      </c>
      <c r="H6" s="93">
        <v>319</v>
      </c>
      <c r="I6" s="93">
        <v>0</v>
      </c>
      <c r="J6" s="93">
        <v>854</v>
      </c>
      <c r="K6" s="92">
        <v>123.09</v>
      </c>
      <c r="L6" s="92">
        <f t="shared" ref="L6" si="28">E6*K6</f>
        <v>160509.36000000002</v>
      </c>
      <c r="M6" s="89">
        <v>17</v>
      </c>
      <c r="N6" s="89">
        <v>142</v>
      </c>
      <c r="O6" s="89">
        <v>1432</v>
      </c>
      <c r="P6" s="89">
        <v>60</v>
      </c>
      <c r="Q6" s="233">
        <f t="shared" si="14"/>
        <v>20.285714285714285</v>
      </c>
      <c r="R6" s="92">
        <f t="shared" si="15"/>
        <v>14.714285714285714</v>
      </c>
      <c r="S6" s="93">
        <v>107</v>
      </c>
      <c r="T6" s="93">
        <v>-4</v>
      </c>
      <c r="U6" s="92">
        <f t="shared" si="16"/>
        <v>103</v>
      </c>
      <c r="V6" s="93">
        <v>94923.12999999999</v>
      </c>
      <c r="W6" s="93">
        <v>-3226</v>
      </c>
      <c r="X6" s="92">
        <f t="shared" si="17"/>
        <v>91697.12999999999</v>
      </c>
      <c r="Y6" s="93">
        <v>145604.42000000004</v>
      </c>
      <c r="Z6" s="93">
        <v>-5155</v>
      </c>
      <c r="AA6" s="92">
        <f t="shared" si="18"/>
        <v>140449.42000000004</v>
      </c>
      <c r="AB6" s="92">
        <f t="shared" si="19"/>
        <v>122006.39999999999</v>
      </c>
      <c r="AC6" s="234">
        <f t="shared" si="20"/>
        <v>2.4293541921365052E-2</v>
      </c>
      <c r="AD6" s="92">
        <f t="shared" si="21"/>
        <v>12678.27</v>
      </c>
      <c r="AE6" s="93">
        <v>52866.800000000068</v>
      </c>
      <c r="AF6" s="234">
        <f t="shared" si="22"/>
        <v>0.37641166478295213</v>
      </c>
      <c r="AG6" s="93">
        <v>13208.359999999993</v>
      </c>
      <c r="AH6" s="93">
        <v>1023</v>
      </c>
      <c r="AI6" s="93">
        <v>9629</v>
      </c>
      <c r="AJ6" s="93"/>
      <c r="AK6" s="93"/>
      <c r="AL6" s="122">
        <f t="shared" si="23"/>
        <v>247.68025571208713</v>
      </c>
      <c r="AM6" s="93">
        <v>0</v>
      </c>
      <c r="AN6" s="94">
        <f t="shared" si="24"/>
        <v>5235.9061229999988</v>
      </c>
      <c r="AO6" s="95">
        <f t="shared" si="26"/>
        <v>45560.403621287893</v>
      </c>
      <c r="AP6" s="96"/>
      <c r="AQ6" s="97">
        <f t="shared" si="7"/>
        <v>1363.5866019417481</v>
      </c>
      <c r="AR6" s="98">
        <f t="shared" si="8"/>
        <v>123.09</v>
      </c>
      <c r="AS6" s="98">
        <f t="shared" si="9"/>
        <v>513.269902912622</v>
      </c>
      <c r="AT6" s="98">
        <f t="shared" si="10"/>
        <v>123.44261682242984</v>
      </c>
      <c r="AU6" s="98">
        <f t="shared" si="25"/>
        <v>99.55140186915888</v>
      </c>
      <c r="AV6" s="98">
        <f t="array" ref="AV6">_xlfn.IFS(U6=0,AO6,U6&lt;0,AO6/-U6,U6&gt;0,AO6/U6)</f>
        <v>442.33401574065914</v>
      </c>
      <c r="AW6" s="234">
        <f t="shared" ref="AW6" si="29">IF(AQ6=0,0,AV6/AQ6)</f>
        <v>0.3243901158245287</v>
      </c>
      <c r="AX6" s="234">
        <f t="shared" ref="AX6" si="30">IF(AR6=0,0,AV6/AR6)</f>
        <v>3.5935820597990018</v>
      </c>
      <c r="AY6" s="99"/>
      <c r="AZ6" s="94">
        <f t="shared" si="13"/>
        <v>576803.55652581947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3421</v>
      </c>
      <c r="F7" s="93">
        <v>255</v>
      </c>
      <c r="G7" s="93">
        <v>65</v>
      </c>
      <c r="H7" s="93">
        <v>766</v>
      </c>
      <c r="I7" s="93">
        <v>3</v>
      </c>
      <c r="J7" s="93">
        <v>2332</v>
      </c>
      <c r="K7" s="92">
        <v>117.24</v>
      </c>
      <c r="L7" s="92">
        <f>E7*K7</f>
        <v>401078.04</v>
      </c>
      <c r="M7" s="89">
        <v>27</v>
      </c>
      <c r="N7" s="89">
        <v>472</v>
      </c>
      <c r="O7" s="89">
        <v>1472</v>
      </c>
      <c r="P7" s="89">
        <v>63</v>
      </c>
      <c r="Q7" s="233">
        <f t="shared" si="14"/>
        <v>67.428571428571431</v>
      </c>
      <c r="R7" s="92">
        <f t="shared" si="15"/>
        <v>41.571428571428569</v>
      </c>
      <c r="S7" s="93">
        <v>297</v>
      </c>
      <c r="T7" s="93">
        <v>-6</v>
      </c>
      <c r="U7" s="92">
        <f t="shared" si="16"/>
        <v>291</v>
      </c>
      <c r="V7" s="93">
        <v>279507.45000000007</v>
      </c>
      <c r="W7" s="93">
        <v>-5556</v>
      </c>
      <c r="X7" s="92">
        <f t="shared" si="17"/>
        <v>273951.45000000007</v>
      </c>
      <c r="Y7" s="93">
        <v>431964.58999999997</v>
      </c>
      <c r="Z7" s="93">
        <v>-8629</v>
      </c>
      <c r="AA7" s="92">
        <f t="shared" si="18"/>
        <v>423335.58999999997</v>
      </c>
      <c r="AB7" s="92">
        <f t="shared" si="19"/>
        <v>437713.91999999998</v>
      </c>
      <c r="AC7" s="234">
        <f t="shared" si="20"/>
        <v>7.3224374315471033E-2</v>
      </c>
      <c r="AD7" s="92">
        <f t="shared" si="21"/>
        <v>34116.839999999997</v>
      </c>
      <c r="AE7" s="93">
        <v>159423.25000000032</v>
      </c>
      <c r="AF7" s="234">
        <f t="shared" si="22"/>
        <v>0.37658834684794712</v>
      </c>
      <c r="AG7" s="93">
        <v>32968.559999999998</v>
      </c>
      <c r="AH7" s="93">
        <v>2823</v>
      </c>
      <c r="AI7" s="93">
        <v>35000</v>
      </c>
      <c r="AJ7" s="93"/>
      <c r="AK7" s="93"/>
      <c r="AL7" s="122">
        <f t="shared" si="23"/>
        <v>594.74318456256651</v>
      </c>
      <c r="AM7" s="93">
        <v>0</v>
      </c>
      <c r="AN7" s="94">
        <f t="shared" si="24"/>
        <v>15642.627795000004</v>
      </c>
      <c r="AO7" s="95">
        <f t="shared" si="26"/>
        <v>142766.56902043711</v>
      </c>
      <c r="AP7" s="96"/>
      <c r="AQ7" s="97">
        <f t="shared" si="7"/>
        <v>1454.7614776632302</v>
      </c>
      <c r="AR7" s="98">
        <f t="shared" si="8"/>
        <v>117.24</v>
      </c>
      <c r="AS7" s="98">
        <f t="shared" si="9"/>
        <v>547.84621993127257</v>
      </c>
      <c r="AT7" s="98">
        <f t="shared" si="10"/>
        <v>111.00525252525252</v>
      </c>
      <c r="AU7" s="98">
        <f t="shared" si="25"/>
        <v>127.35016835016835</v>
      </c>
      <c r="AV7" s="98">
        <f t="array" ref="AV7">_xlfn.IFS(U7=0,AO7,U7&lt;0,AO7/-U7,U7&gt;0,AO7/U7)</f>
        <v>490.60676639325465</v>
      </c>
      <c r="AW7" s="234">
        <f>IF(AQ7=0,0,AV7/AQ7)</f>
        <v>0.33724206608860152</v>
      </c>
      <c r="AX7" s="234">
        <f>IF(AR7=0,0,AV7/AR7)</f>
        <v>4.1846363561348916</v>
      </c>
      <c r="AY7" s="99"/>
      <c r="AZ7" s="94">
        <f t="shared" si="13"/>
        <v>1678365.7478313241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294</v>
      </c>
      <c r="F8" s="93">
        <v>61</v>
      </c>
      <c r="G8" s="93">
        <v>23</v>
      </c>
      <c r="H8" s="93">
        <v>210</v>
      </c>
      <c r="I8" s="93">
        <v>0</v>
      </c>
      <c r="J8" s="93">
        <v>0</v>
      </c>
      <c r="K8" s="92">
        <v>169.89</v>
      </c>
      <c r="L8" s="92">
        <f>E8*K8</f>
        <v>49947.659999999996</v>
      </c>
      <c r="M8" s="89">
        <v>59</v>
      </c>
      <c r="N8" s="89">
        <v>79</v>
      </c>
      <c r="O8" s="89">
        <v>1464</v>
      </c>
      <c r="P8" s="89">
        <v>48</v>
      </c>
      <c r="Q8" s="233">
        <f t="shared" si="14"/>
        <v>11.285714285714286</v>
      </c>
      <c r="R8" s="92">
        <f t="shared" si="15"/>
        <v>4.1428571428571432</v>
      </c>
      <c r="S8" s="93">
        <v>31</v>
      </c>
      <c r="T8" s="93">
        <v>-2</v>
      </c>
      <c r="U8" s="92">
        <f t="shared" si="16"/>
        <v>29</v>
      </c>
      <c r="V8" s="93">
        <v>29764.899999999998</v>
      </c>
      <c r="W8" s="93">
        <v>-1833</v>
      </c>
      <c r="X8" s="92">
        <f t="shared" si="17"/>
        <v>27931.899999999998</v>
      </c>
      <c r="Y8" s="93">
        <v>45384.240000000005</v>
      </c>
      <c r="Z8" s="93">
        <v>-2928</v>
      </c>
      <c r="AA8" s="92">
        <f t="shared" si="18"/>
        <v>42456.240000000005</v>
      </c>
      <c r="AB8" s="92">
        <f t="shared" si="19"/>
        <v>55514.879999999997</v>
      </c>
      <c r="AC8" s="234">
        <f t="shared" si="20"/>
        <v>7.3436575691343941E-3</v>
      </c>
      <c r="AD8" s="92">
        <f t="shared" si="21"/>
        <v>4926.8099999999995</v>
      </c>
      <c r="AE8" s="93">
        <v>15903.560000000009</v>
      </c>
      <c r="AF8" s="234">
        <f t="shared" si="22"/>
        <v>0.37458710427489589</v>
      </c>
      <c r="AG8" s="93">
        <v>5352.6799999999985</v>
      </c>
      <c r="AH8" s="93">
        <v>1057</v>
      </c>
      <c r="AI8" s="93">
        <v>3369</v>
      </c>
      <c r="AJ8" s="93"/>
      <c r="AK8" s="93"/>
      <c r="AL8" s="122">
        <f t="shared" si="23"/>
        <v>163.04969811767489</v>
      </c>
      <c r="AM8" s="93">
        <v>0</v>
      </c>
      <c r="AN8" s="94">
        <f t="shared" si="24"/>
        <v>1594.9114899999997</v>
      </c>
      <c r="AO8" s="95">
        <f t="shared" si="26"/>
        <v>10089.228811882325</v>
      </c>
      <c r="AP8" s="96"/>
      <c r="AQ8" s="97">
        <f t="shared" si="7"/>
        <v>1464.0082758620692</v>
      </c>
      <c r="AR8" s="98">
        <f t="shared" si="8"/>
        <v>169.89</v>
      </c>
      <c r="AS8" s="98">
        <f t="shared" si="9"/>
        <v>548.39862068965544</v>
      </c>
      <c r="AT8" s="98">
        <f t="shared" si="10"/>
        <v>172.66709677419351</v>
      </c>
      <c r="AU8" s="98">
        <f t="shared" si="25"/>
        <v>142.7741935483871</v>
      </c>
      <c r="AV8" s="98">
        <f t="array" ref="AV8">_xlfn.IFS(U8=0,AO8,U8&lt;0,AO8/-U8,U8&gt;0,AO8/U8)</f>
        <v>347.90444178904568</v>
      </c>
      <c r="AW8" s="234">
        <f>IF(AQ8=0,0,AV8/AQ8)</f>
        <v>0.23763830268253436</v>
      </c>
      <c r="AX8" s="234">
        <f>IF(AR8=0,0,AV8/AR8)</f>
        <v>2.0478217775563348</v>
      </c>
      <c r="AY8" s="99"/>
      <c r="AZ8" s="94">
        <f t="shared" si="13"/>
        <v>102283.90588597943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10612</v>
      </c>
      <c r="F9" s="93">
        <v>379</v>
      </c>
      <c r="G9" s="93">
        <v>129</v>
      </c>
      <c r="H9" s="93">
        <v>337</v>
      </c>
      <c r="I9" s="93">
        <v>0</v>
      </c>
      <c r="J9" s="93">
        <v>9767</v>
      </c>
      <c r="K9" s="92">
        <v>123.09</v>
      </c>
      <c r="L9" s="92">
        <f>E9*K9</f>
        <v>1306231.08</v>
      </c>
      <c r="M9" s="89">
        <v>17</v>
      </c>
      <c r="N9" s="89">
        <v>654</v>
      </c>
      <c r="O9" s="89">
        <v>1682</v>
      </c>
      <c r="P9" s="89">
        <v>49</v>
      </c>
      <c r="Q9" s="233">
        <f t="shared" si="14"/>
        <v>93.428571428571431</v>
      </c>
      <c r="R9" s="92">
        <f t="shared" si="15"/>
        <v>42.571428571428569</v>
      </c>
      <c r="S9" s="93">
        <v>304</v>
      </c>
      <c r="T9" s="93">
        <v>-6</v>
      </c>
      <c r="U9" s="92">
        <f t="shared" si="16"/>
        <v>298</v>
      </c>
      <c r="V9" s="93">
        <v>321649.84000000003</v>
      </c>
      <c r="W9" s="93">
        <v>-5792</v>
      </c>
      <c r="X9" s="92">
        <f t="shared" si="17"/>
        <v>315857.84000000003</v>
      </c>
      <c r="Y9" s="93">
        <v>491765.93999999989</v>
      </c>
      <c r="Z9" s="93">
        <v>-9282</v>
      </c>
      <c r="AA9" s="92">
        <f t="shared" si="18"/>
        <v>482483.93999999989</v>
      </c>
      <c r="AB9" s="92">
        <f t="shared" si="19"/>
        <v>539013.72</v>
      </c>
      <c r="AC9" s="234">
        <f t="shared" si="20"/>
        <v>8.3455266833963246E-2</v>
      </c>
      <c r="AD9" s="92">
        <f t="shared" si="21"/>
        <v>36680.82</v>
      </c>
      <c r="AE9" s="93">
        <v>181396.70999999973</v>
      </c>
      <c r="AF9" s="234">
        <f t="shared" si="22"/>
        <v>0.37596424453008687</v>
      </c>
      <c r="AG9" s="93">
        <v>48707.170000000049</v>
      </c>
      <c r="AH9" s="93">
        <v>3000</v>
      </c>
      <c r="AI9" s="93">
        <v>56000</v>
      </c>
      <c r="AJ9" s="93"/>
      <c r="AK9" s="93"/>
      <c r="AL9" s="122">
        <f t="shared" si="23"/>
        <v>261.65594412217354</v>
      </c>
      <c r="AM9" s="93">
        <v>40</v>
      </c>
      <c r="AN9" s="94">
        <f t="shared" si="24"/>
        <v>18035.482663999999</v>
      </c>
      <c r="AO9" s="95">
        <f t="shared" si="26"/>
        <v>138362.10139187792</v>
      </c>
      <c r="AP9" s="96"/>
      <c r="AQ9" s="97">
        <f t="shared" si="7"/>
        <v>1619.0736241610734</v>
      </c>
      <c r="AR9" s="98">
        <f t="shared" si="8"/>
        <v>123.09</v>
      </c>
      <c r="AS9" s="98">
        <f t="shared" si="9"/>
        <v>608.71379194630777</v>
      </c>
      <c r="AT9" s="98">
        <f t="shared" si="10"/>
        <v>160.22095394736857</v>
      </c>
      <c r="AU9" s="98">
        <f t="shared" si="25"/>
        <v>194.07894736842104</v>
      </c>
      <c r="AV9" s="98">
        <f t="array" ref="AV9">_xlfn.IFS(U9=0,AO9,U9&lt;0,AO9/-U9,U9&gt;0,AO9/U9)</f>
        <v>464.30235366401985</v>
      </c>
      <c r="AW9" s="234">
        <f>IF(AQ9=0,0,AV9/AQ9)</f>
        <v>0.28677037704483582</v>
      </c>
      <c r="AX9" s="234">
        <f>IF(AR9=0,0,AV9/AR9)</f>
        <v>3.7720558425868864</v>
      </c>
      <c r="AY9" s="99"/>
      <c r="AZ9" s="94">
        <f t="shared" si="13"/>
        <v>4927176.577082579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9314</v>
      </c>
      <c r="F10" s="93">
        <v>210</v>
      </c>
      <c r="G10" s="93">
        <v>63</v>
      </c>
      <c r="H10" s="93">
        <v>625</v>
      </c>
      <c r="I10" s="93">
        <v>0</v>
      </c>
      <c r="J10" s="93">
        <v>8416</v>
      </c>
      <c r="K10" s="92">
        <v>123.09</v>
      </c>
      <c r="L10" s="92">
        <f>E10*K10</f>
        <v>1146460.26</v>
      </c>
      <c r="M10" s="89">
        <v>24</v>
      </c>
      <c r="N10" s="89">
        <v>385</v>
      </c>
      <c r="O10" s="89">
        <v>1387</v>
      </c>
      <c r="P10" s="89">
        <v>66</v>
      </c>
      <c r="Q10" s="233">
        <f t="shared" si="14"/>
        <v>55</v>
      </c>
      <c r="R10" s="92">
        <f t="shared" si="15"/>
        <v>37.428571428571431</v>
      </c>
      <c r="S10" s="93">
        <v>266</v>
      </c>
      <c r="T10" s="93">
        <v>-4</v>
      </c>
      <c r="U10" s="92">
        <f t="shared" si="16"/>
        <v>262</v>
      </c>
      <c r="V10" s="93">
        <v>233144.14999999997</v>
      </c>
      <c r="W10" s="93">
        <v>-3525</v>
      </c>
      <c r="X10" s="92">
        <f t="shared" si="17"/>
        <v>229619.14999999997</v>
      </c>
      <c r="Y10" s="93">
        <v>360838.15999999968</v>
      </c>
      <c r="Z10" s="93">
        <v>-5426</v>
      </c>
      <c r="AA10" s="92">
        <f t="shared" si="18"/>
        <v>355412.15999999968</v>
      </c>
      <c r="AB10" s="92">
        <f t="shared" si="19"/>
        <v>352436.7</v>
      </c>
      <c r="AC10" s="234">
        <f t="shared" si="20"/>
        <v>6.1475655850503998E-2</v>
      </c>
      <c r="AD10" s="92">
        <f t="shared" si="21"/>
        <v>32249.58</v>
      </c>
      <c r="AE10" s="93">
        <v>133884.16999999949</v>
      </c>
      <c r="AF10" s="234">
        <f t="shared" si="22"/>
        <v>0.37670115169947932</v>
      </c>
      <c r="AG10" s="93">
        <v>27838.589999999997</v>
      </c>
      <c r="AH10" s="93">
        <v>4500</v>
      </c>
      <c r="AI10" s="93">
        <v>33000</v>
      </c>
      <c r="AJ10" s="93"/>
      <c r="AK10" s="93"/>
      <c r="AL10" s="122">
        <f t="shared" si="23"/>
        <v>485.26695868355625</v>
      </c>
      <c r="AM10" s="93">
        <v>0</v>
      </c>
      <c r="AN10" s="94">
        <f t="shared" si="24"/>
        <v>13111.253464999998</v>
      </c>
      <c r="AO10" s="95">
        <f t="shared" si="26"/>
        <v>110343.29957631663</v>
      </c>
      <c r="AP10" s="96"/>
      <c r="AQ10" s="97">
        <f t="shared" si="7"/>
        <v>1356.5349618320599</v>
      </c>
      <c r="AR10" s="98">
        <f t="shared" si="8"/>
        <v>123.09</v>
      </c>
      <c r="AS10" s="98">
        <f t="shared" si="9"/>
        <v>511.00828244274612</v>
      </c>
      <c r="AT10" s="98">
        <f t="shared" si="10"/>
        <v>104.65635338345864</v>
      </c>
      <c r="AU10" s="98">
        <f t="shared" si="25"/>
        <v>140.97744360902254</v>
      </c>
      <c r="AV10" s="98">
        <f t="array" ref="AV10">_xlfn.IFS(U10=0,AO10,U10&lt;0,AO10/-U10,U10&gt;0,AO10/U10)</f>
        <v>421.15763197067412</v>
      </c>
      <c r="AW10" s="234">
        <f>IF(AQ10=0,0,AV10/AQ10)</f>
        <v>0.31046574089169238</v>
      </c>
      <c r="AX10" s="234">
        <f>IF(AR10=0,0,AV10/AR10)</f>
        <v>3.4215422209007564</v>
      </c>
      <c r="AY10" s="99"/>
      <c r="AZ10" s="94">
        <f t="shared" si="13"/>
        <v>3922662.1841748585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2197</v>
      </c>
      <c r="F11" s="93">
        <v>106</v>
      </c>
      <c r="G11" s="93">
        <v>31</v>
      </c>
      <c r="H11" s="93">
        <v>108</v>
      </c>
      <c r="I11" s="93">
        <v>0</v>
      </c>
      <c r="J11" s="93">
        <v>1952</v>
      </c>
      <c r="K11" s="92">
        <v>123.09</v>
      </c>
      <c r="L11" s="92">
        <f t="shared" ref="L11" si="32">E11*K11</f>
        <v>270428.73</v>
      </c>
      <c r="M11" s="89">
        <v>23</v>
      </c>
      <c r="N11" s="89">
        <v>177</v>
      </c>
      <c r="O11" s="89">
        <v>1340</v>
      </c>
      <c r="P11" s="89">
        <v>62</v>
      </c>
      <c r="Q11" s="233">
        <f t="shared" si="14"/>
        <v>25.285714285714285</v>
      </c>
      <c r="R11" s="92">
        <f t="shared" si="15"/>
        <v>15.285714285714286</v>
      </c>
      <c r="S11" s="93">
        <v>107</v>
      </c>
      <c r="T11" s="93">
        <v>0</v>
      </c>
      <c r="U11" s="92">
        <f t="shared" si="16"/>
        <v>107</v>
      </c>
      <c r="V11" s="93">
        <v>91157.780000000013</v>
      </c>
      <c r="W11" s="93">
        <v>0</v>
      </c>
      <c r="X11" s="92">
        <f t="shared" si="17"/>
        <v>91157.780000000013</v>
      </c>
      <c r="Y11" s="93">
        <v>141179.74000000002</v>
      </c>
      <c r="Z11" s="93">
        <v>0</v>
      </c>
      <c r="AA11" s="92">
        <f t="shared" si="18"/>
        <v>141179.74000000002</v>
      </c>
      <c r="AB11" s="92">
        <f t="shared" si="19"/>
        <v>147051.6</v>
      </c>
      <c r="AC11" s="234">
        <f t="shared" si="20"/>
        <v>2.4419865401632972E-2</v>
      </c>
      <c r="AD11" s="92">
        <f t="shared" si="21"/>
        <v>13170.630000000001</v>
      </c>
      <c r="AE11" s="93">
        <v>53257.179999999993</v>
      </c>
      <c r="AF11" s="234">
        <f t="shared" si="22"/>
        <v>0.37722962232399626</v>
      </c>
      <c r="AG11" s="93">
        <v>12541.710000000001</v>
      </c>
      <c r="AH11" s="93">
        <v>652</v>
      </c>
      <c r="AI11" s="93">
        <v>13143</v>
      </c>
      <c r="AJ11" s="93"/>
      <c r="AK11" s="93"/>
      <c r="AL11" s="122">
        <f t="shared" si="23"/>
        <v>83.854130460518519</v>
      </c>
      <c r="AM11" s="93">
        <v>0</v>
      </c>
      <c r="AN11" s="94">
        <f t="shared" si="24"/>
        <v>5205.1092380000009</v>
      </c>
      <c r="AO11" s="95">
        <f t="shared" si="26"/>
        <v>43126.256631539509</v>
      </c>
      <c r="AP11" s="96"/>
      <c r="AQ11" s="97">
        <f t="shared" si="7"/>
        <v>1319.4368224299067</v>
      </c>
      <c r="AR11" s="98">
        <f t="shared" si="8"/>
        <v>123.09</v>
      </c>
      <c r="AS11" s="98">
        <f t="shared" si="9"/>
        <v>497.73065420560744</v>
      </c>
      <c r="AT11" s="98">
        <f t="shared" si="10"/>
        <v>117.21224299065422</v>
      </c>
      <c r="AU11" s="98">
        <f t="shared" si="25"/>
        <v>128.92523364485982</v>
      </c>
      <c r="AV11" s="98">
        <f t="array" ref="AV11">_xlfn.IFS(U11=0,AO11,U11&lt;0,AO11/-U11,U11&gt;0,AO11/U11)</f>
        <v>403.04912739756548</v>
      </c>
      <c r="AW11" s="234">
        <f t="shared" ref="AW11:AW28" si="33">IF(AQ11=0,0,AV11/AQ11)</f>
        <v>0.3054705769506269</v>
      </c>
      <c r="AX11" s="234">
        <f t="shared" ref="AX11:AX28" si="34">IF(AR11=0,0,AV11/AR11)</f>
        <v>3.2744262523159109</v>
      </c>
      <c r="AY11" s="99"/>
      <c r="AZ11" s="94">
        <f t="shared" si="13"/>
        <v>885498.93289245141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4843</v>
      </c>
      <c r="F12" s="93">
        <v>233</v>
      </c>
      <c r="G12" s="93">
        <v>57</v>
      </c>
      <c r="H12" s="93">
        <v>206</v>
      </c>
      <c r="I12" s="93">
        <v>1</v>
      </c>
      <c r="J12" s="93">
        <v>4346</v>
      </c>
      <c r="K12" s="92">
        <v>117.24</v>
      </c>
      <c r="L12" s="92">
        <f>E12*K12</f>
        <v>567793.31999999995</v>
      </c>
      <c r="M12" s="89">
        <v>23</v>
      </c>
      <c r="N12" s="89">
        <v>354</v>
      </c>
      <c r="O12" s="89">
        <v>1376</v>
      </c>
      <c r="P12" s="89">
        <v>62</v>
      </c>
      <c r="Q12" s="233">
        <f t="shared" si="14"/>
        <v>50.571428571428569</v>
      </c>
      <c r="R12" s="92">
        <f t="shared" si="15"/>
        <v>27.714285714285715</v>
      </c>
      <c r="S12" s="93">
        <v>197</v>
      </c>
      <c r="T12" s="93">
        <v>-3</v>
      </c>
      <c r="U12" s="92">
        <f t="shared" si="16"/>
        <v>194</v>
      </c>
      <c r="V12" s="93">
        <v>172330.28</v>
      </c>
      <c r="W12" s="93">
        <v>-2501</v>
      </c>
      <c r="X12" s="92">
        <f t="shared" si="17"/>
        <v>169829.28</v>
      </c>
      <c r="Y12" s="93">
        <v>266346.23</v>
      </c>
      <c r="Z12" s="93">
        <v>-3981.62</v>
      </c>
      <c r="AA12" s="92">
        <f t="shared" si="18"/>
        <v>262364.61</v>
      </c>
      <c r="AB12" s="92">
        <f t="shared" si="19"/>
        <v>302004.47999999998</v>
      </c>
      <c r="AC12" s="234">
        <f t="shared" si="20"/>
        <v>4.5381217321635005E-2</v>
      </c>
      <c r="AD12" s="92">
        <f t="shared" si="21"/>
        <v>22744.559999999998</v>
      </c>
      <c r="AE12" s="93">
        <v>98763.489999999976</v>
      </c>
      <c r="AF12" s="234">
        <f t="shared" si="22"/>
        <v>0.3764360216112988</v>
      </c>
      <c r="AG12" s="93">
        <v>23483.830000000009</v>
      </c>
      <c r="AH12" s="93">
        <v>3577</v>
      </c>
      <c r="AI12" s="93">
        <v>20216</v>
      </c>
      <c r="AJ12" s="93"/>
      <c r="AK12" s="93"/>
      <c r="AL12" s="122">
        <f t="shared" si="23"/>
        <v>159.94398958210013</v>
      </c>
      <c r="AM12" s="93">
        <v>0</v>
      </c>
      <c r="AN12" s="94">
        <f t="shared" si="24"/>
        <v>9697.2518879999989</v>
      </c>
      <c r="AO12" s="95">
        <f t="shared" si="26"/>
        <v>83722.534122417885</v>
      </c>
      <c r="AP12" s="96"/>
      <c r="AQ12" s="97">
        <f t="shared" si="7"/>
        <v>1352.3948969072164</v>
      </c>
      <c r="AR12" s="98">
        <f t="shared" si="8"/>
        <v>117.24</v>
      </c>
      <c r="AS12" s="98">
        <f t="shared" si="9"/>
        <v>509.09015463917513</v>
      </c>
      <c r="AT12" s="98">
        <f t="shared" si="10"/>
        <v>119.20725888324878</v>
      </c>
      <c r="AU12" s="98">
        <f t="shared" si="25"/>
        <v>120.77664974619289</v>
      </c>
      <c r="AV12" s="98">
        <f t="array" ref="AV12">_xlfn.IFS(U12=0,AO12,U12&lt;0,AO12/-U12,U12&gt;0,AO12/U12)</f>
        <v>431.55945423926744</v>
      </c>
      <c r="AW12" s="234">
        <f t="shared" si="33"/>
        <v>0.31910757370217685</v>
      </c>
      <c r="AX12" s="234">
        <f t="shared" si="34"/>
        <v>3.6809915919418925</v>
      </c>
      <c r="AY12" s="99"/>
      <c r="AZ12" s="94">
        <f t="shared" si="13"/>
        <v>2090042.4368807722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4702</v>
      </c>
      <c r="F13" s="93">
        <v>332</v>
      </c>
      <c r="G13" s="93">
        <v>111</v>
      </c>
      <c r="H13" s="93">
        <v>567</v>
      </c>
      <c r="I13" s="93">
        <v>1</v>
      </c>
      <c r="J13" s="93">
        <v>3691</v>
      </c>
      <c r="K13" s="92">
        <v>123.09</v>
      </c>
      <c r="L13" s="92">
        <f t="shared" ref="L13:L28" si="35">E13*K13</f>
        <v>578769.18000000005</v>
      </c>
      <c r="M13" s="89">
        <v>10</v>
      </c>
      <c r="N13" s="89">
        <v>519</v>
      </c>
      <c r="O13" s="89">
        <v>1731</v>
      </c>
      <c r="P13" s="89">
        <v>57</v>
      </c>
      <c r="Q13" s="233">
        <f t="shared" si="14"/>
        <v>74.142857142857139</v>
      </c>
      <c r="R13" s="92">
        <f t="shared" si="15"/>
        <v>35.571428571428569</v>
      </c>
      <c r="S13" s="93">
        <v>253</v>
      </c>
      <c r="T13" s="93">
        <v>-4</v>
      </c>
      <c r="U13" s="92">
        <f t="shared" si="16"/>
        <v>249</v>
      </c>
      <c r="V13" s="93">
        <v>290644.97000000009</v>
      </c>
      <c r="W13" s="93">
        <v>-4509</v>
      </c>
      <c r="X13" s="92">
        <f t="shared" si="17"/>
        <v>286135.97000000009</v>
      </c>
      <c r="Y13" s="93">
        <v>422802.17999999982</v>
      </c>
      <c r="Z13" s="93">
        <v>-6495</v>
      </c>
      <c r="AA13" s="92">
        <f t="shared" si="18"/>
        <v>416307.17999999982</v>
      </c>
      <c r="AB13" s="92">
        <f t="shared" si="19"/>
        <v>512081.73</v>
      </c>
      <c r="AC13" s="234">
        <f t="shared" si="20"/>
        <v>7.2008669950329868E-2</v>
      </c>
      <c r="AD13" s="92">
        <f t="shared" si="21"/>
        <v>30649.41</v>
      </c>
      <c r="AE13" s="93">
        <v>157376.21999999986</v>
      </c>
      <c r="AF13" s="234">
        <f t="shared" si="22"/>
        <v>0.37802907939276936</v>
      </c>
      <c r="AG13" s="93">
        <v>38309.850000000115</v>
      </c>
      <c r="AH13" s="93">
        <v>5903</v>
      </c>
      <c r="AI13" s="93">
        <v>57864</v>
      </c>
      <c r="AJ13" s="93"/>
      <c r="AK13" s="93"/>
      <c r="AL13" s="122">
        <f t="shared" si="23"/>
        <v>440.23418491772225</v>
      </c>
      <c r="AM13" s="93">
        <v>10</v>
      </c>
      <c r="AN13" s="94">
        <f t="shared" si="24"/>
        <v>16338.363887000005</v>
      </c>
      <c r="AO13" s="95">
        <f t="shared" si="26"/>
        <v>109416.10192808215</v>
      </c>
      <c r="AP13" s="96"/>
      <c r="AQ13" s="97">
        <f t="shared" si="7"/>
        <v>1671.916385542168</v>
      </c>
      <c r="AR13" s="98">
        <f t="shared" si="8"/>
        <v>123.09</v>
      </c>
      <c r="AS13" s="98">
        <f t="shared" si="9"/>
        <v>632.03301204819218</v>
      </c>
      <c r="AT13" s="98">
        <f t="shared" si="10"/>
        <v>151.42233201581072</v>
      </c>
      <c r="AU13" s="98">
        <f t="shared" si="25"/>
        <v>252.04347826086956</v>
      </c>
      <c r="AV13" s="98">
        <f t="array" ref="AV13">_xlfn.IFS(U13=0,AO13,U13&lt;0,AO13/-U13,U13&gt;0,AO13/U13)</f>
        <v>439.42209609671545</v>
      </c>
      <c r="AW13" s="234">
        <f t="shared" si="33"/>
        <v>0.26282540197380738</v>
      </c>
      <c r="AX13" s="234">
        <f t="shared" si="34"/>
        <v>3.5699252262305259</v>
      </c>
      <c r="AY13" s="99"/>
      <c r="AZ13" s="94">
        <f t="shared" si="13"/>
        <v>2066162.695846756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2800</v>
      </c>
      <c r="F14" s="93">
        <v>82</v>
      </c>
      <c r="G14" s="93">
        <v>23</v>
      </c>
      <c r="H14" s="93">
        <v>214</v>
      </c>
      <c r="I14" s="93">
        <v>2</v>
      </c>
      <c r="J14" s="93">
        <v>2479</v>
      </c>
      <c r="K14" s="92">
        <v>123.09</v>
      </c>
      <c r="L14" s="92">
        <f t="shared" si="35"/>
        <v>344652</v>
      </c>
      <c r="M14" s="89">
        <v>38</v>
      </c>
      <c r="N14" s="89">
        <v>160</v>
      </c>
      <c r="O14" s="89">
        <v>1323</v>
      </c>
      <c r="P14" s="89">
        <v>63</v>
      </c>
      <c r="Q14" s="233">
        <f t="shared" si="14"/>
        <v>22.857142857142858</v>
      </c>
      <c r="R14" s="92">
        <f t="shared" si="15"/>
        <v>13</v>
      </c>
      <c r="S14" s="93">
        <v>93</v>
      </c>
      <c r="T14" s="93">
        <v>-2</v>
      </c>
      <c r="U14" s="92">
        <f t="shared" si="16"/>
        <v>91</v>
      </c>
      <c r="V14" s="93">
        <v>77743.850000000006</v>
      </c>
      <c r="W14" s="93">
        <v>-1581</v>
      </c>
      <c r="X14" s="92">
        <f t="shared" si="17"/>
        <v>76162.850000000006</v>
      </c>
      <c r="Y14" s="93">
        <v>120544.34999999999</v>
      </c>
      <c r="Z14" s="93">
        <v>-2540</v>
      </c>
      <c r="AA14" s="92">
        <f t="shared" si="18"/>
        <v>118004.34999999999</v>
      </c>
      <c r="AB14" s="92">
        <f t="shared" si="19"/>
        <v>133358.39999999999</v>
      </c>
      <c r="AC14" s="234">
        <f t="shared" si="20"/>
        <v>2.0411217245528197E-2</v>
      </c>
      <c r="AD14" s="92">
        <f t="shared" si="21"/>
        <v>11201.19</v>
      </c>
      <c r="AE14" s="93">
        <v>44555.780000000013</v>
      </c>
      <c r="AF14" s="234">
        <f t="shared" si="22"/>
        <v>0.37757743676398386</v>
      </c>
      <c r="AG14" s="93">
        <v>10185.879999999999</v>
      </c>
      <c r="AH14" s="93">
        <v>712</v>
      </c>
      <c r="AI14" s="93">
        <v>9139</v>
      </c>
      <c r="AJ14" s="93"/>
      <c r="AK14" s="93"/>
      <c r="AL14" s="122">
        <f t="shared" si="23"/>
        <v>166.15540665324968</v>
      </c>
      <c r="AM14" s="93">
        <v>0</v>
      </c>
      <c r="AN14" s="94">
        <f t="shared" si="24"/>
        <v>4348.8987349999998</v>
      </c>
      <c r="AO14" s="95">
        <f t="shared" si="26"/>
        <v>37695.445858346728</v>
      </c>
      <c r="AP14" s="96"/>
      <c r="AQ14" s="97">
        <f t="shared" si="7"/>
        <v>1296.7510989010989</v>
      </c>
      <c r="AR14" s="98">
        <f t="shared" si="8"/>
        <v>123.09</v>
      </c>
      <c r="AS14" s="98">
        <f t="shared" si="9"/>
        <v>489.62395604395618</v>
      </c>
      <c r="AT14" s="98">
        <f t="shared" si="10"/>
        <v>109.52559139784945</v>
      </c>
      <c r="AU14" s="98">
        <f t="shared" si="25"/>
        <v>105.9247311827957</v>
      </c>
      <c r="AV14" s="98">
        <f t="array" ref="AV14">_xlfn.IFS(U14=0,AO14,U14&lt;0,AO14/-U14,U14&gt;0,AO14/U14)</f>
        <v>414.23566877304097</v>
      </c>
      <c r="AW14" s="234">
        <f t="shared" si="33"/>
        <v>0.31944115499425851</v>
      </c>
      <c r="AX14" s="234">
        <f t="shared" si="34"/>
        <v>3.3653072448861887</v>
      </c>
      <c r="AY14" s="99"/>
      <c r="AZ14" s="94">
        <f t="shared" si="13"/>
        <v>1159859.8725645146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2223</v>
      </c>
      <c r="F15" s="93">
        <v>69</v>
      </c>
      <c r="G15" s="93">
        <v>19</v>
      </c>
      <c r="H15" s="93">
        <v>371</v>
      </c>
      <c r="I15" s="93">
        <v>0</v>
      </c>
      <c r="J15" s="93">
        <v>1764</v>
      </c>
      <c r="K15" s="92">
        <v>123.09</v>
      </c>
      <c r="L15" s="92">
        <f t="shared" si="35"/>
        <v>273629.07</v>
      </c>
      <c r="M15" s="89">
        <v>62</v>
      </c>
      <c r="N15" s="89">
        <v>129</v>
      </c>
      <c r="O15" s="89">
        <v>1324</v>
      </c>
      <c r="P15" s="89">
        <v>62</v>
      </c>
      <c r="Q15" s="233">
        <f t="shared" si="14"/>
        <v>18.428571428571427</v>
      </c>
      <c r="R15" s="92">
        <f t="shared" si="15"/>
        <v>11.428571428571429</v>
      </c>
      <c r="S15" s="93">
        <v>82</v>
      </c>
      <c r="T15" s="93">
        <v>-2</v>
      </c>
      <c r="U15" s="92">
        <f t="shared" si="16"/>
        <v>80</v>
      </c>
      <c r="V15" s="93">
        <v>69043.680000000008</v>
      </c>
      <c r="W15" s="93">
        <v>-1655</v>
      </c>
      <c r="X15" s="92">
        <f t="shared" si="17"/>
        <v>67388.680000000008</v>
      </c>
      <c r="Y15" s="93">
        <v>106944.22</v>
      </c>
      <c r="Z15" s="93">
        <v>-2578</v>
      </c>
      <c r="AA15" s="92">
        <f t="shared" si="18"/>
        <v>104366.22</v>
      </c>
      <c r="AB15" s="92">
        <f t="shared" si="19"/>
        <v>105893.52</v>
      </c>
      <c r="AC15" s="234">
        <f t="shared" si="20"/>
        <v>1.8052229341669099E-2</v>
      </c>
      <c r="AD15" s="92">
        <f t="shared" si="21"/>
        <v>9847.2000000000007</v>
      </c>
      <c r="AE15" s="93">
        <v>39197.01999999999</v>
      </c>
      <c r="AF15" s="234">
        <f t="shared" si="22"/>
        <v>0.37557190439588584</v>
      </c>
      <c r="AG15" s="93">
        <v>9735.1900000000023</v>
      </c>
      <c r="AH15" s="93">
        <v>1296</v>
      </c>
      <c r="AI15" s="93">
        <v>3602</v>
      </c>
      <c r="AJ15" s="93"/>
      <c r="AK15" s="93"/>
      <c r="AL15" s="122">
        <f t="shared" si="23"/>
        <v>288.05446667455897</v>
      </c>
      <c r="AM15" s="93">
        <v>0</v>
      </c>
      <c r="AN15" s="94">
        <f t="shared" si="24"/>
        <v>3847.8936280000003</v>
      </c>
      <c r="AO15" s="95">
        <f t="shared" si="26"/>
        <v>36552.861905325459</v>
      </c>
      <c r="AP15" s="96"/>
      <c r="AQ15" s="97">
        <f t="shared" si="7"/>
        <v>1304.5777499999999</v>
      </c>
      <c r="AR15" s="98">
        <f t="shared" si="8"/>
        <v>123.09</v>
      </c>
      <c r="AS15" s="98">
        <f t="shared" si="9"/>
        <v>489.96274999999986</v>
      </c>
      <c r="AT15" s="98">
        <f t="shared" si="10"/>
        <v>118.72182926829271</v>
      </c>
      <c r="AU15" s="98">
        <f t="shared" si="25"/>
        <v>59.731707317073173</v>
      </c>
      <c r="AV15" s="98">
        <f t="array" ref="AV15">_xlfn.IFS(U15=0,AO15,U15&lt;0,AO15/-U15,U15&gt;0,AO15/U15)</f>
        <v>456.91077381656822</v>
      </c>
      <c r="AW15" s="234">
        <f t="shared" si="33"/>
        <v>0.35023652198312311</v>
      </c>
      <c r="AX15" s="234">
        <f t="shared" si="34"/>
        <v>3.7120056366607215</v>
      </c>
      <c r="AY15" s="99"/>
      <c r="AZ15" s="94">
        <f t="shared" si="13"/>
        <v>1015712.6501942312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3933</v>
      </c>
      <c r="F16" s="93">
        <v>203</v>
      </c>
      <c r="G16" s="93">
        <v>67</v>
      </c>
      <c r="H16" s="93">
        <v>472</v>
      </c>
      <c r="I16" s="93">
        <v>2</v>
      </c>
      <c r="J16" s="93">
        <v>3189</v>
      </c>
      <c r="K16" s="92">
        <v>117.24</v>
      </c>
      <c r="L16" s="92">
        <f t="shared" si="35"/>
        <v>461104.92</v>
      </c>
      <c r="M16" s="89">
        <v>10</v>
      </c>
      <c r="N16" s="89">
        <v>354</v>
      </c>
      <c r="O16" s="89">
        <v>1512</v>
      </c>
      <c r="P16" s="89">
        <v>65</v>
      </c>
      <c r="Q16" s="233">
        <f t="shared" si="14"/>
        <v>50.571428571428569</v>
      </c>
      <c r="R16" s="92">
        <f t="shared" si="15"/>
        <v>33.285714285714285</v>
      </c>
      <c r="S16" s="93">
        <v>235</v>
      </c>
      <c r="T16" s="93">
        <v>-2</v>
      </c>
      <c r="U16" s="92">
        <f t="shared" si="16"/>
        <v>233</v>
      </c>
      <c r="V16" s="93">
        <v>226179.33000000002</v>
      </c>
      <c r="W16" s="93">
        <v>-1958</v>
      </c>
      <c r="X16" s="92">
        <f t="shared" si="17"/>
        <v>224221.33000000002</v>
      </c>
      <c r="Y16" s="93">
        <v>340034.8299999999</v>
      </c>
      <c r="Z16" s="93">
        <v>-3026</v>
      </c>
      <c r="AA16" s="92">
        <f t="shared" si="18"/>
        <v>337008.8299999999</v>
      </c>
      <c r="AB16" s="92">
        <f t="shared" si="19"/>
        <v>347911.2</v>
      </c>
      <c r="AC16" s="234">
        <f t="shared" si="20"/>
        <v>5.8292431107762374E-2</v>
      </c>
      <c r="AD16" s="92">
        <f t="shared" si="21"/>
        <v>27316.92</v>
      </c>
      <c r="AE16" s="93">
        <v>126443.70999999973</v>
      </c>
      <c r="AF16" s="234">
        <f t="shared" si="22"/>
        <v>0.37519405648807413</v>
      </c>
      <c r="AG16" s="93">
        <v>25239.400000000041</v>
      </c>
      <c r="AH16" s="93">
        <v>5746</v>
      </c>
      <c r="AI16" s="93">
        <v>29273</v>
      </c>
      <c r="AJ16" s="93"/>
      <c r="AK16" s="93"/>
      <c r="AL16" s="122">
        <f t="shared" si="23"/>
        <v>366.47360719782165</v>
      </c>
      <c r="AM16" s="93">
        <v>0</v>
      </c>
      <c r="AN16" s="94">
        <f t="shared" si="24"/>
        <v>12803.037943000001</v>
      </c>
      <c r="AO16" s="95">
        <f t="shared" si="26"/>
        <v>109820.2884498023</v>
      </c>
      <c r="AP16" s="96"/>
      <c r="AQ16" s="97">
        <f t="shared" si="7"/>
        <v>1446.3898283261799</v>
      </c>
      <c r="AR16" s="98">
        <f t="shared" si="8"/>
        <v>117.24</v>
      </c>
      <c r="AS16" s="98">
        <f t="shared" si="9"/>
        <v>542.67686695278849</v>
      </c>
      <c r="AT16" s="98">
        <f t="shared" si="10"/>
        <v>107.40170212765975</v>
      </c>
      <c r="AU16" s="98">
        <f t="shared" si="25"/>
        <v>149.01702127659576</v>
      </c>
      <c r="AV16" s="98">
        <f t="array" ref="AV16">_xlfn.IFS(U16=0,AO16,U16&lt;0,AO16/-U16,U16&gt;0,AO16/U16)</f>
        <v>471.33171008498846</v>
      </c>
      <c r="AW16" s="234">
        <f t="shared" si="33"/>
        <v>0.32586768854039327</v>
      </c>
      <c r="AX16" s="234">
        <f t="shared" si="34"/>
        <v>4.0202295298958415</v>
      </c>
      <c r="AY16" s="99"/>
      <c r="AZ16" s="94">
        <f t="shared" si="13"/>
        <v>1853747.6157642596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2069</v>
      </c>
      <c r="F17" s="93">
        <v>36</v>
      </c>
      <c r="G17" s="93">
        <v>18</v>
      </c>
      <c r="H17" s="93">
        <v>136</v>
      </c>
      <c r="I17" s="93">
        <v>1</v>
      </c>
      <c r="J17" s="93">
        <v>1878</v>
      </c>
      <c r="K17" s="93">
        <v>123.09</v>
      </c>
      <c r="L17" s="92">
        <f t="shared" si="35"/>
        <v>254673.21000000002</v>
      </c>
      <c r="M17" s="89">
        <v>41</v>
      </c>
      <c r="N17" s="89">
        <v>68</v>
      </c>
      <c r="O17" s="89">
        <v>1480</v>
      </c>
      <c r="P17" s="89">
        <v>52</v>
      </c>
      <c r="Q17" s="233">
        <f t="shared" si="14"/>
        <v>9.7142857142857135</v>
      </c>
      <c r="R17" s="92">
        <f t="shared" si="15"/>
        <v>6</v>
      </c>
      <c r="S17" s="93">
        <v>45</v>
      </c>
      <c r="T17" s="93">
        <v>-3</v>
      </c>
      <c r="U17" s="92">
        <f t="shared" si="16"/>
        <v>42</v>
      </c>
      <c r="V17" s="93">
        <v>43054.22</v>
      </c>
      <c r="W17" s="93">
        <v>-2742</v>
      </c>
      <c r="X17" s="92">
        <f t="shared" si="17"/>
        <v>40312.22</v>
      </c>
      <c r="Y17" s="93">
        <v>66128.3</v>
      </c>
      <c r="Z17" s="93">
        <v>-4382</v>
      </c>
      <c r="AA17" s="92">
        <f t="shared" si="18"/>
        <v>61746.3</v>
      </c>
      <c r="AB17" s="92">
        <f t="shared" si="19"/>
        <v>52332.800000000003</v>
      </c>
      <c r="AC17" s="234">
        <f t="shared" si="20"/>
        <v>1.0680260036240679E-2</v>
      </c>
      <c r="AD17" s="92">
        <f t="shared" si="21"/>
        <v>5169.78</v>
      </c>
      <c r="AE17" s="93">
        <v>23247.280000000006</v>
      </c>
      <c r="AF17" s="234">
        <f t="shared" si="22"/>
        <v>0.37649672935868228</v>
      </c>
      <c r="AG17" s="93">
        <v>6699.0799999999972</v>
      </c>
      <c r="AH17" s="93"/>
      <c r="AI17" s="93">
        <v>5391</v>
      </c>
      <c r="AJ17" s="93"/>
      <c r="AK17" s="93"/>
      <c r="AL17" s="122">
        <f t="shared" si="23"/>
        <v>105.59409020954183</v>
      </c>
      <c r="AM17" s="93">
        <v>0</v>
      </c>
      <c r="AN17" s="94">
        <f t="shared" si="24"/>
        <v>2301.8277619999999</v>
      </c>
      <c r="AO17" s="95">
        <f t="shared" si="26"/>
        <v>18831.738147790456</v>
      </c>
      <c r="AP17" s="96"/>
      <c r="AQ17" s="97">
        <f t="shared" si="7"/>
        <v>1470.15</v>
      </c>
      <c r="AR17" s="98">
        <f t="shared" si="8"/>
        <v>123.09</v>
      </c>
      <c r="AS17" s="98">
        <f t="shared" si="9"/>
        <v>553.50666666666677</v>
      </c>
      <c r="AT17" s="98">
        <f t="shared" si="10"/>
        <v>148.86844444444438</v>
      </c>
      <c r="AU17" s="98">
        <f t="shared" si="25"/>
        <v>119.8</v>
      </c>
      <c r="AV17" s="98">
        <f t="array" ref="AV17">_xlfn.IFS(U17=0,AO17,U17&lt;0,AO17/-U17,U17&gt;0,AO17/U17)</f>
        <v>448.37471780453467</v>
      </c>
      <c r="AW17" s="234">
        <f t="shared" si="33"/>
        <v>0.30498569384384905</v>
      </c>
      <c r="AX17" s="234">
        <f t="shared" si="34"/>
        <v>3.6426575497971783</v>
      </c>
      <c r="AY17" s="99"/>
      <c r="AZ17" s="94">
        <f t="shared" si="13"/>
        <v>927687.29113758227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1865</v>
      </c>
      <c r="F18" s="93">
        <v>115</v>
      </c>
      <c r="G18" s="93">
        <v>54</v>
      </c>
      <c r="H18" s="93">
        <v>105</v>
      </c>
      <c r="I18" s="93">
        <v>2</v>
      </c>
      <c r="J18" s="93">
        <v>1589</v>
      </c>
      <c r="K18" s="93">
        <v>123.09</v>
      </c>
      <c r="L18" s="92">
        <f t="shared" si="35"/>
        <v>229562.85</v>
      </c>
      <c r="M18" s="89">
        <v>14</v>
      </c>
      <c r="N18" s="89">
        <v>196</v>
      </c>
      <c r="O18" s="89">
        <v>1682</v>
      </c>
      <c r="P18" s="89">
        <v>38</v>
      </c>
      <c r="Q18" s="233">
        <f t="shared" si="14"/>
        <v>28</v>
      </c>
      <c r="R18" s="92">
        <f t="shared" si="15"/>
        <v>14.714285714285714</v>
      </c>
      <c r="S18" s="93">
        <v>108</v>
      </c>
      <c r="T18" s="93">
        <v>-5</v>
      </c>
      <c r="U18" s="92">
        <f t="shared" si="16"/>
        <v>103</v>
      </c>
      <c r="V18" s="93">
        <v>111060.79000000001</v>
      </c>
      <c r="W18" s="93">
        <v>-5000</v>
      </c>
      <c r="X18" s="92">
        <f t="shared" si="17"/>
        <v>106060.79000000001</v>
      </c>
      <c r="Y18" s="93">
        <v>166911.15</v>
      </c>
      <c r="Z18" s="93">
        <v>-7634.03</v>
      </c>
      <c r="AA18" s="92">
        <f t="shared" si="18"/>
        <v>159277.12</v>
      </c>
      <c r="AB18" s="92">
        <f t="shared" si="19"/>
        <v>125275.36</v>
      </c>
      <c r="AC18" s="234">
        <f t="shared" si="20"/>
        <v>2.7550169960362175E-2</v>
      </c>
      <c r="AD18" s="92">
        <f t="shared" si="21"/>
        <v>12678.27</v>
      </c>
      <c r="AE18" s="93">
        <v>59966.31</v>
      </c>
      <c r="AF18" s="234">
        <f t="shared" si="22"/>
        <v>0.3764904212230859</v>
      </c>
      <c r="AG18" s="93">
        <v>17526.389999999992</v>
      </c>
      <c r="AH18" s="93">
        <v>1365</v>
      </c>
      <c r="AI18" s="93">
        <v>16456</v>
      </c>
      <c r="AJ18" s="93"/>
      <c r="AK18" s="93"/>
      <c r="AL18" s="122">
        <f t="shared" si="23"/>
        <v>81.524849058837447</v>
      </c>
      <c r="AM18" s="93">
        <v>0</v>
      </c>
      <c r="AN18" s="94">
        <f t="shared" si="24"/>
        <v>6056.0711090000004</v>
      </c>
      <c r="AO18" s="95">
        <f t="shared" si="26"/>
        <v>45147.554041941185</v>
      </c>
      <c r="AP18" s="96"/>
      <c r="AQ18" s="97">
        <f t="shared" si="7"/>
        <v>1546.3798058252428</v>
      </c>
      <c r="AR18" s="98">
        <f t="shared" si="8"/>
        <v>123.09</v>
      </c>
      <c r="AS18" s="98">
        <f t="shared" si="9"/>
        <v>582.19718446601939</v>
      </c>
      <c r="AT18" s="98">
        <f t="shared" si="10"/>
        <v>162.28138888888881</v>
      </c>
      <c r="AU18" s="98">
        <f t="shared" si="25"/>
        <v>165.00925925925927</v>
      </c>
      <c r="AV18" s="98">
        <f t="array" ref="AV18">_xlfn.IFS(U18=0,AO18,U18&lt;0,AO18/-U18,U18&gt;0,AO18/U18)</f>
        <v>438.32576739748725</v>
      </c>
      <c r="AW18" s="234">
        <f t="shared" si="33"/>
        <v>0.2834528527508608</v>
      </c>
      <c r="AX18" s="234">
        <f t="shared" si="34"/>
        <v>3.5610185018887583</v>
      </c>
      <c r="AY18" s="99"/>
      <c r="AZ18" s="94">
        <f t="shared" si="13"/>
        <v>817477.5561963137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5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23"/>
        <v>0</v>
      </c>
      <c r="AM20" s="93">
        <v>0</v>
      </c>
      <c r="AN20" s="94">
        <f t="shared" si="24"/>
        <v>0</v>
      </c>
      <c r="AO20" s="95">
        <f t="shared" si="26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5"/>
        <v>0</v>
      </c>
      <c r="AV20" s="98">
        <f t="array" ref="AV20">_xlfn.IFS(U20=0,AO20,U20&lt;0,AO20/-U20,U20&gt;0,AO20/U20)</f>
        <v>0</v>
      </c>
      <c r="AW20" s="234">
        <f t="shared" si="33"/>
        <v>0</v>
      </c>
      <c r="AX20" s="234">
        <f t="shared" si="34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5"/>
        <v>37751.279999999999</v>
      </c>
      <c r="M21" s="89">
        <v>7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23"/>
        <v>0</v>
      </c>
      <c r="AM21" s="93">
        <v>0</v>
      </c>
      <c r="AN21" s="94">
        <f t="shared" si="24"/>
        <v>0</v>
      </c>
      <c r="AO21" s="95">
        <f t="shared" si="26"/>
        <v>0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0</v>
      </c>
      <c r="AW21" s="234">
        <f t="shared" si="33"/>
        <v>0</v>
      </c>
      <c r="AX21" s="234">
        <f t="shared" si="34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5"/>
        <v>37634.04</v>
      </c>
      <c r="M22" s="89">
        <v>5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23"/>
        <v>0</v>
      </c>
      <c r="AM22" s="93">
        <v>0</v>
      </c>
      <c r="AN22" s="94">
        <f t="shared" si="24"/>
        <v>0</v>
      </c>
      <c r="AO22" s="95">
        <f t="shared" si="26"/>
        <v>0</v>
      </c>
      <c r="AP22" s="96"/>
      <c r="AQ22" s="97">
        <f t="shared" si="7"/>
        <v>0</v>
      </c>
      <c r="AR22" s="98">
        <f t="shared" si="36"/>
        <v>117.24</v>
      </c>
      <c r="AS22" s="98">
        <f t="shared" si="9"/>
        <v>0</v>
      </c>
      <c r="AT22" s="98">
        <f t="shared" si="10"/>
        <v>0</v>
      </c>
      <c r="AU22" s="98">
        <f t="shared" si="25"/>
        <v>0</v>
      </c>
      <c r="AV22" s="98">
        <f t="array" ref="AV22">_xlfn.IFS(U22=0,AO22,U22&lt;0,AO22/-U22,U22&gt;0,AO22/U22)</f>
        <v>0</v>
      </c>
      <c r="AW22" s="234">
        <f t="shared" si="33"/>
        <v>0</v>
      </c>
      <c r="AX22" s="234">
        <f t="shared" si="34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29</v>
      </c>
      <c r="F24" s="93">
        <v>1</v>
      </c>
      <c r="G24" s="93" t="s">
        <v>100</v>
      </c>
      <c r="H24" s="93" t="s">
        <v>100</v>
      </c>
      <c r="I24" s="93">
        <v>1</v>
      </c>
      <c r="J24" s="93">
        <v>27</v>
      </c>
      <c r="K24" s="93">
        <v>117.24</v>
      </c>
      <c r="L24" s="92">
        <f t="shared" si="35"/>
        <v>3399.96</v>
      </c>
      <c r="M24" s="89">
        <v>999</v>
      </c>
      <c r="N24" s="89">
        <v>1</v>
      </c>
      <c r="O24" s="89">
        <v>918</v>
      </c>
      <c r="P24" s="89">
        <v>0</v>
      </c>
      <c r="Q24" s="233">
        <f t="shared" si="14"/>
        <v>0.14285714285714285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0</v>
      </c>
      <c r="AO24" s="95">
        <f t="shared" si="26"/>
        <v>0</v>
      </c>
      <c r="AP24" s="96"/>
      <c r="AQ24" s="97">
        <f t="shared" si="7"/>
        <v>0</v>
      </c>
      <c r="AR24" s="98">
        <f t="shared" si="36"/>
        <v>117.24</v>
      </c>
      <c r="AS24" s="98">
        <f t="shared" si="9"/>
        <v>0</v>
      </c>
      <c r="AT24" s="98">
        <f t="shared" si="10"/>
        <v>0</v>
      </c>
      <c r="AU24" s="98">
        <f t="shared" si="25"/>
        <v>0</v>
      </c>
      <c r="AV24" s="98">
        <f t="array" ref="AV24">_xlfn.IFS(U24=0,AO24,U24&lt;0,AO24/-U24,U24&gt;0,AO24/U24)</f>
        <v>0</v>
      </c>
      <c r="AW24" s="234">
        <f t="shared" si="33"/>
        <v>0</v>
      </c>
      <c r="AX24" s="234">
        <f t="shared" si="34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682</v>
      </c>
      <c r="F26" s="93">
        <v>61</v>
      </c>
      <c r="G26" s="93">
        <v>41</v>
      </c>
      <c r="H26" s="93">
        <v>309</v>
      </c>
      <c r="I26" s="93">
        <v>271</v>
      </c>
      <c r="J26" s="93">
        <v>0</v>
      </c>
      <c r="K26" s="93">
        <v>123.09</v>
      </c>
      <c r="L26" s="92">
        <f t="shared" si="35"/>
        <v>83947.38</v>
      </c>
      <c r="M26" s="89">
        <v>45</v>
      </c>
      <c r="N26" s="89">
        <v>89</v>
      </c>
      <c r="O26" s="89">
        <v>1239</v>
      </c>
      <c r="P26" s="89">
        <v>21</v>
      </c>
      <c r="Q26" s="233">
        <f t="shared" si="14"/>
        <v>12.714285714285714</v>
      </c>
      <c r="R26" s="92">
        <f t="shared" si="15"/>
        <v>3.8571428571428572</v>
      </c>
      <c r="S26" s="93">
        <v>31</v>
      </c>
      <c r="T26" s="93">
        <v>-4</v>
      </c>
      <c r="U26" s="92">
        <f t="shared" si="16"/>
        <v>27</v>
      </c>
      <c r="V26" s="93">
        <v>21878</v>
      </c>
      <c r="W26" s="93">
        <v>-2620</v>
      </c>
      <c r="X26" s="92">
        <f t="shared" si="17"/>
        <v>19258</v>
      </c>
      <c r="Y26" s="93">
        <v>34342</v>
      </c>
      <c r="Z26" s="93">
        <v>-4110</v>
      </c>
      <c r="AA26" s="92">
        <f t="shared" si="18"/>
        <v>30232</v>
      </c>
      <c r="AB26" s="92">
        <f t="shared" si="19"/>
        <v>23156.91</v>
      </c>
      <c r="AC26" s="234">
        <f t="shared" si="20"/>
        <v>5.2292302763992052E-3</v>
      </c>
      <c r="AD26" s="92">
        <f t="shared" si="21"/>
        <v>3323.4300000000003</v>
      </c>
      <c r="AE26" s="93">
        <v>11469.730000000003</v>
      </c>
      <c r="AF26" s="234">
        <f t="shared" si="22"/>
        <v>0.37939038105318879</v>
      </c>
      <c r="AG26" s="93">
        <v>12430.489999999994</v>
      </c>
      <c r="AH26" s="93">
        <v>1000</v>
      </c>
      <c r="AI26" s="93">
        <v>6522</v>
      </c>
      <c r="AJ26" s="93"/>
      <c r="AK26" s="93"/>
      <c r="AL26" s="122">
        <f t="shared" si="23"/>
        <v>239.91598437315022</v>
      </c>
      <c r="AM26" s="93">
        <v>0</v>
      </c>
      <c r="AN26" s="94">
        <f t="shared" si="24"/>
        <v>1099.6317999999999</v>
      </c>
      <c r="AO26" s="95">
        <f t="shared" si="26"/>
        <v>-5853.1977843731484</v>
      </c>
      <c r="AP26" s="96"/>
      <c r="AQ26" s="97">
        <f t="shared" si="7"/>
        <v>1119.7037037037037</v>
      </c>
      <c r="AR26" s="98">
        <f t="shared" si="36"/>
        <v>123.09</v>
      </c>
      <c r="AS26" s="98">
        <f t="shared" si="9"/>
        <v>424.80481481481496</v>
      </c>
      <c r="AT26" s="98">
        <f t="shared" si="10"/>
        <v>400.98354838709662</v>
      </c>
      <c r="AU26" s="98">
        <f t="shared" si="25"/>
        <v>242.64516129032259</v>
      </c>
      <c r="AV26" s="98">
        <f t="array" ref="AV26">_xlfn.IFS(U26=0,AO26,U26&lt;0,AO26/-U26,U26&gt;0,AO26/U26)</f>
        <v>-216.78510312493142</v>
      </c>
      <c r="AW26" s="234">
        <f t="shared" si="33"/>
        <v>-0.19360934719413697</v>
      </c>
      <c r="AX26" s="234">
        <f t="shared" si="34"/>
        <v>-1.7611918362574654</v>
      </c>
      <c r="AY26" s="99"/>
      <c r="AZ26" s="94">
        <f t="shared" si="13"/>
        <v>-147847.44033120322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334</v>
      </c>
      <c r="F27" s="93">
        <v>10</v>
      </c>
      <c r="G27" s="93">
        <v>3</v>
      </c>
      <c r="H27" s="93">
        <v>1</v>
      </c>
      <c r="I27" s="93">
        <v>320</v>
      </c>
      <c r="J27" s="93">
        <v>0</v>
      </c>
      <c r="K27" s="93">
        <v>181.59</v>
      </c>
      <c r="L27" s="92">
        <f t="shared" si="35"/>
        <v>60651.06</v>
      </c>
      <c r="M27" s="89">
        <v>15</v>
      </c>
      <c r="N27" s="89">
        <v>13</v>
      </c>
      <c r="O27" s="89">
        <v>478</v>
      </c>
      <c r="P27" s="89">
        <v>67</v>
      </c>
      <c r="Q27" s="233">
        <f t="shared" si="14"/>
        <v>1.8571428571428572</v>
      </c>
      <c r="R27" s="92">
        <f t="shared" si="15"/>
        <v>1.8571428571428572</v>
      </c>
      <c r="S27" s="93">
        <v>13</v>
      </c>
      <c r="T27" s="93">
        <v>0</v>
      </c>
      <c r="U27" s="92">
        <f t="shared" si="16"/>
        <v>13</v>
      </c>
      <c r="V27" s="93">
        <v>3922.82</v>
      </c>
      <c r="W27" s="93">
        <v>0</v>
      </c>
      <c r="X27" s="92">
        <f t="shared" si="17"/>
        <v>3922.82</v>
      </c>
      <c r="Y27" s="93">
        <v>6214.63</v>
      </c>
      <c r="Z27" s="93">
        <v>0</v>
      </c>
      <c r="AA27" s="92">
        <f t="shared" si="18"/>
        <v>6214.63</v>
      </c>
      <c r="AB27" s="92">
        <f t="shared" si="19"/>
        <v>4163.38</v>
      </c>
      <c r="AC27" s="234">
        <f t="shared" si="20"/>
        <v>1.0749448052599494E-3</v>
      </c>
      <c r="AD27" s="92">
        <f t="shared" si="21"/>
        <v>2360.67</v>
      </c>
      <c r="AE27" s="93">
        <v>2342.5500000000002</v>
      </c>
      <c r="AF27" s="234">
        <f t="shared" si="22"/>
        <v>0.37694118555730594</v>
      </c>
      <c r="AG27" s="93">
        <v>1482.0199999999998</v>
      </c>
      <c r="AH27" s="93"/>
      <c r="AI27" s="93"/>
      <c r="AJ27" s="93"/>
      <c r="AK27" s="93"/>
      <c r="AL27" s="122">
        <f t="shared" si="23"/>
        <v>0.77642713389369</v>
      </c>
      <c r="AM27" s="93">
        <v>0</v>
      </c>
      <c r="AN27" s="94">
        <f t="shared" si="24"/>
        <v>223.993022</v>
      </c>
      <c r="AO27" s="95">
        <f t="shared" si="26"/>
        <v>-195.37944913389359</v>
      </c>
      <c r="AP27" s="96"/>
      <c r="AQ27" s="97">
        <f t="shared" si="7"/>
        <v>478.04846153846154</v>
      </c>
      <c r="AR27" s="98">
        <f t="shared" si="36"/>
        <v>181.59</v>
      </c>
      <c r="AS27" s="98">
        <f t="shared" si="9"/>
        <v>180.19615384615386</v>
      </c>
      <c r="AT27" s="98">
        <f t="shared" si="10"/>
        <v>114.00153846153844</v>
      </c>
      <c r="AU27" s="98">
        <f t="shared" si="25"/>
        <v>0</v>
      </c>
      <c r="AV27" s="98">
        <f t="array" ref="AV27">_xlfn.IFS(U27=0,AO27,U27&lt;0,AO27/-U27,U27&gt;0,AO27/U27)</f>
        <v>-15.029188394914891</v>
      </c>
      <c r="AW27" s="234">
        <f t="shared" si="33"/>
        <v>-3.1438629352655525E-2</v>
      </c>
      <c r="AX27" s="234">
        <f t="shared" si="34"/>
        <v>-8.276440550093557E-2</v>
      </c>
      <c r="AY27" s="99"/>
      <c r="AZ27" s="94">
        <f t="shared" si="13"/>
        <v>-5019.748923901574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1153</v>
      </c>
      <c r="F28" s="93">
        <v>245</v>
      </c>
      <c r="G28" s="93">
        <v>117</v>
      </c>
      <c r="H28" s="93">
        <v>539</v>
      </c>
      <c r="I28" s="93">
        <v>0</v>
      </c>
      <c r="J28" s="93">
        <v>252</v>
      </c>
      <c r="K28" s="93">
        <v>133.62</v>
      </c>
      <c r="L28" s="92">
        <f t="shared" si="35"/>
        <v>154063.86000000002</v>
      </c>
      <c r="M28" s="89">
        <v>16</v>
      </c>
      <c r="N28" s="89">
        <v>385</v>
      </c>
      <c r="O28" s="89">
        <v>1652</v>
      </c>
      <c r="P28" s="89">
        <v>41</v>
      </c>
      <c r="Q28" s="233">
        <f t="shared" si="14"/>
        <v>55</v>
      </c>
      <c r="R28" s="92">
        <f t="shared" si="15"/>
        <v>26.857142857142858</v>
      </c>
      <c r="S28" s="93">
        <v>198</v>
      </c>
      <c r="T28" s="93">
        <v>-10</v>
      </c>
      <c r="U28" s="92">
        <f t="shared" si="16"/>
        <v>188</v>
      </c>
      <c r="V28" s="93">
        <v>205740.03999999998</v>
      </c>
      <c r="W28" s="93">
        <v>-9684</v>
      </c>
      <c r="X28" s="92">
        <f t="shared" si="17"/>
        <v>196056.03999999998</v>
      </c>
      <c r="Y28" s="93">
        <v>304179.09999999998</v>
      </c>
      <c r="Z28" s="93">
        <v>-14762</v>
      </c>
      <c r="AA28" s="92">
        <f t="shared" si="18"/>
        <v>289417.09999999998</v>
      </c>
      <c r="AB28" s="92">
        <f t="shared" si="19"/>
        <v>260768.2</v>
      </c>
      <c r="AC28" s="234">
        <f t="shared" si="20"/>
        <v>5.0060487623301675E-2</v>
      </c>
      <c r="AD28" s="92">
        <f t="shared" si="21"/>
        <v>25120.560000000001</v>
      </c>
      <c r="AE28" s="93">
        <v>108640.38000000002</v>
      </c>
      <c r="AF28" s="234">
        <f t="shared" si="22"/>
        <v>0.37537650677862511</v>
      </c>
      <c r="AG28" s="93">
        <v>49136.750000000262</v>
      </c>
      <c r="AH28" s="93"/>
      <c r="AI28" s="93">
        <v>20000</v>
      </c>
      <c r="AJ28" s="93"/>
      <c r="AK28" s="93"/>
      <c r="AL28" s="122">
        <f t="shared" si="23"/>
        <v>418.4942251686989</v>
      </c>
      <c r="AM28" s="93">
        <v>80</v>
      </c>
      <c r="AN28" s="94">
        <f t="shared" si="24"/>
        <v>11194.799883999998</v>
      </c>
      <c r="AO28" s="95">
        <f t="shared" si="26"/>
        <v>74826.115890831017</v>
      </c>
      <c r="AP28" s="96"/>
      <c r="AQ28" s="97">
        <f t="shared" si="7"/>
        <v>1539.452659574468</v>
      </c>
      <c r="AR28" s="98">
        <f t="shared" si="36"/>
        <v>133.62</v>
      </c>
      <c r="AS28" s="98">
        <f t="shared" si="9"/>
        <v>577.87436170212777</v>
      </c>
      <c r="AT28" s="98">
        <f t="shared" si="10"/>
        <v>248.16540404040538</v>
      </c>
      <c r="AU28" s="98">
        <f t="shared" si="25"/>
        <v>101.01010101010101</v>
      </c>
      <c r="AV28" s="98">
        <f>_xlfn.IFS(U28=0,AO28,U28&lt;0,AO28/-U28,U28&gt;0,AO28/U28)</f>
        <v>398.01125473846287</v>
      </c>
      <c r="AW28" s="234">
        <f t="shared" si="33"/>
        <v>0.25854075619868699</v>
      </c>
      <c r="AX28" s="234">
        <f t="shared" si="34"/>
        <v>2.9786802480052601</v>
      </c>
      <c r="AY28" s="99"/>
      <c r="AZ28" s="94">
        <f t="shared" si="13"/>
        <v>458906.97671344766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111.39</v>
      </c>
      <c r="L30" s="92">
        <f>E30*K30</f>
        <v>0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23"/>
        <v>0</v>
      </c>
      <c r="AM30" s="93">
        <v>0</v>
      </c>
      <c r="AN30" s="94">
        <f t="shared" si="24"/>
        <v>0</v>
      </c>
      <c r="AO30" s="95">
        <f t="shared" si="26"/>
        <v>0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0</v>
      </c>
      <c r="AU30" s="98">
        <f t="shared" si="25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154</v>
      </c>
      <c r="F33" s="93">
        <v>9</v>
      </c>
      <c r="G33" s="93">
        <v>6</v>
      </c>
      <c r="H33" s="93">
        <v>119</v>
      </c>
      <c r="I33" s="93">
        <v>20</v>
      </c>
      <c r="J33" s="93">
        <v>0</v>
      </c>
      <c r="K33" s="93">
        <v>123.09</v>
      </c>
      <c r="L33" s="92">
        <f>E33*K33</f>
        <v>18955.86</v>
      </c>
      <c r="M33" s="89">
        <v>212</v>
      </c>
      <c r="N33" s="89">
        <v>19</v>
      </c>
      <c r="O33" s="89">
        <v>1500</v>
      </c>
      <c r="P33" s="89">
        <v>40</v>
      </c>
      <c r="Q33" s="233">
        <f t="shared" si="14"/>
        <v>2.7142857142857144</v>
      </c>
      <c r="R33" s="92">
        <f t="shared" si="15"/>
        <v>0.5714285714285714</v>
      </c>
      <c r="S33" s="93">
        <v>4</v>
      </c>
      <c r="T33" s="93">
        <v>0</v>
      </c>
      <c r="U33" s="92">
        <f t="shared" si="16"/>
        <v>4</v>
      </c>
      <c r="V33" s="93">
        <v>3868</v>
      </c>
      <c r="W33" s="93">
        <v>0</v>
      </c>
      <c r="X33" s="92">
        <f t="shared" si="17"/>
        <v>3868</v>
      </c>
      <c r="Y33" s="93">
        <v>6000</v>
      </c>
      <c r="Z33" s="93">
        <v>0</v>
      </c>
      <c r="AA33" s="92">
        <f t="shared" si="18"/>
        <v>6000</v>
      </c>
      <c r="AB33" s="92">
        <f t="shared" si="19"/>
        <v>11400</v>
      </c>
      <c r="AC33" s="234">
        <f t="shared" si="20"/>
        <v>1.0378202453822185E-3</v>
      </c>
      <c r="AD33" s="92">
        <f t="shared" si="21"/>
        <v>492.36</v>
      </c>
      <c r="AE33" s="93">
        <v>2278.4899999999998</v>
      </c>
      <c r="AF33" s="234">
        <f t="shared" si="22"/>
        <v>0.3797483333333333</v>
      </c>
      <c r="AG33" s="93">
        <v>942.20999999999992</v>
      </c>
      <c r="AH33" s="93">
        <v>2504</v>
      </c>
      <c r="AI33" s="93">
        <v>2000</v>
      </c>
      <c r="AJ33" s="93"/>
      <c r="AK33" s="93"/>
      <c r="AL33" s="122">
        <f t="shared" si="23"/>
        <v>92.394828933349118</v>
      </c>
      <c r="AM33" s="93">
        <v>0</v>
      </c>
      <c r="AN33" s="94">
        <f t="shared" si="24"/>
        <v>220.86279999999999</v>
      </c>
      <c r="AO33" s="95">
        <f t="shared" si="26"/>
        <v>-2530.3176289333487</v>
      </c>
      <c r="AP33" s="96"/>
      <c r="AQ33" s="97">
        <f t="shared" si="7"/>
        <v>1500</v>
      </c>
      <c r="AR33" s="98">
        <f t="shared" si="36"/>
        <v>123.09</v>
      </c>
      <c r="AS33" s="98">
        <f t="shared" si="9"/>
        <v>569.62249999999995</v>
      </c>
      <c r="AT33" s="98">
        <f t="shared" si="10"/>
        <v>235.55249999999998</v>
      </c>
      <c r="AU33" s="98">
        <f t="shared" si="25"/>
        <v>1126</v>
      </c>
      <c r="AV33" s="98">
        <f t="array" ref="AV33">_xlfn.IFS(U33=0,AO33,U33&lt;0,AO33/-U33,U33&gt;0,AO33/U33)</f>
        <v>-632.57940723333718</v>
      </c>
      <c r="AW33" s="234">
        <f>IF(AQ33=0,0,AV33/AQ33)</f>
        <v>-0.42171960482222476</v>
      </c>
      <c r="AX33" s="234">
        <f>IF(AR33=0,0,AV33/AR33)</f>
        <v>-5.1391616478457811</v>
      </c>
      <c r="AY33" s="99"/>
      <c r="AZ33" s="94">
        <f t="shared" si="13"/>
        <v>-97417.228713933931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0</v>
      </c>
      <c r="AO34" s="95">
        <f t="shared" si="26"/>
        <v>0</v>
      </c>
      <c r="AP34" s="96"/>
      <c r="AQ34" s="97">
        <f t="shared" si="7"/>
        <v>0</v>
      </c>
      <c r="AR34" s="98">
        <f t="shared" si="36"/>
        <v>117.24</v>
      </c>
      <c r="AS34" s="98">
        <f t="shared" si="9"/>
        <v>0</v>
      </c>
      <c r="AT34" s="98">
        <f t="shared" si="10"/>
        <v>0</v>
      </c>
      <c r="AU34" s="98">
        <f t="shared" si="25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3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3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2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3"/>
        <v>339.78</v>
      </c>
      <c r="M37" s="89">
        <v>8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0.2857142857142857</v>
      </c>
      <c r="S37" s="93">
        <v>2</v>
      </c>
      <c r="T37" s="93">
        <v>0</v>
      </c>
      <c r="U37" s="92">
        <f t="shared" si="16"/>
        <v>2</v>
      </c>
      <c r="V37" s="93">
        <v>1375</v>
      </c>
      <c r="W37" s="93">
        <v>0</v>
      </c>
      <c r="X37" s="92">
        <f t="shared" si="17"/>
        <v>1375</v>
      </c>
      <c r="Y37" s="93">
        <v>1996</v>
      </c>
      <c r="Z37" s="93">
        <v>0</v>
      </c>
      <c r="AA37" s="92">
        <f t="shared" si="18"/>
        <v>1996</v>
      </c>
      <c r="AB37" s="92">
        <f t="shared" si="19"/>
        <v>0</v>
      </c>
      <c r="AC37" s="234">
        <f t="shared" si="20"/>
        <v>3.452482016304847E-4</v>
      </c>
      <c r="AD37" s="92">
        <f t="shared" si="21"/>
        <v>339.78</v>
      </c>
      <c r="AE37" s="93">
        <v>764.74</v>
      </c>
      <c r="AF37" s="234">
        <f t="shared" si="22"/>
        <v>0.3831362725450902</v>
      </c>
      <c r="AG37" s="93">
        <v>112.38999999999999</v>
      </c>
      <c r="AH37" s="93"/>
      <c r="AI37" s="93"/>
      <c r="AJ37" s="93"/>
      <c r="AK37" s="93"/>
      <c r="AL37" s="122">
        <f t="shared" si="23"/>
        <v>0</v>
      </c>
      <c r="AM37" s="93">
        <v>0</v>
      </c>
      <c r="AN37" s="94">
        <f t="shared" si="24"/>
        <v>78.512500000000003</v>
      </c>
      <c r="AO37" s="95">
        <f t="shared" si="26"/>
        <v>700.57749999999999</v>
      </c>
      <c r="AP37" s="96"/>
      <c r="AQ37" s="97">
        <f t="shared" si="7"/>
        <v>998</v>
      </c>
      <c r="AR37" s="98">
        <f t="shared" si="36"/>
        <v>169.89</v>
      </c>
      <c r="AS37" s="98">
        <f t="shared" si="9"/>
        <v>382.37</v>
      </c>
      <c r="AT37" s="98">
        <f t="shared" si="10"/>
        <v>56.194999999999993</v>
      </c>
      <c r="AU37" s="98">
        <f t="shared" si="25"/>
        <v>0</v>
      </c>
      <c r="AV37" s="98">
        <f t="array" ref="AV37">_xlfn.IFS(U37=0,AO37,U37&lt;0,AO37/-U37,U37&gt;0,AO37/U37)</f>
        <v>350.28874999999999</v>
      </c>
      <c r="AW37" s="234">
        <f t="shared" si="44"/>
        <v>0.35099073146292586</v>
      </c>
      <c r="AX37" s="234">
        <f t="shared" si="45"/>
        <v>2.0618562010712815</v>
      </c>
      <c r="AY37" s="99"/>
      <c r="AZ37" s="94">
        <f t="shared" si="13"/>
        <v>700.57749999999999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47</v>
      </c>
      <c r="F38" s="93">
        <v>5</v>
      </c>
      <c r="G38" s="93">
        <v>2</v>
      </c>
      <c r="H38" s="93">
        <v>39</v>
      </c>
      <c r="I38" s="93">
        <v>0</v>
      </c>
      <c r="J38" s="93">
        <v>1</v>
      </c>
      <c r="K38" s="92">
        <v>105.54</v>
      </c>
      <c r="L38" s="92">
        <f t="shared" si="43"/>
        <v>4960.38</v>
      </c>
      <c r="M38" s="89">
        <v>181</v>
      </c>
      <c r="N38" s="89">
        <v>4</v>
      </c>
      <c r="O38" s="89">
        <v>1197</v>
      </c>
      <c r="P38" s="89">
        <v>0</v>
      </c>
      <c r="Q38" s="233">
        <f t="shared" si="14"/>
        <v>0.5714285714285714</v>
      </c>
      <c r="R38" s="92">
        <f t="shared" si="15"/>
        <v>0.14285714285714285</v>
      </c>
      <c r="S38" s="93">
        <v>1</v>
      </c>
      <c r="T38" s="93">
        <v>0</v>
      </c>
      <c r="U38" s="92">
        <f t="shared" si="16"/>
        <v>1</v>
      </c>
      <c r="V38" s="93">
        <v>681</v>
      </c>
      <c r="W38" s="93">
        <v>0</v>
      </c>
      <c r="X38" s="92">
        <f t="shared" si="17"/>
        <v>681</v>
      </c>
      <c r="Y38" s="93">
        <v>1161.0899999999999</v>
      </c>
      <c r="Z38" s="93">
        <v>0</v>
      </c>
      <c r="AA38" s="92">
        <f t="shared" si="18"/>
        <v>1161.0899999999999</v>
      </c>
      <c r="AB38" s="92">
        <f t="shared" si="19"/>
        <v>0</v>
      </c>
      <c r="AC38" s="234">
        <f t="shared" si="20"/>
        <v>2.0083378478513998E-4</v>
      </c>
      <c r="AD38" s="92">
        <f t="shared" si="21"/>
        <v>105.54</v>
      </c>
      <c r="AE38" s="93">
        <v>436.51999999999987</v>
      </c>
      <c r="AF38" s="234">
        <f t="shared" si="22"/>
        <v>0.37595707481762819</v>
      </c>
      <c r="AG38" s="93">
        <v>731.84999999999991</v>
      </c>
      <c r="AH38" s="93"/>
      <c r="AI38" s="93"/>
      <c r="AJ38" s="93"/>
      <c r="AK38" s="93"/>
      <c r="AL38" s="122">
        <f t="shared" si="23"/>
        <v>30.280658221853908</v>
      </c>
      <c r="AM38" s="93">
        <v>0</v>
      </c>
      <c r="AN38" s="94">
        <f t="shared" si="24"/>
        <v>38.885100000000001</v>
      </c>
      <c r="AO38" s="95">
        <f t="shared" si="26"/>
        <v>-181.98575822185373</v>
      </c>
      <c r="AP38" s="96"/>
      <c r="AQ38" s="97">
        <f t="shared" si="7"/>
        <v>1161.0899999999999</v>
      </c>
      <c r="AR38" s="98">
        <f t="shared" si="36"/>
        <v>105.54</v>
      </c>
      <c r="AS38" s="98">
        <f t="shared" si="9"/>
        <v>436.51999999999987</v>
      </c>
      <c r="AT38" s="98">
        <f t="shared" si="10"/>
        <v>731.84999999999991</v>
      </c>
      <c r="AU38" s="98">
        <f t="shared" si="25"/>
        <v>0</v>
      </c>
      <c r="AV38" s="98">
        <f t="array" ref="AV38">_xlfn.IFS(U38=0,AO38,U38&lt;0,AO38/-U38,U38&gt;0,AO38/U38)</f>
        <v>-181.98575822185373</v>
      </c>
      <c r="AW38" s="234">
        <f t="shared" si="44"/>
        <v>-0.15673699560055959</v>
      </c>
      <c r="AX38" s="234">
        <f t="shared" si="45"/>
        <v>-1.7243297159546496</v>
      </c>
      <c r="AY38" s="99"/>
      <c r="AZ38" s="94">
        <f t="shared" si="13"/>
        <v>-8553.3306364271248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18</v>
      </c>
      <c r="F39" s="93">
        <v>9</v>
      </c>
      <c r="G39" s="93">
        <v>2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3"/>
        <v>1899.72</v>
      </c>
      <c r="M39" s="89">
        <v>17</v>
      </c>
      <c r="N39" s="89">
        <v>7</v>
      </c>
      <c r="O39" s="89">
        <v>1077</v>
      </c>
      <c r="P39" s="89">
        <v>0</v>
      </c>
      <c r="Q39" s="233">
        <f t="shared" si="14"/>
        <v>1</v>
      </c>
      <c r="R39" s="92">
        <f t="shared" si="15"/>
        <v>0.5714285714285714</v>
      </c>
      <c r="S39" s="93">
        <v>4</v>
      </c>
      <c r="T39" s="93">
        <v>0</v>
      </c>
      <c r="U39" s="92">
        <f t="shared" si="16"/>
        <v>4</v>
      </c>
      <c r="V39" s="93">
        <v>2725</v>
      </c>
      <c r="W39" s="93">
        <v>0</v>
      </c>
      <c r="X39" s="92">
        <f t="shared" si="17"/>
        <v>2725</v>
      </c>
      <c r="Y39" s="93">
        <v>4275.6900000000005</v>
      </c>
      <c r="Z39" s="93">
        <v>0</v>
      </c>
      <c r="AA39" s="92">
        <f t="shared" si="18"/>
        <v>4275.6900000000005</v>
      </c>
      <c r="AB39" s="92">
        <f t="shared" si="19"/>
        <v>0</v>
      </c>
      <c r="AC39" s="234">
        <f t="shared" si="20"/>
        <v>7.3956627416304967E-4</v>
      </c>
      <c r="AD39" s="92">
        <f t="shared" si="21"/>
        <v>422.16</v>
      </c>
      <c r="AE39" s="93">
        <v>1616.17</v>
      </c>
      <c r="AF39" s="234">
        <f t="shared" si="22"/>
        <v>0.37799045300290712</v>
      </c>
      <c r="AG39" s="93">
        <v>1123.82</v>
      </c>
      <c r="AH39" s="93"/>
      <c r="AI39" s="93"/>
      <c r="AJ39" s="93"/>
      <c r="AK39" s="93"/>
      <c r="AL39" s="122">
        <f t="shared" si="23"/>
        <v>4.6585628033621402</v>
      </c>
      <c r="AM39" s="93">
        <v>0</v>
      </c>
      <c r="AN39" s="94">
        <f t="shared" si="24"/>
        <v>155.5975</v>
      </c>
      <c r="AO39" s="95">
        <f t="shared" si="26"/>
        <v>953.28393719663848</v>
      </c>
      <c r="AP39" s="96"/>
      <c r="AQ39" s="97">
        <f t="shared" si="7"/>
        <v>1068.9225000000001</v>
      </c>
      <c r="AR39" s="98">
        <f t="shared" si="36"/>
        <v>105.54</v>
      </c>
      <c r="AS39" s="98">
        <f t="shared" si="9"/>
        <v>404.04250000000002</v>
      </c>
      <c r="AT39" s="98">
        <f t="shared" si="10"/>
        <v>280.95499999999998</v>
      </c>
      <c r="AU39" s="98">
        <f t="shared" si="25"/>
        <v>0</v>
      </c>
      <c r="AV39" s="98">
        <f t="array" ref="AV39">_xlfn.IFS(U39=0,AO39,U39&lt;0,AO39/-U39,U39&gt;0,AO39/U39)</f>
        <v>238.32098429915962</v>
      </c>
      <c r="AW39" s="234">
        <f t="shared" si="44"/>
        <v>0.22295440904196479</v>
      </c>
      <c r="AX39" s="234">
        <f t="shared" si="45"/>
        <v>2.2581105201739589</v>
      </c>
      <c r="AY39" s="99"/>
      <c r="AZ39" s="94">
        <f t="shared" si="13"/>
        <v>4289.7777173848735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41</v>
      </c>
      <c r="F40" s="93">
        <v>12</v>
      </c>
      <c r="G40" s="93">
        <v>2</v>
      </c>
      <c r="H40" s="93">
        <v>26</v>
      </c>
      <c r="I40" s="93">
        <v>0</v>
      </c>
      <c r="J40" s="93">
        <v>1</v>
      </c>
      <c r="K40" s="92">
        <v>105.54</v>
      </c>
      <c r="L40" s="92">
        <f t="shared" si="43"/>
        <v>4327.1400000000003</v>
      </c>
      <c r="M40" s="89">
        <v>78</v>
      </c>
      <c r="N40" s="89">
        <v>15</v>
      </c>
      <c r="O40" s="89">
        <v>1197</v>
      </c>
      <c r="P40" s="89">
        <v>33</v>
      </c>
      <c r="Q40" s="233">
        <f t="shared" si="14"/>
        <v>2.1428571428571428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2285</v>
      </c>
      <c r="W40" s="93">
        <v>0</v>
      </c>
      <c r="X40" s="92">
        <f t="shared" si="17"/>
        <v>2285</v>
      </c>
      <c r="Y40" s="93">
        <v>3591</v>
      </c>
      <c r="Z40" s="93">
        <v>0</v>
      </c>
      <c r="AA40" s="92">
        <f t="shared" si="18"/>
        <v>3591</v>
      </c>
      <c r="AB40" s="92">
        <f t="shared" si="19"/>
        <v>5925.15</v>
      </c>
      <c r="AC40" s="234">
        <f t="shared" si="20"/>
        <v>6.2113541686125773E-4</v>
      </c>
      <c r="AD40" s="92">
        <f t="shared" si="21"/>
        <v>316.62</v>
      </c>
      <c r="AE40" s="93">
        <v>1357.2200000000003</v>
      </c>
      <c r="AF40" s="234">
        <f t="shared" si="22"/>
        <v>0.37795043163464226</v>
      </c>
      <c r="AG40" s="93">
        <v>955.68999999999983</v>
      </c>
      <c r="AH40" s="93"/>
      <c r="AI40" s="93"/>
      <c r="AJ40" s="93"/>
      <c r="AK40" s="93"/>
      <c r="AL40" s="122">
        <f t="shared" si="23"/>
        <v>20.187105481235939</v>
      </c>
      <c r="AM40" s="93">
        <v>0</v>
      </c>
      <c r="AN40" s="94">
        <f t="shared" si="24"/>
        <v>130.4735</v>
      </c>
      <c r="AO40" s="95">
        <f t="shared" si="26"/>
        <v>810.80939451876407</v>
      </c>
      <c r="AP40" s="96"/>
      <c r="AQ40" s="97">
        <f t="shared" si="7"/>
        <v>1197</v>
      </c>
      <c r="AR40" s="98">
        <f t="shared" si="36"/>
        <v>105.54</v>
      </c>
      <c r="AS40" s="98">
        <f t="shared" si="9"/>
        <v>452.40666666666675</v>
      </c>
      <c r="AT40" s="98">
        <f t="shared" si="10"/>
        <v>318.56333333333328</v>
      </c>
      <c r="AU40" s="98">
        <f t="shared" si="25"/>
        <v>0</v>
      </c>
      <c r="AV40" s="98">
        <f t="array" ref="AV40">_xlfn.IFS(U40=0,AO40,U40&lt;0,AO40/-U40,U40&gt;0,AO40/U40)</f>
        <v>270.26979817292136</v>
      </c>
      <c r="AW40" s="234">
        <f t="shared" si="44"/>
        <v>0.22578930507345144</v>
      </c>
      <c r="AX40" s="234">
        <f t="shared" si="45"/>
        <v>2.56082810472732</v>
      </c>
      <c r="AY40" s="99"/>
      <c r="AZ40" s="94">
        <f t="shared" si="13"/>
        <v>11081.061725089776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43</v>
      </c>
      <c r="F41" s="93">
        <v>3</v>
      </c>
      <c r="G41" s="93" t="s">
        <v>100</v>
      </c>
      <c r="H41" s="93">
        <v>39</v>
      </c>
      <c r="I41" s="93">
        <v>0</v>
      </c>
      <c r="J41" s="93">
        <v>1</v>
      </c>
      <c r="K41" s="92">
        <v>123.09</v>
      </c>
      <c r="L41" s="92">
        <f t="shared" si="43"/>
        <v>5292.87</v>
      </c>
      <c r="M41" s="89">
        <v>185</v>
      </c>
      <c r="N41" s="89">
        <v>4</v>
      </c>
      <c r="O41" s="89">
        <v>1218</v>
      </c>
      <c r="P41" s="89">
        <v>100</v>
      </c>
      <c r="Q41" s="233">
        <f t="shared" si="14"/>
        <v>0.5714285714285714</v>
      </c>
      <c r="R41" s="92">
        <f t="shared" si="15"/>
        <v>0.2857142857142857</v>
      </c>
      <c r="S41" s="93">
        <v>2</v>
      </c>
      <c r="T41" s="93">
        <v>0</v>
      </c>
      <c r="U41" s="92">
        <f t="shared" si="16"/>
        <v>2</v>
      </c>
      <c r="V41" s="93">
        <v>1532</v>
      </c>
      <c r="W41" s="93">
        <v>0</v>
      </c>
      <c r="X41" s="92">
        <f t="shared" si="17"/>
        <v>1532</v>
      </c>
      <c r="Y41" s="93">
        <v>2411</v>
      </c>
      <c r="Z41" s="93">
        <v>0</v>
      </c>
      <c r="AA41" s="92">
        <f t="shared" si="18"/>
        <v>2411</v>
      </c>
      <c r="AB41" s="92">
        <f t="shared" si="19"/>
        <v>4872</v>
      </c>
      <c r="AC41" s="234">
        <f t="shared" si="20"/>
        <v>4.1703076860275478E-4</v>
      </c>
      <c r="AD41" s="92">
        <f t="shared" si="21"/>
        <v>246.18</v>
      </c>
      <c r="AE41" s="93">
        <v>911.16000000000008</v>
      </c>
      <c r="AF41" s="234">
        <f t="shared" si="22"/>
        <v>0.37791787639983415</v>
      </c>
      <c r="AG41" s="93">
        <v>115.69</v>
      </c>
      <c r="AH41" s="93"/>
      <c r="AI41" s="93"/>
      <c r="AJ41" s="93"/>
      <c r="AK41" s="93"/>
      <c r="AL41" s="122">
        <f t="shared" si="23"/>
        <v>30.280658221853908</v>
      </c>
      <c r="AM41" s="93">
        <v>0</v>
      </c>
      <c r="AN41" s="94">
        <f t="shared" si="24"/>
        <v>87.477199999999996</v>
      </c>
      <c r="AO41" s="95">
        <f t="shared" si="26"/>
        <v>1020.2121417781461</v>
      </c>
      <c r="AP41" s="96"/>
      <c r="AQ41" s="97">
        <f t="shared" si="7"/>
        <v>1205.5</v>
      </c>
      <c r="AR41" s="98">
        <f t="shared" si="36"/>
        <v>123.09</v>
      </c>
      <c r="AS41" s="98">
        <f t="shared" si="9"/>
        <v>455.58000000000004</v>
      </c>
      <c r="AT41" s="98">
        <f t="shared" si="10"/>
        <v>57.844999999999999</v>
      </c>
      <c r="AU41" s="98">
        <f t="shared" si="25"/>
        <v>0</v>
      </c>
      <c r="AV41" s="98">
        <f t="array" ref="AV41">_xlfn.IFS(U41=0,AO41,U41&lt;0,AO41/-U41,U41&gt;0,AO41/U41)</f>
        <v>510.10607088907307</v>
      </c>
      <c r="AW41" s="234">
        <f t="shared" si="44"/>
        <v>0.42314895967571386</v>
      </c>
      <c r="AX41" s="234">
        <f t="shared" si="45"/>
        <v>4.1441715077510199</v>
      </c>
      <c r="AY41" s="99"/>
      <c r="AZ41" s="94">
        <f t="shared" si="13"/>
        <v>21934.561048230142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40</v>
      </c>
      <c r="F42" s="93">
        <v>15</v>
      </c>
      <c r="G42" s="93">
        <v>1</v>
      </c>
      <c r="H42" s="93">
        <v>23</v>
      </c>
      <c r="I42" s="93">
        <v>0</v>
      </c>
      <c r="J42" s="93">
        <v>1</v>
      </c>
      <c r="K42" s="92">
        <v>123.09</v>
      </c>
      <c r="L42" s="92">
        <f t="shared" si="43"/>
        <v>4923.6000000000004</v>
      </c>
      <c r="M42" s="89">
        <v>54</v>
      </c>
      <c r="N42" s="89">
        <v>14</v>
      </c>
      <c r="O42" s="89">
        <v>1176</v>
      </c>
      <c r="P42" s="89">
        <v>0</v>
      </c>
      <c r="Q42" s="233">
        <f t="shared" si="14"/>
        <v>2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543.17000000000007</v>
      </c>
      <c r="AH42" s="93"/>
      <c r="AI42" s="93"/>
      <c r="AJ42" s="93"/>
      <c r="AK42" s="93"/>
      <c r="AL42" s="122">
        <f t="shared" si="23"/>
        <v>17.85782407955487</v>
      </c>
      <c r="AM42" s="93">
        <v>0</v>
      </c>
      <c r="AN42" s="94">
        <f t="shared" si="24"/>
        <v>0</v>
      </c>
      <c r="AO42" s="95">
        <f t="shared" si="26"/>
        <v>-561.02782407955499</v>
      </c>
      <c r="AP42" s="96"/>
      <c r="AQ42" s="97">
        <f t="shared" si="7"/>
        <v>0</v>
      </c>
      <c r="AR42" s="98">
        <f t="shared" si="36"/>
        <v>123.09</v>
      </c>
      <c r="AS42" s="98">
        <f t="shared" si="9"/>
        <v>0</v>
      </c>
      <c r="AT42" s="98">
        <f t="shared" si="10"/>
        <v>543.17000000000007</v>
      </c>
      <c r="AU42" s="98">
        <f t="shared" si="25"/>
        <v>0</v>
      </c>
      <c r="AV42" s="98">
        <f t="array" ref="AV42">_xlfn.IFS(U42=0,AO42,U42&lt;0,AO42/-U42,U42&gt;0,AO42/U42)</f>
        <v>-561.02782407955499</v>
      </c>
      <c r="AW42" s="234">
        <f t="shared" si="44"/>
        <v>0</v>
      </c>
      <c r="AX42" s="234">
        <f t="shared" si="45"/>
        <v>-4.5578667972991713</v>
      </c>
      <c r="AY42" s="99"/>
      <c r="AZ42" s="94">
        <f t="shared" si="13"/>
        <v>-22441.1129631822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14</v>
      </c>
      <c r="F43" s="93">
        <v>5</v>
      </c>
      <c r="G43" s="93">
        <v>8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3"/>
        <v>1723.26</v>
      </c>
      <c r="M43" s="89">
        <v>10</v>
      </c>
      <c r="N43" s="89">
        <v>10</v>
      </c>
      <c r="O43" s="89">
        <v>1102</v>
      </c>
      <c r="P43" s="89">
        <v>0</v>
      </c>
      <c r="Q43" s="233">
        <f t="shared" si="14"/>
        <v>1.4285714285714286</v>
      </c>
      <c r="R43" s="92">
        <f t="shared" si="15"/>
        <v>0</v>
      </c>
      <c r="S43" s="93">
        <v>0</v>
      </c>
      <c r="T43" s="93">
        <v>0</v>
      </c>
      <c r="U43" s="92">
        <f t="shared" si="16"/>
        <v>0</v>
      </c>
      <c r="V43" s="93">
        <v>0</v>
      </c>
      <c r="W43" s="93">
        <v>0</v>
      </c>
      <c r="X43" s="92">
        <f t="shared" si="17"/>
        <v>0</v>
      </c>
      <c r="Y43" s="93">
        <v>0</v>
      </c>
      <c r="Z43" s="93">
        <v>0</v>
      </c>
      <c r="AA43" s="92">
        <f t="shared" si="18"/>
        <v>0</v>
      </c>
      <c r="AB43" s="92">
        <f t="shared" si="19"/>
        <v>0</v>
      </c>
      <c r="AC43" s="234">
        <f t="shared" si="20"/>
        <v>0</v>
      </c>
      <c r="AD43" s="92">
        <f t="shared" si="21"/>
        <v>0</v>
      </c>
      <c r="AE43" s="93">
        <v>0</v>
      </c>
      <c r="AF43" s="234">
        <f t="shared" si="22"/>
        <v>0</v>
      </c>
      <c r="AG43" s="93">
        <v>902.4</v>
      </c>
      <c r="AH43" s="93"/>
      <c r="AI43" s="93"/>
      <c r="AJ43" s="93"/>
      <c r="AK43" s="93"/>
      <c r="AL43" s="122">
        <f t="shared" si="23"/>
        <v>0</v>
      </c>
      <c r="AM43" s="93">
        <v>0</v>
      </c>
      <c r="AN43" s="94">
        <f t="shared" si="24"/>
        <v>0</v>
      </c>
      <c r="AO43" s="95">
        <f t="shared" si="26"/>
        <v>-902.4</v>
      </c>
      <c r="AP43" s="96"/>
      <c r="AQ43" s="97">
        <f t="shared" si="7"/>
        <v>0</v>
      </c>
      <c r="AR43" s="98">
        <f t="shared" si="36"/>
        <v>123.09</v>
      </c>
      <c r="AS43" s="98">
        <f t="shared" si="9"/>
        <v>0</v>
      </c>
      <c r="AT43" s="98">
        <f t="shared" si="10"/>
        <v>902.4</v>
      </c>
      <c r="AU43" s="98">
        <f t="shared" si="25"/>
        <v>0</v>
      </c>
      <c r="AV43" s="98">
        <f t="array" ref="AV43">_xlfn.IFS(U43=0,AO43,U43&lt;0,AO43/-U43,U43&gt;0,AO43/U43)</f>
        <v>-902.4</v>
      </c>
      <c r="AW43" s="234">
        <f t="shared" si="44"/>
        <v>0</v>
      </c>
      <c r="AX43" s="234">
        <f t="shared" si="45"/>
        <v>-7.3312210577626127</v>
      </c>
      <c r="AY43" s="99"/>
      <c r="AZ43" s="94">
        <f t="shared" si="13"/>
        <v>-12633.6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1392</v>
      </c>
      <c r="F44" s="93">
        <v>72</v>
      </c>
      <c r="G44" s="93">
        <v>15</v>
      </c>
      <c r="H44" s="93">
        <v>68</v>
      </c>
      <c r="I44" s="93">
        <v>0</v>
      </c>
      <c r="J44" s="93">
        <v>1237</v>
      </c>
      <c r="K44" s="92">
        <v>111.39</v>
      </c>
      <c r="L44" s="92">
        <f t="shared" si="43"/>
        <v>155054.88</v>
      </c>
      <c r="M44" s="89">
        <v>19</v>
      </c>
      <c r="N44" s="89">
        <v>112</v>
      </c>
      <c r="O44" s="89">
        <v>1204</v>
      </c>
      <c r="P44" s="89">
        <v>57</v>
      </c>
      <c r="Q44" s="233">
        <f t="shared" si="14"/>
        <v>16</v>
      </c>
      <c r="R44" s="92">
        <f t="shared" si="15"/>
        <v>8.2857142857142865</v>
      </c>
      <c r="S44" s="93">
        <v>59</v>
      </c>
      <c r="T44" s="93">
        <v>-1</v>
      </c>
      <c r="U44" s="92">
        <f t="shared" si="16"/>
        <v>58</v>
      </c>
      <c r="V44" s="93">
        <v>44975.73</v>
      </c>
      <c r="W44" s="93">
        <v>-822</v>
      </c>
      <c r="X44" s="92">
        <f t="shared" si="17"/>
        <v>44153.73</v>
      </c>
      <c r="Y44" s="93">
        <v>67822.78</v>
      </c>
      <c r="Z44" s="93">
        <v>-1201</v>
      </c>
      <c r="AA44" s="92">
        <f t="shared" si="18"/>
        <v>66621.78</v>
      </c>
      <c r="AB44" s="92">
        <f t="shared" si="19"/>
        <v>76863.360000000001</v>
      </c>
      <c r="AC44" s="234">
        <f t="shared" si="20"/>
        <v>1.1523572011233362E-2</v>
      </c>
      <c r="AD44" s="92">
        <f t="shared" si="21"/>
        <v>6460.62</v>
      </c>
      <c r="AE44" s="93">
        <v>25157.870000000003</v>
      </c>
      <c r="AF44" s="234">
        <f t="shared" si="22"/>
        <v>0.37762230309667505</v>
      </c>
      <c r="AG44" s="93">
        <v>6356.9099999999989</v>
      </c>
      <c r="AH44" s="93">
        <v>1000</v>
      </c>
      <c r="AI44" s="93">
        <v>5224</v>
      </c>
      <c r="AJ44" s="93"/>
      <c r="AK44" s="93"/>
      <c r="AL44" s="122">
        <f t="shared" si="23"/>
        <v>52.797045104770916</v>
      </c>
      <c r="AM44" s="93">
        <v>0</v>
      </c>
      <c r="AN44" s="94">
        <f t="shared" si="24"/>
        <v>2521.177983</v>
      </c>
      <c r="AO44" s="95">
        <f t="shared" si="26"/>
        <v>19848.404971895223</v>
      </c>
      <c r="AP44" s="96"/>
      <c r="AQ44" s="97">
        <f t="shared" si="7"/>
        <v>1148.6513793103447</v>
      </c>
      <c r="AR44" s="98">
        <f t="shared" si="36"/>
        <v>111.39</v>
      </c>
      <c r="AS44" s="98">
        <f t="shared" si="9"/>
        <v>433.75637931034487</v>
      </c>
      <c r="AT44" s="98">
        <f t="shared" si="10"/>
        <v>107.74423728813558</v>
      </c>
      <c r="AU44" s="98">
        <f t="shared" si="25"/>
        <v>105.49152542372882</v>
      </c>
      <c r="AV44" s="98">
        <f t="array" ref="AV44">_xlfn.IFS(U44=0,AO44,U44&lt;0,AO44/-U44,U44&gt;0,AO44/U44)</f>
        <v>342.21387882577972</v>
      </c>
      <c r="AW44" s="234">
        <f t="shared" si="44"/>
        <v>0.2979266686043997</v>
      </c>
      <c r="AX44" s="234">
        <f t="shared" si="45"/>
        <v>3.0722136531625792</v>
      </c>
      <c r="AY44" s="99"/>
      <c r="AZ44" s="94">
        <f t="shared" si="13"/>
        <v>476361.71932548535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381</v>
      </c>
      <c r="F45" s="93">
        <v>74</v>
      </c>
      <c r="G45" s="93">
        <v>31</v>
      </c>
      <c r="H45" s="93">
        <v>121</v>
      </c>
      <c r="I45" s="93">
        <v>0</v>
      </c>
      <c r="J45" s="93">
        <v>155</v>
      </c>
      <c r="K45" s="92">
        <v>107.88</v>
      </c>
      <c r="L45" s="92">
        <f t="shared" si="43"/>
        <v>41102.28</v>
      </c>
      <c r="M45" s="89">
        <v>10</v>
      </c>
      <c r="N45" s="89">
        <v>101</v>
      </c>
      <c r="O45" s="89">
        <v>1839</v>
      </c>
      <c r="P45" s="89">
        <v>31</v>
      </c>
      <c r="Q45" s="233">
        <f t="shared" si="14"/>
        <v>14.428571428571429</v>
      </c>
      <c r="R45" s="92">
        <f t="shared" si="15"/>
        <v>7.4285714285714288</v>
      </c>
      <c r="S45" s="93">
        <v>56</v>
      </c>
      <c r="T45" s="93">
        <v>-4</v>
      </c>
      <c r="U45" s="92">
        <f t="shared" si="16"/>
        <v>52</v>
      </c>
      <c r="V45" s="93">
        <v>64152.95</v>
      </c>
      <c r="W45" s="93">
        <v>-4995</v>
      </c>
      <c r="X45" s="92">
        <f t="shared" si="17"/>
        <v>59157.95</v>
      </c>
      <c r="Y45" s="93">
        <v>95056.29</v>
      </c>
      <c r="Z45" s="93">
        <v>-7227</v>
      </c>
      <c r="AA45" s="92">
        <f t="shared" si="18"/>
        <v>87829.29</v>
      </c>
      <c r="AB45" s="92">
        <f t="shared" si="19"/>
        <v>57579.09</v>
      </c>
      <c r="AC45" s="234">
        <f t="shared" si="20"/>
        <v>1.5191835883257671E-2</v>
      </c>
      <c r="AD45" s="92">
        <f t="shared" si="21"/>
        <v>5609.76</v>
      </c>
      <c r="AE45" s="93">
        <v>33233.779999999984</v>
      </c>
      <c r="AF45" s="234">
        <f t="shared" si="22"/>
        <v>0.37839062572406068</v>
      </c>
      <c r="AG45" s="93">
        <v>12752.730000000001</v>
      </c>
      <c r="AH45" s="93">
        <v>9</v>
      </c>
      <c r="AI45" s="93">
        <v>5401</v>
      </c>
      <c r="AJ45" s="93"/>
      <c r="AK45" s="93"/>
      <c r="AL45" s="122">
        <f t="shared" si="23"/>
        <v>93.947683201136499</v>
      </c>
      <c r="AM45" s="93">
        <v>0</v>
      </c>
      <c r="AN45" s="94">
        <f t="shared" si="24"/>
        <v>3377.9189449999999</v>
      </c>
      <c r="AO45" s="95">
        <f t="shared" si="26"/>
        <v>27351.153371798875</v>
      </c>
      <c r="AP45" s="96"/>
      <c r="AQ45" s="97">
        <f t="shared" si="7"/>
        <v>1689.0248076923076</v>
      </c>
      <c r="AR45" s="98">
        <f t="shared" si="36"/>
        <v>107.88</v>
      </c>
      <c r="AS45" s="98">
        <f t="shared" si="9"/>
        <v>639.11115384615357</v>
      </c>
      <c r="AT45" s="98">
        <f t="shared" si="10"/>
        <v>227.72732142857146</v>
      </c>
      <c r="AU45" s="98">
        <f t="shared" si="25"/>
        <v>96.607142857142861</v>
      </c>
      <c r="AV45" s="98">
        <f t="array" ref="AV45">_xlfn.IFS(U45=0,AO45,U45&lt;0,AO45/-U45,U45&gt;0,AO45/U45)</f>
        <v>525.98371868843992</v>
      </c>
      <c r="AW45" s="234">
        <f t="shared" si="44"/>
        <v>0.31141266622784808</v>
      </c>
      <c r="AX45" s="234">
        <f t="shared" si="45"/>
        <v>4.8756369919210227</v>
      </c>
      <c r="AY45" s="99"/>
      <c r="AZ45" s="94">
        <f t="shared" si="13"/>
        <v>200399.7968202956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78</v>
      </c>
      <c r="F47" s="93">
        <v>15</v>
      </c>
      <c r="G47" s="93">
        <v>5</v>
      </c>
      <c r="H47" s="93">
        <v>38</v>
      </c>
      <c r="I47" s="93">
        <v>0</v>
      </c>
      <c r="J47" s="93">
        <v>20</v>
      </c>
      <c r="K47" s="92">
        <v>123.09</v>
      </c>
      <c r="L47" s="92">
        <f t="shared" si="43"/>
        <v>9601.02</v>
      </c>
      <c r="M47" s="89">
        <v>28</v>
      </c>
      <c r="N47" s="89">
        <v>40</v>
      </c>
      <c r="O47" s="89">
        <v>1331</v>
      </c>
      <c r="P47" s="89">
        <v>63</v>
      </c>
      <c r="Q47" s="233">
        <f t="shared" si="14"/>
        <v>5.7142857142857144</v>
      </c>
      <c r="R47" s="92">
        <f t="shared" si="15"/>
        <v>4</v>
      </c>
      <c r="S47" s="93">
        <v>29</v>
      </c>
      <c r="T47" s="93">
        <v>-1</v>
      </c>
      <c r="U47" s="92">
        <f t="shared" si="16"/>
        <v>28</v>
      </c>
      <c r="V47" s="93">
        <v>24598.1</v>
      </c>
      <c r="W47" s="93">
        <v>-782</v>
      </c>
      <c r="X47" s="92">
        <f t="shared" si="17"/>
        <v>23816.1</v>
      </c>
      <c r="Y47" s="93">
        <v>37406.729999999996</v>
      </c>
      <c r="Z47" s="93">
        <v>-1272</v>
      </c>
      <c r="AA47" s="92">
        <f t="shared" si="18"/>
        <v>36134.729999999996</v>
      </c>
      <c r="AB47" s="92">
        <f t="shared" si="19"/>
        <v>33541.199999999997</v>
      </c>
      <c r="AC47" s="234">
        <f t="shared" si="20"/>
        <v>6.2502257259033677E-3</v>
      </c>
      <c r="AD47" s="92">
        <f t="shared" si="21"/>
        <v>3446.52</v>
      </c>
      <c r="AE47" s="93">
        <v>13616.369999999995</v>
      </c>
      <c r="AF47" s="234">
        <f t="shared" si="22"/>
        <v>0.37682224275648379</v>
      </c>
      <c r="AG47" s="93">
        <v>3526.3199999999997</v>
      </c>
      <c r="AH47" s="93">
        <v>540</v>
      </c>
      <c r="AI47" s="93">
        <v>5341</v>
      </c>
      <c r="AJ47" s="93"/>
      <c r="AK47" s="93"/>
      <c r="AL47" s="122">
        <f t="shared" si="23"/>
        <v>29.504231087960221</v>
      </c>
      <c r="AM47" s="93">
        <v>0</v>
      </c>
      <c r="AN47" s="94">
        <f t="shared" si="24"/>
        <v>1359.8993099999998</v>
      </c>
      <c r="AO47" s="95">
        <f t="shared" si="26"/>
        <v>8275.1164589120417</v>
      </c>
      <c r="AP47" s="96"/>
      <c r="AQ47" s="97">
        <f t="shared" si="7"/>
        <v>1290.5260714285712</v>
      </c>
      <c r="AR47" s="98">
        <f t="shared" si="36"/>
        <v>123.09</v>
      </c>
      <c r="AS47" s="98">
        <f t="shared" si="9"/>
        <v>486.29892857142841</v>
      </c>
      <c r="AT47" s="98">
        <f t="shared" si="10"/>
        <v>121.59724137931033</v>
      </c>
      <c r="AU47" s="98">
        <f t="shared" si="25"/>
        <v>202.79310344827587</v>
      </c>
      <c r="AV47" s="98">
        <f t="array" ref="AV47">_xlfn.IFS(U47=0,AO47,U47&lt;0,AO47/-U47,U47&gt;0,AO47/U47)</f>
        <v>295.53987353257293</v>
      </c>
      <c r="AW47" s="234">
        <f t="shared" si="44"/>
        <v>0.22900728631186792</v>
      </c>
      <c r="AX47" s="234">
        <f t="shared" si="45"/>
        <v>2.4010063655258178</v>
      </c>
      <c r="AY47" s="99"/>
      <c r="AZ47" s="94">
        <f t="shared" si="13"/>
        <v>23052.11013554069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588</v>
      </c>
      <c r="F48" s="93">
        <v>48</v>
      </c>
      <c r="G48" s="93">
        <v>22</v>
      </c>
      <c r="H48" s="93">
        <v>187</v>
      </c>
      <c r="I48" s="93">
        <v>0</v>
      </c>
      <c r="J48" s="93">
        <v>331</v>
      </c>
      <c r="K48" s="92">
        <v>107.88</v>
      </c>
      <c r="L48" s="92">
        <f t="shared" si="43"/>
        <v>63433.439999999995</v>
      </c>
      <c r="M48" s="89">
        <v>35</v>
      </c>
      <c r="N48" s="89">
        <v>84</v>
      </c>
      <c r="O48" s="89">
        <v>1341</v>
      </c>
      <c r="P48" s="89">
        <v>58</v>
      </c>
      <c r="Q48" s="233">
        <f t="shared" si="14"/>
        <v>12</v>
      </c>
      <c r="R48" s="92">
        <f t="shared" si="15"/>
        <v>6.5714285714285712</v>
      </c>
      <c r="S48" s="93">
        <v>47</v>
      </c>
      <c r="T48" s="93">
        <v>-1</v>
      </c>
      <c r="U48" s="92">
        <f t="shared" si="16"/>
        <v>46</v>
      </c>
      <c r="V48" s="93">
        <v>41135.109999999993</v>
      </c>
      <c r="W48" s="93">
        <v>-844</v>
      </c>
      <c r="X48" s="92">
        <f t="shared" si="17"/>
        <v>40291.109999999993</v>
      </c>
      <c r="Y48" s="93">
        <v>62931.719999999994</v>
      </c>
      <c r="Z48" s="93">
        <v>-1341</v>
      </c>
      <c r="AA48" s="92">
        <f t="shared" si="18"/>
        <v>61590.719999999994</v>
      </c>
      <c r="AB48" s="92">
        <f t="shared" si="19"/>
        <v>65333.52</v>
      </c>
      <c r="AC48" s="234">
        <f t="shared" si="20"/>
        <v>1.0653349357277917E-2</v>
      </c>
      <c r="AD48" s="92">
        <f t="shared" si="21"/>
        <v>4962.4799999999996</v>
      </c>
      <c r="AE48" s="93">
        <v>23188.499999999993</v>
      </c>
      <c r="AF48" s="234">
        <f t="shared" si="22"/>
        <v>0.37649340679894627</v>
      </c>
      <c r="AG48" s="93">
        <v>7053.6799999999939</v>
      </c>
      <c r="AH48" s="93">
        <v>1755</v>
      </c>
      <c r="AI48" s="93">
        <v>3500</v>
      </c>
      <c r="AJ48" s="93"/>
      <c r="AK48" s="93"/>
      <c r="AL48" s="122">
        <f t="shared" si="23"/>
        <v>145.19187403812003</v>
      </c>
      <c r="AM48" s="93">
        <v>0</v>
      </c>
      <c r="AN48" s="94">
        <f t="shared" si="24"/>
        <v>2300.6223809999997</v>
      </c>
      <c r="AO48" s="95">
        <f t="shared" si="26"/>
        <v>18685.245744961885</v>
      </c>
      <c r="AP48" s="96"/>
      <c r="AQ48" s="97">
        <f t="shared" si="7"/>
        <v>1338.9286956521737</v>
      </c>
      <c r="AR48" s="98">
        <f t="shared" si="36"/>
        <v>107.88</v>
      </c>
      <c r="AS48" s="98">
        <f t="shared" si="9"/>
        <v>504.09782608695639</v>
      </c>
      <c r="AT48" s="98">
        <f t="shared" si="10"/>
        <v>150.0782978723403</v>
      </c>
      <c r="AU48" s="98">
        <f t="shared" si="25"/>
        <v>111.80851063829788</v>
      </c>
      <c r="AV48" s="98">
        <f t="array" ref="AV48">_xlfn.IFS(U48=0,AO48,U48&lt;0,AO48/-U48,U48&gt;0,AO48/U48)</f>
        <v>406.20099445569315</v>
      </c>
      <c r="AW48" s="234">
        <f t="shared" si="44"/>
        <v>0.30337761508490058</v>
      </c>
      <c r="AX48" s="234">
        <f t="shared" si="45"/>
        <v>3.7653039901343455</v>
      </c>
      <c r="AY48" s="99"/>
      <c r="AZ48" s="94">
        <f t="shared" si="13"/>
        <v>238846.18473994758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1636</v>
      </c>
      <c r="F49" s="93">
        <v>117</v>
      </c>
      <c r="G49" s="93">
        <v>36</v>
      </c>
      <c r="H49" s="93">
        <v>21</v>
      </c>
      <c r="I49" s="93">
        <v>0</v>
      </c>
      <c r="J49" s="93">
        <v>1462</v>
      </c>
      <c r="K49" s="92">
        <v>123.09</v>
      </c>
      <c r="L49" s="92">
        <f t="shared" si="43"/>
        <v>201375.24000000002</v>
      </c>
      <c r="M49" s="89">
        <v>6</v>
      </c>
      <c r="N49" s="89">
        <v>202</v>
      </c>
      <c r="O49" s="89">
        <v>1780</v>
      </c>
      <c r="P49" s="89">
        <v>38</v>
      </c>
      <c r="Q49" s="233">
        <f t="shared" si="14"/>
        <v>28.857142857142858</v>
      </c>
      <c r="R49" s="92">
        <f t="shared" si="15"/>
        <v>9.8571428571428577</v>
      </c>
      <c r="S49" s="93">
        <v>71</v>
      </c>
      <c r="T49" s="93">
        <v>-2</v>
      </c>
      <c r="U49" s="92">
        <f t="shared" si="16"/>
        <v>69</v>
      </c>
      <c r="V49" s="93">
        <v>80967.459999999977</v>
      </c>
      <c r="W49" s="93">
        <v>-2059</v>
      </c>
      <c r="X49" s="92">
        <f t="shared" si="17"/>
        <v>78908.459999999977</v>
      </c>
      <c r="Y49" s="93">
        <v>117350.35999999997</v>
      </c>
      <c r="Z49" s="93">
        <v>-3158.95</v>
      </c>
      <c r="AA49" s="92">
        <f t="shared" si="18"/>
        <v>114191.40999999997</v>
      </c>
      <c r="AB49" s="92">
        <f t="shared" si="19"/>
        <v>136632.79999999999</v>
      </c>
      <c r="AC49" s="234">
        <f t="shared" si="20"/>
        <v>1.975169285779025E-2</v>
      </c>
      <c r="AD49" s="92">
        <f t="shared" si="21"/>
        <v>8493.2100000000009</v>
      </c>
      <c r="AE49" s="93">
        <v>42232.759999999973</v>
      </c>
      <c r="AF49" s="234">
        <f t="shared" si="22"/>
        <v>0.36984182960872436</v>
      </c>
      <c r="AG49" s="93">
        <v>14816.140000000001</v>
      </c>
      <c r="AH49" s="93">
        <v>1921</v>
      </c>
      <c r="AI49" s="93">
        <v>18448</v>
      </c>
      <c r="AJ49" s="93"/>
      <c r="AK49" s="93"/>
      <c r="AL49" s="122">
        <f t="shared" si="23"/>
        <v>16.304969811767489</v>
      </c>
      <c r="AM49" s="93">
        <v>0</v>
      </c>
      <c r="AN49" s="94">
        <f t="shared" si="24"/>
        <v>4505.6730659999985</v>
      </c>
      <c r="AO49" s="95">
        <f t="shared" si="26"/>
        <v>23758.321964188228</v>
      </c>
      <c r="AP49" s="96"/>
      <c r="AQ49" s="97">
        <f t="shared" si="7"/>
        <v>1654.9479710144924</v>
      </c>
      <c r="AR49" s="98">
        <f t="shared" si="36"/>
        <v>123.09</v>
      </c>
      <c r="AS49" s="98">
        <f t="shared" si="9"/>
        <v>612.068985507246</v>
      </c>
      <c r="AT49" s="98">
        <f t="shared" si="10"/>
        <v>208.67802816901411</v>
      </c>
      <c r="AU49" s="98">
        <f t="shared" si="25"/>
        <v>286.88732394366195</v>
      </c>
      <c r="AV49" s="98">
        <f t="array" ref="AV49">_xlfn.IFS(U49=0,AO49,U49&lt;0,AO49/-U49,U49&gt;0,AO49/U49)</f>
        <v>344.32350672736561</v>
      </c>
      <c r="AW49" s="234">
        <f t="shared" si="44"/>
        <v>0.2080569980192751</v>
      </c>
      <c r="AX49" s="234">
        <f t="shared" si="45"/>
        <v>2.7973312757118012</v>
      </c>
      <c r="AY49" s="99"/>
      <c r="AZ49" s="94">
        <f t="shared" si="13"/>
        <v>563313.25700597011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1265</v>
      </c>
      <c r="F50" s="93">
        <v>55</v>
      </c>
      <c r="G50" s="93">
        <v>17</v>
      </c>
      <c r="H50" s="93">
        <v>12</v>
      </c>
      <c r="I50" s="93">
        <v>0</v>
      </c>
      <c r="J50" s="93">
        <v>1181</v>
      </c>
      <c r="K50" s="92">
        <v>134.79</v>
      </c>
      <c r="L50" s="92">
        <f t="shared" si="43"/>
        <v>170509.34999999998</v>
      </c>
      <c r="M50" s="89">
        <v>21</v>
      </c>
      <c r="N50" s="89">
        <v>85</v>
      </c>
      <c r="O50" s="89">
        <v>1403</v>
      </c>
      <c r="P50" s="89">
        <v>56</v>
      </c>
      <c r="Q50" s="233">
        <f t="shared" si="14"/>
        <v>12.142857142857142</v>
      </c>
      <c r="R50" s="92">
        <f t="shared" si="15"/>
        <v>7.1428571428571432</v>
      </c>
      <c r="S50" s="93">
        <v>51</v>
      </c>
      <c r="T50" s="93">
        <v>-1</v>
      </c>
      <c r="U50" s="92">
        <f t="shared" si="16"/>
        <v>50</v>
      </c>
      <c r="V50" s="93">
        <v>44023.37999999999</v>
      </c>
      <c r="W50" s="93">
        <v>-791</v>
      </c>
      <c r="X50" s="92">
        <f t="shared" si="17"/>
        <v>43232.37999999999</v>
      </c>
      <c r="Y50" s="93">
        <v>65538.460000000006</v>
      </c>
      <c r="Z50" s="93">
        <v>-1237</v>
      </c>
      <c r="AA50" s="92">
        <f t="shared" si="18"/>
        <v>64301.460000000006</v>
      </c>
      <c r="AB50" s="92">
        <f t="shared" si="19"/>
        <v>66782.8</v>
      </c>
      <c r="AC50" s="234">
        <f t="shared" si="20"/>
        <v>1.1122226165939152E-2</v>
      </c>
      <c r="AD50" s="92">
        <f t="shared" si="21"/>
        <v>6739.5</v>
      </c>
      <c r="AE50" s="93">
        <v>24286.919999999995</v>
      </c>
      <c r="AF50" s="234">
        <f t="shared" si="22"/>
        <v>0.3777040210284493</v>
      </c>
      <c r="AG50" s="93">
        <v>6501.699999999998</v>
      </c>
      <c r="AH50" s="93">
        <v>1154</v>
      </c>
      <c r="AI50" s="93">
        <v>5039</v>
      </c>
      <c r="AJ50" s="93"/>
      <c r="AK50" s="93"/>
      <c r="AL50" s="122">
        <f t="shared" si="23"/>
        <v>9.3171256067242805</v>
      </c>
      <c r="AM50" s="93">
        <v>0</v>
      </c>
      <c r="AN50" s="94">
        <f t="shared" si="24"/>
        <v>2468.5688979999995</v>
      </c>
      <c r="AO50" s="95">
        <f t="shared" si="26"/>
        <v>18102.453976393284</v>
      </c>
      <c r="AP50" s="96"/>
      <c r="AQ50" s="97">
        <f t="shared" si="7"/>
        <v>1286.0292000000002</v>
      </c>
      <c r="AR50" s="98">
        <f t="shared" si="36"/>
        <v>134.79</v>
      </c>
      <c r="AS50" s="98">
        <f t="shared" si="9"/>
        <v>485.7383999999999</v>
      </c>
      <c r="AT50" s="98">
        <f t="shared" si="10"/>
        <v>127.48431372549015</v>
      </c>
      <c r="AU50" s="98">
        <f t="shared" si="25"/>
        <v>121.43137254901961</v>
      </c>
      <c r="AV50" s="98">
        <f t="array" ref="AV50">_xlfn.IFS(U50=0,AO50,U50&lt;0,AO50/-U50,U50&gt;0,AO50/U50)</f>
        <v>362.04907952786567</v>
      </c>
      <c r="AW50" s="234">
        <f t="shared" si="44"/>
        <v>0.28152477372043</v>
      </c>
      <c r="AX50" s="234">
        <f t="shared" si="45"/>
        <v>2.6860232919939588</v>
      </c>
      <c r="AY50" s="99"/>
      <c r="AZ50" s="94">
        <f t="shared" si="13"/>
        <v>457992.08560275007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209</v>
      </c>
      <c r="F51" s="93">
        <v>2</v>
      </c>
      <c r="G51" s="93">
        <v>2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3"/>
        <v>30127.350000000002</v>
      </c>
      <c r="M51" s="89">
        <v>999</v>
      </c>
      <c r="N51" s="89">
        <v>2</v>
      </c>
      <c r="O51" s="89">
        <v>1119</v>
      </c>
      <c r="P51" s="89">
        <v>0</v>
      </c>
      <c r="Q51" s="233">
        <f t="shared" si="14"/>
        <v>0.2857142857142857</v>
      </c>
      <c r="R51" s="92">
        <f t="shared" si="15"/>
        <v>-0.14285714285714285</v>
      </c>
      <c r="S51" s="93">
        <v>0</v>
      </c>
      <c r="T51" s="93">
        <v>-1</v>
      </c>
      <c r="U51" s="92">
        <f t="shared" si="16"/>
        <v>-1</v>
      </c>
      <c r="V51" s="93">
        <v>0</v>
      </c>
      <c r="W51" s="93">
        <v>-705</v>
      </c>
      <c r="X51" s="92">
        <f t="shared" si="17"/>
        <v>-705</v>
      </c>
      <c r="Y51" s="93">
        <v>0</v>
      </c>
      <c r="Z51" s="93">
        <v>-1119</v>
      </c>
      <c r="AA51" s="92">
        <f t="shared" si="18"/>
        <v>-1119</v>
      </c>
      <c r="AB51" s="92">
        <f t="shared" si="19"/>
        <v>0</v>
      </c>
      <c r="AC51" s="234">
        <f t="shared" si="20"/>
        <v>-1.9355347576378374E-4</v>
      </c>
      <c r="AD51" s="92">
        <f t="shared" si="21"/>
        <v>-144.15</v>
      </c>
      <c r="AE51" s="93">
        <v>-422.64</v>
      </c>
      <c r="AF51" s="234">
        <f t="shared" si="22"/>
        <v>0.37769436997319034</v>
      </c>
      <c r="AG51" s="93">
        <v>240.20999999999998</v>
      </c>
      <c r="AH51" s="93"/>
      <c r="AI51" s="93"/>
      <c r="AJ51" s="93"/>
      <c r="AK51" s="93"/>
      <c r="AL51" s="122">
        <f t="shared" si="23"/>
        <v>0</v>
      </c>
      <c r="AM51" s="93">
        <v>0</v>
      </c>
      <c r="AN51" s="94">
        <f t="shared" si="24"/>
        <v>-40.255499999999998</v>
      </c>
      <c r="AO51" s="95">
        <f t="shared" si="26"/>
        <v>-752.16450000000009</v>
      </c>
      <c r="AP51" s="96"/>
      <c r="AQ51" s="97">
        <f t="shared" si="7"/>
        <v>1119</v>
      </c>
      <c r="AR51" s="98">
        <f t="shared" si="36"/>
        <v>144.15</v>
      </c>
      <c r="AS51" s="98">
        <f t="shared" si="9"/>
        <v>422.64</v>
      </c>
      <c r="AT51" s="98">
        <f t="shared" si="10"/>
        <v>240.20999999999998</v>
      </c>
      <c r="AU51" s="98">
        <f t="shared" si="25"/>
        <v>0</v>
      </c>
      <c r="AV51" s="98">
        <f t="array" ref="AV51">_xlfn.IFS(U51=0,AO51,U51&lt;0,AO51/-U51,U51&gt;0,AO51/U51)</f>
        <v>-752.16450000000009</v>
      </c>
      <c r="AW51" s="234">
        <f t="shared" si="44"/>
        <v>-0.6721756032171583</v>
      </c>
      <c r="AX51" s="234">
        <f t="shared" si="45"/>
        <v>-5.2179292403746098</v>
      </c>
      <c r="AY51" s="99"/>
      <c r="AZ51" s="94">
        <f t="shared" si="13"/>
        <v>-157202.38050000003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39</v>
      </c>
      <c r="F52" s="93">
        <v>16</v>
      </c>
      <c r="G52" s="93">
        <v>7</v>
      </c>
      <c r="H52" s="93">
        <v>15</v>
      </c>
      <c r="I52" s="93">
        <v>0</v>
      </c>
      <c r="J52" s="93">
        <v>1</v>
      </c>
      <c r="K52" s="92">
        <v>96.18</v>
      </c>
      <c r="L52" s="92">
        <f t="shared" si="43"/>
        <v>3751.0200000000004</v>
      </c>
      <c r="M52" s="89">
        <v>34</v>
      </c>
      <c r="N52" s="89">
        <v>34</v>
      </c>
      <c r="O52" s="89">
        <v>1192</v>
      </c>
      <c r="P52" s="89">
        <v>35</v>
      </c>
      <c r="Q52" s="233">
        <f t="shared" si="14"/>
        <v>4.8571428571428568</v>
      </c>
      <c r="R52" s="92">
        <f t="shared" si="15"/>
        <v>1.2857142857142858</v>
      </c>
      <c r="S52" s="93">
        <v>10</v>
      </c>
      <c r="T52" s="93">
        <v>-1</v>
      </c>
      <c r="U52" s="92">
        <f t="shared" si="16"/>
        <v>9</v>
      </c>
      <c r="V52" s="93">
        <v>7411.7400000000007</v>
      </c>
      <c r="W52" s="93">
        <v>-702</v>
      </c>
      <c r="X52" s="92">
        <f t="shared" si="17"/>
        <v>6709.7400000000007</v>
      </c>
      <c r="Y52" s="93">
        <v>11233.89</v>
      </c>
      <c r="Z52" s="93">
        <v>-1106</v>
      </c>
      <c r="AA52" s="92">
        <f t="shared" si="18"/>
        <v>10127.89</v>
      </c>
      <c r="AB52" s="92">
        <f t="shared" si="19"/>
        <v>14184.8</v>
      </c>
      <c r="AC52" s="234">
        <f t="shared" si="20"/>
        <v>1.751821547500686E-3</v>
      </c>
      <c r="AD52" s="92">
        <f t="shared" si="21"/>
        <v>865.62000000000012</v>
      </c>
      <c r="AE52" s="93">
        <v>3806.0299999999997</v>
      </c>
      <c r="AF52" s="234">
        <f t="shared" si="22"/>
        <v>0.37579693302356165</v>
      </c>
      <c r="AG52" s="93">
        <v>2451.4399999999991</v>
      </c>
      <c r="AH52" s="93"/>
      <c r="AI52" s="93">
        <v>2328</v>
      </c>
      <c r="AJ52" s="93"/>
      <c r="AK52" s="93"/>
      <c r="AL52" s="122">
        <f t="shared" si="23"/>
        <v>11.646407008405351</v>
      </c>
      <c r="AM52" s="93">
        <v>0</v>
      </c>
      <c r="AN52" s="94">
        <f t="shared" si="24"/>
        <v>383.12615400000004</v>
      </c>
      <c r="AO52" s="95">
        <f t="shared" si="26"/>
        <v>282.02743899159429</v>
      </c>
      <c r="AP52" s="96"/>
      <c r="AQ52" s="97">
        <f t="shared" si="7"/>
        <v>1125.3211111111111</v>
      </c>
      <c r="AR52" s="98">
        <f t="shared" si="36"/>
        <v>96.18</v>
      </c>
      <c r="AS52" s="98">
        <f t="shared" si="9"/>
        <v>422.89222222222219</v>
      </c>
      <c r="AT52" s="98">
        <f t="shared" si="10"/>
        <v>245.14399999999992</v>
      </c>
      <c r="AU52" s="98">
        <f t="shared" si="25"/>
        <v>232.8</v>
      </c>
      <c r="AV52" s="98">
        <f t="array" ref="AV52">_xlfn.IFS(U52=0,AO52,U52&lt;0,AO52/-U52,U52&gt;0,AO52/U52)</f>
        <v>31.336382110177144</v>
      </c>
      <c r="AW52" s="234">
        <f t="shared" si="44"/>
        <v>2.7846613558361544E-2</v>
      </c>
      <c r="AX52" s="234">
        <f t="shared" si="45"/>
        <v>0.32580975369283782</v>
      </c>
      <c r="AY52" s="99"/>
      <c r="AZ52" s="94">
        <f t="shared" si="13"/>
        <v>1222.1189022969086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46</v>
      </c>
      <c r="F53" s="93">
        <v>9</v>
      </c>
      <c r="G53" s="93">
        <v>1</v>
      </c>
      <c r="H53" s="93">
        <v>35</v>
      </c>
      <c r="I53" s="93">
        <v>0</v>
      </c>
      <c r="J53" s="93">
        <v>1</v>
      </c>
      <c r="K53" s="92">
        <v>96.18</v>
      </c>
      <c r="L53" s="92">
        <f t="shared" si="43"/>
        <v>4424.2800000000007</v>
      </c>
      <c r="M53" s="89">
        <v>121</v>
      </c>
      <c r="N53" s="89">
        <v>9</v>
      </c>
      <c r="O53" s="89">
        <v>1106</v>
      </c>
      <c r="P53" s="89">
        <v>0</v>
      </c>
      <c r="Q53" s="233">
        <f t="shared" si="14"/>
        <v>1.2857142857142858</v>
      </c>
      <c r="R53" s="92">
        <f t="shared" si="15"/>
        <v>0.2857142857142857</v>
      </c>
      <c r="S53" s="93">
        <v>2</v>
      </c>
      <c r="T53" s="93">
        <v>0</v>
      </c>
      <c r="U53" s="92">
        <f t="shared" si="16"/>
        <v>2</v>
      </c>
      <c r="V53" s="93">
        <v>1552.49</v>
      </c>
      <c r="W53" s="93">
        <v>0</v>
      </c>
      <c r="X53" s="92">
        <f t="shared" si="17"/>
        <v>1552.49</v>
      </c>
      <c r="Y53" s="93">
        <v>2212.06</v>
      </c>
      <c r="Z53" s="93">
        <v>0</v>
      </c>
      <c r="AA53" s="92">
        <f t="shared" si="18"/>
        <v>2212.06</v>
      </c>
      <c r="AB53" s="92">
        <f t="shared" si="19"/>
        <v>0</v>
      </c>
      <c r="AC53" s="234">
        <f t="shared" si="20"/>
        <v>3.8262010866669838E-4</v>
      </c>
      <c r="AD53" s="92">
        <f t="shared" si="21"/>
        <v>192.36</v>
      </c>
      <c r="AE53" s="93">
        <v>829.15999999999985</v>
      </c>
      <c r="AF53" s="234">
        <f t="shared" si="22"/>
        <v>0.37483612560237961</v>
      </c>
      <c r="AG53" s="93">
        <v>403.8</v>
      </c>
      <c r="AH53" s="93"/>
      <c r="AI53" s="93"/>
      <c r="AJ53" s="93"/>
      <c r="AK53" s="93"/>
      <c r="AL53" s="122">
        <f t="shared" si="23"/>
        <v>27.174949686279152</v>
      </c>
      <c r="AM53" s="93">
        <v>0</v>
      </c>
      <c r="AN53" s="94">
        <f t="shared" si="24"/>
        <v>88.647178999999994</v>
      </c>
      <c r="AO53" s="95">
        <f t="shared" si="26"/>
        <v>670.91787131372075</v>
      </c>
      <c r="AP53" s="96"/>
      <c r="AQ53" s="97">
        <f t="shared" si="7"/>
        <v>1106.03</v>
      </c>
      <c r="AR53" s="98">
        <f t="shared" si="36"/>
        <v>96.18</v>
      </c>
      <c r="AS53" s="98">
        <f t="shared" si="9"/>
        <v>414.57999999999993</v>
      </c>
      <c r="AT53" s="98">
        <f t="shared" si="10"/>
        <v>201.9</v>
      </c>
      <c r="AU53" s="98">
        <f t="shared" si="25"/>
        <v>0</v>
      </c>
      <c r="AV53" s="98">
        <f t="array" ref="AV53">_xlfn.IFS(U53=0,AO53,U53&lt;0,AO53/-U53,U53&gt;0,AO53/U53)</f>
        <v>335.45893565686038</v>
      </c>
      <c r="AW53" s="234">
        <f t="shared" si="44"/>
        <v>0.30330003314273607</v>
      </c>
      <c r="AX53" s="234">
        <f t="shared" si="45"/>
        <v>3.4878242426373505</v>
      </c>
      <c r="AY53" s="99"/>
      <c r="AZ53" s="94">
        <f t="shared" si="13"/>
        <v>15431.111040215577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37</v>
      </c>
      <c r="F54" s="93">
        <v>11</v>
      </c>
      <c r="G54" s="93">
        <v>4</v>
      </c>
      <c r="H54" s="93">
        <v>21</v>
      </c>
      <c r="I54" s="93">
        <v>0</v>
      </c>
      <c r="J54" s="93">
        <v>1</v>
      </c>
      <c r="K54" s="93">
        <v>123.09</v>
      </c>
      <c r="L54" s="92">
        <f t="shared" si="43"/>
        <v>4554.33</v>
      </c>
      <c r="M54" s="89">
        <v>50</v>
      </c>
      <c r="N54" s="89">
        <v>17</v>
      </c>
      <c r="O54" s="89">
        <v>998</v>
      </c>
      <c r="P54" s="89">
        <v>60</v>
      </c>
      <c r="Q54" s="233">
        <f t="shared" si="14"/>
        <v>2.4285714285714284</v>
      </c>
      <c r="R54" s="92">
        <f t="shared" si="15"/>
        <v>1.2857142857142858</v>
      </c>
      <c r="S54" s="93">
        <v>9</v>
      </c>
      <c r="T54" s="93">
        <v>0</v>
      </c>
      <c r="U54" s="92">
        <f t="shared" si="16"/>
        <v>9</v>
      </c>
      <c r="V54" s="93">
        <v>6047.05</v>
      </c>
      <c r="W54" s="93">
        <v>0</v>
      </c>
      <c r="X54" s="92">
        <f t="shared" si="17"/>
        <v>6047.05</v>
      </c>
      <c r="Y54" s="93">
        <v>8922.4299999999985</v>
      </c>
      <c r="Z54" s="93">
        <v>0</v>
      </c>
      <c r="AA54" s="92">
        <f t="shared" si="18"/>
        <v>8922.4299999999985</v>
      </c>
      <c r="AB54" s="92">
        <f t="shared" si="19"/>
        <v>10179.6</v>
      </c>
      <c r="AC54" s="234">
        <f t="shared" si="20"/>
        <v>1.5433130820009444E-3</v>
      </c>
      <c r="AD54" s="92">
        <f t="shared" si="21"/>
        <v>1107.81</v>
      </c>
      <c r="AE54" s="93">
        <v>3400.7399999999989</v>
      </c>
      <c r="AF54" s="234">
        <f t="shared" si="22"/>
        <v>0.38114504680899702</v>
      </c>
      <c r="AG54" s="93">
        <v>787.24999999999989</v>
      </c>
      <c r="AH54" s="93"/>
      <c r="AI54" s="93"/>
      <c r="AJ54" s="93"/>
      <c r="AK54" s="93"/>
      <c r="AL54" s="122">
        <f t="shared" si="23"/>
        <v>16.304969811767489</v>
      </c>
      <c r="AM54" s="93">
        <v>0</v>
      </c>
      <c r="AN54" s="94">
        <f t="shared" si="24"/>
        <v>345.28655500000002</v>
      </c>
      <c r="AO54" s="95">
        <f t="shared" si="26"/>
        <v>3265.0384751882325</v>
      </c>
      <c r="AP54" s="96"/>
      <c r="AQ54" s="97">
        <f t="shared" si="7"/>
        <v>991.38111111111095</v>
      </c>
      <c r="AR54" s="98">
        <f t="shared" si="36"/>
        <v>123.09</v>
      </c>
      <c r="AS54" s="98">
        <f t="shared" si="9"/>
        <v>377.8599999999999</v>
      </c>
      <c r="AT54" s="98">
        <f t="shared" si="10"/>
        <v>87.472222222222214</v>
      </c>
      <c r="AU54" s="98">
        <f t="shared" si="25"/>
        <v>0</v>
      </c>
      <c r="AV54" s="98">
        <f t="array" ref="AV54">_xlfn.IFS(U54=0,AO54,U54&lt;0,AO54/-U54,U54&gt;0,AO54/U54)</f>
        <v>362.78205279869252</v>
      </c>
      <c r="AW54" s="234">
        <f t="shared" si="44"/>
        <v>0.36593601464939857</v>
      </c>
      <c r="AX54" s="234">
        <f t="shared" si="45"/>
        <v>2.9472910293175119</v>
      </c>
      <c r="AY54" s="99"/>
      <c r="AZ54" s="94">
        <f t="shared" si="13"/>
        <v>13422.935953551623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80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79</v>
      </c>
      <c r="K55" s="93">
        <v>158.19</v>
      </c>
      <c r="L55" s="92">
        <f t="shared" si="43"/>
        <v>12655.2</v>
      </c>
      <c r="M55" s="89">
        <v>12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90</v>
      </c>
      <c r="F56" s="93">
        <v>0</v>
      </c>
      <c r="G56" s="93">
        <v>0</v>
      </c>
      <c r="H56" s="93">
        <v>0</v>
      </c>
      <c r="I56" s="93">
        <v>0</v>
      </c>
      <c r="J56" s="93">
        <v>90</v>
      </c>
      <c r="K56" s="93">
        <v>152.34</v>
      </c>
      <c r="L56" s="92">
        <f t="shared" si="43"/>
        <v>13710.6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140</v>
      </c>
      <c r="F57" s="93">
        <v>0</v>
      </c>
      <c r="G57" s="93">
        <v>0</v>
      </c>
      <c r="H57" s="93">
        <v>0</v>
      </c>
      <c r="I57" s="93">
        <v>0</v>
      </c>
      <c r="J57" s="93">
        <v>140</v>
      </c>
      <c r="K57" s="93">
        <v>93.84</v>
      </c>
      <c r="L57" s="92">
        <f t="shared" si="43"/>
        <v>13137.6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27</v>
      </c>
      <c r="F58" s="93">
        <v>8</v>
      </c>
      <c r="G58" s="93">
        <v>2</v>
      </c>
      <c r="H58" s="93">
        <v>16</v>
      </c>
      <c r="I58" s="93">
        <v>0</v>
      </c>
      <c r="J58" s="93">
        <v>1</v>
      </c>
      <c r="K58" s="93">
        <v>169.89</v>
      </c>
      <c r="L58" s="92">
        <f t="shared" si="43"/>
        <v>4587.03</v>
      </c>
      <c r="M58" s="89">
        <v>48</v>
      </c>
      <c r="N58" s="89">
        <v>12</v>
      </c>
      <c r="O58" s="89">
        <v>1039</v>
      </c>
      <c r="P58" s="89">
        <v>25</v>
      </c>
      <c r="Q58" s="233">
        <f t="shared" si="14"/>
        <v>1.7142857142857142</v>
      </c>
      <c r="R58" s="92">
        <f t="shared" si="15"/>
        <v>0.7142857142857143</v>
      </c>
      <c r="S58" s="93">
        <v>6</v>
      </c>
      <c r="T58" s="93">
        <v>-1</v>
      </c>
      <c r="U58" s="92">
        <f t="shared" si="16"/>
        <v>5</v>
      </c>
      <c r="V58" s="93">
        <v>4103.1000000000004</v>
      </c>
      <c r="W58" s="93">
        <v>-674</v>
      </c>
      <c r="X58" s="92">
        <f t="shared" si="17"/>
        <v>3429.1000000000004</v>
      </c>
      <c r="Y58" s="93">
        <v>6233.71</v>
      </c>
      <c r="Z58" s="93">
        <v>-1039</v>
      </c>
      <c r="AA58" s="92">
        <f t="shared" si="18"/>
        <v>5194.71</v>
      </c>
      <c r="AB58" s="92">
        <f t="shared" si="19"/>
        <v>3117</v>
      </c>
      <c r="AC58" s="234">
        <f t="shared" si="20"/>
        <v>8.9852920114824402E-4</v>
      </c>
      <c r="AD58" s="92">
        <f t="shared" si="21"/>
        <v>849.44999999999993</v>
      </c>
      <c r="AE58" s="93">
        <v>1962.1299999999999</v>
      </c>
      <c r="AF58" s="234">
        <f t="shared" si="22"/>
        <v>0.37771694666304756</v>
      </c>
      <c r="AG58" s="93">
        <v>1476.0999999999997</v>
      </c>
      <c r="AH58" s="93"/>
      <c r="AI58" s="93"/>
      <c r="AJ58" s="93"/>
      <c r="AK58" s="93"/>
      <c r="AL58" s="122">
        <f t="shared" si="23"/>
        <v>12.42283414229904</v>
      </c>
      <c r="AM58" s="93">
        <v>0</v>
      </c>
      <c r="AN58" s="94">
        <f t="shared" si="24"/>
        <v>195.80161000000001</v>
      </c>
      <c r="AO58" s="95">
        <f t="shared" si="26"/>
        <v>698.80555585770139</v>
      </c>
      <c r="AP58" s="96"/>
      <c r="AQ58" s="97">
        <f t="shared" si="7"/>
        <v>1038.942</v>
      </c>
      <c r="AR58" s="98">
        <f t="shared" si="36"/>
        <v>169.89</v>
      </c>
      <c r="AS58" s="98">
        <f t="shared" si="9"/>
        <v>392.42599999999999</v>
      </c>
      <c r="AT58" s="98">
        <f t="shared" si="10"/>
        <v>246.01666666666662</v>
      </c>
      <c r="AU58" s="98">
        <f t="shared" si="25"/>
        <v>0</v>
      </c>
      <c r="AV58" s="98">
        <f t="array" ref="AV58">_xlfn.IFS(U58=0,AO58,U58&lt;0,AO58/-U58,U58&gt;0,AO58/U58)</f>
        <v>139.76111117154028</v>
      </c>
      <c r="AW58" s="234">
        <f t="shared" si="44"/>
        <v>0.13452253462805458</v>
      </c>
      <c r="AX58" s="234">
        <f t="shared" si="45"/>
        <v>0.82265649050291534</v>
      </c>
      <c r="AY58" s="99"/>
      <c r="AZ58" s="94">
        <f t="shared" si="13"/>
        <v>3773.5500016315873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105</v>
      </c>
      <c r="F59" s="93">
        <v>0</v>
      </c>
      <c r="G59" s="93">
        <v>0</v>
      </c>
      <c r="H59" s="93">
        <v>0</v>
      </c>
      <c r="I59" s="93">
        <v>0</v>
      </c>
      <c r="J59" s="93">
        <v>105</v>
      </c>
      <c r="K59" s="93">
        <v>158.19</v>
      </c>
      <c r="L59" s="92">
        <f t="shared" si="43"/>
        <v>16609.95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108</v>
      </c>
      <c r="F60" s="93">
        <v>1</v>
      </c>
      <c r="G60" s="93">
        <v>4</v>
      </c>
      <c r="H60" s="93">
        <v>19</v>
      </c>
      <c r="I60" s="93">
        <v>0</v>
      </c>
      <c r="J60" s="93">
        <v>84</v>
      </c>
      <c r="K60" s="93">
        <v>158.19</v>
      </c>
      <c r="L60" s="92">
        <f t="shared" si="43"/>
        <v>17084.52</v>
      </c>
      <c r="M60" s="89">
        <v>128</v>
      </c>
      <c r="N60" s="89">
        <v>4</v>
      </c>
      <c r="O60" s="89">
        <v>1049</v>
      </c>
      <c r="P60" s="89">
        <v>33</v>
      </c>
      <c r="Q60" s="233">
        <f t="shared" si="14"/>
        <v>0.5714285714285714</v>
      </c>
      <c r="R60" s="92">
        <f t="shared" si="15"/>
        <v>0.2857142857142857</v>
      </c>
      <c r="S60" s="93">
        <v>2</v>
      </c>
      <c r="T60" s="93">
        <v>0</v>
      </c>
      <c r="U60" s="92">
        <f t="shared" si="16"/>
        <v>2</v>
      </c>
      <c r="V60" s="93">
        <v>1356</v>
      </c>
      <c r="W60" s="93">
        <v>0</v>
      </c>
      <c r="X60" s="92">
        <f t="shared" si="17"/>
        <v>1356</v>
      </c>
      <c r="Y60" s="93">
        <v>2098</v>
      </c>
      <c r="Z60" s="93">
        <v>0</v>
      </c>
      <c r="AA60" s="92">
        <f t="shared" si="18"/>
        <v>2098</v>
      </c>
      <c r="AB60" s="92">
        <f t="shared" si="19"/>
        <v>1384.68</v>
      </c>
      <c r="AC60" s="234">
        <f t="shared" si="20"/>
        <v>3.6289114580198242E-4</v>
      </c>
      <c r="AD60" s="92">
        <f t="shared" si="21"/>
        <v>316.38</v>
      </c>
      <c r="AE60" s="93">
        <v>793.78</v>
      </c>
      <c r="AF60" s="234">
        <f t="shared" si="22"/>
        <v>0.37835081029551954</v>
      </c>
      <c r="AG60" s="93">
        <v>578.31000000000006</v>
      </c>
      <c r="AH60" s="93"/>
      <c r="AI60" s="93"/>
      <c r="AJ60" s="93"/>
      <c r="AK60" s="93"/>
      <c r="AL60" s="122">
        <f t="shared" si="23"/>
        <v>14.752115543980111</v>
      </c>
      <c r="AM60" s="93">
        <v>0</v>
      </c>
      <c r="AN60" s="94">
        <f t="shared" si="24"/>
        <v>77.427599999999998</v>
      </c>
      <c r="AO60" s="95">
        <f t="shared" si="26"/>
        <v>317.35028445601978</v>
      </c>
      <c r="AP60" s="96"/>
      <c r="AQ60" s="97">
        <f t="shared" si="7"/>
        <v>1049</v>
      </c>
      <c r="AR60" s="98">
        <f t="shared" si="36"/>
        <v>158.19</v>
      </c>
      <c r="AS60" s="98">
        <f t="shared" si="9"/>
        <v>396.89</v>
      </c>
      <c r="AT60" s="98">
        <f t="shared" si="10"/>
        <v>289.15500000000003</v>
      </c>
      <c r="AU60" s="98">
        <f t="shared" si="25"/>
        <v>0</v>
      </c>
      <c r="AV60" s="98">
        <f t="array" ref="AV60">_xlfn.IFS(U60=0,AO60,U60&lt;0,AO60/-U60,U60&gt;0,AO60/U60)</f>
        <v>158.67514222800989</v>
      </c>
      <c r="AW60" s="234">
        <f t="shared" si="44"/>
        <v>0.15126324330601515</v>
      </c>
      <c r="AX60" s="234">
        <f t="shared" si="45"/>
        <v>1.0030668324673486</v>
      </c>
      <c r="AY60" s="99"/>
      <c r="AZ60" s="94">
        <f t="shared" si="13"/>
        <v>17136.915360625069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553</v>
      </c>
      <c r="F61" s="93">
        <v>3</v>
      </c>
      <c r="G61" s="93" t="s">
        <v>100</v>
      </c>
      <c r="H61" s="93">
        <v>158</v>
      </c>
      <c r="I61" s="93">
        <v>0</v>
      </c>
      <c r="J61" s="93">
        <v>392</v>
      </c>
      <c r="K61" s="93">
        <v>128.94</v>
      </c>
      <c r="L61" s="92">
        <f t="shared" si="43"/>
        <v>71303.819999999992</v>
      </c>
      <c r="M61" s="89">
        <v>999</v>
      </c>
      <c r="N61" s="89">
        <v>4</v>
      </c>
      <c r="O61" s="89">
        <v>948</v>
      </c>
      <c r="P61" s="89">
        <v>100</v>
      </c>
      <c r="Q61" s="233">
        <f t="shared" si="14"/>
        <v>0.5714285714285714</v>
      </c>
      <c r="R61" s="92">
        <f t="shared" si="15"/>
        <v>0.2857142857142857</v>
      </c>
      <c r="S61" s="93">
        <v>2</v>
      </c>
      <c r="T61" s="93">
        <v>0</v>
      </c>
      <c r="U61" s="92">
        <f t="shared" si="16"/>
        <v>2</v>
      </c>
      <c r="V61" s="93">
        <v>1322</v>
      </c>
      <c r="W61" s="93">
        <v>0</v>
      </c>
      <c r="X61" s="92">
        <f t="shared" si="17"/>
        <v>1322</v>
      </c>
      <c r="Y61" s="93">
        <v>1896</v>
      </c>
      <c r="Z61" s="93">
        <v>0</v>
      </c>
      <c r="AA61" s="92">
        <f t="shared" si="18"/>
        <v>1896</v>
      </c>
      <c r="AB61" s="92">
        <f t="shared" si="19"/>
        <v>3792</v>
      </c>
      <c r="AC61" s="234">
        <f t="shared" si="20"/>
        <v>3.2795119754078103E-4</v>
      </c>
      <c r="AD61" s="92">
        <f t="shared" si="21"/>
        <v>257.88</v>
      </c>
      <c r="AE61" s="93">
        <v>721.22</v>
      </c>
      <c r="AF61" s="234">
        <f t="shared" si="22"/>
        <v>0.38039029535864982</v>
      </c>
      <c r="AG61" s="93">
        <v>272.11</v>
      </c>
      <c r="AH61" s="93"/>
      <c r="AI61" s="93"/>
      <c r="AJ61" s="93"/>
      <c r="AK61" s="93"/>
      <c r="AL61" s="122">
        <f t="shared" si="23"/>
        <v>122.67548715520303</v>
      </c>
      <c r="AM61" s="93">
        <v>0</v>
      </c>
      <c r="AN61" s="94">
        <f t="shared" si="24"/>
        <v>75.486199999999997</v>
      </c>
      <c r="AO61" s="95">
        <f t="shared" si="26"/>
        <v>446.62831284479677</v>
      </c>
      <c r="AP61" s="96"/>
      <c r="AQ61" s="97">
        <f t="shared" si="7"/>
        <v>948</v>
      </c>
      <c r="AR61" s="98">
        <f t="shared" si="36"/>
        <v>128.94</v>
      </c>
      <c r="AS61" s="98">
        <f t="shared" si="9"/>
        <v>360.61</v>
      </c>
      <c r="AT61" s="98">
        <f t="shared" si="10"/>
        <v>136.05500000000001</v>
      </c>
      <c r="AU61" s="98">
        <f t="shared" si="25"/>
        <v>0</v>
      </c>
      <c r="AV61" s="98">
        <f t="array" ref="AV61">_xlfn.IFS(U61=0,AO61,U61&lt;0,AO61/-U61,U61&gt;0,AO61/U61)</f>
        <v>223.31415642239838</v>
      </c>
      <c r="AW61" s="234">
        <f t="shared" si="44"/>
        <v>0.23556345614177043</v>
      </c>
      <c r="AX61" s="234">
        <f t="shared" si="45"/>
        <v>1.7319230372452179</v>
      </c>
      <c r="AY61" s="99"/>
      <c r="AZ61" s="94">
        <f t="shared" si="13"/>
        <v>123492.7285015863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3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102</v>
      </c>
      <c r="F63" s="93">
        <v>0</v>
      </c>
      <c r="G63" s="93">
        <v>0</v>
      </c>
      <c r="H63" s="93">
        <v>0</v>
      </c>
      <c r="I63" s="93">
        <v>0</v>
      </c>
      <c r="J63" s="93">
        <v>102</v>
      </c>
      <c r="K63" s="93">
        <v>140.63999999999999</v>
      </c>
      <c r="L63" s="92">
        <f t="shared" si="43"/>
        <v>14345.279999999999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3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3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23"/>
        <v>0.77642713389369</v>
      </c>
      <c r="AM65" s="93">
        <v>0</v>
      </c>
      <c r="AN65" s="94">
        <f t="shared" si="24"/>
        <v>0</v>
      </c>
      <c r="AO65" s="95">
        <f t="shared" si="26"/>
        <v>-0.77642713389369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0</v>
      </c>
      <c r="AU65" s="98">
        <f t="shared" si="25"/>
        <v>0</v>
      </c>
      <c r="AV65" s="98">
        <f t="array" ref="AV65">_xlfn.IFS(U65=0,AO65,U65&lt;0,AO65/-U65,U65&gt;0,AO65/U65)</f>
        <v>-0.77642713389369</v>
      </c>
      <c r="AW65" s="234">
        <f t="shared" si="44"/>
        <v>0</v>
      </c>
      <c r="AX65" s="234">
        <f t="shared" si="45"/>
        <v>-7.7884154267598557E-3</v>
      </c>
      <c r="AY65" s="99"/>
      <c r="AZ65" s="94">
        <f t="shared" si="13"/>
        <v>-73.760577719900553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3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1.55285426778738</v>
      </c>
      <c r="AM66" s="93">
        <v>0</v>
      </c>
      <c r="AN66" s="94">
        <f t="shared" si="24"/>
        <v>0</v>
      </c>
      <c r="AO66" s="95">
        <f t="shared" si="26"/>
        <v>-1.55285426778738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-1.55285426778738</v>
      </c>
      <c r="AW66" s="234">
        <f t="shared" si="44"/>
        <v>0</v>
      </c>
      <c r="AX66" s="234">
        <f t="shared" si="45"/>
        <v>-1.5951250824729122E-2</v>
      </c>
      <c r="AY66" s="99"/>
      <c r="AZ66" s="94">
        <f t="shared" si="13"/>
        <v>-147.52115543980111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3"/>
        <v>323.39999999999998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0</v>
      </c>
      <c r="AO67" s="95">
        <f t="shared" si="26"/>
        <v>0</v>
      </c>
      <c r="AP67" s="96"/>
      <c r="AQ67" s="97">
        <f t="shared" si="7"/>
        <v>0</v>
      </c>
      <c r="AR67" s="98">
        <f t="shared" si="36"/>
        <v>161.69999999999999</v>
      </c>
      <c r="AS67" s="98">
        <f t="shared" si="9"/>
        <v>0</v>
      </c>
      <c r="AT67" s="98">
        <f t="shared" si="10"/>
        <v>0</v>
      </c>
      <c r="AU67" s="98">
        <f t="shared" si="25"/>
        <v>0</v>
      </c>
      <c r="AV67" s="98">
        <f t="array" ref="AV67">_xlfn.IFS(U67=0,AO67,U67&lt;0,AO67/-U67,U67&gt;0,AO67/U67)</f>
        <v>0</v>
      </c>
      <c r="AW67" s="234">
        <f t="shared" si="44"/>
        <v>0</v>
      </c>
      <c r="AX67" s="234">
        <f t="shared" si="45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63</v>
      </c>
      <c r="F68" s="93">
        <v>0</v>
      </c>
      <c r="G68" s="93">
        <v>0</v>
      </c>
      <c r="H68" s="93">
        <v>0</v>
      </c>
      <c r="I68" s="93">
        <v>0</v>
      </c>
      <c r="J68" s="93">
        <v>63</v>
      </c>
      <c r="K68" s="93">
        <v>161.69999999999999</v>
      </c>
      <c r="L68" s="92">
        <f t="shared" si="43"/>
        <v>10187.099999999999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27</v>
      </c>
      <c r="F69" s="93">
        <v>2</v>
      </c>
      <c r="G69" s="93" t="s">
        <v>100</v>
      </c>
      <c r="H69" s="93">
        <v>7</v>
      </c>
      <c r="I69" s="93">
        <v>0</v>
      </c>
      <c r="J69" s="93">
        <v>18</v>
      </c>
      <c r="K69" s="93">
        <v>140.63999999999999</v>
      </c>
      <c r="L69" s="92">
        <f t="shared" si="43"/>
        <v>3797.2799999999997</v>
      </c>
      <c r="M69" s="89">
        <v>61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1400.04</v>
      </c>
      <c r="W69" s="93">
        <v>0</v>
      </c>
      <c r="X69" s="92">
        <f t="shared" si="50"/>
        <v>1400.04</v>
      </c>
      <c r="Y69" s="93">
        <v>1995.88</v>
      </c>
      <c r="Z69" s="93">
        <v>0</v>
      </c>
      <c r="AA69" s="92">
        <f t="shared" si="51"/>
        <v>1995.88</v>
      </c>
      <c r="AB69" s="92">
        <f t="shared" si="52"/>
        <v>0</v>
      </c>
      <c r="AC69" s="234">
        <f t="shared" si="53"/>
        <v>3.4522744522557703E-4</v>
      </c>
      <c r="AD69" s="92">
        <f t="shared" si="54"/>
        <v>281.27999999999997</v>
      </c>
      <c r="AE69" s="93">
        <v>746.59000000000015</v>
      </c>
      <c r="AF69" s="234">
        <f t="shared" si="55"/>
        <v>0.37406557508467447</v>
      </c>
      <c r="AG69" s="93">
        <v>122.75</v>
      </c>
      <c r="AH69" s="93"/>
      <c r="AI69" s="93"/>
      <c r="AJ69" s="93"/>
      <c r="AK69" s="93"/>
      <c r="AL69" s="122">
        <f t="shared" si="56"/>
        <v>5.4349899372558301</v>
      </c>
      <c r="AM69" s="93">
        <v>0</v>
      </c>
      <c r="AN69" s="94">
        <f t="shared" si="57"/>
        <v>79.942284000000001</v>
      </c>
      <c r="AO69" s="95">
        <f t="shared" ref="AO69:AO103" si="58">AA69-AD69-AE69-AG69-AH69-AI69-AK69-AL69-AN69-AM69</f>
        <v>759.88272606274415</v>
      </c>
      <c r="AP69" s="96"/>
      <c r="AQ69" s="97">
        <f t="shared" si="7"/>
        <v>997.94</v>
      </c>
      <c r="AR69" s="98">
        <f t="shared" si="36"/>
        <v>140.63999999999999</v>
      </c>
      <c r="AS69" s="98">
        <f t="shared" si="9"/>
        <v>373.29500000000007</v>
      </c>
      <c r="AT69" s="98">
        <f t="shared" si="10"/>
        <v>61.375</v>
      </c>
      <c r="AU69" s="98">
        <f t="shared" si="25"/>
        <v>0</v>
      </c>
      <c r="AV69" s="98">
        <f t="array" ref="AV69">_xlfn.IFS(U69=0,AO69,U69&lt;0,AO69/-U69,U69&gt;0,AO69/U69)</f>
        <v>379.94136303137208</v>
      </c>
      <c r="AW69" s="234">
        <f t="shared" si="44"/>
        <v>0.3807256578866185</v>
      </c>
      <c r="AX69" s="234">
        <f t="shared" si="45"/>
        <v>2.7015170864005413</v>
      </c>
      <c r="AY69" s="99"/>
      <c r="AZ69" s="94">
        <f t="shared" si="13"/>
        <v>10258.416801847046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66</v>
      </c>
      <c r="F70" s="93">
        <v>2</v>
      </c>
      <c r="G70" s="93" t="s">
        <v>100</v>
      </c>
      <c r="H70" s="93">
        <v>2</v>
      </c>
      <c r="I70" s="93">
        <v>0</v>
      </c>
      <c r="J70" s="93">
        <v>62</v>
      </c>
      <c r="K70" s="93">
        <v>117.24</v>
      </c>
      <c r="L70" s="92">
        <f t="shared" si="43"/>
        <v>7737.8399999999992</v>
      </c>
      <c r="M70" s="89">
        <v>17</v>
      </c>
      <c r="N70" s="89">
        <v>3</v>
      </c>
      <c r="O70" s="89">
        <v>1048</v>
      </c>
      <c r="P70" s="89">
        <v>50</v>
      </c>
      <c r="Q70" s="233">
        <f t="shared" si="47"/>
        <v>0.42857142857142855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1320</v>
      </c>
      <c r="W70" s="93">
        <v>0</v>
      </c>
      <c r="X70" s="92">
        <f t="shared" si="50"/>
        <v>1320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1572</v>
      </c>
      <c r="AC70" s="234">
        <f t="shared" si="53"/>
        <v>3.6254520572018831E-4</v>
      </c>
      <c r="AD70" s="92">
        <f t="shared" si="54"/>
        <v>234.48</v>
      </c>
      <c r="AE70" s="93">
        <v>791.63999999999987</v>
      </c>
      <c r="AF70" s="234">
        <f t="shared" si="55"/>
        <v>0.37769083969465644</v>
      </c>
      <c r="AG70" s="93">
        <v>188.11</v>
      </c>
      <c r="AH70" s="93"/>
      <c r="AI70" s="93"/>
      <c r="AJ70" s="93"/>
      <c r="AK70" s="93"/>
      <c r="AL70" s="122">
        <f t="shared" si="56"/>
        <v>1.55285426778738</v>
      </c>
      <c r="AM70" s="93">
        <v>0</v>
      </c>
      <c r="AN70" s="94">
        <f t="shared" si="57"/>
        <v>75.372</v>
      </c>
      <c r="AO70" s="95">
        <f t="shared" si="58"/>
        <v>804.84514573221281</v>
      </c>
      <c r="AP70" s="96"/>
      <c r="AQ70" s="97">
        <f t="shared" si="7"/>
        <v>1048</v>
      </c>
      <c r="AR70" s="98">
        <f t="shared" si="36"/>
        <v>117.24</v>
      </c>
      <c r="AS70" s="98">
        <f t="shared" si="9"/>
        <v>395.81999999999994</v>
      </c>
      <c r="AT70" s="98">
        <f t="shared" si="10"/>
        <v>94.055000000000007</v>
      </c>
      <c r="AU70" s="98">
        <f t="shared" si="25"/>
        <v>0</v>
      </c>
      <c r="AV70" s="98">
        <f t="array" ref="AV70">_xlfn.IFS(U70=0,AO70,U70&lt;0,AO70/-U70,U70&gt;0,AO70/U70)</f>
        <v>402.42257286610641</v>
      </c>
      <c r="AW70" s="234">
        <f t="shared" si="44"/>
        <v>0.38399100464323133</v>
      </c>
      <c r="AX70" s="234">
        <f t="shared" si="45"/>
        <v>3.4324682093663119</v>
      </c>
      <c r="AY70" s="99"/>
      <c r="AZ70" s="94">
        <f t="shared" si="13"/>
        <v>26559.889809163022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10</v>
      </c>
      <c r="F71" s="93">
        <v>4</v>
      </c>
      <c r="G71" s="93">
        <v>2</v>
      </c>
      <c r="H71" s="93">
        <v>3</v>
      </c>
      <c r="I71" s="93">
        <v>0</v>
      </c>
      <c r="J71" s="93">
        <v>1</v>
      </c>
      <c r="K71" s="93">
        <v>123.09</v>
      </c>
      <c r="L71" s="92">
        <f t="shared" si="43"/>
        <v>1230.9000000000001</v>
      </c>
      <c r="M71" s="89">
        <v>14</v>
      </c>
      <c r="N71" s="89">
        <v>4</v>
      </c>
      <c r="O71" s="89">
        <v>702</v>
      </c>
      <c r="P71" s="89">
        <v>0</v>
      </c>
      <c r="Q71" s="233">
        <f t="shared" si="47"/>
        <v>0.5714285714285714</v>
      </c>
      <c r="R71" s="92">
        <f t="shared" si="48"/>
        <v>0.42857142857142855</v>
      </c>
      <c r="S71" s="93">
        <v>3</v>
      </c>
      <c r="T71" s="93">
        <v>0</v>
      </c>
      <c r="U71" s="92">
        <f t="shared" si="49"/>
        <v>3</v>
      </c>
      <c r="V71" s="93">
        <v>1383</v>
      </c>
      <c r="W71" s="93">
        <v>0</v>
      </c>
      <c r="X71" s="92">
        <f t="shared" si="50"/>
        <v>1383</v>
      </c>
      <c r="Y71" s="93">
        <v>2106</v>
      </c>
      <c r="Z71" s="93">
        <v>0</v>
      </c>
      <c r="AA71" s="92">
        <f t="shared" si="51"/>
        <v>2106</v>
      </c>
      <c r="AB71" s="92">
        <f t="shared" si="52"/>
        <v>0</v>
      </c>
      <c r="AC71" s="234">
        <f t="shared" si="53"/>
        <v>3.6427490612915867E-4</v>
      </c>
      <c r="AD71" s="92">
        <f t="shared" si="54"/>
        <v>369.27</v>
      </c>
      <c r="AE71" s="93">
        <v>797.7</v>
      </c>
      <c r="AF71" s="234">
        <f t="shared" si="55"/>
        <v>0.3787749287749288</v>
      </c>
      <c r="AG71" s="93">
        <v>721.33</v>
      </c>
      <c r="AH71" s="93"/>
      <c r="AI71" s="93"/>
      <c r="AJ71" s="93"/>
      <c r="AK71" s="93"/>
      <c r="AL71" s="122">
        <f t="shared" si="56"/>
        <v>2.3292814016810701</v>
      </c>
      <c r="AM71" s="93">
        <v>0</v>
      </c>
      <c r="AN71" s="94">
        <f t="shared" si="57"/>
        <v>78.969300000000004</v>
      </c>
      <c r="AO71" s="95">
        <f t="shared" si="58"/>
        <v>136.40141859831886</v>
      </c>
      <c r="AP71" s="96"/>
      <c r="AQ71" s="97">
        <f t="shared" si="7"/>
        <v>702</v>
      </c>
      <c r="AR71" s="98">
        <f t="shared" si="36"/>
        <v>123.09</v>
      </c>
      <c r="AS71" s="98">
        <f t="shared" si="9"/>
        <v>265.90000000000003</v>
      </c>
      <c r="AT71" s="98">
        <f t="shared" si="10"/>
        <v>240.44333333333336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45.467139532772954</v>
      </c>
      <c r="AW71" s="234">
        <f t="shared" si="44"/>
        <v>6.476800503244011E-2</v>
      </c>
      <c r="AX71" s="234">
        <f t="shared" si="45"/>
        <v>0.36938126194469861</v>
      </c>
      <c r="AY71" s="99"/>
      <c r="AZ71" s="94">
        <f t="shared" si="13"/>
        <v>454.67139532772956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2</v>
      </c>
      <c r="F72" s="93">
        <v>1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246.18</v>
      </c>
      <c r="M72" s="89">
        <v>999</v>
      </c>
      <c r="N72" s="89">
        <v>2</v>
      </c>
      <c r="O72" s="89">
        <v>837</v>
      </c>
      <c r="P72" s="89">
        <v>0</v>
      </c>
      <c r="Q72" s="233">
        <f t="shared" si="47"/>
        <v>0.2857142857142857</v>
      </c>
      <c r="R72" s="92">
        <f t="shared" si="48"/>
        <v>0.14285714285714285</v>
      </c>
      <c r="S72" s="93">
        <v>1</v>
      </c>
      <c r="T72" s="93">
        <v>0</v>
      </c>
      <c r="U72" s="92">
        <f t="shared" si="49"/>
        <v>1</v>
      </c>
      <c r="V72" s="93">
        <v>559</v>
      </c>
      <c r="W72" s="93">
        <v>0</v>
      </c>
      <c r="X72" s="92">
        <f t="shared" si="50"/>
        <v>559</v>
      </c>
      <c r="Y72" s="93">
        <v>837</v>
      </c>
      <c r="Z72" s="93">
        <v>0</v>
      </c>
      <c r="AA72" s="92">
        <f t="shared" si="51"/>
        <v>837</v>
      </c>
      <c r="AB72" s="92">
        <f t="shared" si="52"/>
        <v>0</v>
      </c>
      <c r="AC72" s="234">
        <f t="shared" si="53"/>
        <v>1.4477592423081949E-4</v>
      </c>
      <c r="AD72" s="92">
        <f t="shared" si="54"/>
        <v>123.09</v>
      </c>
      <c r="AE72" s="93">
        <v>317.39999999999998</v>
      </c>
      <c r="AF72" s="234">
        <f t="shared" si="55"/>
        <v>0.37921146953405016</v>
      </c>
      <c r="AG72" s="93">
        <v>242.99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31.918899999999997</v>
      </c>
      <c r="AO72" s="95">
        <f t="shared" si="58"/>
        <v>121.60109999999999</v>
      </c>
      <c r="AP72" s="96"/>
      <c r="AQ72" s="97">
        <f t="shared" si="7"/>
        <v>837</v>
      </c>
      <c r="AR72" s="98">
        <f t="shared" si="36"/>
        <v>123.09</v>
      </c>
      <c r="AS72" s="98">
        <f t="shared" si="9"/>
        <v>317.39999999999998</v>
      </c>
      <c r="AT72" s="98">
        <f t="shared" si="10"/>
        <v>242.99</v>
      </c>
      <c r="AU72" s="98">
        <f t="shared" si="59"/>
        <v>0</v>
      </c>
      <c r="AV72" s="98">
        <f t="array" ref="AV72">_xlfn.IFS(U72=0,AO72,U72&lt;0,AO72/-U72,U72&gt;0,AO72/U72)</f>
        <v>121.60109999999999</v>
      </c>
      <c r="AW72" s="234">
        <f t="shared" si="44"/>
        <v>0.14528207885304659</v>
      </c>
      <c r="AX72" s="234">
        <f t="shared" si="45"/>
        <v>0.9879039727029002</v>
      </c>
      <c r="AY72" s="99"/>
      <c r="AZ72" s="94">
        <f t="shared" si="13"/>
        <v>243.20219999999998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7</v>
      </c>
      <c r="F73" s="93">
        <v>3</v>
      </c>
      <c r="G73" s="93">
        <v>3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3"/>
        <v>861.63</v>
      </c>
      <c r="M73" s="89">
        <v>7</v>
      </c>
      <c r="N73" s="89">
        <v>6</v>
      </c>
      <c r="O73" s="89">
        <v>807</v>
      </c>
      <c r="P73" s="89">
        <v>0</v>
      </c>
      <c r="Q73" s="233">
        <f t="shared" si="47"/>
        <v>0.8571428571428571</v>
      </c>
      <c r="R73" s="92">
        <f t="shared" si="48"/>
        <v>0</v>
      </c>
      <c r="S73" s="93">
        <v>0</v>
      </c>
      <c r="T73" s="93">
        <v>0</v>
      </c>
      <c r="U73" s="92">
        <f t="shared" si="49"/>
        <v>0</v>
      </c>
      <c r="V73" s="93">
        <v>0</v>
      </c>
      <c r="W73" s="93">
        <v>0</v>
      </c>
      <c r="X73" s="92">
        <f t="shared" si="50"/>
        <v>0</v>
      </c>
      <c r="Y73" s="93">
        <v>0</v>
      </c>
      <c r="Z73" s="93">
        <v>0</v>
      </c>
      <c r="AA73" s="92">
        <f t="shared" si="51"/>
        <v>0</v>
      </c>
      <c r="AB73" s="92">
        <f t="shared" si="52"/>
        <v>0</v>
      </c>
      <c r="AC73" s="234">
        <f t="shared" si="53"/>
        <v>0</v>
      </c>
      <c r="AD73" s="92">
        <f t="shared" si="54"/>
        <v>0</v>
      </c>
      <c r="AE73" s="93">
        <v>0</v>
      </c>
      <c r="AF73" s="234">
        <f t="shared" si="55"/>
        <v>0</v>
      </c>
      <c r="AG73" s="93">
        <v>483.29</v>
      </c>
      <c r="AH73" s="93"/>
      <c r="AI73" s="93"/>
      <c r="AJ73" s="93"/>
      <c r="AK73" s="93"/>
      <c r="AL73" s="122">
        <f t="shared" si="56"/>
        <v>0</v>
      </c>
      <c r="AM73" s="93">
        <v>0</v>
      </c>
      <c r="AN73" s="94">
        <f t="shared" si="57"/>
        <v>0</v>
      </c>
      <c r="AO73" s="95">
        <f t="shared" si="58"/>
        <v>-483.29</v>
      </c>
      <c r="AP73" s="96"/>
      <c r="AQ73" s="97">
        <f t="shared" si="7"/>
        <v>0</v>
      </c>
      <c r="AR73" s="98">
        <f t="shared" si="36"/>
        <v>123.09</v>
      </c>
      <c r="AS73" s="98">
        <f t="shared" si="9"/>
        <v>0</v>
      </c>
      <c r="AT73" s="98">
        <f t="shared" si="10"/>
        <v>483.29</v>
      </c>
      <c r="AU73" s="98">
        <f t="shared" si="59"/>
        <v>0</v>
      </c>
      <c r="AV73" s="98">
        <f t="array" ref="AV73">_xlfn.IFS(U73=0,AO73,U73&lt;0,AO73/-U73,U73&gt;0,AO73/U73)</f>
        <v>-483.29</v>
      </c>
      <c r="AW73" s="234">
        <f t="shared" si="44"/>
        <v>0</v>
      </c>
      <c r="AX73" s="234">
        <f t="shared" si="45"/>
        <v>-3.9263140791290927</v>
      </c>
      <c r="AY73" s="99"/>
      <c r="AZ73" s="94">
        <f t="shared" si="13"/>
        <v>-3383.03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269.58</v>
      </c>
      <c r="M74" s="89">
        <v>999</v>
      </c>
      <c r="N74" s="89">
        <v>1</v>
      </c>
      <c r="O74" s="89">
        <v>781</v>
      </c>
      <c r="P74" s="89">
        <v>0</v>
      </c>
      <c r="Q74" s="233">
        <f t="shared" si="47"/>
        <v>0.14285714285714285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93.93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-93.93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93.93</v>
      </c>
      <c r="AU74" s="98">
        <f t="shared" si="59"/>
        <v>0</v>
      </c>
      <c r="AV74" s="98">
        <f t="array" ref="AV74">_xlfn.IFS(U74=0,AO74,U74&lt;0,AO74/-U74,U74&gt;0,AO74/U74)</f>
        <v>-93.93</v>
      </c>
      <c r="AW74" s="234">
        <f t="shared" si="44"/>
        <v>0</v>
      </c>
      <c r="AX74" s="234">
        <f t="shared" si="45"/>
        <v>-0.69686178499888729</v>
      </c>
      <c r="AY74" s="99"/>
      <c r="AZ74" s="94">
        <f t="shared" si="13"/>
        <v>-187.86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22</v>
      </c>
      <c r="F75" s="93">
        <v>6</v>
      </c>
      <c r="G75" s="93">
        <v>9</v>
      </c>
      <c r="H75" s="93">
        <v>6</v>
      </c>
      <c r="I75" s="93">
        <v>0</v>
      </c>
      <c r="J75" s="93">
        <v>1</v>
      </c>
      <c r="K75" s="93">
        <v>134.79</v>
      </c>
      <c r="L75" s="92">
        <f t="shared" si="43"/>
        <v>2965.3799999999997</v>
      </c>
      <c r="M75" s="89">
        <v>17</v>
      </c>
      <c r="N75" s="89">
        <v>16</v>
      </c>
      <c r="O75" s="89">
        <v>763</v>
      </c>
      <c r="P75" s="89">
        <v>18</v>
      </c>
      <c r="Q75" s="233">
        <f t="shared" si="47"/>
        <v>2.2857142857142856</v>
      </c>
      <c r="R75" s="92">
        <f t="shared" si="48"/>
        <v>0.5714285714285714</v>
      </c>
      <c r="S75" s="93">
        <v>5</v>
      </c>
      <c r="T75" s="93">
        <v>-1</v>
      </c>
      <c r="U75" s="92">
        <f t="shared" si="49"/>
        <v>4</v>
      </c>
      <c r="V75" s="93">
        <v>2569</v>
      </c>
      <c r="W75" s="93">
        <v>-475</v>
      </c>
      <c r="X75" s="92">
        <f t="shared" si="50"/>
        <v>2094</v>
      </c>
      <c r="Y75" s="93">
        <v>3792.11</v>
      </c>
      <c r="Z75" s="93">
        <v>-740.11</v>
      </c>
      <c r="AA75" s="92">
        <f t="shared" si="51"/>
        <v>3052</v>
      </c>
      <c r="AB75" s="92">
        <f t="shared" si="52"/>
        <v>2197.44</v>
      </c>
      <c r="AC75" s="234">
        <f t="shared" si="53"/>
        <v>5.2790456481775511E-4</v>
      </c>
      <c r="AD75" s="92">
        <f t="shared" si="54"/>
        <v>539.16</v>
      </c>
      <c r="AE75" s="93">
        <v>1149.8800000000001</v>
      </c>
      <c r="AF75" s="234">
        <f t="shared" si="55"/>
        <v>0.37676277850589779</v>
      </c>
      <c r="AG75" s="93">
        <v>1838.6599999999994</v>
      </c>
      <c r="AH75" s="93"/>
      <c r="AI75" s="93"/>
      <c r="AJ75" s="93"/>
      <c r="AK75" s="93"/>
      <c r="AL75" s="122">
        <f t="shared" si="56"/>
        <v>4.6585628033621402</v>
      </c>
      <c r="AM75" s="93">
        <v>0</v>
      </c>
      <c r="AN75" s="94">
        <f t="shared" si="57"/>
        <v>119.56739999999999</v>
      </c>
      <c r="AO75" s="95">
        <f t="shared" si="58"/>
        <v>-599.92596280336147</v>
      </c>
      <c r="AP75" s="96"/>
      <c r="AQ75" s="97">
        <f t="shared" si="7"/>
        <v>763</v>
      </c>
      <c r="AR75" s="98">
        <f t="shared" si="36"/>
        <v>134.79</v>
      </c>
      <c r="AS75" s="98">
        <f t="shared" si="9"/>
        <v>287.47000000000003</v>
      </c>
      <c r="AT75" s="98">
        <f t="shared" si="10"/>
        <v>367.73199999999986</v>
      </c>
      <c r="AU75" s="98">
        <f t="shared" si="59"/>
        <v>0</v>
      </c>
      <c r="AV75" s="98">
        <f t="array" ref="AV75">_xlfn.IFS(U75=0,AO75,U75&lt;0,AO75/-U75,U75&gt;0,AO75/U75)</f>
        <v>-149.98149070084037</v>
      </c>
      <c r="AW75" s="234">
        <f t="shared" si="44"/>
        <v>-0.19656813984382748</v>
      </c>
      <c r="AX75" s="234">
        <f t="shared" si="45"/>
        <v>-1.1127048794483299</v>
      </c>
      <c r="AY75" s="99"/>
      <c r="AZ75" s="94">
        <f t="shared" si="13"/>
        <v>-3299.5927954184881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47</v>
      </c>
      <c r="F76" s="93">
        <v>1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3"/>
        <v>5785.2300000000005</v>
      </c>
      <c r="M76" s="89">
        <v>999</v>
      </c>
      <c r="N76" s="89">
        <v>2</v>
      </c>
      <c r="O76" s="89">
        <v>1050</v>
      </c>
      <c r="P76" s="89">
        <v>0</v>
      </c>
      <c r="Q76" s="233">
        <f t="shared" si="47"/>
        <v>0.2857142857142857</v>
      </c>
      <c r="R76" s="92">
        <f t="shared" si="48"/>
        <v>0</v>
      </c>
      <c r="S76" s="93">
        <v>0</v>
      </c>
      <c r="T76" s="93">
        <v>0</v>
      </c>
      <c r="U76" s="92">
        <f t="shared" si="49"/>
        <v>0</v>
      </c>
      <c r="V76" s="93">
        <v>0</v>
      </c>
      <c r="W76" s="93">
        <v>0</v>
      </c>
      <c r="X76" s="92">
        <f t="shared" si="50"/>
        <v>0</v>
      </c>
      <c r="Y76" s="93">
        <v>0</v>
      </c>
      <c r="Z76" s="93">
        <v>0</v>
      </c>
      <c r="AA76" s="92">
        <f t="shared" si="51"/>
        <v>0</v>
      </c>
      <c r="AB76" s="92">
        <f t="shared" si="52"/>
        <v>0</v>
      </c>
      <c r="AC76" s="234">
        <f t="shared" si="53"/>
        <v>0</v>
      </c>
      <c r="AD76" s="92">
        <f t="shared" si="54"/>
        <v>0</v>
      </c>
      <c r="AE76" s="93">
        <v>0</v>
      </c>
      <c r="AF76" s="234">
        <f t="shared" si="55"/>
        <v>0</v>
      </c>
      <c r="AG76" s="93">
        <v>295.27</v>
      </c>
      <c r="AH76" s="93"/>
      <c r="AI76" s="93">
        <v>1000</v>
      </c>
      <c r="AJ76" s="93"/>
      <c r="AK76" s="93"/>
      <c r="AL76" s="122">
        <f t="shared" si="56"/>
        <v>34.162793891322366</v>
      </c>
      <c r="AM76" s="93">
        <v>0</v>
      </c>
      <c r="AN76" s="94">
        <f t="shared" si="57"/>
        <v>0</v>
      </c>
      <c r="AO76" s="95">
        <f t="shared" si="58"/>
        <v>-1329.4327938913223</v>
      </c>
      <c r="AP76" s="96"/>
      <c r="AQ76" s="97">
        <f t="shared" si="7"/>
        <v>0</v>
      </c>
      <c r="AR76" s="98">
        <f t="shared" si="36"/>
        <v>123.09</v>
      </c>
      <c r="AS76" s="98">
        <f t="shared" si="9"/>
        <v>0</v>
      </c>
      <c r="AT76" s="98">
        <f t="shared" si="10"/>
        <v>295.27</v>
      </c>
      <c r="AU76" s="98">
        <f t="shared" si="59"/>
        <v>0</v>
      </c>
      <c r="AV76" s="98">
        <f t="array" ref="AV76">_xlfn.IFS(U76=0,AO76,U76&lt;0,AO76/-U76,U76&gt;0,AO76/U76)</f>
        <v>-1329.4327938913223</v>
      </c>
      <c r="AW76" s="234">
        <f t="shared" si="44"/>
        <v>0</v>
      </c>
      <c r="AX76" s="234">
        <f t="shared" si="45"/>
        <v>-10.800493897890343</v>
      </c>
      <c r="AY76" s="99"/>
      <c r="AZ76" s="94">
        <f t="shared" si="13"/>
        <v>-62483.341312892146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41</v>
      </c>
      <c r="F77" s="93">
        <v>3</v>
      </c>
      <c r="G77" s="93">
        <v>1</v>
      </c>
      <c r="H77" s="93">
        <v>33</v>
      </c>
      <c r="I77" s="93">
        <v>0</v>
      </c>
      <c r="J77" s="93">
        <v>4</v>
      </c>
      <c r="K77" s="93">
        <v>123.09</v>
      </c>
      <c r="L77" s="92">
        <f t="shared" si="43"/>
        <v>5046.6900000000005</v>
      </c>
      <c r="M77" s="89">
        <v>185</v>
      </c>
      <c r="N77" s="89">
        <v>6</v>
      </c>
      <c r="O77" s="89">
        <v>1150</v>
      </c>
      <c r="P77" s="89">
        <v>33</v>
      </c>
      <c r="Q77" s="233">
        <f t="shared" si="47"/>
        <v>0.8571428571428571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735</v>
      </c>
      <c r="W77" s="93">
        <v>0</v>
      </c>
      <c r="X77" s="92">
        <f t="shared" si="50"/>
        <v>735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2277</v>
      </c>
      <c r="AC77" s="234">
        <f t="shared" si="53"/>
        <v>1.9891554703159187E-4</v>
      </c>
      <c r="AD77" s="92">
        <f t="shared" si="54"/>
        <v>123.09</v>
      </c>
      <c r="AE77" s="93">
        <v>434.78</v>
      </c>
      <c r="AF77" s="234">
        <f t="shared" si="55"/>
        <v>0.37806956521739127</v>
      </c>
      <c r="AG77" s="93">
        <v>364.39</v>
      </c>
      <c r="AH77" s="93"/>
      <c r="AI77" s="93"/>
      <c r="AJ77" s="93"/>
      <c r="AK77" s="93"/>
      <c r="AL77" s="122">
        <f t="shared" si="56"/>
        <v>25.622095418491771</v>
      </c>
      <c r="AM77" s="93">
        <v>0</v>
      </c>
      <c r="AN77" s="94">
        <f t="shared" si="57"/>
        <v>41.968499999999999</v>
      </c>
      <c r="AO77" s="95">
        <f t="shared" si="58"/>
        <v>160.14940458150835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434.78</v>
      </c>
      <c r="AT77" s="98">
        <f t="shared" si="10"/>
        <v>364.39</v>
      </c>
      <c r="AU77" s="98">
        <f t="shared" si="59"/>
        <v>0</v>
      </c>
      <c r="AV77" s="98">
        <f t="array" ref="AV77">_xlfn.IFS(U77=0,AO77,U77&lt;0,AO77/-U77,U77&gt;0,AO77/U77)</f>
        <v>160.14940458150835</v>
      </c>
      <c r="AW77" s="234">
        <f t="shared" si="44"/>
        <v>0.13926035181000726</v>
      </c>
      <c r="AX77" s="234">
        <f t="shared" si="45"/>
        <v>1.3010756729345061</v>
      </c>
      <c r="AY77" s="99"/>
      <c r="AZ77" s="94">
        <f t="shared" si="13"/>
        <v>6566.1255878418424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22</v>
      </c>
      <c r="F78" s="93">
        <v>3</v>
      </c>
      <c r="G78" s="93">
        <v>4</v>
      </c>
      <c r="H78" s="93">
        <v>14</v>
      </c>
      <c r="I78" s="93">
        <v>0</v>
      </c>
      <c r="J78" s="93">
        <v>1</v>
      </c>
      <c r="K78" s="93">
        <v>123.09</v>
      </c>
      <c r="L78" s="92">
        <f t="shared" si="43"/>
        <v>2707.98</v>
      </c>
      <c r="M78" s="89">
        <v>45</v>
      </c>
      <c r="N78" s="89">
        <v>8</v>
      </c>
      <c r="O78" s="89">
        <v>1000</v>
      </c>
      <c r="P78" s="89">
        <v>17</v>
      </c>
      <c r="Q78" s="233">
        <f t="shared" si="47"/>
        <v>1.1428571428571428</v>
      </c>
      <c r="R78" s="92">
        <f t="shared" si="48"/>
        <v>0.2857142857142857</v>
      </c>
      <c r="S78" s="93">
        <v>2</v>
      </c>
      <c r="T78" s="93">
        <v>0</v>
      </c>
      <c r="U78" s="92">
        <f t="shared" si="49"/>
        <v>2</v>
      </c>
      <c r="V78" s="93">
        <v>1207</v>
      </c>
      <c r="W78" s="93">
        <v>0</v>
      </c>
      <c r="X78" s="92">
        <f t="shared" si="50"/>
        <v>1207</v>
      </c>
      <c r="Y78" s="93">
        <v>1980</v>
      </c>
      <c r="Z78" s="93">
        <v>0</v>
      </c>
      <c r="AA78" s="92">
        <f t="shared" si="51"/>
        <v>1980</v>
      </c>
      <c r="AB78" s="92">
        <f t="shared" si="52"/>
        <v>1360</v>
      </c>
      <c r="AC78" s="234">
        <f t="shared" si="53"/>
        <v>3.4248068097613208E-4</v>
      </c>
      <c r="AD78" s="92">
        <f t="shared" si="54"/>
        <v>246.18</v>
      </c>
      <c r="AE78" s="93">
        <v>746.23</v>
      </c>
      <c r="AF78" s="234">
        <f t="shared" si="55"/>
        <v>0.37688383838383838</v>
      </c>
      <c r="AG78" s="93">
        <v>1077.51</v>
      </c>
      <c r="AH78" s="93"/>
      <c r="AI78" s="93"/>
      <c r="AJ78" s="93"/>
      <c r="AK78" s="93"/>
      <c r="AL78" s="122">
        <f t="shared" si="56"/>
        <v>10.86997987451166</v>
      </c>
      <c r="AM78" s="93">
        <v>0</v>
      </c>
      <c r="AN78" s="94">
        <f t="shared" si="57"/>
        <v>68.919699999999992</v>
      </c>
      <c r="AO78" s="95">
        <f t="shared" si="58"/>
        <v>-169.70967987451172</v>
      </c>
      <c r="AP78" s="96"/>
      <c r="AQ78" s="97">
        <f t="shared" si="7"/>
        <v>990</v>
      </c>
      <c r="AR78" s="98">
        <f t="shared" si="36"/>
        <v>123.09</v>
      </c>
      <c r="AS78" s="98">
        <f t="shared" si="9"/>
        <v>373.11500000000001</v>
      </c>
      <c r="AT78" s="98">
        <f t="shared" si="10"/>
        <v>538.755</v>
      </c>
      <c r="AU78" s="98">
        <f t="shared" si="59"/>
        <v>0</v>
      </c>
      <c r="AV78" s="98">
        <f t="array" ref="AV78">_xlfn.IFS(U78=0,AO78,U78&lt;0,AO78/-U78,U78&gt;0,AO78/U78)</f>
        <v>-84.854839937255861</v>
      </c>
      <c r="AW78" s="234">
        <f t="shared" si="44"/>
        <v>-8.5711959532581677E-2</v>
      </c>
      <c r="AX78" s="234">
        <f t="shared" si="45"/>
        <v>-0.68937232868028153</v>
      </c>
      <c r="AY78" s="99"/>
      <c r="AZ78" s="94">
        <f t="shared" si="13"/>
        <v>-1866.8064786196289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49</v>
      </c>
      <c r="F79" s="93">
        <v>2</v>
      </c>
      <c r="G79" s="93">
        <v>3</v>
      </c>
      <c r="H79" s="93">
        <v>43</v>
      </c>
      <c r="I79" s="93">
        <v>0</v>
      </c>
      <c r="J79" s="93">
        <v>1</v>
      </c>
      <c r="K79" s="93">
        <v>164.04</v>
      </c>
      <c r="L79" s="92">
        <f t="shared" si="43"/>
        <v>8037.96</v>
      </c>
      <c r="M79" s="89">
        <v>277</v>
      </c>
      <c r="N79" s="89">
        <v>6</v>
      </c>
      <c r="O79" s="89">
        <v>1500</v>
      </c>
      <c r="P79" s="89">
        <v>25</v>
      </c>
      <c r="Q79" s="233">
        <f t="shared" si="47"/>
        <v>0.8571428571428571</v>
      </c>
      <c r="R79" s="92">
        <f t="shared" si="48"/>
        <v>0.14285714285714285</v>
      </c>
      <c r="S79" s="93">
        <v>1</v>
      </c>
      <c r="T79" s="93">
        <v>0</v>
      </c>
      <c r="U79" s="92">
        <f t="shared" si="49"/>
        <v>1</v>
      </c>
      <c r="V79" s="93">
        <v>981</v>
      </c>
      <c r="W79" s="93">
        <v>0</v>
      </c>
      <c r="X79" s="92">
        <f t="shared" si="50"/>
        <v>981</v>
      </c>
      <c r="Y79" s="93">
        <v>1500</v>
      </c>
      <c r="Z79" s="93">
        <v>0</v>
      </c>
      <c r="AA79" s="92">
        <f t="shared" si="51"/>
        <v>1500</v>
      </c>
      <c r="AB79" s="92">
        <f t="shared" si="52"/>
        <v>2250</v>
      </c>
      <c r="AC79" s="234">
        <f t="shared" si="53"/>
        <v>2.5945506134555463E-4</v>
      </c>
      <c r="AD79" s="92">
        <f t="shared" si="54"/>
        <v>164.04</v>
      </c>
      <c r="AE79" s="93">
        <v>567.99</v>
      </c>
      <c r="AF79" s="234">
        <f t="shared" si="55"/>
        <v>0.37866</v>
      </c>
      <c r="AG79" s="93">
        <v>448.90999999999997</v>
      </c>
      <c r="AH79" s="93"/>
      <c r="AI79" s="93"/>
      <c r="AJ79" s="93"/>
      <c r="AK79" s="93"/>
      <c r="AL79" s="122">
        <f t="shared" si="56"/>
        <v>33.386366757428668</v>
      </c>
      <c r="AM79" s="93">
        <v>0</v>
      </c>
      <c r="AN79" s="94">
        <f t="shared" si="57"/>
        <v>56.015099999999997</v>
      </c>
      <c r="AO79" s="95">
        <f t="shared" si="58"/>
        <v>229.65853324257139</v>
      </c>
      <c r="AP79" s="96"/>
      <c r="AQ79" s="97">
        <f t="shared" si="7"/>
        <v>1500</v>
      </c>
      <c r="AR79" s="98">
        <f t="shared" si="36"/>
        <v>164.04</v>
      </c>
      <c r="AS79" s="98">
        <f t="shared" si="9"/>
        <v>567.99</v>
      </c>
      <c r="AT79" s="98">
        <f t="shared" si="10"/>
        <v>448.90999999999997</v>
      </c>
      <c r="AU79" s="98">
        <f t="shared" si="59"/>
        <v>0</v>
      </c>
      <c r="AV79" s="98">
        <f t="array" ref="AV79">_xlfn.IFS(U79=0,AO79,U79&lt;0,AO79/-U79,U79&gt;0,AO79/U79)</f>
        <v>229.65853324257139</v>
      </c>
      <c r="AW79" s="234">
        <f t="shared" si="44"/>
        <v>0.15310568882838094</v>
      </c>
      <c r="AX79" s="234">
        <f t="shared" si="45"/>
        <v>1.4000154428345002</v>
      </c>
      <c r="AY79" s="99"/>
      <c r="AZ79" s="94">
        <f t="shared" si="13"/>
        <v>11253.268128885999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35</v>
      </c>
      <c r="F80" s="93">
        <v>7</v>
      </c>
      <c r="G80" s="93">
        <v>5</v>
      </c>
      <c r="H80" s="93">
        <v>22</v>
      </c>
      <c r="I80" s="93">
        <v>0</v>
      </c>
      <c r="J80" s="93">
        <v>1</v>
      </c>
      <c r="K80" s="93">
        <v>164.04</v>
      </c>
      <c r="L80" s="92">
        <f t="shared" si="43"/>
        <v>5741.4</v>
      </c>
      <c r="M80" s="89">
        <v>40</v>
      </c>
      <c r="N80" s="89">
        <v>15</v>
      </c>
      <c r="O80" s="89">
        <v>987</v>
      </c>
      <c r="P80" s="89">
        <v>22</v>
      </c>
      <c r="Q80" s="233">
        <f t="shared" si="47"/>
        <v>2.1428571428571428</v>
      </c>
      <c r="R80" s="92">
        <f t="shared" si="48"/>
        <v>0.8571428571428571</v>
      </c>
      <c r="S80" s="93">
        <v>6</v>
      </c>
      <c r="T80" s="93">
        <v>0</v>
      </c>
      <c r="U80" s="92">
        <f t="shared" si="49"/>
        <v>6</v>
      </c>
      <c r="V80" s="93">
        <v>4099.17</v>
      </c>
      <c r="W80" s="93">
        <v>0</v>
      </c>
      <c r="X80" s="92">
        <f t="shared" si="50"/>
        <v>4099.17</v>
      </c>
      <c r="Y80" s="93">
        <v>5922.09</v>
      </c>
      <c r="Z80" s="93">
        <v>0</v>
      </c>
      <c r="AA80" s="92">
        <f t="shared" si="51"/>
        <v>5922.09</v>
      </c>
      <c r="AB80" s="92">
        <f t="shared" si="52"/>
        <v>3257.1</v>
      </c>
      <c r="AC80" s="234">
        <f t="shared" si="53"/>
        <v>1.0243441494959303E-3</v>
      </c>
      <c r="AD80" s="92">
        <f t="shared" si="54"/>
        <v>984.24</v>
      </c>
      <c r="AE80" s="93">
        <v>2245.7599999999998</v>
      </c>
      <c r="AF80" s="234">
        <f t="shared" si="55"/>
        <v>0.37921747220997987</v>
      </c>
      <c r="AG80" s="93">
        <v>1714.9399999999996</v>
      </c>
      <c r="AH80" s="93"/>
      <c r="AI80" s="93"/>
      <c r="AJ80" s="93"/>
      <c r="AK80" s="93"/>
      <c r="AL80" s="122">
        <f t="shared" si="56"/>
        <v>17.081396945661183</v>
      </c>
      <c r="AM80" s="93">
        <v>0</v>
      </c>
      <c r="AN80" s="94">
        <f t="shared" si="57"/>
        <v>234.06260699999999</v>
      </c>
      <c r="AO80" s="95">
        <f t="shared" si="58"/>
        <v>726.0059960543399</v>
      </c>
      <c r="AP80" s="96"/>
      <c r="AQ80" s="97">
        <f t="shared" si="7"/>
        <v>987.01499999999999</v>
      </c>
      <c r="AR80" s="98">
        <f t="shared" si="36"/>
        <v>164.04</v>
      </c>
      <c r="AS80" s="98">
        <f t="shared" si="9"/>
        <v>374.29333333333329</v>
      </c>
      <c r="AT80" s="98">
        <f t="shared" si="10"/>
        <v>285.82333333333327</v>
      </c>
      <c r="AU80" s="98">
        <f t="shared" si="59"/>
        <v>0</v>
      </c>
      <c r="AV80" s="98">
        <f t="array" ref="AV80">_xlfn.IFS(U80=0,AO80,U80&lt;0,AO80/-U80,U80&gt;0,AO80/U80)</f>
        <v>121.00099934238999</v>
      </c>
      <c r="AW80" s="234">
        <f t="shared" si="44"/>
        <v>0.12259286772986225</v>
      </c>
      <c r="AX80" s="234">
        <f t="shared" si="45"/>
        <v>0.73763106158491831</v>
      </c>
      <c r="AY80" s="99"/>
      <c r="AZ80" s="94">
        <f t="shared" si="13"/>
        <v>4235.0349769836494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19</v>
      </c>
      <c r="F81" s="93">
        <v>11</v>
      </c>
      <c r="G81" s="93">
        <v>6</v>
      </c>
      <c r="H81" s="93">
        <v>1</v>
      </c>
      <c r="I81" s="93">
        <v>0</v>
      </c>
      <c r="J81" s="93">
        <v>1</v>
      </c>
      <c r="K81" s="93">
        <v>128.94</v>
      </c>
      <c r="L81" s="92">
        <f t="shared" si="43"/>
        <v>2449.86</v>
      </c>
      <c r="M81" s="89">
        <v>19</v>
      </c>
      <c r="N81" s="89">
        <v>28</v>
      </c>
      <c r="O81" s="89">
        <v>1167</v>
      </c>
      <c r="P81" s="89">
        <v>47</v>
      </c>
      <c r="Q81" s="233">
        <f t="shared" si="47"/>
        <v>4</v>
      </c>
      <c r="R81" s="92">
        <f t="shared" si="48"/>
        <v>1.4285714285714286</v>
      </c>
      <c r="S81" s="93">
        <v>10</v>
      </c>
      <c r="T81" s="93">
        <v>0</v>
      </c>
      <c r="U81" s="92">
        <f t="shared" si="49"/>
        <v>10</v>
      </c>
      <c r="V81" s="93">
        <v>7646.8099999999995</v>
      </c>
      <c r="W81" s="93">
        <v>0</v>
      </c>
      <c r="X81" s="92">
        <f t="shared" si="50"/>
        <v>7646.8099999999995</v>
      </c>
      <c r="Y81" s="93">
        <v>11609.32</v>
      </c>
      <c r="Z81" s="93">
        <v>0</v>
      </c>
      <c r="AA81" s="92">
        <f t="shared" si="51"/>
        <v>11609.32</v>
      </c>
      <c r="AB81" s="92">
        <f t="shared" si="52"/>
        <v>15357.72</v>
      </c>
      <c r="AC81" s="234">
        <f t="shared" si="53"/>
        <v>2.0080645551867828E-3</v>
      </c>
      <c r="AD81" s="92">
        <f t="shared" si="54"/>
        <v>1289.4000000000001</v>
      </c>
      <c r="AE81" s="93">
        <v>4404.9799999999996</v>
      </c>
      <c r="AF81" s="234">
        <f t="shared" si="55"/>
        <v>0.37943479893740545</v>
      </c>
      <c r="AG81" s="93">
        <v>1688.4799999999993</v>
      </c>
      <c r="AH81" s="93">
        <v>328</v>
      </c>
      <c r="AI81" s="93">
        <v>3346</v>
      </c>
      <c r="AJ81" s="93"/>
      <c r="AK81" s="93"/>
      <c r="AL81" s="122">
        <f t="shared" si="56"/>
        <v>0.77642713389369</v>
      </c>
      <c r="AM81" s="93">
        <v>0</v>
      </c>
      <c r="AN81" s="94">
        <f t="shared" si="57"/>
        <v>436.63285099999996</v>
      </c>
      <c r="AO81" s="95">
        <f t="shared" si="58"/>
        <v>115.05072186610732</v>
      </c>
      <c r="AP81" s="96"/>
      <c r="AQ81" s="97">
        <f t="shared" si="7"/>
        <v>1160.932</v>
      </c>
      <c r="AR81" s="98">
        <f t="shared" si="36"/>
        <v>128.94</v>
      </c>
      <c r="AS81" s="98">
        <f t="shared" si="9"/>
        <v>440.49799999999993</v>
      </c>
      <c r="AT81" s="98">
        <f t="shared" si="10"/>
        <v>168.84799999999993</v>
      </c>
      <c r="AU81" s="98">
        <f t="shared" si="59"/>
        <v>367.4</v>
      </c>
      <c r="AV81" s="98">
        <f t="array" ref="AV81">_xlfn.IFS(U81=0,AO81,U81&lt;0,AO81/-U81,U81&gt;0,AO81/U81)</f>
        <v>11.505072186610732</v>
      </c>
      <c r="AW81" s="234">
        <f t="shared" si="44"/>
        <v>9.9102033423238683E-3</v>
      </c>
      <c r="AX81" s="234">
        <f t="shared" si="45"/>
        <v>8.9228107543126517E-2</v>
      </c>
      <c r="AY81" s="99"/>
      <c r="AZ81" s="94">
        <f t="shared" si="13"/>
        <v>218.59637154560392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48</v>
      </c>
      <c r="F82" s="93">
        <v>1</v>
      </c>
      <c r="G82" s="93" t="s">
        <v>100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3"/>
        <v>6189.12</v>
      </c>
      <c r="M82" s="89">
        <v>705</v>
      </c>
      <c r="N82" s="89">
        <v>1</v>
      </c>
      <c r="O82" s="89">
        <v>1174</v>
      </c>
      <c r="P82" s="89">
        <v>0</v>
      </c>
      <c r="Q82" s="233">
        <f t="shared" si="47"/>
        <v>0.14285714285714285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109.16</v>
      </c>
      <c r="AH82" s="93"/>
      <c r="AI82" s="93"/>
      <c r="AJ82" s="93"/>
      <c r="AK82" s="93"/>
      <c r="AL82" s="122">
        <f t="shared" si="56"/>
        <v>35.71564815910974</v>
      </c>
      <c r="AM82" s="93">
        <v>0</v>
      </c>
      <c r="AN82" s="94">
        <f t="shared" si="57"/>
        <v>0</v>
      </c>
      <c r="AO82" s="95">
        <f t="shared" si="58"/>
        <v>-144.87564815910974</v>
      </c>
      <c r="AP82" s="96"/>
      <c r="AQ82" s="97">
        <f t="shared" si="7"/>
        <v>0</v>
      </c>
      <c r="AR82" s="98">
        <f t="shared" si="36"/>
        <v>128.94</v>
      </c>
      <c r="AS82" s="98">
        <f t="shared" si="9"/>
        <v>0</v>
      </c>
      <c r="AT82" s="98">
        <f t="shared" si="10"/>
        <v>109.16</v>
      </c>
      <c r="AU82" s="98">
        <f t="shared" si="59"/>
        <v>0</v>
      </c>
      <c r="AV82" s="98">
        <f t="array" ref="AV82">_xlfn.IFS(U82=0,AO82,U82&lt;0,AO82/-U82,U82&gt;0,AO82/U82)</f>
        <v>-144.87564815910974</v>
      </c>
      <c r="AW82" s="234">
        <f t="shared" si="44"/>
        <v>0</v>
      </c>
      <c r="AX82" s="234">
        <f t="shared" si="45"/>
        <v>-1.1235896398255758</v>
      </c>
      <c r="AY82" s="99"/>
      <c r="AZ82" s="94">
        <f t="shared" si="13"/>
        <v>-6954.0311116372677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47</v>
      </c>
      <c r="F83" s="93">
        <v>2</v>
      </c>
      <c r="G83" s="93" t="s">
        <v>100</v>
      </c>
      <c r="H83" s="93">
        <v>44</v>
      </c>
      <c r="I83" s="93">
        <v>0</v>
      </c>
      <c r="J83" s="93">
        <v>1</v>
      </c>
      <c r="K83" s="93">
        <v>123.09</v>
      </c>
      <c r="L83" s="92">
        <f t="shared" si="43"/>
        <v>5785.2300000000005</v>
      </c>
      <c r="M83" s="89">
        <v>434</v>
      </c>
      <c r="N83" s="89">
        <v>4</v>
      </c>
      <c r="O83" s="89">
        <v>1375</v>
      </c>
      <c r="P83" s="89">
        <v>50</v>
      </c>
      <c r="Q83" s="233">
        <f t="shared" si="47"/>
        <v>0.5714285714285714</v>
      </c>
      <c r="R83" s="92">
        <f t="shared" si="48"/>
        <v>0.14285714285714285</v>
      </c>
      <c r="S83" s="93">
        <v>1</v>
      </c>
      <c r="T83" s="93">
        <v>0</v>
      </c>
      <c r="U83" s="92">
        <f t="shared" si="49"/>
        <v>1</v>
      </c>
      <c r="V83" s="93">
        <v>840</v>
      </c>
      <c r="W83" s="93">
        <v>0</v>
      </c>
      <c r="X83" s="92">
        <f t="shared" si="50"/>
        <v>840</v>
      </c>
      <c r="Y83" s="93">
        <v>1375</v>
      </c>
      <c r="Z83" s="93">
        <v>0</v>
      </c>
      <c r="AA83" s="92">
        <f t="shared" si="51"/>
        <v>1375</v>
      </c>
      <c r="AB83" s="92">
        <f t="shared" si="52"/>
        <v>2750</v>
      </c>
      <c r="AC83" s="234">
        <f t="shared" si="53"/>
        <v>2.3783380623342506E-4</v>
      </c>
      <c r="AD83" s="92">
        <f t="shared" si="54"/>
        <v>123.09</v>
      </c>
      <c r="AE83" s="93">
        <v>518.28</v>
      </c>
      <c r="AF83" s="234">
        <f t="shared" si="55"/>
        <v>0.37693090909090909</v>
      </c>
      <c r="AG83" s="93">
        <v>602.30000000000007</v>
      </c>
      <c r="AH83" s="93"/>
      <c r="AI83" s="93"/>
      <c r="AJ83" s="93"/>
      <c r="AK83" s="93"/>
      <c r="AL83" s="122">
        <f t="shared" si="56"/>
        <v>34.162793891322366</v>
      </c>
      <c r="AM83" s="93">
        <v>0</v>
      </c>
      <c r="AN83" s="94">
        <f t="shared" si="57"/>
        <v>47.963999999999999</v>
      </c>
      <c r="AO83" s="95">
        <f t="shared" si="58"/>
        <v>49.203206108677676</v>
      </c>
      <c r="AP83" s="96"/>
      <c r="AQ83" s="97">
        <f t="shared" si="7"/>
        <v>1375</v>
      </c>
      <c r="AR83" s="98">
        <f t="shared" si="36"/>
        <v>123.09</v>
      </c>
      <c r="AS83" s="98">
        <f t="shared" si="9"/>
        <v>518.28</v>
      </c>
      <c r="AT83" s="98">
        <f t="shared" si="10"/>
        <v>602.30000000000007</v>
      </c>
      <c r="AU83" s="98">
        <f t="shared" si="59"/>
        <v>0</v>
      </c>
      <c r="AV83" s="98">
        <f t="array" ref="AV83">_xlfn.IFS(U83=0,AO83,U83&lt;0,AO83/-U83,U83&gt;0,AO83/U83)</f>
        <v>49.203206108677676</v>
      </c>
      <c r="AW83" s="234">
        <f t="shared" si="44"/>
        <v>3.5784149897220126E-2</v>
      </c>
      <c r="AX83" s="234">
        <f t="shared" si="45"/>
        <v>0.39973357794034997</v>
      </c>
      <c r="AY83" s="99"/>
      <c r="AZ83" s="94">
        <f t="shared" si="13"/>
        <v>2312.550687107851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>
        <v>2</v>
      </c>
      <c r="G84" s="93">
        <v>2</v>
      </c>
      <c r="H84" s="93">
        <v>44</v>
      </c>
      <c r="I84" s="93">
        <v>0</v>
      </c>
      <c r="J84" s="93">
        <v>1</v>
      </c>
      <c r="K84" s="93">
        <v>146.49</v>
      </c>
      <c r="L84" s="92">
        <f t="shared" si="43"/>
        <v>7178.01</v>
      </c>
      <c r="M84" s="89">
        <v>234</v>
      </c>
      <c r="N84" s="89">
        <v>7</v>
      </c>
      <c r="O84" s="89">
        <v>1438</v>
      </c>
      <c r="P84" s="89">
        <v>0</v>
      </c>
      <c r="Q84" s="233">
        <f t="shared" si="47"/>
        <v>1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613.70000000000005</v>
      </c>
      <c r="AH84" s="93"/>
      <c r="AI84" s="93">
        <v>640</v>
      </c>
      <c r="AJ84" s="93"/>
      <c r="AK84" s="93"/>
      <c r="AL84" s="122">
        <f t="shared" si="56"/>
        <v>34.162793891322366</v>
      </c>
      <c r="AM84" s="93">
        <v>0</v>
      </c>
      <c r="AN84" s="94">
        <f t="shared" si="57"/>
        <v>0</v>
      </c>
      <c r="AO84" s="95">
        <f t="shared" si="58"/>
        <v>-1287.8627938913223</v>
      </c>
      <c r="AP84" s="96"/>
      <c r="AQ84" s="97">
        <f t="shared" si="7"/>
        <v>0</v>
      </c>
      <c r="AR84" s="98">
        <f t="shared" si="36"/>
        <v>146.49</v>
      </c>
      <c r="AS84" s="98">
        <f t="shared" si="9"/>
        <v>0</v>
      </c>
      <c r="AT84" s="98">
        <f t="shared" si="10"/>
        <v>613.70000000000005</v>
      </c>
      <c r="AU84" s="98">
        <f t="shared" si="59"/>
        <v>0</v>
      </c>
      <c r="AV84" s="98">
        <f t="array" ref="AV84">_xlfn.IFS(U84=0,AO84,U84&lt;0,AO84/-U84,U84&gt;0,AO84/U84)</f>
        <v>-1287.8627938913223</v>
      </c>
      <c r="AW84" s="234">
        <f t="shared" si="44"/>
        <v>0</v>
      </c>
      <c r="AX84" s="234">
        <f t="shared" si="45"/>
        <v>-8.7914724137574041</v>
      </c>
      <c r="AY84" s="99"/>
      <c r="AZ84" s="94">
        <f t="shared" si="13"/>
        <v>-63105.276900674791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38</v>
      </c>
      <c r="F85" s="93">
        <v>6</v>
      </c>
      <c r="G85" s="93">
        <v>4</v>
      </c>
      <c r="H85" s="93">
        <v>27</v>
      </c>
      <c r="I85" s="93">
        <v>0</v>
      </c>
      <c r="J85" s="93">
        <v>1</v>
      </c>
      <c r="K85" s="93">
        <v>103.2</v>
      </c>
      <c r="L85" s="92">
        <f t="shared" si="43"/>
        <v>3921.6</v>
      </c>
      <c r="M85" s="89">
        <v>104</v>
      </c>
      <c r="N85" s="89">
        <v>10</v>
      </c>
      <c r="O85" s="89">
        <v>1008</v>
      </c>
      <c r="P85" s="89">
        <v>0</v>
      </c>
      <c r="Q85" s="233">
        <f t="shared" si="47"/>
        <v>1.4285714285714286</v>
      </c>
      <c r="R85" s="92">
        <f t="shared" si="48"/>
        <v>0.14285714285714285</v>
      </c>
      <c r="S85" s="93">
        <v>2</v>
      </c>
      <c r="T85" s="93">
        <v>-1</v>
      </c>
      <c r="U85" s="92">
        <f t="shared" si="49"/>
        <v>1</v>
      </c>
      <c r="V85" s="93">
        <v>1234</v>
      </c>
      <c r="W85" s="93">
        <v>-661</v>
      </c>
      <c r="X85" s="92">
        <f t="shared" si="50"/>
        <v>573</v>
      </c>
      <c r="Y85" s="93">
        <v>1985.76</v>
      </c>
      <c r="Z85" s="93">
        <v>-1008</v>
      </c>
      <c r="AA85" s="92">
        <f t="shared" si="51"/>
        <v>977.76</v>
      </c>
      <c r="AB85" s="92">
        <f t="shared" si="52"/>
        <v>0</v>
      </c>
      <c r="AC85" s="234">
        <f t="shared" si="53"/>
        <v>1.6912318718748632E-4</v>
      </c>
      <c r="AD85" s="92">
        <f t="shared" si="54"/>
        <v>103.2</v>
      </c>
      <c r="AE85" s="93">
        <v>367.56999999999994</v>
      </c>
      <c r="AF85" s="234">
        <f t="shared" si="55"/>
        <v>0.37593069873997703</v>
      </c>
      <c r="AG85" s="93">
        <v>614.65000000000009</v>
      </c>
      <c r="AH85" s="93"/>
      <c r="AI85" s="93">
        <v>1000</v>
      </c>
      <c r="AJ85" s="93"/>
      <c r="AK85" s="93"/>
      <c r="AL85" s="122">
        <f t="shared" si="56"/>
        <v>20.96353261512963</v>
      </c>
      <c r="AM85" s="93">
        <v>0</v>
      </c>
      <c r="AN85" s="94">
        <f t="shared" si="57"/>
        <v>32.718299999999999</v>
      </c>
      <c r="AO85" s="95">
        <f t="shared" si="58"/>
        <v>-1161.3418326151298</v>
      </c>
      <c r="AP85" s="96"/>
      <c r="AQ85" s="97">
        <f t="shared" si="7"/>
        <v>977.76</v>
      </c>
      <c r="AR85" s="98">
        <f t="shared" si="36"/>
        <v>103.2</v>
      </c>
      <c r="AS85" s="98">
        <f t="shared" si="9"/>
        <v>367.56999999999994</v>
      </c>
      <c r="AT85" s="98">
        <f t="shared" si="10"/>
        <v>307.32500000000005</v>
      </c>
      <c r="AU85" s="98">
        <f t="shared" si="59"/>
        <v>500</v>
      </c>
      <c r="AV85" s="98">
        <f t="array" ref="AV85">_xlfn.IFS(U85=0,AO85,U85&lt;0,AO85/-U85,U85&gt;0,AO85/U85)</f>
        <v>-1161.3418326151298</v>
      </c>
      <c r="AW85" s="234">
        <f t="shared" si="44"/>
        <v>-1.1877575607665785</v>
      </c>
      <c r="AX85" s="234">
        <f t="shared" si="45"/>
        <v>-11.253312331541954</v>
      </c>
      <c r="AY85" s="99"/>
      <c r="AZ85" s="94">
        <f t="shared" si="13"/>
        <v>-44130.98963937493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44</v>
      </c>
      <c r="F86" s="93">
        <v>6</v>
      </c>
      <c r="G86" s="93">
        <v>3</v>
      </c>
      <c r="H86" s="93">
        <v>34</v>
      </c>
      <c r="I86" s="93">
        <v>0</v>
      </c>
      <c r="J86" s="93">
        <v>1</v>
      </c>
      <c r="K86" s="93">
        <v>150</v>
      </c>
      <c r="L86" s="92">
        <f t="shared" si="43"/>
        <v>6600</v>
      </c>
      <c r="M86" s="89">
        <v>81</v>
      </c>
      <c r="N86" s="89">
        <v>9</v>
      </c>
      <c r="O86" s="89">
        <v>1392</v>
      </c>
      <c r="P86" s="89">
        <v>0</v>
      </c>
      <c r="Q86" s="233">
        <f t="shared" si="47"/>
        <v>1.2857142857142858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740.8</v>
      </c>
      <c r="AH86" s="93"/>
      <c r="AI86" s="93">
        <v>1587</v>
      </c>
      <c r="AJ86" s="93"/>
      <c r="AK86" s="93"/>
      <c r="AL86" s="122">
        <f t="shared" si="56"/>
        <v>26.398522552385458</v>
      </c>
      <c r="AM86" s="93">
        <v>0</v>
      </c>
      <c r="AN86" s="94">
        <f t="shared" si="57"/>
        <v>0</v>
      </c>
      <c r="AO86" s="95">
        <f t="shared" si="58"/>
        <v>-2354.1985225523858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740.8</v>
      </c>
      <c r="AU86" s="98">
        <f t="shared" si="59"/>
        <v>0</v>
      </c>
      <c r="AV86" s="98">
        <f t="array" ref="AV86">_xlfn.IFS(U86=0,AO86,U86&lt;0,AO86/-U86,U86&gt;0,AO86/U86)</f>
        <v>-2354.1985225523858</v>
      </c>
      <c r="AW86" s="234">
        <f t="shared" si="44"/>
        <v>0</v>
      </c>
      <c r="AX86" s="234">
        <f t="shared" si="45"/>
        <v>-15.694656817015906</v>
      </c>
      <c r="AY86" s="99"/>
      <c r="AZ86" s="94">
        <f t="shared" si="13"/>
        <v>-103584.73499230498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24</v>
      </c>
      <c r="F87" s="93">
        <v>14</v>
      </c>
      <c r="G87" s="93">
        <v>6</v>
      </c>
      <c r="H87" s="93">
        <v>3</v>
      </c>
      <c r="I87" s="93">
        <v>0</v>
      </c>
      <c r="J87" s="93">
        <v>1</v>
      </c>
      <c r="K87" s="93">
        <v>150</v>
      </c>
      <c r="L87" s="92">
        <f t="shared" si="43"/>
        <v>3600</v>
      </c>
      <c r="M87" s="89">
        <v>13</v>
      </c>
      <c r="N87" s="89">
        <v>19</v>
      </c>
      <c r="O87" s="89">
        <v>1056</v>
      </c>
      <c r="P87" s="89">
        <v>20</v>
      </c>
      <c r="Q87" s="233">
        <f t="shared" si="47"/>
        <v>2.7142857142857144</v>
      </c>
      <c r="R87" s="92">
        <f t="shared" si="48"/>
        <v>1.1428571428571428</v>
      </c>
      <c r="S87" s="93">
        <v>8</v>
      </c>
      <c r="T87" s="93">
        <v>0</v>
      </c>
      <c r="U87" s="92">
        <f t="shared" si="49"/>
        <v>8</v>
      </c>
      <c r="V87" s="93">
        <v>5587</v>
      </c>
      <c r="W87" s="93">
        <v>0</v>
      </c>
      <c r="X87" s="92">
        <f t="shared" si="50"/>
        <v>5587</v>
      </c>
      <c r="Y87" s="93">
        <v>8393.32</v>
      </c>
      <c r="Z87" s="93">
        <v>0</v>
      </c>
      <c r="AA87" s="92">
        <f t="shared" si="51"/>
        <v>8393.32</v>
      </c>
      <c r="AB87" s="92">
        <f t="shared" si="52"/>
        <v>4012.8</v>
      </c>
      <c r="AC87" s="234">
        <f t="shared" si="53"/>
        <v>1.4517929036619137E-3</v>
      </c>
      <c r="AD87" s="92">
        <f t="shared" si="54"/>
        <v>1200</v>
      </c>
      <c r="AE87" s="93">
        <v>3194.3199999999997</v>
      </c>
      <c r="AF87" s="234">
        <f t="shared" si="55"/>
        <v>0.38057884126900915</v>
      </c>
      <c r="AG87" s="93">
        <v>2708.5499999999997</v>
      </c>
      <c r="AH87" s="93"/>
      <c r="AI87" s="93"/>
      <c r="AJ87" s="93"/>
      <c r="AK87" s="93"/>
      <c r="AL87" s="122">
        <f t="shared" si="56"/>
        <v>2.3292814016810701</v>
      </c>
      <c r="AM87" s="93">
        <v>0</v>
      </c>
      <c r="AN87" s="94">
        <f t="shared" si="57"/>
        <v>319.01769999999999</v>
      </c>
      <c r="AO87" s="95">
        <f t="shared" si="58"/>
        <v>969.10301859831918</v>
      </c>
      <c r="AP87" s="96"/>
      <c r="AQ87" s="97">
        <f t="shared" si="7"/>
        <v>1049.165</v>
      </c>
      <c r="AR87" s="98">
        <f t="shared" si="36"/>
        <v>150</v>
      </c>
      <c r="AS87" s="98">
        <f t="shared" si="9"/>
        <v>399.28999999999996</v>
      </c>
      <c r="AT87" s="98">
        <f t="shared" si="10"/>
        <v>338.56874999999997</v>
      </c>
      <c r="AU87" s="98">
        <f t="shared" si="59"/>
        <v>0</v>
      </c>
      <c r="AV87" s="98">
        <f t="array" ref="AV87">_xlfn.IFS(U87=0,AO87,U87&lt;0,AO87/-U87,U87&gt;0,AO87/U87)</f>
        <v>121.1378773247899</v>
      </c>
      <c r="AW87" s="234">
        <f t="shared" si="44"/>
        <v>0.11546122614154104</v>
      </c>
      <c r="AX87" s="234">
        <f t="shared" si="45"/>
        <v>0.80758584883193263</v>
      </c>
      <c r="AY87" s="99"/>
      <c r="AZ87" s="94">
        <f t="shared" si="13"/>
        <v>2907.3090557949577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6</v>
      </c>
      <c r="F88" s="93">
        <v>3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3"/>
        <v>900</v>
      </c>
      <c r="M88" s="89">
        <v>11</v>
      </c>
      <c r="N88" s="89">
        <v>4</v>
      </c>
      <c r="O88" s="89">
        <v>1257</v>
      </c>
      <c r="P88" s="89">
        <v>0</v>
      </c>
      <c r="Q88" s="233">
        <f t="shared" si="47"/>
        <v>0.5714285714285714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805</v>
      </c>
      <c r="W88" s="93">
        <v>0</v>
      </c>
      <c r="X88" s="92">
        <f t="shared" si="50"/>
        <v>805</v>
      </c>
      <c r="Y88" s="93">
        <v>1219.29</v>
      </c>
      <c r="Z88" s="93">
        <v>0</v>
      </c>
      <c r="AA88" s="92">
        <f t="shared" si="51"/>
        <v>1219.29</v>
      </c>
      <c r="AB88" s="92">
        <f t="shared" si="52"/>
        <v>0</v>
      </c>
      <c r="AC88" s="234">
        <f t="shared" si="53"/>
        <v>2.1090064116534752E-4</v>
      </c>
      <c r="AD88" s="92">
        <f t="shared" si="54"/>
        <v>150</v>
      </c>
      <c r="AE88" s="93">
        <v>461.99</v>
      </c>
      <c r="AF88" s="234">
        <f t="shared" si="55"/>
        <v>0.37890083573227046</v>
      </c>
      <c r="AG88" s="93">
        <v>538.86</v>
      </c>
      <c r="AH88" s="93"/>
      <c r="AI88" s="93"/>
      <c r="AJ88" s="93"/>
      <c r="AK88" s="93"/>
      <c r="AL88" s="122">
        <f t="shared" si="56"/>
        <v>0.77642713389369</v>
      </c>
      <c r="AM88" s="93">
        <v>0</v>
      </c>
      <c r="AN88" s="94">
        <f t="shared" si="57"/>
        <v>45.965499999999999</v>
      </c>
      <c r="AO88" s="95">
        <f t="shared" si="58"/>
        <v>21.698072866106251</v>
      </c>
      <c r="AP88" s="96"/>
      <c r="AQ88" s="97">
        <f t="shared" si="7"/>
        <v>1219.29</v>
      </c>
      <c r="AR88" s="98">
        <f t="shared" si="36"/>
        <v>150</v>
      </c>
      <c r="AS88" s="98">
        <f t="shared" si="9"/>
        <v>461.99</v>
      </c>
      <c r="AT88" s="98">
        <f t="shared" si="10"/>
        <v>538.86</v>
      </c>
      <c r="AU88" s="98">
        <f t="shared" si="59"/>
        <v>0</v>
      </c>
      <c r="AV88" s="98">
        <f t="array" ref="AV88">_xlfn.IFS(U88=0,AO88,U88&lt;0,AO88/-U88,U88&gt;0,AO88/U88)</f>
        <v>21.698072866106251</v>
      </c>
      <c r="AW88" s="234">
        <f t="shared" si="44"/>
        <v>1.7795662119845363E-2</v>
      </c>
      <c r="AX88" s="234">
        <f t="shared" si="45"/>
        <v>0.14465381910737501</v>
      </c>
      <c r="AY88" s="99"/>
      <c r="AZ88" s="94">
        <f t="shared" si="13"/>
        <v>130.18843719663749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32</v>
      </c>
      <c r="F89" s="93">
        <v>9</v>
      </c>
      <c r="G89" s="93">
        <v>3</v>
      </c>
      <c r="H89" s="93">
        <v>19</v>
      </c>
      <c r="I89" s="93">
        <v>0</v>
      </c>
      <c r="J89" s="93">
        <v>1</v>
      </c>
      <c r="K89" s="93">
        <v>169.89</v>
      </c>
      <c r="L89" s="92">
        <f t="shared" si="43"/>
        <v>5436.48</v>
      </c>
      <c r="M89" s="89">
        <v>50</v>
      </c>
      <c r="N89" s="89">
        <v>14</v>
      </c>
      <c r="O89" s="89">
        <v>1504</v>
      </c>
      <c r="P89" s="89">
        <v>67</v>
      </c>
      <c r="Q89" s="233">
        <f t="shared" si="47"/>
        <v>2</v>
      </c>
      <c r="R89" s="92">
        <f t="shared" si="48"/>
        <v>0.7142857142857143</v>
      </c>
      <c r="S89" s="93">
        <v>6</v>
      </c>
      <c r="T89" s="93">
        <v>-1</v>
      </c>
      <c r="U89" s="92">
        <f t="shared" si="49"/>
        <v>5</v>
      </c>
      <c r="V89" s="93">
        <v>5918.08</v>
      </c>
      <c r="W89" s="93">
        <v>-969</v>
      </c>
      <c r="X89" s="92">
        <f t="shared" si="50"/>
        <v>4949.08</v>
      </c>
      <c r="Y89" s="93">
        <v>8978.6200000000008</v>
      </c>
      <c r="Z89" s="93">
        <v>-1504</v>
      </c>
      <c r="AA89" s="92">
        <f t="shared" si="51"/>
        <v>7474.6200000000008</v>
      </c>
      <c r="AB89" s="92">
        <f t="shared" si="52"/>
        <v>14107.52</v>
      </c>
      <c r="AC89" s="234">
        <f t="shared" si="53"/>
        <v>1.2928853270898065E-3</v>
      </c>
      <c r="AD89" s="92">
        <f t="shared" si="54"/>
        <v>849.44999999999993</v>
      </c>
      <c r="AE89" s="93">
        <v>2815.4800000000005</v>
      </c>
      <c r="AF89" s="234">
        <f t="shared" si="55"/>
        <v>0.37667199135206875</v>
      </c>
      <c r="AG89" s="93">
        <v>940.99000000000012</v>
      </c>
      <c r="AH89" s="93"/>
      <c r="AI89" s="93"/>
      <c r="AJ89" s="93"/>
      <c r="AK89" s="93"/>
      <c r="AL89" s="122">
        <f t="shared" si="56"/>
        <v>14.752115543980111</v>
      </c>
      <c r="AM89" s="93">
        <v>0</v>
      </c>
      <c r="AN89" s="94">
        <f t="shared" si="57"/>
        <v>282.592468</v>
      </c>
      <c r="AO89" s="95">
        <f t="shared" si="58"/>
        <v>2571.3554164560205</v>
      </c>
      <c r="AP89" s="96"/>
      <c r="AQ89" s="97">
        <f t="shared" si="7"/>
        <v>1494.9240000000002</v>
      </c>
      <c r="AR89" s="98">
        <f t="shared" si="36"/>
        <v>169.89</v>
      </c>
      <c r="AS89" s="98">
        <f t="shared" si="9"/>
        <v>563.09600000000012</v>
      </c>
      <c r="AT89" s="98">
        <f t="shared" si="10"/>
        <v>156.83166666666668</v>
      </c>
      <c r="AU89" s="98">
        <f t="shared" si="59"/>
        <v>0</v>
      </c>
      <c r="AV89" s="98">
        <f t="array" ref="AV89">_xlfn.IFS(U89=0,AO89,U89&lt;0,AO89/-U89,U89&gt;0,AO89/U89)</f>
        <v>514.27108329120415</v>
      </c>
      <c r="AW89" s="234">
        <f t="shared" si="44"/>
        <v>0.34401152385753664</v>
      </c>
      <c r="AX89" s="234">
        <f t="shared" si="45"/>
        <v>3.0270827199435173</v>
      </c>
      <c r="AY89" s="99"/>
      <c r="AZ89" s="94">
        <f t="shared" si="13"/>
        <v>16456.674665318533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38.821356694684503</v>
      </c>
      <c r="AM90" s="93">
        <v>0</v>
      </c>
      <c r="AN90" s="94">
        <f t="shared" si="57"/>
        <v>0</v>
      </c>
      <c r="AO90" s="95">
        <f t="shared" si="58"/>
        <v>-38.821356694684503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-38.821356694684503</v>
      </c>
      <c r="AW90" s="234">
        <f t="shared" si="44"/>
        <v>0</v>
      </c>
      <c r="AX90" s="234">
        <f t="shared" si="45"/>
        <v>-0.35985684737379037</v>
      </c>
      <c r="AY90" s="99"/>
      <c r="AZ90" s="94">
        <f t="shared" si="13"/>
        <v>-1979.8891914289097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35</v>
      </c>
      <c r="F91" s="93">
        <v>4</v>
      </c>
      <c r="G91" s="93">
        <v>2</v>
      </c>
      <c r="H91" s="93">
        <v>23</v>
      </c>
      <c r="I91" s="93">
        <v>0</v>
      </c>
      <c r="J91" s="93">
        <v>6</v>
      </c>
      <c r="K91" s="93">
        <v>93.84</v>
      </c>
      <c r="L91" s="92">
        <f t="shared" si="43"/>
        <v>3284.4</v>
      </c>
      <c r="M91" s="89">
        <v>133</v>
      </c>
      <c r="N91" s="89">
        <v>8</v>
      </c>
      <c r="O91" s="89">
        <v>1075</v>
      </c>
      <c r="P91" s="89">
        <v>50</v>
      </c>
      <c r="Q91" s="233">
        <f t="shared" si="47"/>
        <v>1.1428571428571428</v>
      </c>
      <c r="R91" s="92">
        <f t="shared" si="48"/>
        <v>0.5714285714285714</v>
      </c>
      <c r="S91" s="93">
        <v>4</v>
      </c>
      <c r="T91" s="93">
        <v>0</v>
      </c>
      <c r="U91" s="92">
        <f t="shared" si="49"/>
        <v>4</v>
      </c>
      <c r="V91" s="93">
        <v>2844.54</v>
      </c>
      <c r="W91" s="93">
        <v>0</v>
      </c>
      <c r="X91" s="92">
        <f t="shared" si="50"/>
        <v>2844.54</v>
      </c>
      <c r="Y91" s="93">
        <v>4299.75</v>
      </c>
      <c r="Z91" s="93">
        <v>0</v>
      </c>
      <c r="AA91" s="92">
        <f t="shared" si="51"/>
        <v>4299.75</v>
      </c>
      <c r="AB91" s="92">
        <f t="shared" si="52"/>
        <v>4300</v>
      </c>
      <c r="AC91" s="234">
        <f t="shared" si="53"/>
        <v>7.4372793334703227E-4</v>
      </c>
      <c r="AD91" s="92">
        <f t="shared" si="54"/>
        <v>375.36</v>
      </c>
      <c r="AE91" s="93">
        <v>1617.21</v>
      </c>
      <c r="AF91" s="234">
        <f t="shared" si="55"/>
        <v>0.3761172161172161</v>
      </c>
      <c r="AG91" s="93">
        <v>1480.2800000000002</v>
      </c>
      <c r="AH91" s="93"/>
      <c r="AI91" s="93"/>
      <c r="AJ91" s="93"/>
      <c r="AK91" s="93"/>
      <c r="AL91" s="122">
        <f t="shared" si="56"/>
        <v>17.85782407955487</v>
      </c>
      <c r="AM91" s="93">
        <v>0</v>
      </c>
      <c r="AN91" s="94">
        <f t="shared" si="57"/>
        <v>162.42323399999998</v>
      </c>
      <c r="AO91" s="95">
        <f t="shared" si="58"/>
        <v>646.61894192044474</v>
      </c>
      <c r="AP91" s="96"/>
      <c r="AQ91" s="97">
        <f t="shared" si="7"/>
        <v>1074.9375</v>
      </c>
      <c r="AR91" s="98">
        <f t="shared" si="36"/>
        <v>93.84</v>
      </c>
      <c r="AS91" s="98">
        <f t="shared" si="9"/>
        <v>404.30250000000001</v>
      </c>
      <c r="AT91" s="98">
        <f t="shared" si="10"/>
        <v>370.07000000000005</v>
      </c>
      <c r="AU91" s="98">
        <f t="shared" si="59"/>
        <v>0</v>
      </c>
      <c r="AV91" s="98">
        <f t="array" ref="AV91">_xlfn.IFS(U91=0,AO91,U91&lt;0,AO91/-U91,U91&gt;0,AO91/U91)</f>
        <v>161.65473548011119</v>
      </c>
      <c r="AW91" s="234">
        <f t="shared" si="44"/>
        <v>0.15038524144902488</v>
      </c>
      <c r="AX91" s="234">
        <f t="shared" si="45"/>
        <v>1.7226634215698122</v>
      </c>
      <c r="AY91" s="99"/>
      <c r="AZ91" s="94">
        <f t="shared" si="13"/>
        <v>5657.9157418038913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2</v>
      </c>
      <c r="G92" s="93" t="s">
        <v>100</v>
      </c>
      <c r="H92" s="93">
        <v>47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999</v>
      </c>
      <c r="N92" s="89">
        <v>2</v>
      </c>
      <c r="O92" s="89">
        <v>1350</v>
      </c>
      <c r="P92" s="89">
        <v>0</v>
      </c>
      <c r="Q92" s="233">
        <f t="shared" si="47"/>
        <v>0.2857142857142857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0</v>
      </c>
      <c r="AH92" s="93"/>
      <c r="AI92" s="93"/>
      <c r="AJ92" s="93"/>
      <c r="AK92" s="93"/>
      <c r="AL92" s="122">
        <f t="shared" si="56"/>
        <v>36.492075293003431</v>
      </c>
      <c r="AM92" s="93">
        <v>0</v>
      </c>
      <c r="AN92" s="94">
        <f t="shared" si="57"/>
        <v>0</v>
      </c>
      <c r="AO92" s="95">
        <f t="shared" si="58"/>
        <v>-36.492075293003431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0</v>
      </c>
      <c r="AU92" s="98">
        <f t="shared" si="59"/>
        <v>0</v>
      </c>
      <c r="AV92" s="98">
        <f t="array" ref="AV92">_xlfn.IFS(U92=0,AO92,U92&lt;0,AO92/-U92,U92&gt;0,AO92/U92)</f>
        <v>-36.492075293003431</v>
      </c>
      <c r="AW92" s="234">
        <f t="shared" si="44"/>
        <v>0</v>
      </c>
      <c r="AX92" s="234">
        <f t="shared" si="45"/>
        <v>-0.26164820601565519</v>
      </c>
      <c r="AY92" s="99"/>
      <c r="AZ92" s="94">
        <f t="shared" si="13"/>
        <v>-1824.6037646501716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42</v>
      </c>
      <c r="F93" s="93">
        <v>1</v>
      </c>
      <c r="G93" s="93" t="s">
        <v>100</v>
      </c>
      <c r="H93" s="93">
        <v>40</v>
      </c>
      <c r="I93" s="93">
        <v>0</v>
      </c>
      <c r="J93" s="93">
        <v>1</v>
      </c>
      <c r="K93" s="93">
        <v>139.47</v>
      </c>
      <c r="L93" s="92">
        <f t="shared" si="43"/>
        <v>5857.74</v>
      </c>
      <c r="M93" s="89">
        <v>166</v>
      </c>
      <c r="N93" s="89">
        <v>4</v>
      </c>
      <c r="O93" s="89">
        <v>1296</v>
      </c>
      <c r="P93" s="89">
        <v>67</v>
      </c>
      <c r="Q93" s="233">
        <f t="shared" si="47"/>
        <v>0.5714285714285714</v>
      </c>
      <c r="R93" s="92">
        <f t="shared" si="48"/>
        <v>0.7142857142857143</v>
      </c>
      <c r="S93" s="93">
        <v>5</v>
      </c>
      <c r="T93" s="93">
        <v>0</v>
      </c>
      <c r="U93" s="92">
        <f t="shared" si="49"/>
        <v>5</v>
      </c>
      <c r="V93" s="93">
        <v>4380.97</v>
      </c>
      <c r="W93" s="93">
        <v>0</v>
      </c>
      <c r="X93" s="92">
        <f t="shared" si="50"/>
        <v>4380.97</v>
      </c>
      <c r="Y93" s="93">
        <v>6441.0599999999995</v>
      </c>
      <c r="Z93" s="93">
        <v>0</v>
      </c>
      <c r="AA93" s="92">
        <f t="shared" si="51"/>
        <v>6441.0599999999995</v>
      </c>
      <c r="AB93" s="92">
        <f t="shared" si="52"/>
        <v>3473.28</v>
      </c>
      <c r="AC93" s="234">
        <f t="shared" si="53"/>
        <v>1.1141104116202652E-3</v>
      </c>
      <c r="AD93" s="92">
        <f t="shared" si="54"/>
        <v>697.35</v>
      </c>
      <c r="AE93" s="93">
        <v>2453.2699999999991</v>
      </c>
      <c r="AF93" s="234">
        <f t="shared" si="55"/>
        <v>0.38087985517911638</v>
      </c>
      <c r="AG93" s="93">
        <v>484.38</v>
      </c>
      <c r="AH93" s="93"/>
      <c r="AI93" s="93"/>
      <c r="AJ93" s="93"/>
      <c r="AK93" s="93"/>
      <c r="AL93" s="122">
        <f t="shared" si="56"/>
        <v>31.057085355747596</v>
      </c>
      <c r="AM93" s="93">
        <v>0</v>
      </c>
      <c r="AN93" s="94">
        <f t="shared" si="57"/>
        <v>250.15338700000001</v>
      </c>
      <c r="AO93" s="95">
        <f t="shared" si="58"/>
        <v>2524.8495276442527</v>
      </c>
      <c r="AP93" s="96"/>
      <c r="AQ93" s="97">
        <f t="shared" si="7"/>
        <v>1288.212</v>
      </c>
      <c r="AR93" s="98">
        <f t="shared" si="36"/>
        <v>139.47</v>
      </c>
      <c r="AS93" s="98">
        <f t="shared" si="9"/>
        <v>490.65399999999983</v>
      </c>
      <c r="AT93" s="98">
        <f t="shared" si="10"/>
        <v>96.876000000000005</v>
      </c>
      <c r="AU93" s="98">
        <f t="shared" si="59"/>
        <v>0</v>
      </c>
      <c r="AV93" s="98">
        <f t="array" ref="AV93">_xlfn.IFS(U93=0,AO93,U93&lt;0,AO93/-U93,U93&gt;0,AO93/U93)</f>
        <v>504.96990552885052</v>
      </c>
      <c r="AW93" s="234">
        <f t="shared" si="44"/>
        <v>0.39199285950515173</v>
      </c>
      <c r="AX93" s="234">
        <f t="shared" si="45"/>
        <v>3.6206345847053165</v>
      </c>
      <c r="AY93" s="99"/>
      <c r="AZ93" s="94">
        <f t="shared" si="13"/>
        <v>21208.73603221172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3"/>
        <v>0</v>
      </c>
      <c r="M94" s="89">
        <v>3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>
        <v>2</v>
      </c>
      <c r="G97" s="93" t="s">
        <v>100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43"/>
        <v>800.16</v>
      </c>
      <c r="M97" s="89">
        <v>19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0.2857142857142857</v>
      </c>
      <c r="S97" s="93">
        <v>2</v>
      </c>
      <c r="T97" s="93">
        <v>0</v>
      </c>
      <c r="U97" s="92">
        <f t="shared" si="49"/>
        <v>2</v>
      </c>
      <c r="V97" s="93">
        <v>1880</v>
      </c>
      <c r="W97" s="93">
        <v>0</v>
      </c>
      <c r="X97" s="92">
        <f t="shared" si="50"/>
        <v>1880</v>
      </c>
      <c r="Y97" s="93">
        <v>2988</v>
      </c>
      <c r="Z97" s="93">
        <v>0</v>
      </c>
      <c r="AA97" s="92">
        <f t="shared" si="51"/>
        <v>2988</v>
      </c>
      <c r="AB97" s="92">
        <f t="shared" si="52"/>
        <v>0</v>
      </c>
      <c r="AC97" s="234">
        <f t="shared" si="53"/>
        <v>5.1683448220034484E-4</v>
      </c>
      <c r="AD97" s="92">
        <f t="shared" si="54"/>
        <v>800.16</v>
      </c>
      <c r="AE97" s="93">
        <v>1111.8899999999999</v>
      </c>
      <c r="AF97" s="234">
        <f t="shared" si="55"/>
        <v>0.37211847389558228</v>
      </c>
      <c r="AG97" s="93">
        <v>85.77000000000001</v>
      </c>
      <c r="AH97" s="93"/>
      <c r="AI97" s="93"/>
      <c r="AJ97" s="93"/>
      <c r="AK97" s="93"/>
      <c r="AL97" s="122">
        <f t="shared" si="56"/>
        <v>0</v>
      </c>
      <c r="AM97" s="93">
        <v>0</v>
      </c>
      <c r="AN97" s="94">
        <f t="shared" si="57"/>
        <v>107.348</v>
      </c>
      <c r="AO97" s="95">
        <f t="shared" si="58"/>
        <v>882.83200000000033</v>
      </c>
      <c r="AP97" s="96"/>
      <c r="AQ97" s="97">
        <f t="shared" si="7"/>
        <v>1494</v>
      </c>
      <c r="AR97" s="98">
        <f t="shared" si="36"/>
        <v>400.08</v>
      </c>
      <c r="AS97" s="98">
        <f t="shared" si="9"/>
        <v>555.94499999999994</v>
      </c>
      <c r="AT97" s="98">
        <f t="shared" si="10"/>
        <v>42.885000000000005</v>
      </c>
      <c r="AU97" s="98">
        <f t="shared" si="59"/>
        <v>0</v>
      </c>
      <c r="AV97" s="98">
        <f t="array" ref="AV97">_xlfn.IFS(U97=0,AO97,U97&lt;0,AO97/-U97,U97&gt;0,AO97/U97)</f>
        <v>441.41600000000017</v>
      </c>
      <c r="AW97" s="234">
        <f t="shared" si="44"/>
        <v>0.29545917001338701</v>
      </c>
      <c r="AX97" s="234">
        <f t="shared" si="45"/>
        <v>1.103319336132774</v>
      </c>
      <c r="AY97" s="99"/>
      <c r="AZ97" s="94">
        <f t="shared" si="13"/>
        <v>882.83200000000033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12</v>
      </c>
      <c r="F98" s="93" t="s">
        <v>100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3"/>
        <v>3600.96</v>
      </c>
      <c r="M98" s="89">
        <v>348</v>
      </c>
      <c r="N98" s="89">
        <v>1</v>
      </c>
      <c r="O98" s="89">
        <v>878</v>
      </c>
      <c r="P98" s="89">
        <v>0</v>
      </c>
      <c r="Q98" s="233">
        <f t="shared" si="47"/>
        <v>0.14285714285714285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556</v>
      </c>
      <c r="W98" s="93">
        <v>0</v>
      </c>
      <c r="X98" s="92">
        <f t="shared" si="50"/>
        <v>556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1.5186769590759796E-4</v>
      </c>
      <c r="AD98" s="92">
        <f t="shared" si="54"/>
        <v>300.08</v>
      </c>
      <c r="AE98" s="93">
        <v>331.74</v>
      </c>
      <c r="AF98" s="234">
        <f t="shared" si="55"/>
        <v>0.37783599088838271</v>
      </c>
      <c r="AG98" s="93">
        <v>141.25</v>
      </c>
      <c r="AH98" s="93"/>
      <c r="AI98" s="93"/>
      <c r="AJ98" s="93"/>
      <c r="AK98" s="93"/>
      <c r="AL98" s="122">
        <f t="shared" si="56"/>
        <v>9.3171256067242805</v>
      </c>
      <c r="AM98" s="93">
        <v>0</v>
      </c>
      <c r="AN98" s="94">
        <f t="shared" si="57"/>
        <v>31.747599999999998</v>
      </c>
      <c r="AO98" s="95">
        <f t="shared" si="58"/>
        <v>63.86527439327579</v>
      </c>
      <c r="AP98" s="96"/>
      <c r="AQ98" s="97">
        <f t="shared" ref="AQ98:AQ103" si="60">IF(U98=0,0,AA98/U98)</f>
        <v>878</v>
      </c>
      <c r="AR98" s="98">
        <f t="shared" si="36"/>
        <v>300.08</v>
      </c>
      <c r="AS98" s="98">
        <f t="shared" ref="AS98:AS103" si="61">IF(U98=0,0,AE98/U98)</f>
        <v>331.74</v>
      </c>
      <c r="AT98" s="98">
        <f t="shared" ref="AT98:AT103" si="62">IF(S98=0,AG98/1,AG98/S98)</f>
        <v>141.25</v>
      </c>
      <c r="AU98" s="98">
        <f t="shared" si="59"/>
        <v>0</v>
      </c>
      <c r="AV98" s="98">
        <f t="array" ref="AV98">_xlfn.IFS(U98=0,AO98,U98&lt;0,AO98/-U98,U98&gt;0,AO98/U98)</f>
        <v>63.86527439327579</v>
      </c>
      <c r="AW98" s="234">
        <f t="shared" si="44"/>
        <v>7.273949247525717E-2</v>
      </c>
      <c r="AX98" s="234">
        <f t="shared" si="45"/>
        <v>0.21282749397919154</v>
      </c>
      <c r="AY98" s="99"/>
      <c r="AZ98" s="94">
        <f t="shared" ref="AZ98:AZ103" si="63">AV98*E98</f>
        <v>766.38329271930945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46</v>
      </c>
      <c r="F100" s="93">
        <v>2</v>
      </c>
      <c r="G100" s="93" t="s">
        <v>100</v>
      </c>
      <c r="H100" s="93">
        <v>44</v>
      </c>
      <c r="I100" s="93">
        <v>0</v>
      </c>
      <c r="J100" s="93">
        <v>0</v>
      </c>
      <c r="K100" s="93">
        <v>142.97999999999999</v>
      </c>
      <c r="L100" s="92">
        <f t="shared" si="64"/>
        <v>6577.08</v>
      </c>
      <c r="M100" s="89">
        <v>157</v>
      </c>
      <c r="N100" s="89">
        <v>2</v>
      </c>
      <c r="O100" s="89">
        <v>1500</v>
      </c>
      <c r="P100" s="89">
        <v>0</v>
      </c>
      <c r="Q100" s="233">
        <f t="shared" si="47"/>
        <v>0.2857142857142857</v>
      </c>
      <c r="R100" s="92">
        <f t="shared" si="48"/>
        <v>0.14285714285714285</v>
      </c>
      <c r="S100" s="93">
        <v>1</v>
      </c>
      <c r="T100" s="93">
        <v>0</v>
      </c>
      <c r="U100" s="92">
        <f t="shared" si="49"/>
        <v>1</v>
      </c>
      <c r="V100" s="93">
        <v>945</v>
      </c>
      <c r="W100" s="93">
        <v>0</v>
      </c>
      <c r="X100" s="92">
        <f t="shared" si="50"/>
        <v>945</v>
      </c>
      <c r="Y100" s="93">
        <v>1500</v>
      </c>
      <c r="Z100" s="93">
        <v>0</v>
      </c>
      <c r="AA100" s="92">
        <f t="shared" si="51"/>
        <v>1500</v>
      </c>
      <c r="AB100" s="92">
        <f t="shared" si="52"/>
        <v>0</v>
      </c>
      <c r="AC100" s="234">
        <f t="shared" si="53"/>
        <v>2.5945506134555463E-4</v>
      </c>
      <c r="AD100" s="92">
        <f t="shared" si="54"/>
        <v>142.97999999999999</v>
      </c>
      <c r="AE100" s="93">
        <v>566.54999999999995</v>
      </c>
      <c r="AF100" s="234">
        <f t="shared" si="55"/>
        <v>0.37769999999999998</v>
      </c>
      <c r="AG100" s="93">
        <v>338.82</v>
      </c>
      <c r="AH100" s="93"/>
      <c r="AI100" s="93"/>
      <c r="AJ100" s="93"/>
      <c r="AK100" s="93"/>
      <c r="AL100" s="122">
        <f t="shared" si="56"/>
        <v>34.162793891322366</v>
      </c>
      <c r="AM100" s="93">
        <v>0</v>
      </c>
      <c r="AN100" s="94">
        <f t="shared" si="57"/>
        <v>53.959499999999998</v>
      </c>
      <c r="AO100" s="95">
        <f t="shared" si="58"/>
        <v>363.52770610867771</v>
      </c>
      <c r="AP100" s="96"/>
      <c r="AQ100" s="97">
        <f t="shared" si="60"/>
        <v>1500</v>
      </c>
      <c r="AR100" s="98">
        <f t="shared" si="65"/>
        <v>142.97999999999999</v>
      </c>
      <c r="AS100" s="98">
        <f t="shared" si="61"/>
        <v>566.54999999999995</v>
      </c>
      <c r="AT100" s="98">
        <f t="shared" si="62"/>
        <v>338.82</v>
      </c>
      <c r="AU100" s="98">
        <f t="shared" si="59"/>
        <v>0</v>
      </c>
      <c r="AV100" s="98">
        <f t="array" ref="AV100">_xlfn.IFS(U100=0,AO100,U100&lt;0,AO100/-U100,U100&gt;0,AO100/U100)</f>
        <v>363.52770610867771</v>
      </c>
      <c r="AW100" s="234">
        <f t="shared" si="66"/>
        <v>0.2423518040724518</v>
      </c>
      <c r="AX100" s="234">
        <f t="shared" si="67"/>
        <v>2.5425073864084329</v>
      </c>
      <c r="AY100" s="99"/>
      <c r="AZ100" s="94">
        <f t="shared" si="63"/>
        <v>16722.274480999175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128</v>
      </c>
      <c r="F102" s="93">
        <v>13</v>
      </c>
      <c r="G102" s="93">
        <v>10</v>
      </c>
      <c r="H102" s="93">
        <v>105</v>
      </c>
      <c r="I102" s="93">
        <v>0</v>
      </c>
      <c r="J102" s="93">
        <v>0</v>
      </c>
      <c r="K102" s="92">
        <v>123.09</v>
      </c>
      <c r="L102" s="92">
        <f t="shared" si="64"/>
        <v>15755.52</v>
      </c>
      <c r="M102" s="89">
        <v>14</v>
      </c>
      <c r="N102" s="89">
        <v>24</v>
      </c>
      <c r="O102" s="89">
        <v>1300</v>
      </c>
      <c r="P102" s="89">
        <v>38</v>
      </c>
      <c r="Q102" s="233">
        <f t="shared" si="47"/>
        <v>3.4285714285714284</v>
      </c>
      <c r="R102" s="92">
        <f t="shared" si="48"/>
        <v>1.5714285714285714</v>
      </c>
      <c r="S102" s="93">
        <v>12</v>
      </c>
      <c r="T102" s="93">
        <v>-1</v>
      </c>
      <c r="U102" s="92">
        <f t="shared" si="49"/>
        <v>11</v>
      </c>
      <c r="V102" s="93">
        <v>10714.23</v>
      </c>
      <c r="W102" s="93">
        <v>-812</v>
      </c>
      <c r="X102" s="92">
        <f t="shared" si="50"/>
        <v>9902.23</v>
      </c>
      <c r="Y102" s="93">
        <v>15600.07</v>
      </c>
      <c r="Z102" s="93">
        <v>-1300</v>
      </c>
      <c r="AA102" s="92">
        <f t="shared" si="51"/>
        <v>14300.07</v>
      </c>
      <c r="AB102" s="92">
        <f t="shared" si="52"/>
        <v>11856</v>
      </c>
      <c r="AC102" s="234">
        <f t="shared" si="53"/>
        <v>2.4734836927304835E-3</v>
      </c>
      <c r="AD102" s="92">
        <f t="shared" si="54"/>
        <v>1353.99</v>
      </c>
      <c r="AE102" s="93">
        <v>5383.63</v>
      </c>
      <c r="AF102" s="234">
        <f t="shared" si="55"/>
        <v>0.37647577948919131</v>
      </c>
      <c r="AG102" s="93">
        <v>2289.8999999999996</v>
      </c>
      <c r="AH102" s="93"/>
      <c r="AI102" s="93"/>
      <c r="AJ102" s="93"/>
      <c r="AK102" s="93"/>
      <c r="AL102" s="122">
        <f t="shared" si="56"/>
        <v>81.524849058837447</v>
      </c>
      <c r="AM102" s="93">
        <v>0</v>
      </c>
      <c r="AN102" s="94">
        <f t="shared" si="57"/>
        <v>565.41733299999999</v>
      </c>
      <c r="AO102" s="95">
        <f t="shared" si="58"/>
        <v>4625.6078179411625</v>
      </c>
      <c r="AP102" s="96"/>
      <c r="AQ102" s="97">
        <f t="shared" si="60"/>
        <v>1300.0063636363636</v>
      </c>
      <c r="AR102" s="98">
        <f t="shared" si="65"/>
        <v>123.09</v>
      </c>
      <c r="AS102" s="98">
        <f t="shared" si="61"/>
        <v>489.42090909090911</v>
      </c>
      <c r="AT102" s="98">
        <f t="shared" si="62"/>
        <v>190.82499999999996</v>
      </c>
      <c r="AU102" s="98">
        <f t="shared" si="59"/>
        <v>0</v>
      </c>
      <c r="AV102" s="98">
        <f t="array" ref="AV102">_xlfn.IFS(U102=0,AO102,U102&lt;0,AO102/-U102,U102&gt;0,AO102/U102)</f>
        <v>420.5098016310148</v>
      </c>
      <c r="AW102" s="234">
        <f t="shared" si="66"/>
        <v>0.32346749477038661</v>
      </c>
      <c r="AX102" s="234">
        <f t="shared" si="67"/>
        <v>3.416279158591395</v>
      </c>
      <c r="AY102" s="99"/>
      <c r="AZ102" s="94">
        <f t="shared" si="63"/>
        <v>53825.254608769894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699.380979343337</v>
      </c>
      <c r="AR104" s="111">
        <f t="shared" si="68"/>
        <v>141.22217391304349</v>
      </c>
      <c r="AS104" s="111">
        <f t="shared" si="68"/>
        <v>263.7891726732592</v>
      </c>
      <c r="AT104" s="111">
        <f t="shared" si="68"/>
        <v>169.6366541625498</v>
      </c>
      <c r="AU104" s="111">
        <f t="shared" si="68"/>
        <v>56.535685594828209</v>
      </c>
      <c r="AV104" s="111">
        <f t="shared" si="68"/>
        <v>37.417349165839084</v>
      </c>
      <c r="AW104" s="112">
        <f t="shared" si="68"/>
        <v>8.5350145212496897E-2</v>
      </c>
      <c r="AX104" s="112">
        <f t="shared" si="68"/>
        <v>0.30088679664603568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74219</v>
      </c>
      <c r="F105" s="116">
        <f t="shared" si="69"/>
        <v>4185</v>
      </c>
      <c r="G105" s="116">
        <f t="shared" si="69"/>
        <v>1382</v>
      </c>
      <c r="H105" s="116">
        <f t="shared" si="69"/>
        <v>8447</v>
      </c>
      <c r="I105" s="116">
        <f t="shared" si="69"/>
        <v>1356</v>
      </c>
      <c r="J105" s="116">
        <f t="shared" si="69"/>
        <v>58849</v>
      </c>
      <c r="K105" s="116"/>
      <c r="L105" s="116">
        <f>SUM(L3:L103)</f>
        <v>9153070.4999999981</v>
      </c>
      <c r="M105" s="116"/>
      <c r="N105" s="116">
        <f>SUM(N3:N103)</f>
        <v>6902</v>
      </c>
      <c r="O105" s="116"/>
      <c r="P105" s="116"/>
      <c r="Q105" s="212"/>
      <c r="R105" s="116"/>
      <c r="S105" s="116">
        <f t="shared" ref="S105:AE105" si="70">SUM(S3:S103)</f>
        <v>4072</v>
      </c>
      <c r="T105" s="116">
        <f t="shared" si="70"/>
        <v>-94</v>
      </c>
      <c r="U105" s="116">
        <f t="shared" si="70"/>
        <v>3978</v>
      </c>
      <c r="V105" s="116">
        <f t="shared" si="70"/>
        <v>3910621.7700000014</v>
      </c>
      <c r="W105" s="116">
        <f t="shared" si="70"/>
        <v>-85755</v>
      </c>
      <c r="X105" s="116">
        <f t="shared" si="70"/>
        <v>3824866.7700000014</v>
      </c>
      <c r="Y105" s="116">
        <f t="shared" si="70"/>
        <v>5914054.7100000028</v>
      </c>
      <c r="Z105" s="116">
        <f t="shared" si="70"/>
        <v>-132706.71</v>
      </c>
      <c r="AA105" s="116">
        <f t="shared" si="70"/>
        <v>5781348.0000000019</v>
      </c>
      <c r="AB105" s="116">
        <f t="shared" si="70"/>
        <v>5820044.6399999987</v>
      </c>
      <c r="AC105" s="239">
        <f t="shared" si="70"/>
        <v>0.99999999999999989</v>
      </c>
      <c r="AD105" s="117">
        <f t="shared" si="70"/>
        <v>494039.24</v>
      </c>
      <c r="AE105" s="116">
        <f t="shared" si="70"/>
        <v>2176223.0400000005</v>
      </c>
      <c r="AF105" s="239">
        <f>AE105/AA105</f>
        <v>0.37642138822987298</v>
      </c>
      <c r="AG105" s="116">
        <f t="shared" ref="AG105:AO105" si="71">SUM(AG3:AG103)</f>
        <v>557216.52000000095</v>
      </c>
      <c r="AH105" s="117">
        <f t="shared" si="71"/>
        <v>48225</v>
      </c>
      <c r="AI105" s="117">
        <f t="shared" si="71"/>
        <v>468432</v>
      </c>
      <c r="AJ105" s="117">
        <f t="shared" si="71"/>
        <v>0</v>
      </c>
      <c r="AK105" s="117">
        <f t="shared" si="71"/>
        <v>0</v>
      </c>
      <c r="AL105" s="117">
        <f t="shared" si="71"/>
        <v>6558.4800000000023</v>
      </c>
      <c r="AM105" s="116">
        <f t="shared" si="71"/>
        <v>130</v>
      </c>
      <c r="AN105" s="117">
        <f t="shared" si="71"/>
        <v>218399.89256699997</v>
      </c>
      <c r="AO105" s="117">
        <f t="shared" si="71"/>
        <v>1812123.8274329996</v>
      </c>
      <c r="AP105" s="118"/>
      <c r="AQ105" s="116"/>
      <c r="AR105" s="116"/>
      <c r="AS105" s="116"/>
      <c r="AT105" s="116"/>
      <c r="AU105" s="240">
        <f>(AH105+AI105+AJ105)/S105</f>
        <v>126.88040275049116</v>
      </c>
      <c r="AV105" s="116"/>
      <c r="AW105" s="116"/>
      <c r="AX105" s="116"/>
      <c r="AY105" s="119"/>
      <c r="AZ105" s="116">
        <f>SUM(AZ3:AZ103)</f>
        <v>30384144.337447375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45"/>
      <c r="AI106" s="545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46"/>
      <c r="AI114" s="547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74219</v>
      </c>
      <c r="F126" s="267">
        <f t="shared" si="80"/>
        <v>4185</v>
      </c>
      <c r="G126" s="267">
        <f t="shared" si="80"/>
        <v>1382</v>
      </c>
      <c r="H126" s="267">
        <f t="shared" si="80"/>
        <v>8447</v>
      </c>
      <c r="I126" s="267">
        <f t="shared" si="80"/>
        <v>1356</v>
      </c>
      <c r="J126" s="267">
        <f t="shared" si="80"/>
        <v>58849</v>
      </c>
      <c r="K126" s="267">
        <f t="shared" si="80"/>
        <v>0</v>
      </c>
      <c r="L126" s="267">
        <f t="shared" si="80"/>
        <v>9153070.4999999981</v>
      </c>
      <c r="M126" s="267">
        <f t="shared" si="80"/>
        <v>0</v>
      </c>
      <c r="N126" s="267">
        <f t="shared" si="80"/>
        <v>6902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4072</v>
      </c>
      <c r="T126" s="267">
        <f t="shared" si="80"/>
        <v>-94</v>
      </c>
      <c r="U126" s="267">
        <f t="shared" si="80"/>
        <v>3978</v>
      </c>
      <c r="V126" s="267">
        <f t="shared" si="80"/>
        <v>3910621.7700000014</v>
      </c>
      <c r="W126" s="267">
        <f t="shared" si="80"/>
        <v>-85755</v>
      </c>
      <c r="X126" s="267">
        <f t="shared" si="80"/>
        <v>3824866.7700000014</v>
      </c>
      <c r="Y126" s="267">
        <f t="shared" si="80"/>
        <v>5914054.7100000028</v>
      </c>
      <c r="Z126" s="267">
        <f t="shared" si="80"/>
        <v>-132706.71</v>
      </c>
      <c r="AA126" s="267">
        <f t="shared" si="80"/>
        <v>5781348.0000000019</v>
      </c>
      <c r="AB126" s="267">
        <f t="shared" si="80"/>
        <v>5820044.6399999987</v>
      </c>
      <c r="AC126" s="267">
        <f t="shared" si="80"/>
        <v>0.99999999999999989</v>
      </c>
      <c r="AD126" s="267">
        <f t="shared" si="80"/>
        <v>494039.24</v>
      </c>
      <c r="AE126" s="267">
        <f t="shared" si="80"/>
        <v>2176223.0400000005</v>
      </c>
      <c r="AF126" s="268">
        <f>AE126/AA126</f>
        <v>0.37642138822987298</v>
      </c>
      <c r="AG126" s="267">
        <f>AG105+AG113+AG124+AG125</f>
        <v>557386.52000000095</v>
      </c>
      <c r="AH126" s="267">
        <f>AH105+AH113+AH124</f>
        <v>48225</v>
      </c>
      <c r="AI126" s="267">
        <f>AI105+AI113+AI124</f>
        <v>468432</v>
      </c>
      <c r="AJ126" s="267">
        <f>AJ105+AJ113+AJ124</f>
        <v>0</v>
      </c>
      <c r="AK126" s="267">
        <f>AK105+AK113+AK124</f>
        <v>0</v>
      </c>
      <c r="AL126" s="156">
        <v>6558.48</v>
      </c>
      <c r="AM126" s="267">
        <f>AM105+AM113+AM124</f>
        <v>130</v>
      </c>
      <c r="AN126" s="267">
        <f>AN105+AN113+AN124</f>
        <v>218399.89256699997</v>
      </c>
      <c r="AO126" s="267">
        <f>AO105+AO113+AO124</f>
        <v>1812123.8274329996</v>
      </c>
      <c r="AP126" s="155"/>
      <c r="AQ126" s="155"/>
      <c r="AR126" s="155"/>
      <c r="AS126" s="155"/>
      <c r="AT126" s="155"/>
      <c r="AU126" s="155">
        <f>(AH126+AI126)/S126</f>
        <v>126.88040275049116</v>
      </c>
      <c r="AV126" s="155"/>
      <c r="AW126" s="155"/>
      <c r="AX126" s="155"/>
      <c r="AY126" s="157"/>
      <c r="AZ126" s="155">
        <f>AZ105+AZ124</f>
        <v>30384144.337447375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70" priority="15" operator="greaterThan">
      <formula>0.23</formula>
    </cfRule>
  </conditionalFormatting>
  <conditionalFormatting sqref="M123:O123 M106:M112 M3:M104">
    <cfRule type="cellIs" dxfId="69" priority="26" operator="greaterThan">
      <formula>120</formula>
    </cfRule>
  </conditionalFormatting>
  <conditionalFormatting sqref="AC125 AC127">
    <cfRule type="cellIs" dxfId="68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{03356DF3-FC97-47BA-8EE0-E5FC50B059E5}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{568C60DA-F71F-4A21-BBF7-CB0DE328B9EB}</x14:id>
        </ext>
      </extLst>
    </cfRule>
  </conditionalFormatting>
  <conditionalFormatting sqref="AC1">
    <cfRule type="cellIs" dxfId="67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{DD98A53E-9302-4B5D-B4D0-63425293D444}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{A001BBE8-EECA-4AD3-9AD0-5ACBF83B4AC8}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{E27F5005-D767-4C53-9758-A7B5EC7DA391}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{E256E915-7AA6-4F39-8070-2C9DD06BB3F3}</x14:id>
        </ext>
      </extLst>
    </cfRule>
  </conditionalFormatting>
  <conditionalFormatting sqref="Q123">
    <cfRule type="cellIs" dxfId="66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{0A2D88CD-C029-4061-B5A9-30CCB3C215F3}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{1D353F90-8918-4657-8DDF-DF6A2B205B95}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{B76D2DCF-2484-4B68-B15A-A934CC6C6760}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{3A77C488-551B-42B3-AEDE-6763642D3FD0}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{201D3A80-1891-4824-AA98-22952940945F}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{30EA771E-2F26-4328-BA77-2E5B9983E728}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{EE36D670-4E13-4B00-A0D2-2458710DDC89}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{DA1D1FC8-48A5-4C5C-9F50-9CCD641E4ACC}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{CEABF303-97A7-453D-995C-A37B377369F6}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{24277D54-1472-4A75-9B97-B1D58567F577}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{E580C7AD-8FB7-4D1B-AADE-3C54F764D40F}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{0EAEEB4F-6688-4FF9-8326-AE3C43187AC9}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{79D964EF-48DE-4741-A62D-C8F25C78A8DB}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{67277AD8-A2CD-4CE6-A239-AF835562360A}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{A444CF55-4BD0-4EB4-88B5-023261A9A112}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{1C7BCDA9-E1F4-44D7-8EED-466E136706EF}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{5BA7B1F6-F04E-436A-BDC4-F95384C30FC9}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{BCDC0000-46CE-4875-A532-8FB8E5FE2460}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{EC2947E5-DF89-45C6-996F-A7C9C08178EE}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{CF731446-370A-438A-8F7C-2A0A2B9E23C7}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{C0B468EB-C1DB-42CD-B939-98BE6266A584}</x14:id>
        </ext>
      </extLst>
    </cfRule>
  </conditionalFormatting>
  <conditionalFormatting sqref="M115:M122">
    <cfRule type="cellIs" dxfId="65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{CE87371C-FE44-47DA-B7E6-1D46A7248592}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{6322610C-AA2C-43DB-8C6F-F0A31A9F6DB3}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{7E793777-1698-4DF2-AF06-6087CE9DA9D4}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{BB8FE34A-C47C-4967-813D-1B9556AE16C8}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{CFE1935D-7DD4-470B-AED3-AFAFF353A826}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{9E3BA03F-BD4C-4B78-9F35-1B5CA4A4524A}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356DF3-FC97-47BA-8EE0-E5FC50B059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568C60DA-F71F-4A21-BBF7-CB0DE328B9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DD98A53E-9302-4B5D-B4D0-63425293D4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A001BBE8-EECA-4AD3-9AD0-5ACBF83B4A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E27F5005-D767-4C53-9758-A7B5EC7DA3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256E915-7AA6-4F39-8070-2C9DD06BB3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0A2D88CD-C029-4061-B5A9-30CCB3C215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1D353F90-8918-4657-8DDF-DF6A2B205B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B76D2DCF-2484-4B68-B15A-A934CC6C67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3A77C488-551B-42B3-AEDE-6763642D3F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201D3A80-1891-4824-AA98-229529409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30EA771E-2F26-4328-BA77-2E5B9983E7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E36D670-4E13-4B00-A0D2-2458710DDC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DA1D1FC8-48A5-4C5C-9F50-9CCD641E4A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ABF303-97A7-453D-995C-A37B37736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4277D54-1472-4A75-9B97-B1D58567F5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580C7AD-8FB7-4D1B-AADE-3C54F764D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0EAEEB4F-6688-4FF9-8326-AE3C43187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9D964EF-48DE-4741-A62D-C8F25C78A8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67277AD8-A2CD-4CE6-A239-AF83556236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444CF55-4BD0-4EB4-88B5-023261A9A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1C7BCDA9-E1F4-44D7-8EED-466E136706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BA7B1F6-F04E-436A-BDC4-F95384C30F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CDC0000-46CE-4875-A532-8FB8E5FE2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C2947E5-DF89-45C6-996F-A7C9C08178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F731446-370A-438A-8F7C-2A0A2B9E23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0B468EB-C1DB-42CD-B939-98BE6266A5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CE87371C-FE44-47DA-B7E6-1D46A7248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6322610C-AA2C-43DB-8C6F-F0A31A9F6D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7E793777-1698-4DF2-AF06-6087CE9DA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B8FE34A-C47C-4967-813D-1B9556AE1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CFE1935D-7DD4-470B-AED3-AFAFF353A8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E3BA03F-BD4C-4B78-9F35-1B5CA4A452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97BC-A494-4C0D-89D4-4DFD45E2C712}">
  <dimension ref="A1:AZ129"/>
  <sheetViews>
    <sheetView zoomScale="70" zoomScaleNormal="70" workbookViewId="0">
      <pane xSplit="3" ySplit="2" topLeftCell="R105" activePane="bottomRight" state="frozen"/>
      <selection pane="topRight" activeCell="D1" sqref="D1"/>
      <selection pane="bottomLeft" activeCell="A3" sqref="A3"/>
      <selection pane="bottomRight" activeCell="AJ100" sqref="AJ10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289</v>
      </c>
      <c r="B1" s="73"/>
      <c r="C1" s="72"/>
      <c r="D1" s="72"/>
      <c r="E1" s="222"/>
      <c r="F1" s="539" t="s">
        <v>42</v>
      </c>
      <c r="G1" s="539"/>
      <c r="H1" s="539"/>
      <c r="I1" s="540" t="s">
        <v>115</v>
      </c>
      <c r="J1" s="541"/>
      <c r="M1" s="350" t="s">
        <v>43</v>
      </c>
      <c r="N1" s="539" t="s">
        <v>116</v>
      </c>
      <c r="O1" s="539"/>
      <c r="P1" s="539"/>
      <c r="R1" s="224"/>
      <c r="S1" s="542"/>
      <c r="T1" s="542"/>
      <c r="U1" s="224"/>
      <c r="V1" s="543"/>
      <c r="W1" s="544"/>
      <c r="X1" s="224"/>
      <c r="Y1" s="542"/>
      <c r="Z1" s="542"/>
      <c r="AA1" s="224"/>
      <c r="AB1" s="224"/>
      <c r="AC1" s="224"/>
      <c r="AD1" s="224"/>
      <c r="AE1" s="225"/>
      <c r="AF1" s="224"/>
      <c r="AG1" s="225"/>
      <c r="AH1" s="535"/>
      <c r="AI1" s="535"/>
      <c r="AJ1" s="283" t="s">
        <v>248</v>
      </c>
      <c r="AK1" s="349"/>
      <c r="AL1" s="351" t="s">
        <v>44</v>
      </c>
      <c r="AM1" s="225"/>
      <c r="AQ1" s="536" t="s">
        <v>45</v>
      </c>
      <c r="AR1" s="537"/>
      <c r="AS1" s="537"/>
      <c r="AT1" s="537"/>
      <c r="AU1" s="537"/>
      <c r="AV1" s="537"/>
      <c r="AW1" s="537"/>
      <c r="AX1" s="538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3635</v>
      </c>
      <c r="F3" s="93">
        <v>236</v>
      </c>
      <c r="G3" s="93">
        <v>37</v>
      </c>
      <c r="H3" s="93">
        <v>371</v>
      </c>
      <c r="I3" s="93">
        <v>1</v>
      </c>
      <c r="J3" s="93">
        <v>2990</v>
      </c>
      <c r="K3" s="92">
        <v>142.97999999999999</v>
      </c>
      <c r="L3" s="92">
        <f t="shared" ref="L3" si="0">E3*K3</f>
        <v>519732.3</v>
      </c>
      <c r="M3" s="89">
        <v>39</v>
      </c>
      <c r="N3" s="89">
        <v>365</v>
      </c>
      <c r="O3" s="89">
        <v>1515</v>
      </c>
      <c r="P3" s="89">
        <v>68</v>
      </c>
      <c r="Q3" s="233">
        <f>N3/7</f>
        <v>52.142857142857146</v>
      </c>
      <c r="R3" s="92">
        <f>U3/7</f>
        <v>24.857142857142858</v>
      </c>
      <c r="S3" s="93">
        <v>175</v>
      </c>
      <c r="T3" s="93">
        <v>-1</v>
      </c>
      <c r="U3" s="92">
        <f t="shared" ref="U3" si="1">S3+T3</f>
        <v>174</v>
      </c>
      <c r="V3" s="93">
        <v>167974.87999999998</v>
      </c>
      <c r="W3" s="93">
        <v>-984</v>
      </c>
      <c r="X3" s="92">
        <f t="shared" ref="X3" si="2">V3+W3</f>
        <v>166990.87999999998</v>
      </c>
      <c r="Y3" s="93">
        <v>261892.12999999995</v>
      </c>
      <c r="Z3" s="93">
        <v>-1515</v>
      </c>
      <c r="AA3" s="92">
        <f>Y3+Z3</f>
        <v>260377.12999999995</v>
      </c>
      <c r="AB3" s="92">
        <f>N3*O3*P3/100</f>
        <v>376023</v>
      </c>
      <c r="AC3" s="234">
        <f t="shared" ref="AC3" si="3">AA3/$AA$126</f>
        <v>5.6711860856458025E-2</v>
      </c>
      <c r="AD3" s="92">
        <f t="shared" ref="AD3" si="4">U3*K3</f>
        <v>24878.519999999997</v>
      </c>
      <c r="AE3" s="93">
        <v>97527.27</v>
      </c>
      <c r="AF3" s="234">
        <f t="shared" ref="AF3" si="5">IF(AA3=0,0,AE3/AA3)</f>
        <v>0.37456158303918635</v>
      </c>
      <c r="AG3" s="93">
        <v>16990.80999999999</v>
      </c>
      <c r="AH3" s="93">
        <v>18500</v>
      </c>
      <c r="AI3" s="93">
        <v>8635</v>
      </c>
      <c r="AJ3" s="93"/>
      <c r="AK3" s="93"/>
      <c r="AL3" s="122">
        <f t="shared" ref="AL3:AL66" si="6">IFERROR($AL$126*H3/$H$126,0)</f>
        <v>493.67405224288848</v>
      </c>
      <c r="AM3" s="93">
        <v>0</v>
      </c>
      <c r="AN3" s="94">
        <f>X3*5.71%</f>
        <v>9535.1792479999986</v>
      </c>
      <c r="AO3" s="95">
        <f>AA3-AD3-AE3-AG3-AH3-AI3-AK3-AL3-AN3-AM3</f>
        <v>83816.676699757081</v>
      </c>
      <c r="AP3" s="96"/>
      <c r="AQ3" s="97">
        <f t="shared" ref="AQ3:AQ97" si="7">IF(U3=0,0,AA3/U3)</f>
        <v>1496.4202873563215</v>
      </c>
      <c r="AR3" s="98">
        <f t="shared" ref="AR3:AR19" si="8">K3</f>
        <v>142.97999999999999</v>
      </c>
      <c r="AS3" s="98">
        <f t="shared" ref="AS3:AS97" si="9">IF(U3=0,0,AE3/U3)</f>
        <v>560.50155172413793</v>
      </c>
      <c r="AT3" s="98">
        <f t="shared" ref="AT3:AT97" si="10">IF(S3=0,AG3/1,AG3/S3)</f>
        <v>97.090342857142801</v>
      </c>
      <c r="AU3" s="98">
        <f>IF(S3=0,0,(AH3+AI3+AJ3)/S3)</f>
        <v>155.05714285714285</v>
      </c>
      <c r="AV3" s="98">
        <f>_xlfn.IFS(U3=0,AO3,U3&lt;0,AO3/-U3,U3&gt;0,AO3/U3)</f>
        <v>481.70503850435102</v>
      </c>
      <c r="AW3" s="234">
        <f t="shared" ref="AW3" si="11">IF(AQ3=0,0,AV3/AQ3)</f>
        <v>0.32190491038808627</v>
      </c>
      <c r="AX3" s="234">
        <f t="shared" ref="AX3" si="12">IF(AR3=0,0,AV3/AR3)</f>
        <v>3.3690378969390897</v>
      </c>
      <c r="AY3" s="99"/>
      <c r="AZ3" s="94">
        <f t="shared" ref="AZ3:AZ97" si="13">AV3*E3</f>
        <v>1750997.8149633161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7307</v>
      </c>
      <c r="F4" s="93">
        <v>927</v>
      </c>
      <c r="G4" s="93">
        <v>176</v>
      </c>
      <c r="H4" s="93">
        <v>571</v>
      </c>
      <c r="I4" s="93">
        <v>0</v>
      </c>
      <c r="J4" s="93">
        <v>5633</v>
      </c>
      <c r="K4" s="92">
        <v>123.09</v>
      </c>
      <c r="L4" s="92">
        <f>E4*K4</f>
        <v>899418.63</v>
      </c>
      <c r="M4" s="89">
        <v>12</v>
      </c>
      <c r="N4" s="89">
        <v>1618</v>
      </c>
      <c r="O4" s="89">
        <v>1375</v>
      </c>
      <c r="P4" s="89">
        <v>69</v>
      </c>
      <c r="Q4" s="233">
        <f t="shared" ref="Q4:Q67" si="14">N4/7</f>
        <v>231.14285714285714</v>
      </c>
      <c r="R4" s="92">
        <f t="shared" ref="R4:R67" si="15">U4/7</f>
        <v>108.28571428571429</v>
      </c>
      <c r="S4" s="93">
        <v>764</v>
      </c>
      <c r="T4" s="93">
        <v>-6</v>
      </c>
      <c r="U4" s="92">
        <f t="shared" ref="U4:U67" si="16">S4+T4</f>
        <v>758</v>
      </c>
      <c r="V4" s="93">
        <v>649385.75000000058</v>
      </c>
      <c r="W4" s="93">
        <v>-4885</v>
      </c>
      <c r="X4" s="92">
        <f t="shared" ref="X4:X67" si="17">V4+W4</f>
        <v>644500.75000000058</v>
      </c>
      <c r="Y4" s="93">
        <v>1003404.9500000003</v>
      </c>
      <c r="Z4" s="93">
        <v>-7787</v>
      </c>
      <c r="AA4" s="92">
        <f t="shared" ref="AA4:AA67" si="18">Y4+Z4</f>
        <v>995617.9500000003</v>
      </c>
      <c r="AB4" s="92">
        <f t="shared" ref="AB4:AB67" si="19">N4*O4*P4/100</f>
        <v>1535077.5</v>
      </c>
      <c r="AC4" s="234">
        <f t="shared" ref="AC4:AC67" si="20">AA4/$AA$126</f>
        <v>0.21685217379342039</v>
      </c>
      <c r="AD4" s="92">
        <f t="shared" ref="AD4:AD67" si="21">U4*K4</f>
        <v>93302.22</v>
      </c>
      <c r="AE4" s="93">
        <v>373900.72000000102</v>
      </c>
      <c r="AF4" s="234">
        <f t="shared" ref="AF4:AF67" si="22">IF(AA4=0,0,AE4/AA4)</f>
        <v>0.37554638302774762</v>
      </c>
      <c r="AG4" s="93">
        <v>76767.83000000102</v>
      </c>
      <c r="AH4" s="93">
        <v>23381</v>
      </c>
      <c r="AI4" s="93">
        <v>18000</v>
      </c>
      <c r="AJ4" s="93"/>
      <c r="AK4" s="93"/>
      <c r="AL4" s="122">
        <f t="shared" si="6"/>
        <v>759.80561679431071</v>
      </c>
      <c r="AM4" s="93">
        <v>10</v>
      </c>
      <c r="AN4" s="94">
        <f t="shared" ref="AN4:AN67" si="23">X4*5.71%</f>
        <v>36800.99282500003</v>
      </c>
      <c r="AO4" s="95">
        <f>AA4-AD4-AE4-AG4-AH4-AI4-AK4-AL4-AN4-AM4</f>
        <v>372695.38155820395</v>
      </c>
      <c r="AP4" s="96"/>
      <c r="AQ4" s="97">
        <f t="shared" si="7"/>
        <v>1313.4801451187338</v>
      </c>
      <c r="AR4" s="98">
        <f t="shared" si="8"/>
        <v>123.09</v>
      </c>
      <c r="AS4" s="98">
        <f t="shared" si="9"/>
        <v>493.27271767810163</v>
      </c>
      <c r="AT4" s="98">
        <f t="shared" si="10"/>
        <v>100.48145287958249</v>
      </c>
      <c r="AU4" s="98">
        <f t="shared" ref="AU4:AU70" si="24">IF(S4=0,0,(AH4+AI4+AJ4)/S4)</f>
        <v>54.163612565445028</v>
      </c>
      <c r="AV4" s="98">
        <f t="array" ref="AV4">_xlfn.IFS(U4=0,AO4,U4&lt;0,AO4/-U4,U4&gt;0,AO4/U4)</f>
        <v>491.68256142243268</v>
      </c>
      <c r="AW4" s="234">
        <f>IF(AQ4=0,0,AV4/AQ4)</f>
        <v>0.37433573948541593</v>
      </c>
      <c r="AX4" s="234">
        <f>IF(AR4=0,0,AV4/AR4)</f>
        <v>3.994496396315157</v>
      </c>
      <c r="AY4" s="99"/>
      <c r="AZ4" s="94">
        <f t="shared" si="13"/>
        <v>3592724.4763137158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6954</v>
      </c>
      <c r="F5" s="93">
        <v>237</v>
      </c>
      <c r="G5" s="93">
        <v>47</v>
      </c>
      <c r="H5" s="93">
        <v>182</v>
      </c>
      <c r="I5" s="93">
        <v>0</v>
      </c>
      <c r="J5" s="93">
        <v>6488</v>
      </c>
      <c r="K5" s="92">
        <v>123.09</v>
      </c>
      <c r="L5" s="92">
        <f>E5*K5</f>
        <v>855967.86</v>
      </c>
      <c r="M5" s="89">
        <v>22</v>
      </c>
      <c r="N5" s="89">
        <v>389</v>
      </c>
      <c r="O5" s="89">
        <v>1372</v>
      </c>
      <c r="P5" s="89">
        <v>71</v>
      </c>
      <c r="Q5" s="233">
        <f t="shared" si="14"/>
        <v>55.571428571428569</v>
      </c>
      <c r="R5" s="92">
        <f t="shared" si="15"/>
        <v>27</v>
      </c>
      <c r="S5" s="93">
        <v>192</v>
      </c>
      <c r="T5" s="93">
        <v>-3</v>
      </c>
      <c r="U5" s="92">
        <f t="shared" si="16"/>
        <v>189</v>
      </c>
      <c r="V5" s="93">
        <v>159715.33000000016</v>
      </c>
      <c r="W5" s="93">
        <v>-2420</v>
      </c>
      <c r="X5" s="92">
        <f t="shared" si="17"/>
        <v>157295.33000000016</v>
      </c>
      <c r="Y5" s="93">
        <v>249012.68999999992</v>
      </c>
      <c r="Z5" s="93">
        <v>-3763.8</v>
      </c>
      <c r="AA5" s="92">
        <f t="shared" si="18"/>
        <v>245248.88999999993</v>
      </c>
      <c r="AB5" s="92">
        <f t="shared" si="19"/>
        <v>378932.68</v>
      </c>
      <c r="AC5" s="234">
        <f t="shared" si="20"/>
        <v>5.3416830137427124E-2</v>
      </c>
      <c r="AD5" s="92">
        <f t="shared" si="21"/>
        <v>23264.010000000002</v>
      </c>
      <c r="AE5" s="93">
        <v>92277.880000000034</v>
      </c>
      <c r="AF5" s="234">
        <f t="shared" si="22"/>
        <v>0.37626217186956507</v>
      </c>
      <c r="AG5" s="93">
        <v>16630.369999999984</v>
      </c>
      <c r="AH5" s="93">
        <v>16550</v>
      </c>
      <c r="AI5" s="93">
        <v>10633</v>
      </c>
      <c r="AJ5" s="93"/>
      <c r="AK5" s="93"/>
      <c r="AL5" s="122">
        <f t="shared" si="6"/>
        <v>242.17972374179433</v>
      </c>
      <c r="AM5" s="93">
        <v>0</v>
      </c>
      <c r="AN5" s="94">
        <f t="shared" si="23"/>
        <v>8981.5633430000089</v>
      </c>
      <c r="AO5" s="95">
        <f t="shared" ref="AO5:AO68" si="25">AA5-AD5-AE5-AG5-AH5-AI5-AK5-AL5-AN5-AM5</f>
        <v>76669.886933258094</v>
      </c>
      <c r="AP5" s="96"/>
      <c r="AQ5" s="97">
        <f t="shared" si="7"/>
        <v>1297.6131746031742</v>
      </c>
      <c r="AR5" s="98">
        <f t="shared" si="8"/>
        <v>123.09</v>
      </c>
      <c r="AS5" s="98">
        <f t="shared" si="9"/>
        <v>488.24275132275147</v>
      </c>
      <c r="AT5" s="98">
        <f t="shared" si="10"/>
        <v>86.616510416666586</v>
      </c>
      <c r="AU5" s="98">
        <f t="shared" si="24"/>
        <v>141.578125</v>
      </c>
      <c r="AV5" s="98">
        <f t="array" ref="AV5">_xlfn.IFS(U5=0,AO5,U5&lt;0,AO5/-U5,U5&gt;0,AO5/U5)</f>
        <v>405.66077742464603</v>
      </c>
      <c r="AW5" s="234">
        <f>IF(AQ5=0,0,AV5/AQ5)</f>
        <v>0.3126207296320816</v>
      </c>
      <c r="AX5" s="234">
        <f>IF(AR5=0,0,AV5/AR5)</f>
        <v>3.2956436544369652</v>
      </c>
      <c r="AY5" s="99"/>
      <c r="AZ5" s="94">
        <f t="shared" si="13"/>
        <v>2820965.0462109884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2255</v>
      </c>
      <c r="F6" s="93">
        <v>135</v>
      </c>
      <c r="G6" s="93">
        <v>40</v>
      </c>
      <c r="H6" s="93">
        <v>131</v>
      </c>
      <c r="I6" s="93">
        <v>0</v>
      </c>
      <c r="J6" s="93">
        <v>1949</v>
      </c>
      <c r="K6" s="92">
        <v>123.09</v>
      </c>
      <c r="L6" s="92">
        <f t="shared" ref="L6" si="27">E6*K6</f>
        <v>277567.95</v>
      </c>
      <c r="M6" s="89">
        <v>17</v>
      </c>
      <c r="N6" s="89">
        <v>232</v>
      </c>
      <c r="O6" s="89">
        <v>1303</v>
      </c>
      <c r="P6" s="89">
        <v>56</v>
      </c>
      <c r="Q6" s="233">
        <f t="shared" si="14"/>
        <v>33.142857142857146</v>
      </c>
      <c r="R6" s="92">
        <f t="shared" si="15"/>
        <v>16.571428571428573</v>
      </c>
      <c r="S6" s="93">
        <v>120</v>
      </c>
      <c r="T6" s="93">
        <v>-4</v>
      </c>
      <c r="U6" s="92">
        <f t="shared" si="16"/>
        <v>116</v>
      </c>
      <c r="V6" s="93">
        <v>94116.099999999962</v>
      </c>
      <c r="W6" s="93">
        <v>-3008</v>
      </c>
      <c r="X6" s="92">
        <f t="shared" si="17"/>
        <v>91108.099999999962</v>
      </c>
      <c r="Y6" s="93">
        <v>146746.39999999997</v>
      </c>
      <c r="Z6" s="93">
        <v>-4631.54</v>
      </c>
      <c r="AA6" s="92">
        <f t="shared" si="18"/>
        <v>142114.85999999996</v>
      </c>
      <c r="AB6" s="92">
        <f t="shared" si="19"/>
        <v>169285.76000000001</v>
      </c>
      <c r="AC6" s="234">
        <f t="shared" si="20"/>
        <v>3.0953556350955293E-2</v>
      </c>
      <c r="AD6" s="92">
        <f t="shared" si="21"/>
        <v>14278.44</v>
      </c>
      <c r="AE6" s="93">
        <v>53452.570000000007</v>
      </c>
      <c r="AF6" s="234">
        <f t="shared" si="22"/>
        <v>0.3761223140212081</v>
      </c>
      <c r="AG6" s="93">
        <v>14110.699999999975</v>
      </c>
      <c r="AH6" s="93">
        <v>8440</v>
      </c>
      <c r="AI6" s="93">
        <v>4521</v>
      </c>
      <c r="AJ6" s="93"/>
      <c r="AK6" s="93"/>
      <c r="AL6" s="122">
        <f t="shared" si="6"/>
        <v>174.31617478118164</v>
      </c>
      <c r="AM6" s="93">
        <v>0</v>
      </c>
      <c r="AN6" s="94">
        <f t="shared" si="23"/>
        <v>5202.272509999998</v>
      </c>
      <c r="AO6" s="95">
        <f t="shared" si="25"/>
        <v>41935.561315218794</v>
      </c>
      <c r="AP6" s="96"/>
      <c r="AQ6" s="97">
        <f t="shared" si="7"/>
        <v>1225.1281034482754</v>
      </c>
      <c r="AR6" s="98">
        <f t="shared" si="8"/>
        <v>123.09</v>
      </c>
      <c r="AS6" s="98">
        <f t="shared" si="9"/>
        <v>460.7980172413794</v>
      </c>
      <c r="AT6" s="98">
        <f t="shared" si="10"/>
        <v>117.58916666666646</v>
      </c>
      <c r="AU6" s="98">
        <f t="shared" si="24"/>
        <v>108.00833333333334</v>
      </c>
      <c r="AV6" s="98">
        <f t="array" ref="AV6">_xlfn.IFS(U6=0,AO6,U6&lt;0,AO6/-U6,U6&gt;0,AO6/U6)</f>
        <v>361.51345961395515</v>
      </c>
      <c r="AW6" s="234">
        <f t="shared" ref="AW6" si="28">IF(AQ6=0,0,AV6/AQ6)</f>
        <v>0.29508217026156741</v>
      </c>
      <c r="AX6" s="234">
        <f t="shared" ref="AX6" si="29">IF(AR6=0,0,AV6/AR6)</f>
        <v>2.9369848047278833</v>
      </c>
      <c r="AY6" s="99"/>
      <c r="AZ6" s="94">
        <f t="shared" si="13"/>
        <v>815212.85142946884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4298</v>
      </c>
      <c r="F7" s="93">
        <v>272</v>
      </c>
      <c r="G7" s="93">
        <v>77</v>
      </c>
      <c r="H7" s="93">
        <v>914</v>
      </c>
      <c r="I7" s="93">
        <v>3</v>
      </c>
      <c r="J7" s="93">
        <v>3032</v>
      </c>
      <c r="K7" s="92">
        <v>117.24</v>
      </c>
      <c r="L7" s="92">
        <f>E7*K7</f>
        <v>503897.51999999996</v>
      </c>
      <c r="M7" s="89">
        <v>24</v>
      </c>
      <c r="N7" s="89">
        <v>487</v>
      </c>
      <c r="O7" s="89">
        <v>1443</v>
      </c>
      <c r="P7" s="89">
        <v>59</v>
      </c>
      <c r="Q7" s="233">
        <f t="shared" si="14"/>
        <v>69.571428571428569</v>
      </c>
      <c r="R7" s="92">
        <f t="shared" si="15"/>
        <v>30.285714285714285</v>
      </c>
      <c r="S7" s="93">
        <v>217</v>
      </c>
      <c r="T7" s="93">
        <v>-5</v>
      </c>
      <c r="U7" s="92">
        <f t="shared" si="16"/>
        <v>212</v>
      </c>
      <c r="V7" s="93">
        <v>196326.52999999994</v>
      </c>
      <c r="W7" s="93">
        <v>-4157.8900000000003</v>
      </c>
      <c r="X7" s="92">
        <f t="shared" si="17"/>
        <v>192168.63999999993</v>
      </c>
      <c r="Y7" s="93">
        <v>307470.58999999997</v>
      </c>
      <c r="Z7" s="93">
        <v>-6407.45</v>
      </c>
      <c r="AA7" s="92">
        <f t="shared" si="18"/>
        <v>301063.13999999996</v>
      </c>
      <c r="AB7" s="92">
        <f t="shared" si="19"/>
        <v>414617.19</v>
      </c>
      <c r="AC7" s="234">
        <f t="shared" si="20"/>
        <v>6.5573542901745413E-2</v>
      </c>
      <c r="AD7" s="92">
        <f t="shared" si="21"/>
        <v>24854.879999999997</v>
      </c>
      <c r="AE7" s="93">
        <v>113236.94999999992</v>
      </c>
      <c r="AF7" s="234">
        <f t="shared" si="22"/>
        <v>0.37612359321038086</v>
      </c>
      <c r="AG7" s="93">
        <v>26494.179999999935</v>
      </c>
      <c r="AH7" s="93">
        <v>21109</v>
      </c>
      <c r="AI7" s="93">
        <v>13000</v>
      </c>
      <c r="AJ7" s="93"/>
      <c r="AK7" s="93"/>
      <c r="AL7" s="122">
        <f t="shared" si="6"/>
        <v>1216.2212500000001</v>
      </c>
      <c r="AM7" s="93">
        <v>0</v>
      </c>
      <c r="AN7" s="94">
        <f t="shared" si="23"/>
        <v>10972.829343999996</v>
      </c>
      <c r="AO7" s="95">
        <f t="shared" si="25"/>
        <v>90179.079406000092</v>
      </c>
      <c r="AP7" s="96"/>
      <c r="AQ7" s="97">
        <f t="shared" si="7"/>
        <v>1420.1091509433961</v>
      </c>
      <c r="AR7" s="98">
        <f t="shared" si="8"/>
        <v>117.24</v>
      </c>
      <c r="AS7" s="98">
        <f t="shared" si="9"/>
        <v>534.13655660377322</v>
      </c>
      <c r="AT7" s="98">
        <f t="shared" si="10"/>
        <v>122.09299539170478</v>
      </c>
      <c r="AU7" s="98">
        <f t="shared" si="24"/>
        <v>157.18433179723502</v>
      </c>
      <c r="AV7" s="98">
        <f t="array" ref="AV7">_xlfn.IFS(U7=0,AO7,U7&lt;0,AO7/-U7,U7&gt;0,AO7/U7)</f>
        <v>425.37301606603819</v>
      </c>
      <c r="AW7" s="234">
        <f>IF(AQ7=0,0,AV7/AQ7)</f>
        <v>0.29953543766932111</v>
      </c>
      <c r="AX7" s="234">
        <f>IF(AR7=0,0,AV7/AR7)</f>
        <v>3.6282242926137682</v>
      </c>
      <c r="AY7" s="99"/>
      <c r="AZ7" s="94">
        <f t="shared" si="13"/>
        <v>1828253.2230518321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325</v>
      </c>
      <c r="F8" s="93">
        <v>52</v>
      </c>
      <c r="G8" s="93">
        <v>24</v>
      </c>
      <c r="H8" s="93">
        <v>249</v>
      </c>
      <c r="I8" s="93">
        <v>0</v>
      </c>
      <c r="J8" s="93">
        <v>0</v>
      </c>
      <c r="K8" s="92">
        <v>169.89</v>
      </c>
      <c r="L8" s="92">
        <f>E8*K8</f>
        <v>55214.249999999993</v>
      </c>
      <c r="M8" s="89">
        <v>51</v>
      </c>
      <c r="N8" s="89">
        <v>73</v>
      </c>
      <c r="O8" s="89">
        <v>1464</v>
      </c>
      <c r="P8" s="89">
        <v>54</v>
      </c>
      <c r="Q8" s="233">
        <f t="shared" si="14"/>
        <v>10.428571428571429</v>
      </c>
      <c r="R8" s="92">
        <f t="shared" si="15"/>
        <v>5.7142857142857144</v>
      </c>
      <c r="S8" s="93">
        <v>41</v>
      </c>
      <c r="T8" s="93">
        <v>-1</v>
      </c>
      <c r="U8" s="92">
        <f t="shared" si="16"/>
        <v>40</v>
      </c>
      <c r="V8" s="93">
        <v>37755.679999999993</v>
      </c>
      <c r="W8" s="93">
        <v>-876</v>
      </c>
      <c r="X8" s="92">
        <f t="shared" si="17"/>
        <v>36879.679999999993</v>
      </c>
      <c r="Y8" s="93">
        <v>59783.89</v>
      </c>
      <c r="Z8" s="93">
        <v>-1435</v>
      </c>
      <c r="AA8" s="92">
        <f t="shared" si="18"/>
        <v>58348.89</v>
      </c>
      <c r="AB8" s="92">
        <f t="shared" si="19"/>
        <v>57710.879999999997</v>
      </c>
      <c r="AC8" s="234">
        <f t="shared" si="20"/>
        <v>1.2708774118559399E-2</v>
      </c>
      <c r="AD8" s="92">
        <f t="shared" si="21"/>
        <v>6795.5999999999995</v>
      </c>
      <c r="AE8" s="93">
        <v>21944.05</v>
      </c>
      <c r="AF8" s="234">
        <f t="shared" si="22"/>
        <v>0.37608341821069774</v>
      </c>
      <c r="AG8" s="93">
        <v>6386.72</v>
      </c>
      <c r="AH8" s="93">
        <v>2136</v>
      </c>
      <c r="AI8" s="93"/>
      <c r="AJ8" s="93"/>
      <c r="AK8" s="93"/>
      <c r="AL8" s="122">
        <f t="shared" si="6"/>
        <v>331.3337978665208</v>
      </c>
      <c r="AM8" s="93">
        <v>40</v>
      </c>
      <c r="AN8" s="94">
        <f t="shared" si="23"/>
        <v>2105.8297279999997</v>
      </c>
      <c r="AO8" s="95">
        <f t="shared" si="25"/>
        <v>18609.356474133478</v>
      </c>
      <c r="AP8" s="96"/>
      <c r="AQ8" s="97">
        <f t="shared" si="7"/>
        <v>1458.72225</v>
      </c>
      <c r="AR8" s="98">
        <f t="shared" si="8"/>
        <v>169.89</v>
      </c>
      <c r="AS8" s="98">
        <f t="shared" si="9"/>
        <v>548.60124999999994</v>
      </c>
      <c r="AT8" s="98">
        <f t="shared" si="10"/>
        <v>155.77365853658537</v>
      </c>
      <c r="AU8" s="98">
        <f t="shared" si="24"/>
        <v>52.097560975609753</v>
      </c>
      <c r="AV8" s="98">
        <f t="array" ref="AV8">_xlfn.IFS(U8=0,AO8,U8&lt;0,AO8/-U8,U8&gt;0,AO8/U8)</f>
        <v>465.23391185333696</v>
      </c>
      <c r="AW8" s="234">
        <f>IF(AQ8=0,0,AV8/AQ8)</f>
        <v>0.31893248481905101</v>
      </c>
      <c r="AX8" s="234">
        <f>IF(AR8=0,0,AV8/AR8)</f>
        <v>2.738442002786138</v>
      </c>
      <c r="AY8" s="99"/>
      <c r="AZ8" s="94">
        <f t="shared" si="13"/>
        <v>151201.0213523345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10940</v>
      </c>
      <c r="F9" s="93">
        <v>363</v>
      </c>
      <c r="G9" s="93">
        <v>108</v>
      </c>
      <c r="H9" s="93">
        <v>372</v>
      </c>
      <c r="I9" s="93">
        <v>0</v>
      </c>
      <c r="J9" s="93">
        <v>10097</v>
      </c>
      <c r="K9" s="92">
        <v>123.09</v>
      </c>
      <c r="L9" s="92">
        <f>E9*K9</f>
        <v>1346604.6</v>
      </c>
      <c r="M9" s="89">
        <v>21</v>
      </c>
      <c r="N9" s="89">
        <v>642</v>
      </c>
      <c r="O9" s="89">
        <v>1525</v>
      </c>
      <c r="P9" s="89">
        <v>55</v>
      </c>
      <c r="Q9" s="233">
        <f t="shared" si="14"/>
        <v>91.714285714285708</v>
      </c>
      <c r="R9" s="92">
        <f t="shared" si="15"/>
        <v>33.857142857142854</v>
      </c>
      <c r="S9" s="93">
        <v>243</v>
      </c>
      <c r="T9" s="93">
        <v>-6</v>
      </c>
      <c r="U9" s="92">
        <f t="shared" si="16"/>
        <v>237</v>
      </c>
      <c r="V9" s="93">
        <v>228435.69999999992</v>
      </c>
      <c r="W9" s="93">
        <v>-5512</v>
      </c>
      <c r="X9" s="92">
        <f t="shared" si="17"/>
        <v>222923.69999999992</v>
      </c>
      <c r="Y9" s="93">
        <v>359007.09999999992</v>
      </c>
      <c r="Z9" s="93">
        <v>-8821</v>
      </c>
      <c r="AA9" s="92">
        <f t="shared" si="18"/>
        <v>350186.09999999992</v>
      </c>
      <c r="AB9" s="92">
        <f t="shared" si="19"/>
        <v>538477.5</v>
      </c>
      <c r="AC9" s="234">
        <f t="shared" si="20"/>
        <v>7.6272848452802661E-2</v>
      </c>
      <c r="AD9" s="92">
        <f t="shared" si="21"/>
        <v>29172.33</v>
      </c>
      <c r="AE9" s="93">
        <v>131732.91999999987</v>
      </c>
      <c r="AF9" s="234">
        <f t="shared" si="22"/>
        <v>0.37617975128081865</v>
      </c>
      <c r="AG9" s="93">
        <v>34842.669999999904</v>
      </c>
      <c r="AH9" s="93">
        <v>22739</v>
      </c>
      <c r="AI9" s="93">
        <v>15500</v>
      </c>
      <c r="AJ9" s="93"/>
      <c r="AK9" s="93"/>
      <c r="AL9" s="122">
        <f t="shared" si="6"/>
        <v>495.0047100656455</v>
      </c>
      <c r="AM9" s="93">
        <v>1532</v>
      </c>
      <c r="AN9" s="94">
        <f t="shared" si="23"/>
        <v>12728.943269999996</v>
      </c>
      <c r="AO9" s="95">
        <f t="shared" si="25"/>
        <v>101443.23201993448</v>
      </c>
      <c r="AP9" s="96"/>
      <c r="AQ9" s="97">
        <f t="shared" si="7"/>
        <v>1477.5784810126579</v>
      </c>
      <c r="AR9" s="98">
        <f t="shared" si="8"/>
        <v>123.09</v>
      </c>
      <c r="AS9" s="98">
        <f t="shared" si="9"/>
        <v>555.83510548523145</v>
      </c>
      <c r="AT9" s="98">
        <f t="shared" si="10"/>
        <v>143.3854732510284</v>
      </c>
      <c r="AU9" s="98">
        <f t="shared" si="24"/>
        <v>157.36213991769549</v>
      </c>
      <c r="AV9" s="98">
        <f t="array" ref="AV9">_xlfn.IFS(U9=0,AO9,U9&lt;0,AO9/-U9,U9&gt;0,AO9/U9)</f>
        <v>428.03051485204423</v>
      </c>
      <c r="AW9" s="234">
        <f>IF(AQ9=0,0,AV9/AQ9)</f>
        <v>0.28968377676879381</v>
      </c>
      <c r="AX9" s="234">
        <f>IF(AR9=0,0,AV9/AR9)</f>
        <v>3.4773784617113024</v>
      </c>
      <c r="AY9" s="99"/>
      <c r="AZ9" s="94">
        <f t="shared" si="13"/>
        <v>4682653.8324813638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9574</v>
      </c>
      <c r="F10" s="93">
        <v>241</v>
      </c>
      <c r="G10" s="93">
        <v>59</v>
      </c>
      <c r="H10" s="93">
        <v>603</v>
      </c>
      <c r="I10" s="93">
        <v>0</v>
      </c>
      <c r="J10" s="93">
        <v>8671</v>
      </c>
      <c r="K10" s="92">
        <v>123.09</v>
      </c>
      <c r="L10" s="92">
        <f>E10*K10</f>
        <v>1178463.6600000001</v>
      </c>
      <c r="M10" s="89">
        <v>25</v>
      </c>
      <c r="N10" s="89">
        <v>418</v>
      </c>
      <c r="O10" s="89">
        <v>1336</v>
      </c>
      <c r="P10" s="89">
        <v>66</v>
      </c>
      <c r="Q10" s="233">
        <f t="shared" si="14"/>
        <v>59.714285714285715</v>
      </c>
      <c r="R10" s="92">
        <f t="shared" si="15"/>
        <v>28.428571428571427</v>
      </c>
      <c r="S10" s="93">
        <v>202</v>
      </c>
      <c r="T10" s="93">
        <v>-3</v>
      </c>
      <c r="U10" s="92">
        <f t="shared" si="16"/>
        <v>199</v>
      </c>
      <c r="V10" s="93">
        <v>168247.77999999985</v>
      </c>
      <c r="W10" s="93">
        <v>-2419</v>
      </c>
      <c r="X10" s="92">
        <f t="shared" si="17"/>
        <v>165828.77999999985</v>
      </c>
      <c r="Y10" s="93">
        <v>259953.62999999989</v>
      </c>
      <c r="Z10" s="93">
        <v>-3763</v>
      </c>
      <c r="AA10" s="92">
        <f t="shared" si="18"/>
        <v>256190.62999999989</v>
      </c>
      <c r="AB10" s="92">
        <f t="shared" si="19"/>
        <v>368575.68</v>
      </c>
      <c r="AC10" s="234">
        <f t="shared" si="20"/>
        <v>5.5800013470032175E-2</v>
      </c>
      <c r="AD10" s="92">
        <f t="shared" si="21"/>
        <v>24494.91</v>
      </c>
      <c r="AE10" s="93">
        <v>96379.419999999911</v>
      </c>
      <c r="AF10" s="234">
        <f t="shared" si="22"/>
        <v>0.37620197116498738</v>
      </c>
      <c r="AG10" s="93">
        <v>20952.869999999952</v>
      </c>
      <c r="AH10" s="93">
        <v>25071</v>
      </c>
      <c r="AI10" s="93">
        <v>14000</v>
      </c>
      <c r="AJ10" s="93"/>
      <c r="AK10" s="93"/>
      <c r="AL10" s="122">
        <f t="shared" si="6"/>
        <v>802.38666712253837</v>
      </c>
      <c r="AM10" s="93">
        <v>20</v>
      </c>
      <c r="AN10" s="94">
        <f t="shared" si="23"/>
        <v>9468.8233379999911</v>
      </c>
      <c r="AO10" s="95">
        <f t="shared" si="25"/>
        <v>65001.219994877509</v>
      </c>
      <c r="AP10" s="96"/>
      <c r="AQ10" s="97">
        <f t="shared" si="7"/>
        <v>1287.390100502512</v>
      </c>
      <c r="AR10" s="98">
        <f t="shared" si="8"/>
        <v>123.09</v>
      </c>
      <c r="AS10" s="98">
        <f t="shared" si="9"/>
        <v>484.31869346733623</v>
      </c>
      <c r="AT10" s="98">
        <f t="shared" si="10"/>
        <v>103.72707920792055</v>
      </c>
      <c r="AU10" s="98">
        <f t="shared" si="24"/>
        <v>193.42079207920793</v>
      </c>
      <c r="AV10" s="98">
        <f t="array" ref="AV10">_xlfn.IFS(U10=0,AO10,U10&lt;0,AO10/-U10,U10&gt;0,AO10/U10)</f>
        <v>326.63929645667088</v>
      </c>
      <c r="AW10" s="234">
        <f>IF(AQ10=0,0,AV10/AQ10)</f>
        <v>0.25372208185317913</v>
      </c>
      <c r="AX10" s="234">
        <f>IF(AR10=0,0,AV10/AR10)</f>
        <v>2.6536623320876664</v>
      </c>
      <c r="AY10" s="99"/>
      <c r="AZ10" s="94">
        <f t="shared" si="13"/>
        <v>3127244.6242761668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2638</v>
      </c>
      <c r="F11" s="93">
        <v>113</v>
      </c>
      <c r="G11" s="93">
        <v>23</v>
      </c>
      <c r="H11" s="93">
        <v>185</v>
      </c>
      <c r="I11" s="93">
        <v>0</v>
      </c>
      <c r="J11" s="93">
        <v>2317</v>
      </c>
      <c r="K11" s="92">
        <v>123.09</v>
      </c>
      <c r="L11" s="92">
        <f t="shared" ref="L11" si="31">E11*K11</f>
        <v>324711.42</v>
      </c>
      <c r="M11" s="89">
        <v>36</v>
      </c>
      <c r="N11" s="89">
        <v>198</v>
      </c>
      <c r="O11" s="89">
        <v>1289</v>
      </c>
      <c r="P11" s="89">
        <v>68</v>
      </c>
      <c r="Q11" s="233">
        <f t="shared" si="14"/>
        <v>28.285714285714285</v>
      </c>
      <c r="R11" s="92">
        <f t="shared" si="15"/>
        <v>14.714285714285714</v>
      </c>
      <c r="S11" s="93">
        <v>103</v>
      </c>
      <c r="T11" s="93">
        <v>0</v>
      </c>
      <c r="U11" s="92">
        <f t="shared" si="16"/>
        <v>103</v>
      </c>
      <c r="V11" s="93">
        <v>82318.340000000011</v>
      </c>
      <c r="W11" s="93">
        <v>0</v>
      </c>
      <c r="X11" s="92">
        <f t="shared" si="17"/>
        <v>82318.340000000011</v>
      </c>
      <c r="Y11" s="93">
        <v>128931.15000000002</v>
      </c>
      <c r="Z11" s="93">
        <v>0</v>
      </c>
      <c r="AA11" s="92">
        <f t="shared" si="18"/>
        <v>128931.15000000002</v>
      </c>
      <c r="AB11" s="92">
        <f t="shared" si="19"/>
        <v>173550.96</v>
      </c>
      <c r="AC11" s="234">
        <f t="shared" si="20"/>
        <v>2.8082057125612844E-2</v>
      </c>
      <c r="AD11" s="92">
        <f t="shared" si="21"/>
        <v>12678.27</v>
      </c>
      <c r="AE11" s="93">
        <v>48412.320000000051</v>
      </c>
      <c r="AF11" s="234">
        <f t="shared" si="22"/>
        <v>0.3754897090423846</v>
      </c>
      <c r="AG11" s="93">
        <v>10709.239999999993</v>
      </c>
      <c r="AH11" s="93">
        <v>9253</v>
      </c>
      <c r="AI11" s="93">
        <v>6816</v>
      </c>
      <c r="AJ11" s="93"/>
      <c r="AK11" s="93"/>
      <c r="AL11" s="122">
        <f t="shared" si="6"/>
        <v>246.17169721006567</v>
      </c>
      <c r="AM11" s="93">
        <v>20</v>
      </c>
      <c r="AN11" s="94">
        <f t="shared" si="23"/>
        <v>4700.3772140000001</v>
      </c>
      <c r="AO11" s="95">
        <f t="shared" si="25"/>
        <v>36095.771088789916</v>
      </c>
      <c r="AP11" s="96"/>
      <c r="AQ11" s="97">
        <f t="shared" si="7"/>
        <v>1251.7587378640778</v>
      </c>
      <c r="AR11" s="98">
        <f t="shared" si="8"/>
        <v>123.09</v>
      </c>
      <c r="AS11" s="98">
        <f t="shared" si="9"/>
        <v>470.02252427184516</v>
      </c>
      <c r="AT11" s="98">
        <f t="shared" si="10"/>
        <v>103.97320388349507</v>
      </c>
      <c r="AU11" s="98">
        <f t="shared" si="24"/>
        <v>156.00970873786409</v>
      </c>
      <c r="AV11" s="98">
        <f t="array" ref="AV11">_xlfn.IFS(U11=0,AO11,U11&lt;0,AO11/-U11,U11&gt;0,AO11/U11)</f>
        <v>350.44437950281474</v>
      </c>
      <c r="AW11" s="234">
        <f t="shared" ref="AW11:AW28" si="32">IF(AQ11=0,0,AV11/AQ11)</f>
        <v>0.27996160034863504</v>
      </c>
      <c r="AX11" s="234">
        <f t="shared" ref="AX11:AX28" si="33">IF(AR11=0,0,AV11/AR11)</f>
        <v>2.8470580835389936</v>
      </c>
      <c r="AY11" s="99"/>
      <c r="AZ11" s="94">
        <f t="shared" si="13"/>
        <v>924472.27312842524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5077</v>
      </c>
      <c r="F12" s="93">
        <v>201</v>
      </c>
      <c r="G12" s="93">
        <v>57</v>
      </c>
      <c r="H12" s="93">
        <v>372</v>
      </c>
      <c r="I12" s="93">
        <v>1</v>
      </c>
      <c r="J12" s="93">
        <v>4446</v>
      </c>
      <c r="K12" s="92">
        <v>117.24</v>
      </c>
      <c r="L12" s="92">
        <f>E12*K12</f>
        <v>595227.48</v>
      </c>
      <c r="M12" s="89">
        <v>36</v>
      </c>
      <c r="N12" s="89">
        <v>340</v>
      </c>
      <c r="O12" s="89">
        <v>1338</v>
      </c>
      <c r="P12" s="89">
        <v>58</v>
      </c>
      <c r="Q12" s="233">
        <f t="shared" si="14"/>
        <v>48.571428571428569</v>
      </c>
      <c r="R12" s="92">
        <f t="shared" si="15"/>
        <v>18.714285714285715</v>
      </c>
      <c r="S12" s="93">
        <v>133</v>
      </c>
      <c r="T12" s="93">
        <v>-2</v>
      </c>
      <c r="U12" s="92">
        <f t="shared" si="16"/>
        <v>131</v>
      </c>
      <c r="V12" s="93">
        <v>113627.05</v>
      </c>
      <c r="W12" s="93">
        <v>-1668</v>
      </c>
      <c r="X12" s="92">
        <f t="shared" si="17"/>
        <v>111959.05</v>
      </c>
      <c r="Y12" s="93">
        <v>176404.65999999997</v>
      </c>
      <c r="Z12" s="93">
        <v>-2660</v>
      </c>
      <c r="AA12" s="92">
        <f t="shared" si="18"/>
        <v>173744.65999999997</v>
      </c>
      <c r="AB12" s="92">
        <f t="shared" si="19"/>
        <v>263853.59999999998</v>
      </c>
      <c r="AC12" s="234">
        <f t="shared" si="20"/>
        <v>3.7842735967143541E-2</v>
      </c>
      <c r="AD12" s="92">
        <f t="shared" si="21"/>
        <v>15358.439999999999</v>
      </c>
      <c r="AE12" s="93">
        <v>65336.070000000029</v>
      </c>
      <c r="AF12" s="234">
        <f t="shared" si="22"/>
        <v>0.37604649259436257</v>
      </c>
      <c r="AG12" s="93">
        <v>17127.789999999983</v>
      </c>
      <c r="AH12" s="93">
        <v>14001</v>
      </c>
      <c r="AI12" s="93">
        <v>7914</v>
      </c>
      <c r="AJ12" s="93"/>
      <c r="AK12" s="93"/>
      <c r="AL12" s="122">
        <f t="shared" si="6"/>
        <v>495.0047100656455</v>
      </c>
      <c r="AM12" s="93">
        <v>0</v>
      </c>
      <c r="AN12" s="94">
        <f t="shared" si="23"/>
        <v>6392.8617549999999</v>
      </c>
      <c r="AO12" s="95">
        <f t="shared" si="25"/>
        <v>47119.493534934314</v>
      </c>
      <c r="AP12" s="96"/>
      <c r="AQ12" s="97">
        <f t="shared" si="7"/>
        <v>1326.2951145038166</v>
      </c>
      <c r="AR12" s="98">
        <f t="shared" si="8"/>
        <v>117.24</v>
      </c>
      <c r="AS12" s="98">
        <f t="shared" si="9"/>
        <v>498.7486259541987</v>
      </c>
      <c r="AT12" s="98">
        <f t="shared" si="10"/>
        <v>128.78037593984951</v>
      </c>
      <c r="AU12" s="98">
        <f t="shared" si="24"/>
        <v>164.77443609022558</v>
      </c>
      <c r="AV12" s="98">
        <f t="array" ref="AV12">_xlfn.IFS(U12=0,AO12,U12&lt;0,AO12/-U12,U12&gt;0,AO12/U12)</f>
        <v>359.69079034301001</v>
      </c>
      <c r="AW12" s="234">
        <f t="shared" si="32"/>
        <v>0.2711996646972305</v>
      </c>
      <c r="AX12" s="234">
        <f t="shared" si="33"/>
        <v>3.067986952772177</v>
      </c>
      <c r="AY12" s="99"/>
      <c r="AZ12" s="94">
        <f t="shared" si="13"/>
        <v>1826150.1425714619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5731</v>
      </c>
      <c r="F13" s="93">
        <v>303</v>
      </c>
      <c r="G13" s="93">
        <v>96</v>
      </c>
      <c r="H13" s="93">
        <v>145</v>
      </c>
      <c r="I13" s="93">
        <v>1</v>
      </c>
      <c r="J13" s="93">
        <v>5186</v>
      </c>
      <c r="K13" s="92">
        <v>123.09</v>
      </c>
      <c r="L13" s="92">
        <f t="shared" ref="L13:L28" si="34">E13*K13</f>
        <v>705428.79</v>
      </c>
      <c r="M13" s="89">
        <v>15</v>
      </c>
      <c r="N13" s="89">
        <v>579</v>
      </c>
      <c r="O13" s="89">
        <v>1583</v>
      </c>
      <c r="P13" s="89">
        <v>56</v>
      </c>
      <c r="Q13" s="233">
        <f t="shared" si="14"/>
        <v>82.714285714285708</v>
      </c>
      <c r="R13" s="92">
        <f t="shared" si="15"/>
        <v>34.857142857142854</v>
      </c>
      <c r="S13" s="93">
        <v>245</v>
      </c>
      <c r="T13" s="93">
        <v>-1</v>
      </c>
      <c r="U13" s="92">
        <f t="shared" si="16"/>
        <v>244</v>
      </c>
      <c r="V13" s="93">
        <v>243386.73999999993</v>
      </c>
      <c r="W13" s="93">
        <v>-1092</v>
      </c>
      <c r="X13" s="92">
        <f t="shared" si="17"/>
        <v>242294.73999999993</v>
      </c>
      <c r="Y13" s="93">
        <v>371053.45000000007</v>
      </c>
      <c r="Z13" s="93">
        <v>-1586</v>
      </c>
      <c r="AA13" s="92">
        <f t="shared" si="18"/>
        <v>369467.45000000007</v>
      </c>
      <c r="AB13" s="92">
        <f t="shared" si="19"/>
        <v>513271.92</v>
      </c>
      <c r="AC13" s="234">
        <f t="shared" si="20"/>
        <v>8.0472453995442575E-2</v>
      </c>
      <c r="AD13" s="92">
        <f t="shared" si="21"/>
        <v>30033.96</v>
      </c>
      <c r="AE13" s="93">
        <v>139142.05000000037</v>
      </c>
      <c r="AF13" s="234">
        <f t="shared" si="22"/>
        <v>0.37660164650499073</v>
      </c>
      <c r="AG13" s="93">
        <v>33728.709999999868</v>
      </c>
      <c r="AH13" s="93">
        <v>31500</v>
      </c>
      <c r="AI13" s="93">
        <v>22394</v>
      </c>
      <c r="AJ13" s="93"/>
      <c r="AK13" s="93"/>
      <c r="AL13" s="122">
        <f t="shared" si="6"/>
        <v>192.94538429978121</v>
      </c>
      <c r="AM13" s="93">
        <v>0</v>
      </c>
      <c r="AN13" s="94">
        <f t="shared" si="23"/>
        <v>13835.029653999996</v>
      </c>
      <c r="AO13" s="95">
        <f t="shared" si="25"/>
        <v>98640.754961700033</v>
      </c>
      <c r="AP13" s="96"/>
      <c r="AQ13" s="97">
        <f t="shared" si="7"/>
        <v>1514.2108606557381</v>
      </c>
      <c r="AR13" s="98">
        <f t="shared" si="8"/>
        <v>123.09</v>
      </c>
      <c r="AS13" s="98">
        <f t="shared" si="9"/>
        <v>570.25430327869003</v>
      </c>
      <c r="AT13" s="98">
        <f t="shared" si="10"/>
        <v>137.66820408163213</v>
      </c>
      <c r="AU13" s="98">
        <f t="shared" si="24"/>
        <v>219.97551020408164</v>
      </c>
      <c r="AV13" s="98">
        <f t="array" ref="AV13">_xlfn.IFS(U13=0,AO13,U13&lt;0,AO13/-U13,U13&gt;0,AO13/U13)</f>
        <v>404.26538918729523</v>
      </c>
      <c r="AW13" s="234">
        <f t="shared" si="32"/>
        <v>0.26698090714540623</v>
      </c>
      <c r="AX13" s="234">
        <f t="shared" si="33"/>
        <v>3.2843073294930152</v>
      </c>
      <c r="AY13" s="99"/>
      <c r="AZ13" s="94">
        <f t="shared" si="13"/>
        <v>2316844.9454323892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2891</v>
      </c>
      <c r="F14" s="93">
        <v>72</v>
      </c>
      <c r="G14" s="93">
        <v>13</v>
      </c>
      <c r="H14" s="93">
        <v>315</v>
      </c>
      <c r="I14" s="93">
        <v>2</v>
      </c>
      <c r="J14" s="93">
        <v>2489</v>
      </c>
      <c r="K14" s="92">
        <v>123.09</v>
      </c>
      <c r="L14" s="92">
        <f t="shared" si="34"/>
        <v>355853.19</v>
      </c>
      <c r="M14" s="89">
        <v>62</v>
      </c>
      <c r="N14" s="89">
        <v>134</v>
      </c>
      <c r="O14" s="89">
        <v>1267</v>
      </c>
      <c r="P14" s="89">
        <v>73</v>
      </c>
      <c r="Q14" s="233">
        <f t="shared" si="14"/>
        <v>19.142857142857142</v>
      </c>
      <c r="R14" s="92">
        <f t="shared" si="15"/>
        <v>8.4285714285714288</v>
      </c>
      <c r="S14" s="93">
        <v>60</v>
      </c>
      <c r="T14" s="93">
        <v>-1</v>
      </c>
      <c r="U14" s="92">
        <f t="shared" si="16"/>
        <v>59</v>
      </c>
      <c r="V14" s="93">
        <v>47142.47</v>
      </c>
      <c r="W14" s="93">
        <v>-760</v>
      </c>
      <c r="X14" s="92">
        <f t="shared" si="17"/>
        <v>46382.47</v>
      </c>
      <c r="Y14" s="93">
        <v>73811.789999999994</v>
      </c>
      <c r="Z14" s="93">
        <v>-1216</v>
      </c>
      <c r="AA14" s="92">
        <f t="shared" si="18"/>
        <v>72595.789999999994</v>
      </c>
      <c r="AB14" s="92">
        <f t="shared" si="19"/>
        <v>123937.94</v>
      </c>
      <c r="AC14" s="234">
        <f t="shared" si="20"/>
        <v>1.5811843157057026E-2</v>
      </c>
      <c r="AD14" s="92">
        <f t="shared" si="21"/>
        <v>7262.31</v>
      </c>
      <c r="AE14" s="93">
        <v>27253.7</v>
      </c>
      <c r="AF14" s="234">
        <f t="shared" si="22"/>
        <v>0.37541708685861813</v>
      </c>
      <c r="AG14" s="93">
        <v>6115.4999999999964</v>
      </c>
      <c r="AH14" s="93">
        <v>3048</v>
      </c>
      <c r="AI14" s="93">
        <v>3767</v>
      </c>
      <c r="AJ14" s="93"/>
      <c r="AK14" s="93"/>
      <c r="AL14" s="122">
        <f t="shared" si="6"/>
        <v>419.15721416849021</v>
      </c>
      <c r="AM14" s="93">
        <v>20</v>
      </c>
      <c r="AN14" s="94">
        <f t="shared" si="23"/>
        <v>2648.4390370000001</v>
      </c>
      <c r="AO14" s="95">
        <f t="shared" si="25"/>
        <v>22061.68374883151</v>
      </c>
      <c r="AP14" s="96"/>
      <c r="AQ14" s="97">
        <f t="shared" si="7"/>
        <v>1230.4371186440676</v>
      </c>
      <c r="AR14" s="98">
        <f t="shared" si="8"/>
        <v>123.09</v>
      </c>
      <c r="AS14" s="98">
        <f t="shared" si="9"/>
        <v>461.92711864406783</v>
      </c>
      <c r="AT14" s="98">
        <f t="shared" si="10"/>
        <v>101.92499999999994</v>
      </c>
      <c r="AU14" s="98">
        <f t="shared" si="24"/>
        <v>113.58333333333333</v>
      </c>
      <c r="AV14" s="98">
        <f t="array" ref="AV14">_xlfn.IFS(U14=0,AO14,U14&lt;0,AO14/-U14,U14&gt;0,AO14/U14)</f>
        <v>373.92684320053405</v>
      </c>
      <c r="AW14" s="234">
        <f t="shared" si="32"/>
        <v>0.30389756415394764</v>
      </c>
      <c r="AX14" s="234">
        <f t="shared" si="33"/>
        <v>3.0378328312660172</v>
      </c>
      <c r="AY14" s="99"/>
      <c r="AZ14" s="94">
        <f t="shared" si="13"/>
        <v>1081022.5036927438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2787</v>
      </c>
      <c r="F15" s="93">
        <v>77</v>
      </c>
      <c r="G15" s="93">
        <v>14</v>
      </c>
      <c r="H15" s="93">
        <v>412</v>
      </c>
      <c r="I15" s="93">
        <v>0</v>
      </c>
      <c r="J15" s="93">
        <v>2284</v>
      </c>
      <c r="K15" s="92">
        <v>123.09</v>
      </c>
      <c r="L15" s="92">
        <f t="shared" si="34"/>
        <v>343051.83</v>
      </c>
      <c r="M15" s="89">
        <v>91</v>
      </c>
      <c r="N15" s="89">
        <v>118</v>
      </c>
      <c r="O15" s="89">
        <v>1278</v>
      </c>
      <c r="P15" s="89">
        <v>63</v>
      </c>
      <c r="Q15" s="233">
        <f t="shared" si="14"/>
        <v>16.857142857142858</v>
      </c>
      <c r="R15" s="92">
        <f t="shared" si="15"/>
        <v>6.4285714285714288</v>
      </c>
      <c r="S15" s="93">
        <v>45</v>
      </c>
      <c r="T15" s="93">
        <v>0</v>
      </c>
      <c r="U15" s="92">
        <f t="shared" si="16"/>
        <v>45</v>
      </c>
      <c r="V15" s="93">
        <v>36197.020000000011</v>
      </c>
      <c r="W15" s="93">
        <v>0</v>
      </c>
      <c r="X15" s="92">
        <f t="shared" si="17"/>
        <v>36197.020000000011</v>
      </c>
      <c r="Y15" s="93">
        <v>55936.580000000009</v>
      </c>
      <c r="Z15" s="93">
        <v>0</v>
      </c>
      <c r="AA15" s="92">
        <f t="shared" si="18"/>
        <v>55936.580000000009</v>
      </c>
      <c r="AB15" s="92">
        <f t="shared" si="19"/>
        <v>95006.52</v>
      </c>
      <c r="AC15" s="234">
        <f t="shared" si="20"/>
        <v>1.2183357047318764E-2</v>
      </c>
      <c r="AD15" s="92">
        <f t="shared" si="21"/>
        <v>5539.05</v>
      </c>
      <c r="AE15" s="93">
        <v>21048.18</v>
      </c>
      <c r="AF15" s="234">
        <f t="shared" si="22"/>
        <v>0.3762865016059258</v>
      </c>
      <c r="AG15" s="93">
        <v>5249.5799999999963</v>
      </c>
      <c r="AH15" s="93">
        <v>2344</v>
      </c>
      <c r="AI15" s="93">
        <v>1830</v>
      </c>
      <c r="AJ15" s="93"/>
      <c r="AK15" s="93"/>
      <c r="AL15" s="122">
        <f t="shared" si="6"/>
        <v>548.23102297593005</v>
      </c>
      <c r="AM15" s="93">
        <v>0</v>
      </c>
      <c r="AN15" s="94">
        <f t="shared" si="23"/>
        <v>2066.8498420000005</v>
      </c>
      <c r="AO15" s="95">
        <f t="shared" si="25"/>
        <v>17310.68913502408</v>
      </c>
      <c r="AP15" s="96"/>
      <c r="AQ15" s="97">
        <f t="shared" si="7"/>
        <v>1243.0351111111113</v>
      </c>
      <c r="AR15" s="98">
        <f t="shared" si="8"/>
        <v>123.09</v>
      </c>
      <c r="AS15" s="98">
        <f t="shared" si="9"/>
        <v>467.73733333333337</v>
      </c>
      <c r="AT15" s="98">
        <f t="shared" si="10"/>
        <v>116.65733333333326</v>
      </c>
      <c r="AU15" s="98">
        <f t="shared" si="24"/>
        <v>92.75555555555556</v>
      </c>
      <c r="AV15" s="98">
        <f t="array" ref="AV15">_xlfn.IFS(U15=0,AO15,U15&lt;0,AO15/-U15,U15&gt;0,AO15/U15)</f>
        <v>384.68198077831289</v>
      </c>
      <c r="AW15" s="234">
        <f t="shared" si="32"/>
        <v>0.30946992352811126</v>
      </c>
      <c r="AX15" s="234">
        <f t="shared" si="33"/>
        <v>3.1252090403632535</v>
      </c>
      <c r="AY15" s="99"/>
      <c r="AZ15" s="94">
        <f t="shared" si="13"/>
        <v>1072108.680429158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4642</v>
      </c>
      <c r="F16" s="93">
        <v>213</v>
      </c>
      <c r="G16" s="93">
        <v>54</v>
      </c>
      <c r="H16" s="93">
        <v>169</v>
      </c>
      <c r="I16" s="93">
        <v>2</v>
      </c>
      <c r="J16" s="93">
        <v>4204</v>
      </c>
      <c r="K16" s="92">
        <v>117.24</v>
      </c>
      <c r="L16" s="92">
        <f t="shared" si="34"/>
        <v>544228.07999999996</v>
      </c>
      <c r="M16" s="89">
        <v>13</v>
      </c>
      <c r="N16" s="89">
        <v>394</v>
      </c>
      <c r="O16" s="89">
        <v>1359</v>
      </c>
      <c r="P16" s="89">
        <v>65</v>
      </c>
      <c r="Q16" s="233">
        <f t="shared" si="14"/>
        <v>56.285714285714285</v>
      </c>
      <c r="R16" s="92">
        <f t="shared" si="15"/>
        <v>30.428571428571427</v>
      </c>
      <c r="S16" s="93">
        <v>213</v>
      </c>
      <c r="T16" s="93">
        <v>0</v>
      </c>
      <c r="U16" s="92">
        <f t="shared" si="16"/>
        <v>213</v>
      </c>
      <c r="V16" s="93">
        <v>176385.30000000002</v>
      </c>
      <c r="W16" s="93">
        <v>0</v>
      </c>
      <c r="X16" s="92">
        <f t="shared" si="17"/>
        <v>176385.30000000002</v>
      </c>
      <c r="Y16" s="93">
        <v>268988.41999999981</v>
      </c>
      <c r="Z16" s="93">
        <v>0</v>
      </c>
      <c r="AA16" s="92">
        <f t="shared" si="18"/>
        <v>268988.41999999981</v>
      </c>
      <c r="AB16" s="92">
        <f t="shared" si="19"/>
        <v>348039.9</v>
      </c>
      <c r="AC16" s="234">
        <f t="shared" si="20"/>
        <v>5.8587456767184139E-2</v>
      </c>
      <c r="AD16" s="92">
        <f t="shared" si="21"/>
        <v>24972.12</v>
      </c>
      <c r="AE16" s="93">
        <v>101157.66999999993</v>
      </c>
      <c r="AF16" s="234">
        <f t="shared" si="22"/>
        <v>0.37606700689940481</v>
      </c>
      <c r="AG16" s="93">
        <v>22717.449999999928</v>
      </c>
      <c r="AH16" s="93">
        <v>14847</v>
      </c>
      <c r="AI16" s="93">
        <v>9000</v>
      </c>
      <c r="AJ16" s="93"/>
      <c r="AK16" s="93"/>
      <c r="AL16" s="122">
        <f t="shared" si="6"/>
        <v>224.88117204595187</v>
      </c>
      <c r="AM16" s="93">
        <v>50</v>
      </c>
      <c r="AN16" s="94">
        <f t="shared" si="23"/>
        <v>10071.600630000001</v>
      </c>
      <c r="AO16" s="95">
        <f t="shared" si="25"/>
        <v>85947.698197954014</v>
      </c>
      <c r="AP16" s="96"/>
      <c r="AQ16" s="97">
        <f t="shared" si="7"/>
        <v>1262.8564319248817</v>
      </c>
      <c r="AR16" s="98">
        <f t="shared" si="8"/>
        <v>117.24</v>
      </c>
      <c r="AS16" s="98">
        <f t="shared" si="9"/>
        <v>474.91863849765224</v>
      </c>
      <c r="AT16" s="98">
        <f t="shared" si="10"/>
        <v>106.65469483568042</v>
      </c>
      <c r="AU16" s="98">
        <f t="shared" si="24"/>
        <v>111.95774647887323</v>
      </c>
      <c r="AV16" s="98">
        <f t="array" ref="AV16">_xlfn.IFS(U16=0,AO16,U16&lt;0,AO16/-U16,U16&gt;0,AO16/U16)</f>
        <v>403.51032017818784</v>
      </c>
      <c r="AW16" s="234">
        <f t="shared" si="32"/>
        <v>0.31952192662403117</v>
      </c>
      <c r="AX16" s="234">
        <f t="shared" si="33"/>
        <v>3.4417461632394053</v>
      </c>
      <c r="AY16" s="99"/>
      <c r="AZ16" s="94">
        <f t="shared" si="13"/>
        <v>1873094.906267148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2082</v>
      </c>
      <c r="F17" s="93">
        <v>55</v>
      </c>
      <c r="G17" s="93">
        <v>20</v>
      </c>
      <c r="H17" s="93">
        <v>159</v>
      </c>
      <c r="I17" s="93">
        <v>1</v>
      </c>
      <c r="J17" s="93">
        <v>1847</v>
      </c>
      <c r="K17" s="93">
        <v>123.09</v>
      </c>
      <c r="L17" s="92">
        <f t="shared" si="34"/>
        <v>256273.38</v>
      </c>
      <c r="M17" s="89">
        <v>31</v>
      </c>
      <c r="N17" s="89">
        <v>85</v>
      </c>
      <c r="O17" s="89">
        <v>1480</v>
      </c>
      <c r="P17" s="89">
        <v>38</v>
      </c>
      <c r="Q17" s="233">
        <f t="shared" si="14"/>
        <v>12.142857142857142</v>
      </c>
      <c r="R17" s="92">
        <f t="shared" si="15"/>
        <v>2.7142857142857144</v>
      </c>
      <c r="S17" s="93">
        <v>19</v>
      </c>
      <c r="T17" s="93">
        <v>0</v>
      </c>
      <c r="U17" s="92">
        <f t="shared" si="16"/>
        <v>19</v>
      </c>
      <c r="V17" s="93">
        <v>18035.820000000003</v>
      </c>
      <c r="W17" s="93">
        <v>0</v>
      </c>
      <c r="X17" s="92">
        <f t="shared" si="17"/>
        <v>18035.820000000003</v>
      </c>
      <c r="Y17" s="93">
        <v>28001.33</v>
      </c>
      <c r="Z17" s="93">
        <v>0</v>
      </c>
      <c r="AA17" s="92">
        <f t="shared" si="18"/>
        <v>28001.33</v>
      </c>
      <c r="AB17" s="92">
        <f t="shared" si="19"/>
        <v>47804</v>
      </c>
      <c r="AC17" s="234">
        <f t="shared" si="20"/>
        <v>6.0988748541615937E-3</v>
      </c>
      <c r="AD17" s="92">
        <f t="shared" si="21"/>
        <v>2338.71</v>
      </c>
      <c r="AE17" s="93">
        <v>10550.490000000005</v>
      </c>
      <c r="AF17" s="234">
        <f t="shared" si="22"/>
        <v>0.37678531698315776</v>
      </c>
      <c r="AG17" s="93">
        <v>4655.3700000000008</v>
      </c>
      <c r="AH17" s="93">
        <v>3975</v>
      </c>
      <c r="AI17" s="93">
        <v>425</v>
      </c>
      <c r="AJ17" s="93"/>
      <c r="AK17" s="93"/>
      <c r="AL17" s="122">
        <f t="shared" si="6"/>
        <v>211.57459381838078</v>
      </c>
      <c r="AM17" s="93">
        <v>0</v>
      </c>
      <c r="AN17" s="94">
        <f t="shared" si="23"/>
        <v>1029.8453220000001</v>
      </c>
      <c r="AO17" s="95">
        <f t="shared" si="25"/>
        <v>4815.3400841816156</v>
      </c>
      <c r="AP17" s="96"/>
      <c r="AQ17" s="97">
        <f t="shared" si="7"/>
        <v>1473.7542105263158</v>
      </c>
      <c r="AR17" s="98">
        <f t="shared" si="8"/>
        <v>123.09</v>
      </c>
      <c r="AS17" s="98">
        <f t="shared" si="9"/>
        <v>555.2889473684213</v>
      </c>
      <c r="AT17" s="98">
        <f t="shared" si="10"/>
        <v>245.01947368421057</v>
      </c>
      <c r="AU17" s="98">
        <f t="shared" si="24"/>
        <v>231.57894736842104</v>
      </c>
      <c r="AV17" s="98">
        <f t="array" ref="AV17">_xlfn.IFS(U17=0,AO17,U17&lt;0,AO17/-U17,U17&gt;0,AO17/U17)</f>
        <v>253.4389517990324</v>
      </c>
      <c r="AW17" s="234">
        <f t="shared" si="32"/>
        <v>0.17196826308541829</v>
      </c>
      <c r="AX17" s="234">
        <f t="shared" si="33"/>
        <v>2.0589727175159021</v>
      </c>
      <c r="AY17" s="99"/>
      <c r="AZ17" s="94">
        <f t="shared" si="13"/>
        <v>527659.89764558547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2004</v>
      </c>
      <c r="F18" s="93">
        <v>154</v>
      </c>
      <c r="G18" s="93">
        <v>41</v>
      </c>
      <c r="H18" s="93">
        <v>88</v>
      </c>
      <c r="I18" s="93">
        <v>2</v>
      </c>
      <c r="J18" s="93">
        <v>1719</v>
      </c>
      <c r="K18" s="93">
        <v>123.09</v>
      </c>
      <c r="L18" s="92">
        <f t="shared" si="34"/>
        <v>246672.36000000002</v>
      </c>
      <c r="M18" s="89">
        <v>20</v>
      </c>
      <c r="N18" s="89">
        <v>243</v>
      </c>
      <c r="O18" s="89">
        <v>1467</v>
      </c>
      <c r="P18" s="89">
        <v>56</v>
      </c>
      <c r="Q18" s="233">
        <f t="shared" si="14"/>
        <v>34.714285714285715</v>
      </c>
      <c r="R18" s="92">
        <f t="shared" si="15"/>
        <v>11.428571428571429</v>
      </c>
      <c r="S18" s="93">
        <v>81</v>
      </c>
      <c r="T18" s="93">
        <v>-1</v>
      </c>
      <c r="U18" s="92">
        <f t="shared" si="16"/>
        <v>80</v>
      </c>
      <c r="V18" s="93">
        <v>75520.089999999982</v>
      </c>
      <c r="W18" s="93">
        <v>-924</v>
      </c>
      <c r="X18" s="92">
        <f t="shared" si="17"/>
        <v>74596.089999999982</v>
      </c>
      <c r="Y18" s="93">
        <v>115649.43000000004</v>
      </c>
      <c r="Z18" s="93">
        <v>-1386.13</v>
      </c>
      <c r="AA18" s="92">
        <f t="shared" si="18"/>
        <v>114263.30000000003</v>
      </c>
      <c r="AB18" s="92">
        <f t="shared" si="19"/>
        <v>199629.36</v>
      </c>
      <c r="AC18" s="234">
        <f t="shared" si="20"/>
        <v>2.4887302393262128E-2</v>
      </c>
      <c r="AD18" s="92">
        <f t="shared" si="21"/>
        <v>9847.2000000000007</v>
      </c>
      <c r="AE18" s="93">
        <v>43093.870000000032</v>
      </c>
      <c r="AF18" s="234">
        <f t="shared" si="22"/>
        <v>0.37714533012787149</v>
      </c>
      <c r="AG18" s="93">
        <v>12001.13</v>
      </c>
      <c r="AH18" s="93">
        <v>10179</v>
      </c>
      <c r="AI18" s="93">
        <v>5429</v>
      </c>
      <c r="AJ18" s="93"/>
      <c r="AK18" s="93"/>
      <c r="AL18" s="122">
        <f t="shared" si="6"/>
        <v>117.09788840262583</v>
      </c>
      <c r="AM18" s="93">
        <v>0</v>
      </c>
      <c r="AN18" s="94">
        <f t="shared" si="23"/>
        <v>4259.4367389999989</v>
      </c>
      <c r="AO18" s="95">
        <f t="shared" si="25"/>
        <v>29336.565372597383</v>
      </c>
      <c r="AP18" s="96"/>
      <c r="AQ18" s="97">
        <f t="shared" si="7"/>
        <v>1428.2912500000004</v>
      </c>
      <c r="AR18" s="98">
        <f t="shared" si="8"/>
        <v>123.09</v>
      </c>
      <c r="AS18" s="98">
        <f t="shared" si="9"/>
        <v>538.67337500000042</v>
      </c>
      <c r="AT18" s="98">
        <f t="shared" si="10"/>
        <v>148.16209876543209</v>
      </c>
      <c r="AU18" s="98">
        <f t="shared" si="24"/>
        <v>192.69135802469137</v>
      </c>
      <c r="AV18" s="98">
        <f t="array" ref="AV18">_xlfn.IFS(U18=0,AO18,U18&lt;0,AO18/-U18,U18&gt;0,AO18/U18)</f>
        <v>366.70706715746729</v>
      </c>
      <c r="AW18" s="234">
        <f t="shared" si="32"/>
        <v>0.25674530118242145</v>
      </c>
      <c r="AX18" s="234">
        <f t="shared" si="33"/>
        <v>2.9791783829512331</v>
      </c>
      <c r="AY18" s="99"/>
      <c r="AZ18" s="94">
        <f t="shared" si="13"/>
        <v>734880.96258356445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6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15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6"/>
        <v>0</v>
      </c>
      <c r="AM21" s="93">
        <v>0</v>
      </c>
      <c r="AN21" s="94">
        <f t="shared" si="23"/>
        <v>0</v>
      </c>
      <c r="AO21" s="95">
        <f t="shared" si="25"/>
        <v>0</v>
      </c>
      <c r="AP21" s="96"/>
      <c r="AQ21" s="97">
        <f t="shared" si="7"/>
        <v>0</v>
      </c>
      <c r="AR21" s="98">
        <f t="shared" ref="AR21:AR98" si="35">K21</f>
        <v>117.24</v>
      </c>
      <c r="AS21" s="98">
        <f t="shared" si="9"/>
        <v>0</v>
      </c>
      <c r="AT21" s="98">
        <f t="shared" si="10"/>
        <v>0</v>
      </c>
      <c r="AU21" s="98">
        <f t="shared" si="24"/>
        <v>0</v>
      </c>
      <c r="AV21" s="98">
        <f t="array" ref="AV21">_xlfn.IFS(U21=0,AO21,U21&lt;0,AO21/-U21,U21&gt;0,AO21/U21)</f>
        <v>0</v>
      </c>
      <c r="AW21" s="234">
        <f t="shared" si="32"/>
        <v>0</v>
      </c>
      <c r="AX21" s="234">
        <f t="shared" si="33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4"/>
        <v>37634.04</v>
      </c>
      <c r="M22" s="89">
        <v>999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6"/>
        <v>0</v>
      </c>
      <c r="AM22" s="93">
        <v>0</v>
      </c>
      <c r="AN22" s="94">
        <f t="shared" si="23"/>
        <v>0</v>
      </c>
      <c r="AO22" s="95">
        <f t="shared" si="25"/>
        <v>0</v>
      </c>
      <c r="AP22" s="96"/>
      <c r="AQ22" s="97">
        <f t="shared" si="7"/>
        <v>0</v>
      </c>
      <c r="AR22" s="98">
        <f t="shared" si="35"/>
        <v>117.24</v>
      </c>
      <c r="AS22" s="98">
        <f t="shared" si="9"/>
        <v>0</v>
      </c>
      <c r="AT22" s="98">
        <f t="shared" si="10"/>
        <v>0</v>
      </c>
      <c r="AU22" s="98">
        <f t="shared" si="24"/>
        <v>0</v>
      </c>
      <c r="AV22" s="98">
        <f t="array" ref="AV22">_xlfn.IFS(U22=0,AO22,U22&lt;0,AO22/-U22,U22&gt;0,AO22/U22)</f>
        <v>0</v>
      </c>
      <c r="AW22" s="234">
        <f t="shared" si="32"/>
        <v>0</v>
      </c>
      <c r="AX22" s="234">
        <f t="shared" si="33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999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743</v>
      </c>
      <c r="F26" s="93">
        <v>103</v>
      </c>
      <c r="G26" s="93">
        <v>43</v>
      </c>
      <c r="H26" s="93">
        <v>241</v>
      </c>
      <c r="I26" s="93">
        <v>356</v>
      </c>
      <c r="J26" s="93">
        <v>0</v>
      </c>
      <c r="K26" s="93">
        <v>123.09</v>
      </c>
      <c r="L26" s="92">
        <f t="shared" si="34"/>
        <v>91455.87</v>
      </c>
      <c r="M26" s="89">
        <v>34</v>
      </c>
      <c r="N26" s="89">
        <v>170</v>
      </c>
      <c r="O26" s="89">
        <v>1096</v>
      </c>
      <c r="P26" s="89">
        <v>33</v>
      </c>
      <c r="Q26" s="233">
        <f t="shared" si="14"/>
        <v>24.285714285714285</v>
      </c>
      <c r="R26" s="92">
        <f t="shared" si="15"/>
        <v>6.7142857142857144</v>
      </c>
      <c r="S26" s="93">
        <v>48</v>
      </c>
      <c r="T26" s="93">
        <v>-1</v>
      </c>
      <c r="U26" s="92">
        <f t="shared" si="16"/>
        <v>47</v>
      </c>
      <c r="V26" s="93">
        <v>29640.120000000003</v>
      </c>
      <c r="W26" s="93">
        <v>-450</v>
      </c>
      <c r="X26" s="92">
        <f t="shared" si="17"/>
        <v>29190.120000000003</v>
      </c>
      <c r="Y26" s="93">
        <v>44580.040000000008</v>
      </c>
      <c r="Z26" s="93">
        <v>-699</v>
      </c>
      <c r="AA26" s="92">
        <f t="shared" si="18"/>
        <v>43881.040000000008</v>
      </c>
      <c r="AB26" s="92">
        <f t="shared" si="19"/>
        <v>61485.599999999999</v>
      </c>
      <c r="AC26" s="234">
        <f t="shared" si="20"/>
        <v>9.5575807088612973E-3</v>
      </c>
      <c r="AD26" s="92">
        <f t="shared" si="21"/>
        <v>5785.2300000000005</v>
      </c>
      <c r="AE26" s="93">
        <v>16472.690000000006</v>
      </c>
      <c r="AF26" s="234">
        <f t="shared" si="22"/>
        <v>0.37539424772065572</v>
      </c>
      <c r="AG26" s="93">
        <v>12626.50999999998</v>
      </c>
      <c r="AH26" s="93">
        <v>6830</v>
      </c>
      <c r="AI26" s="93">
        <v>4000</v>
      </c>
      <c r="AJ26" s="93"/>
      <c r="AK26" s="93"/>
      <c r="AL26" s="122">
        <f t="shared" si="6"/>
        <v>320.68853528446391</v>
      </c>
      <c r="AM26" s="93">
        <v>0</v>
      </c>
      <c r="AN26" s="94">
        <f t="shared" si="23"/>
        <v>1666.755852</v>
      </c>
      <c r="AO26" s="95">
        <f t="shared" si="25"/>
        <v>-3820.8343872844453</v>
      </c>
      <c r="AP26" s="96"/>
      <c r="AQ26" s="97">
        <f t="shared" si="7"/>
        <v>933.63914893617039</v>
      </c>
      <c r="AR26" s="98">
        <f t="shared" si="35"/>
        <v>123.09</v>
      </c>
      <c r="AS26" s="98">
        <f t="shared" si="9"/>
        <v>350.48276595744693</v>
      </c>
      <c r="AT26" s="98">
        <f t="shared" si="10"/>
        <v>263.05229166666624</v>
      </c>
      <c r="AU26" s="98">
        <f t="shared" si="24"/>
        <v>225.625</v>
      </c>
      <c r="AV26" s="98">
        <f t="array" ref="AV26">_xlfn.IFS(U26=0,AO26,U26&lt;0,AO26/-U26,U26&gt;0,AO26/U26)</f>
        <v>-81.294348665626501</v>
      </c>
      <c r="AW26" s="234">
        <f t="shared" si="32"/>
        <v>-8.7072557698824937E-2</v>
      </c>
      <c r="AX26" s="234">
        <f t="shared" si="33"/>
        <v>-0.66044641047710206</v>
      </c>
      <c r="AY26" s="99"/>
      <c r="AZ26" s="94">
        <f t="shared" si="13"/>
        <v>-60401.701058560488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347</v>
      </c>
      <c r="F27" s="93">
        <v>20</v>
      </c>
      <c r="G27" s="93">
        <v>3</v>
      </c>
      <c r="H27" s="93">
        <v>4</v>
      </c>
      <c r="I27" s="93">
        <v>320</v>
      </c>
      <c r="J27" s="93">
        <v>0</v>
      </c>
      <c r="K27" s="93">
        <v>181.59</v>
      </c>
      <c r="L27" s="92">
        <f t="shared" si="34"/>
        <v>63011.73</v>
      </c>
      <c r="M27" s="89">
        <v>20</v>
      </c>
      <c r="N27" s="89">
        <v>20</v>
      </c>
      <c r="O27" s="89">
        <v>478</v>
      </c>
      <c r="P27" s="89">
        <v>67</v>
      </c>
      <c r="Q27" s="233">
        <f t="shared" si="14"/>
        <v>2.8571428571428572</v>
      </c>
      <c r="R27" s="92">
        <f t="shared" si="15"/>
        <v>1.7142857142857142</v>
      </c>
      <c r="S27" s="93">
        <v>12</v>
      </c>
      <c r="T27" s="93">
        <v>0</v>
      </c>
      <c r="U27" s="92">
        <f t="shared" si="16"/>
        <v>12</v>
      </c>
      <c r="V27" s="93">
        <v>3472.07</v>
      </c>
      <c r="W27" s="93">
        <v>0</v>
      </c>
      <c r="X27" s="92">
        <f t="shared" si="17"/>
        <v>3472.07</v>
      </c>
      <c r="Y27" s="93">
        <v>5736.27</v>
      </c>
      <c r="Z27" s="93">
        <v>0</v>
      </c>
      <c r="AA27" s="92">
        <f t="shared" si="18"/>
        <v>5736.27</v>
      </c>
      <c r="AB27" s="92">
        <f t="shared" si="19"/>
        <v>6405.2</v>
      </c>
      <c r="AC27" s="234">
        <f t="shared" si="20"/>
        <v>1.2493975414625492E-3</v>
      </c>
      <c r="AD27" s="92">
        <f t="shared" si="21"/>
        <v>2179.08</v>
      </c>
      <c r="AE27" s="93">
        <v>2144.89</v>
      </c>
      <c r="AF27" s="234">
        <f t="shared" si="22"/>
        <v>0.37391719706359705</v>
      </c>
      <c r="AG27" s="93">
        <v>1581.06</v>
      </c>
      <c r="AH27" s="93"/>
      <c r="AI27" s="93"/>
      <c r="AJ27" s="93"/>
      <c r="AK27" s="93"/>
      <c r="AL27" s="122">
        <f t="shared" si="6"/>
        <v>5.322631291028447</v>
      </c>
      <c r="AM27" s="93">
        <v>0</v>
      </c>
      <c r="AN27" s="94">
        <f t="shared" si="23"/>
        <v>198.25519700000001</v>
      </c>
      <c r="AO27" s="95">
        <f t="shared" si="25"/>
        <v>-372.33782829102779</v>
      </c>
      <c r="AP27" s="96"/>
      <c r="AQ27" s="97">
        <f t="shared" si="7"/>
        <v>478.02250000000004</v>
      </c>
      <c r="AR27" s="98">
        <f t="shared" si="35"/>
        <v>181.59</v>
      </c>
      <c r="AS27" s="98">
        <f t="shared" si="9"/>
        <v>178.74083333333331</v>
      </c>
      <c r="AT27" s="98">
        <f t="shared" si="10"/>
        <v>131.755</v>
      </c>
      <c r="AU27" s="98">
        <f t="shared" si="24"/>
        <v>0</v>
      </c>
      <c r="AV27" s="98">
        <f t="array" ref="AV27">_xlfn.IFS(U27=0,AO27,U27&lt;0,AO27/-U27,U27&gt;0,AO27/U27)</f>
        <v>-31.02815235758565</v>
      </c>
      <c r="AW27" s="234">
        <f t="shared" si="32"/>
        <v>-6.49093972722741E-2</v>
      </c>
      <c r="AX27" s="234">
        <f t="shared" si="33"/>
        <v>-0.17086927891175532</v>
      </c>
      <c r="AY27" s="99"/>
      <c r="AZ27" s="94">
        <f t="shared" si="13"/>
        <v>-10766.768868082221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1057</v>
      </c>
      <c r="F28" s="93">
        <v>368</v>
      </c>
      <c r="G28" s="93">
        <v>118</v>
      </c>
      <c r="H28" s="93">
        <v>146</v>
      </c>
      <c r="I28" s="93">
        <v>0</v>
      </c>
      <c r="J28" s="93">
        <v>425</v>
      </c>
      <c r="K28" s="93">
        <v>133.62</v>
      </c>
      <c r="L28" s="92">
        <f t="shared" si="34"/>
        <v>141236.34</v>
      </c>
      <c r="M28" s="89">
        <v>21</v>
      </c>
      <c r="N28" s="89">
        <v>617</v>
      </c>
      <c r="O28" s="89">
        <v>1463</v>
      </c>
      <c r="P28" s="89">
        <v>40</v>
      </c>
      <c r="Q28" s="233">
        <f t="shared" si="14"/>
        <v>88.142857142857139</v>
      </c>
      <c r="R28" s="92">
        <f t="shared" si="15"/>
        <v>23</v>
      </c>
      <c r="S28" s="93">
        <v>169</v>
      </c>
      <c r="T28" s="93">
        <v>-8</v>
      </c>
      <c r="U28" s="92">
        <f t="shared" si="16"/>
        <v>161</v>
      </c>
      <c r="V28" s="93">
        <v>151906.20000000004</v>
      </c>
      <c r="W28" s="93">
        <v>-7116</v>
      </c>
      <c r="X28" s="92">
        <f t="shared" si="17"/>
        <v>144790.20000000004</v>
      </c>
      <c r="Y28" s="93">
        <v>236746.99</v>
      </c>
      <c r="Z28" s="93">
        <v>-11074</v>
      </c>
      <c r="AA28" s="92">
        <f t="shared" si="18"/>
        <v>225672.99</v>
      </c>
      <c r="AB28" s="92">
        <f t="shared" si="19"/>
        <v>361068.4</v>
      </c>
      <c r="AC28" s="234">
        <f t="shared" si="20"/>
        <v>4.9153069656850609E-2</v>
      </c>
      <c r="AD28" s="92">
        <f t="shared" si="21"/>
        <v>21512.82</v>
      </c>
      <c r="AE28" s="93">
        <v>84982.090000000069</v>
      </c>
      <c r="AF28" s="234">
        <f t="shared" si="22"/>
        <v>0.37657182634040554</v>
      </c>
      <c r="AG28" s="93">
        <v>37122.029999999912</v>
      </c>
      <c r="AH28" s="93">
        <v>13491</v>
      </c>
      <c r="AI28" s="93">
        <v>13000</v>
      </c>
      <c r="AJ28" s="93"/>
      <c r="AK28" s="93"/>
      <c r="AL28" s="122">
        <f t="shared" si="6"/>
        <v>194.27604212253831</v>
      </c>
      <c r="AM28" s="93">
        <v>110</v>
      </c>
      <c r="AN28" s="94">
        <f t="shared" si="23"/>
        <v>8267.5204200000026</v>
      </c>
      <c r="AO28" s="95">
        <f t="shared" si="25"/>
        <v>46993.253537877463</v>
      </c>
      <c r="AP28" s="96"/>
      <c r="AQ28" s="97">
        <f t="shared" si="7"/>
        <v>1401.6955900621117</v>
      </c>
      <c r="AR28" s="98">
        <f t="shared" si="35"/>
        <v>133.62</v>
      </c>
      <c r="AS28" s="98">
        <f t="shared" si="9"/>
        <v>527.8390683229818</v>
      </c>
      <c r="AT28" s="98">
        <f t="shared" si="10"/>
        <v>219.65698224852019</v>
      </c>
      <c r="AU28" s="98">
        <f t="shared" si="24"/>
        <v>156.75147928994082</v>
      </c>
      <c r="AV28" s="98">
        <f>_xlfn.IFS(U28=0,AO28,U28&lt;0,AO28/-U28,U28&gt;0,AO28/U28)</f>
        <v>291.88356234706498</v>
      </c>
      <c r="AW28" s="234">
        <f t="shared" si="32"/>
        <v>0.2082360566848406</v>
      </c>
      <c r="AX28" s="234">
        <f t="shared" si="33"/>
        <v>2.1844301926887066</v>
      </c>
      <c r="AY28" s="99"/>
      <c r="AZ28" s="94">
        <f t="shared" si="13"/>
        <v>308520.92540084769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111.39</v>
      </c>
      <c r="L30" s="92">
        <f>E30*K30</f>
        <v>0</v>
      </c>
      <c r="M30" s="89">
        <v>999</v>
      </c>
      <c r="N30" s="89">
        <v>1</v>
      </c>
      <c r="O30" s="89">
        <v>558</v>
      </c>
      <c r="P30" s="89">
        <v>100</v>
      </c>
      <c r="Q30" s="233">
        <f t="shared" si="14"/>
        <v>0.14285714285714285</v>
      </c>
      <c r="R30" s="92">
        <f t="shared" si="15"/>
        <v>0.14285714285714285</v>
      </c>
      <c r="S30" s="93">
        <v>1</v>
      </c>
      <c r="T30" s="93">
        <v>0</v>
      </c>
      <c r="U30" s="92">
        <f t="shared" si="16"/>
        <v>1</v>
      </c>
      <c r="V30" s="93">
        <v>361</v>
      </c>
      <c r="W30" s="93">
        <v>0</v>
      </c>
      <c r="X30" s="92">
        <f t="shared" si="17"/>
        <v>361</v>
      </c>
      <c r="Y30" s="93">
        <v>558</v>
      </c>
      <c r="Z30" s="93">
        <v>0</v>
      </c>
      <c r="AA30" s="92">
        <f t="shared" si="18"/>
        <v>558</v>
      </c>
      <c r="AB30" s="92">
        <f t="shared" si="19"/>
        <v>558</v>
      </c>
      <c r="AC30" s="234">
        <f t="shared" si="20"/>
        <v>1.2153609020079293E-4</v>
      </c>
      <c r="AD30" s="92">
        <f t="shared" si="21"/>
        <v>111.39</v>
      </c>
      <c r="AE30" s="93">
        <v>211.14</v>
      </c>
      <c r="AF30" s="234">
        <f t="shared" si="22"/>
        <v>0.37838709677419352</v>
      </c>
      <c r="AG30" s="93">
        <v>44.37</v>
      </c>
      <c r="AH30" s="93"/>
      <c r="AI30" s="93">
        <v>1</v>
      </c>
      <c r="AJ30" s="93">
        <v>46</v>
      </c>
      <c r="AK30" s="93"/>
      <c r="AL30" s="122">
        <f t="shared" si="6"/>
        <v>0</v>
      </c>
      <c r="AM30" s="93">
        <v>0</v>
      </c>
      <c r="AN30" s="94">
        <f t="shared" si="23"/>
        <v>20.613099999999999</v>
      </c>
      <c r="AO30" s="95">
        <f t="shared" si="25"/>
        <v>169.48690000000002</v>
      </c>
      <c r="AP30" s="96"/>
      <c r="AQ30" s="97">
        <f t="shared" si="7"/>
        <v>558</v>
      </c>
      <c r="AR30" s="98">
        <f t="shared" si="35"/>
        <v>111.39</v>
      </c>
      <c r="AS30" s="98">
        <f t="shared" si="9"/>
        <v>211.14</v>
      </c>
      <c r="AT30" s="98">
        <f t="shared" si="10"/>
        <v>44.37</v>
      </c>
      <c r="AU30" s="98">
        <f t="shared" si="24"/>
        <v>47</v>
      </c>
      <c r="AV30" s="98">
        <f t="array" ref="AV30">_xlfn.IFS(U30=0,AO30,U30&lt;0,AO30/-U30,U30&gt;0,AO30/U30)</f>
        <v>169.48690000000002</v>
      </c>
      <c r="AW30" s="234">
        <f>IF(AQ30=0,0,AV30/AQ30)</f>
        <v>0.30373996415770615</v>
      </c>
      <c r="AX30" s="234">
        <f>IF(AR30=0,0,AV30/AR30)</f>
        <v>1.5215629769279111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0.14285714285714285</v>
      </c>
      <c r="S31" s="93">
        <v>1</v>
      </c>
      <c r="T31" s="93">
        <v>0</v>
      </c>
      <c r="U31" s="92">
        <f t="shared" si="16"/>
        <v>1</v>
      </c>
      <c r="V31" s="93">
        <v>264</v>
      </c>
      <c r="W31" s="93">
        <v>0</v>
      </c>
      <c r="X31" s="92">
        <f t="shared" si="17"/>
        <v>264</v>
      </c>
      <c r="Y31" s="93">
        <v>499</v>
      </c>
      <c r="Z31" s="93">
        <v>0</v>
      </c>
      <c r="AA31" s="92">
        <f t="shared" si="18"/>
        <v>499</v>
      </c>
      <c r="AB31" s="92">
        <f t="shared" si="19"/>
        <v>0</v>
      </c>
      <c r="AC31" s="234">
        <f t="shared" si="20"/>
        <v>1.0868550001827182E-4</v>
      </c>
      <c r="AD31" s="92">
        <f t="shared" si="21"/>
        <v>105.54</v>
      </c>
      <c r="AE31" s="93">
        <v>184.47000000000003</v>
      </c>
      <c r="AF31" s="234">
        <f t="shared" si="22"/>
        <v>0.3696793587174349</v>
      </c>
      <c r="AG31" s="93">
        <v>29.29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15.074399999999999</v>
      </c>
      <c r="AO31" s="95">
        <f t="shared" si="25"/>
        <v>164.62559999999996</v>
      </c>
      <c r="AP31" s="96"/>
      <c r="AQ31" s="97">
        <f t="shared" si="7"/>
        <v>499</v>
      </c>
      <c r="AR31" s="98">
        <f t="shared" si="35"/>
        <v>105.54</v>
      </c>
      <c r="AS31" s="98">
        <f t="shared" si="9"/>
        <v>184.47000000000003</v>
      </c>
      <c r="AT31" s="98">
        <f t="shared" si="10"/>
        <v>29.29</v>
      </c>
      <c r="AU31" s="98">
        <f t="shared" si="24"/>
        <v>0</v>
      </c>
      <c r="AV31" s="98">
        <f t="array" ref="AV31">_xlfn.IFS(U31=0,AO31,U31&lt;0,AO31/-U31,U31&gt;0,AO31/U31)</f>
        <v>164.62559999999996</v>
      </c>
      <c r="AW31" s="234">
        <f>IF(AQ31=0,0,AV31/AQ31)</f>
        <v>0.32991102204408812</v>
      </c>
      <c r="AX31" s="234">
        <f>IF(AR31=0,0,AV31/AR31)</f>
        <v>1.5598408186469581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158</v>
      </c>
      <c r="F33" s="93">
        <v>2</v>
      </c>
      <c r="G33" s="93">
        <v>3</v>
      </c>
      <c r="H33" s="93">
        <v>133</v>
      </c>
      <c r="I33" s="93">
        <v>20</v>
      </c>
      <c r="J33" s="93">
        <v>0</v>
      </c>
      <c r="K33" s="93">
        <v>123.09</v>
      </c>
      <c r="L33" s="92">
        <f>E33*K33</f>
        <v>19448.22</v>
      </c>
      <c r="M33" s="89">
        <v>375</v>
      </c>
      <c r="N33" s="89">
        <v>6</v>
      </c>
      <c r="O33" s="89">
        <v>1533</v>
      </c>
      <c r="P33" s="89">
        <v>0</v>
      </c>
      <c r="Q33" s="233">
        <f t="shared" si="14"/>
        <v>0.8571428571428571</v>
      </c>
      <c r="R33" s="92">
        <f t="shared" si="15"/>
        <v>0.14285714285714285</v>
      </c>
      <c r="S33" s="93">
        <v>1</v>
      </c>
      <c r="T33" s="93">
        <v>0</v>
      </c>
      <c r="U33" s="92">
        <f t="shared" si="16"/>
        <v>1</v>
      </c>
      <c r="V33" s="93">
        <v>1373</v>
      </c>
      <c r="W33" s="93">
        <v>0</v>
      </c>
      <c r="X33" s="92">
        <f t="shared" si="17"/>
        <v>1373</v>
      </c>
      <c r="Y33" s="93">
        <v>2358</v>
      </c>
      <c r="Z33" s="93">
        <v>0</v>
      </c>
      <c r="AA33" s="92">
        <f t="shared" si="18"/>
        <v>2358</v>
      </c>
      <c r="AB33" s="92">
        <f t="shared" si="19"/>
        <v>0</v>
      </c>
      <c r="AC33" s="234">
        <f t="shared" si="20"/>
        <v>5.1358799407431855E-4</v>
      </c>
      <c r="AD33" s="92">
        <f t="shared" si="21"/>
        <v>123.09</v>
      </c>
      <c r="AE33" s="93">
        <v>886.11999999999989</v>
      </c>
      <c r="AF33" s="234">
        <f t="shared" si="22"/>
        <v>0.37579304495335025</v>
      </c>
      <c r="AG33" s="93">
        <v>706.43</v>
      </c>
      <c r="AH33" s="93">
        <v>496</v>
      </c>
      <c r="AI33" s="93">
        <v>460</v>
      </c>
      <c r="AJ33" s="93"/>
      <c r="AK33" s="93"/>
      <c r="AL33" s="122">
        <f t="shared" si="6"/>
        <v>176.97749042669585</v>
      </c>
      <c r="AM33" s="93">
        <v>0</v>
      </c>
      <c r="AN33" s="94">
        <f t="shared" si="23"/>
        <v>78.398299999999992</v>
      </c>
      <c r="AO33" s="95">
        <f t="shared" si="25"/>
        <v>-569.01579042669584</v>
      </c>
      <c r="AP33" s="96"/>
      <c r="AQ33" s="97">
        <f t="shared" si="7"/>
        <v>2358</v>
      </c>
      <c r="AR33" s="98">
        <f t="shared" si="35"/>
        <v>123.09</v>
      </c>
      <c r="AS33" s="98">
        <f t="shared" si="9"/>
        <v>886.11999999999989</v>
      </c>
      <c r="AT33" s="98">
        <f t="shared" si="10"/>
        <v>706.43</v>
      </c>
      <c r="AU33" s="98">
        <f t="shared" si="24"/>
        <v>956</v>
      </c>
      <c r="AV33" s="98">
        <f t="array" ref="AV33">_xlfn.IFS(U33=0,AO33,U33&lt;0,AO33/-U33,U33&gt;0,AO33/U33)</f>
        <v>-569.01579042669584</v>
      </c>
      <c r="AW33" s="234">
        <f>IF(AQ33=0,0,AV33/AQ33)</f>
        <v>-0.24131288822166916</v>
      </c>
      <c r="AX33" s="234">
        <f>IF(AR33=0,0,AV33/AR33)</f>
        <v>-4.6227621287407246</v>
      </c>
      <c r="AY33" s="99"/>
      <c r="AZ33" s="94">
        <f t="shared" si="13"/>
        <v>-89904.494887417939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4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119</v>
      </c>
      <c r="AH34" s="93"/>
      <c r="AI34" s="93"/>
      <c r="AJ34" s="93"/>
      <c r="AK34" s="93"/>
      <c r="AL34" s="122">
        <f t="shared" si="6"/>
        <v>0</v>
      </c>
      <c r="AM34" s="93">
        <v>10</v>
      </c>
      <c r="AN34" s="94">
        <f t="shared" si="23"/>
        <v>0</v>
      </c>
      <c r="AO34" s="95">
        <f t="shared" si="25"/>
        <v>-129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0</v>
      </c>
      <c r="AT34" s="98">
        <f t="shared" si="10"/>
        <v>119</v>
      </c>
      <c r="AU34" s="98">
        <f t="shared" si="24"/>
        <v>0</v>
      </c>
      <c r="AV34" s="98">
        <f t="array" ref="AV34">_xlfn.IFS(U34=0,AO34,U34&lt;0,AO34/-U34,U34&gt;0,AO34/U34)</f>
        <v>-129</v>
      </c>
      <c r="AW34" s="234">
        <f>IF(AQ34=0,0,AV34/AQ34)</f>
        <v>0</v>
      </c>
      <c r="AX34" s="234">
        <f>IF(AR34=0,0,AV34/AR34)</f>
        <v>-1.1003070624360287</v>
      </c>
      <c r="AY34" s="99"/>
      <c r="AZ34" s="94">
        <f t="shared" si="13"/>
        <v>-258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4</v>
      </c>
      <c r="F37" s="93">
        <v>2</v>
      </c>
      <c r="G37" s="93">
        <v>1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2"/>
        <v>679.56</v>
      </c>
      <c r="M37" s="89">
        <v>16</v>
      </c>
      <c r="N37" s="89">
        <v>3</v>
      </c>
      <c r="O37" s="89">
        <v>998</v>
      </c>
      <c r="P37" s="89">
        <v>0</v>
      </c>
      <c r="Q37" s="233">
        <f t="shared" si="14"/>
        <v>0.42857142857142855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209.43</v>
      </c>
      <c r="AH37" s="93"/>
      <c r="AI37" s="93"/>
      <c r="AJ37" s="93"/>
      <c r="AK37" s="93"/>
      <c r="AL37" s="122">
        <f t="shared" si="6"/>
        <v>0</v>
      </c>
      <c r="AM37" s="93">
        <v>0</v>
      </c>
      <c r="AN37" s="94">
        <f t="shared" si="23"/>
        <v>0</v>
      </c>
      <c r="AO37" s="95">
        <f t="shared" si="25"/>
        <v>-209.43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209.43</v>
      </c>
      <c r="AU37" s="98">
        <f t="shared" si="24"/>
        <v>0</v>
      </c>
      <c r="AV37" s="98">
        <f t="array" ref="AV37">_xlfn.IFS(U37=0,AO37,U37&lt;0,AO37/-U37,U37&gt;0,AO37/U37)</f>
        <v>-209.43</v>
      </c>
      <c r="AW37" s="234">
        <f t="shared" si="43"/>
        <v>0</v>
      </c>
      <c r="AX37" s="234">
        <f t="shared" si="44"/>
        <v>-1.2327388310082996</v>
      </c>
      <c r="AY37" s="99"/>
      <c r="AZ37" s="94">
        <f t="shared" si="13"/>
        <v>-837.72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8</v>
      </c>
      <c r="G38" s="93">
        <v>3</v>
      </c>
      <c r="H38" s="93">
        <v>36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167</v>
      </c>
      <c r="N38" s="89">
        <v>10</v>
      </c>
      <c r="O38" s="89">
        <v>1197</v>
      </c>
      <c r="P38" s="89">
        <v>0</v>
      </c>
      <c r="Q38" s="233">
        <f t="shared" si="14"/>
        <v>1.4285714285714286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415.92999999999995</v>
      </c>
      <c r="AH38" s="93"/>
      <c r="AI38" s="93"/>
      <c r="AJ38" s="93"/>
      <c r="AK38" s="93"/>
      <c r="AL38" s="122">
        <f t="shared" si="6"/>
        <v>47.90368161925602</v>
      </c>
      <c r="AM38" s="93">
        <v>0</v>
      </c>
      <c r="AN38" s="94">
        <f t="shared" si="23"/>
        <v>0</v>
      </c>
      <c r="AO38" s="95">
        <f t="shared" si="25"/>
        <v>-463.83368161925597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415.92999999999995</v>
      </c>
      <c r="AU38" s="98">
        <f t="shared" si="24"/>
        <v>0</v>
      </c>
      <c r="AV38" s="98">
        <f t="array" ref="AV38">_xlfn.IFS(U38=0,AO38,U38&lt;0,AO38/-U38,U38&gt;0,AO38/U38)</f>
        <v>-463.83368161925597</v>
      </c>
      <c r="AW38" s="234">
        <f t="shared" si="43"/>
        <v>0</v>
      </c>
      <c r="AX38" s="234">
        <f t="shared" si="44"/>
        <v>-4.3948614896651126</v>
      </c>
      <c r="AY38" s="99"/>
      <c r="AZ38" s="94">
        <f t="shared" si="13"/>
        <v>-22264.016717724287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22</v>
      </c>
      <c r="F39" s="93">
        <v>15</v>
      </c>
      <c r="G39" s="93">
        <v>6</v>
      </c>
      <c r="H39" s="93" t="s">
        <v>100</v>
      </c>
      <c r="I39" s="93">
        <v>0</v>
      </c>
      <c r="J39" s="93">
        <v>1</v>
      </c>
      <c r="K39" s="92">
        <v>105.54</v>
      </c>
      <c r="L39" s="92">
        <f t="shared" si="42"/>
        <v>2321.88</v>
      </c>
      <c r="M39" s="89">
        <v>23</v>
      </c>
      <c r="N39" s="89">
        <v>24</v>
      </c>
      <c r="O39" s="89">
        <v>1077</v>
      </c>
      <c r="P39" s="89">
        <v>50</v>
      </c>
      <c r="Q39" s="233">
        <f t="shared" si="14"/>
        <v>3.4285714285714284</v>
      </c>
      <c r="R39" s="92">
        <f t="shared" si="15"/>
        <v>1.4285714285714286</v>
      </c>
      <c r="S39" s="93">
        <v>10</v>
      </c>
      <c r="T39" s="93">
        <v>0</v>
      </c>
      <c r="U39" s="92">
        <f t="shared" si="16"/>
        <v>10</v>
      </c>
      <c r="V39" s="93">
        <v>6960</v>
      </c>
      <c r="W39" s="93">
        <v>0</v>
      </c>
      <c r="X39" s="92">
        <f t="shared" si="17"/>
        <v>6960</v>
      </c>
      <c r="Y39" s="93">
        <v>10705.380000000001</v>
      </c>
      <c r="Z39" s="93">
        <v>0</v>
      </c>
      <c r="AA39" s="92">
        <f t="shared" si="18"/>
        <v>10705.380000000001</v>
      </c>
      <c r="AB39" s="92">
        <f t="shared" si="19"/>
        <v>12924</v>
      </c>
      <c r="AC39" s="234">
        <f t="shared" si="20"/>
        <v>2.331702561494202E-3</v>
      </c>
      <c r="AD39" s="92">
        <f t="shared" si="21"/>
        <v>1055.4000000000001</v>
      </c>
      <c r="AE39" s="93">
        <v>4064.340000000002</v>
      </c>
      <c r="AF39" s="234">
        <f t="shared" si="22"/>
        <v>0.37965396837851639</v>
      </c>
      <c r="AG39" s="93">
        <v>1505.97</v>
      </c>
      <c r="AH39" s="93">
        <v>1000</v>
      </c>
      <c r="AI39" s="93"/>
      <c r="AJ39" s="93"/>
      <c r="AK39" s="93"/>
      <c r="AL39" s="122">
        <f t="shared" si="6"/>
        <v>0</v>
      </c>
      <c r="AM39" s="93">
        <v>0</v>
      </c>
      <c r="AN39" s="94">
        <f t="shared" si="23"/>
        <v>397.416</v>
      </c>
      <c r="AO39" s="95">
        <f t="shared" si="25"/>
        <v>2682.253999999999</v>
      </c>
      <c r="AP39" s="96"/>
      <c r="AQ39" s="97">
        <f t="shared" si="7"/>
        <v>1070.538</v>
      </c>
      <c r="AR39" s="98">
        <f t="shared" si="35"/>
        <v>105.54</v>
      </c>
      <c r="AS39" s="98">
        <f t="shared" si="9"/>
        <v>406.4340000000002</v>
      </c>
      <c r="AT39" s="98">
        <f t="shared" si="10"/>
        <v>150.59700000000001</v>
      </c>
      <c r="AU39" s="98">
        <f t="shared" si="24"/>
        <v>100</v>
      </c>
      <c r="AV39" s="98">
        <f t="array" ref="AV39">_xlfn.IFS(U39=0,AO39,U39&lt;0,AO39/-U39,U39&gt;0,AO39/U39)</f>
        <v>268.22539999999992</v>
      </c>
      <c r="AW39" s="234">
        <f t="shared" si="43"/>
        <v>0.25055196546035724</v>
      </c>
      <c r="AX39" s="234">
        <f t="shared" si="44"/>
        <v>2.5414572673867717</v>
      </c>
      <c r="AY39" s="99"/>
      <c r="AZ39" s="94">
        <f t="shared" si="13"/>
        <v>5900.9587999999985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44</v>
      </c>
      <c r="F40" s="93">
        <v>8</v>
      </c>
      <c r="G40" s="93">
        <v>4</v>
      </c>
      <c r="H40" s="93">
        <v>31</v>
      </c>
      <c r="I40" s="93">
        <v>0</v>
      </c>
      <c r="J40" s="93">
        <v>1</v>
      </c>
      <c r="K40" s="92">
        <v>105.54</v>
      </c>
      <c r="L40" s="92">
        <f t="shared" si="42"/>
        <v>4643.76</v>
      </c>
      <c r="M40" s="89">
        <v>209</v>
      </c>
      <c r="N40" s="89">
        <v>12</v>
      </c>
      <c r="O40" s="89">
        <v>1197</v>
      </c>
      <c r="P40" s="89">
        <v>25</v>
      </c>
      <c r="Q40" s="233">
        <f t="shared" si="14"/>
        <v>1.7142857142857142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2148</v>
      </c>
      <c r="W40" s="93">
        <v>0</v>
      </c>
      <c r="X40" s="92">
        <f t="shared" si="17"/>
        <v>2148</v>
      </c>
      <c r="Y40" s="93">
        <v>3591</v>
      </c>
      <c r="Z40" s="93">
        <v>0</v>
      </c>
      <c r="AA40" s="92">
        <f t="shared" si="18"/>
        <v>3591</v>
      </c>
      <c r="AB40" s="92">
        <f t="shared" si="19"/>
        <v>3591</v>
      </c>
      <c r="AC40" s="234">
        <f t="shared" si="20"/>
        <v>7.8214354822768353E-4</v>
      </c>
      <c r="AD40" s="92">
        <f t="shared" si="21"/>
        <v>316.62</v>
      </c>
      <c r="AE40" s="93">
        <v>1343.6100000000001</v>
      </c>
      <c r="AF40" s="234">
        <f t="shared" si="22"/>
        <v>0.3741604010025063</v>
      </c>
      <c r="AG40" s="93">
        <v>490.16</v>
      </c>
      <c r="AH40" s="93"/>
      <c r="AI40" s="93"/>
      <c r="AJ40" s="93"/>
      <c r="AK40" s="93"/>
      <c r="AL40" s="122">
        <f t="shared" si="6"/>
        <v>41.250392505470458</v>
      </c>
      <c r="AM40" s="93">
        <v>0</v>
      </c>
      <c r="AN40" s="94">
        <f t="shared" si="23"/>
        <v>122.65079999999999</v>
      </c>
      <c r="AO40" s="95">
        <f t="shared" si="25"/>
        <v>1276.7088074945295</v>
      </c>
      <c r="AP40" s="96"/>
      <c r="AQ40" s="97">
        <f t="shared" si="7"/>
        <v>1197</v>
      </c>
      <c r="AR40" s="98">
        <f t="shared" si="35"/>
        <v>105.54</v>
      </c>
      <c r="AS40" s="98">
        <f t="shared" si="9"/>
        <v>447.87000000000006</v>
      </c>
      <c r="AT40" s="98">
        <f t="shared" si="10"/>
        <v>163.38666666666668</v>
      </c>
      <c r="AU40" s="98">
        <f t="shared" si="24"/>
        <v>0</v>
      </c>
      <c r="AV40" s="98">
        <f t="array" ref="AV40">_xlfn.IFS(U40=0,AO40,U40&lt;0,AO40/-U40,U40&gt;0,AO40/U40)</f>
        <v>425.56960249817649</v>
      </c>
      <c r="AW40" s="234">
        <f t="shared" si="43"/>
        <v>0.35553016081719008</v>
      </c>
      <c r="AX40" s="234">
        <f t="shared" si="44"/>
        <v>4.032306258273417</v>
      </c>
      <c r="AY40" s="99"/>
      <c r="AZ40" s="94">
        <f t="shared" si="13"/>
        <v>18725.062509919764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45</v>
      </c>
      <c r="F41" s="93">
        <v>1</v>
      </c>
      <c r="G41" s="93">
        <v>1</v>
      </c>
      <c r="H41" s="93">
        <v>42</v>
      </c>
      <c r="I41" s="93">
        <v>0</v>
      </c>
      <c r="J41" s="93">
        <v>1</v>
      </c>
      <c r="K41" s="92">
        <v>123.09</v>
      </c>
      <c r="L41" s="92">
        <f t="shared" si="42"/>
        <v>5539.05</v>
      </c>
      <c r="M41" s="89">
        <v>444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94.37</v>
      </c>
      <c r="AH41" s="93"/>
      <c r="AI41" s="93"/>
      <c r="AJ41" s="93"/>
      <c r="AK41" s="93"/>
      <c r="AL41" s="122">
        <f t="shared" si="6"/>
        <v>55.887628555798692</v>
      </c>
      <c r="AM41" s="93">
        <v>0</v>
      </c>
      <c r="AN41" s="94">
        <f t="shared" si="23"/>
        <v>0</v>
      </c>
      <c r="AO41" s="95">
        <f t="shared" si="25"/>
        <v>-150.2576285557987</v>
      </c>
      <c r="AP41" s="96"/>
      <c r="AQ41" s="97">
        <f t="shared" si="7"/>
        <v>0</v>
      </c>
      <c r="AR41" s="98">
        <f t="shared" si="35"/>
        <v>123.09</v>
      </c>
      <c r="AS41" s="98">
        <f t="shared" si="9"/>
        <v>0</v>
      </c>
      <c r="AT41" s="98">
        <f t="shared" si="10"/>
        <v>94.37</v>
      </c>
      <c r="AU41" s="98">
        <f t="shared" si="24"/>
        <v>0</v>
      </c>
      <c r="AV41" s="98">
        <f t="array" ref="AV41">_xlfn.IFS(U41=0,AO41,U41&lt;0,AO41/-U41,U41&gt;0,AO41/U41)</f>
        <v>-150.2576285557987</v>
      </c>
      <c r="AW41" s="234">
        <f t="shared" si="43"/>
        <v>0</v>
      </c>
      <c r="AX41" s="234">
        <f t="shared" si="44"/>
        <v>-1.2207135312031741</v>
      </c>
      <c r="AY41" s="99"/>
      <c r="AZ41" s="94">
        <f t="shared" si="13"/>
        <v>-6761.5932850109421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40</v>
      </c>
      <c r="F42" s="93">
        <v>6</v>
      </c>
      <c r="G42" s="93">
        <v>2</v>
      </c>
      <c r="H42" s="93">
        <v>31</v>
      </c>
      <c r="I42" s="93">
        <v>0</v>
      </c>
      <c r="J42" s="93">
        <v>1</v>
      </c>
      <c r="K42" s="92">
        <v>123.09</v>
      </c>
      <c r="L42" s="92">
        <f t="shared" si="42"/>
        <v>4923.6000000000004</v>
      </c>
      <c r="M42" s="89">
        <v>124</v>
      </c>
      <c r="N42" s="89">
        <v>9</v>
      </c>
      <c r="O42" s="89">
        <v>1176</v>
      </c>
      <c r="P42" s="89">
        <v>100</v>
      </c>
      <c r="Q42" s="233">
        <f t="shared" si="14"/>
        <v>1.2857142857142858</v>
      </c>
      <c r="R42" s="92">
        <f t="shared" si="15"/>
        <v>0.7142857142857143</v>
      </c>
      <c r="S42" s="93">
        <v>5</v>
      </c>
      <c r="T42" s="93">
        <v>0</v>
      </c>
      <c r="U42" s="92">
        <f t="shared" si="16"/>
        <v>5</v>
      </c>
      <c r="V42" s="93">
        <v>3866.63</v>
      </c>
      <c r="W42" s="93">
        <v>0</v>
      </c>
      <c r="X42" s="92">
        <f t="shared" si="17"/>
        <v>3866.63</v>
      </c>
      <c r="Y42" s="93">
        <v>5879.7</v>
      </c>
      <c r="Z42" s="93">
        <v>0</v>
      </c>
      <c r="AA42" s="92">
        <f t="shared" si="18"/>
        <v>5879.7</v>
      </c>
      <c r="AB42" s="92">
        <f t="shared" si="19"/>
        <v>10584</v>
      </c>
      <c r="AC42" s="234">
        <f t="shared" si="20"/>
        <v>1.2806375440028712E-3</v>
      </c>
      <c r="AD42" s="92">
        <f t="shared" si="21"/>
        <v>615.45000000000005</v>
      </c>
      <c r="AE42" s="93">
        <v>2213.8799999999997</v>
      </c>
      <c r="AF42" s="234">
        <f t="shared" si="22"/>
        <v>0.37652941476605944</v>
      </c>
      <c r="AG42" s="93">
        <v>599.6099999999999</v>
      </c>
      <c r="AH42" s="93"/>
      <c r="AI42" s="93"/>
      <c r="AJ42" s="93"/>
      <c r="AK42" s="93"/>
      <c r="AL42" s="122">
        <f t="shared" si="6"/>
        <v>41.250392505470458</v>
      </c>
      <c r="AM42" s="93">
        <v>0</v>
      </c>
      <c r="AN42" s="94">
        <f t="shared" si="23"/>
        <v>220.78457299999999</v>
      </c>
      <c r="AO42" s="95">
        <f t="shared" si="25"/>
        <v>2188.7250344945301</v>
      </c>
      <c r="AP42" s="96"/>
      <c r="AQ42" s="97">
        <f t="shared" si="7"/>
        <v>1175.94</v>
      </c>
      <c r="AR42" s="98">
        <f t="shared" si="35"/>
        <v>123.09</v>
      </c>
      <c r="AS42" s="98">
        <f t="shared" si="9"/>
        <v>442.77599999999995</v>
      </c>
      <c r="AT42" s="98">
        <f t="shared" si="10"/>
        <v>119.92199999999998</v>
      </c>
      <c r="AU42" s="98">
        <f t="shared" si="24"/>
        <v>0</v>
      </c>
      <c r="AV42" s="98">
        <f t="array" ref="AV42">_xlfn.IFS(U42=0,AO42,U42&lt;0,AO42/-U42,U42&gt;0,AO42/U42)</f>
        <v>437.74500689890601</v>
      </c>
      <c r="AW42" s="234">
        <f t="shared" si="43"/>
        <v>0.37225114112871915</v>
      </c>
      <c r="AX42" s="234">
        <f t="shared" si="44"/>
        <v>3.5563003241441709</v>
      </c>
      <c r="AY42" s="99"/>
      <c r="AZ42" s="94">
        <f t="shared" si="13"/>
        <v>17509.800275956241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14</v>
      </c>
      <c r="F43" s="93">
        <v>5</v>
      </c>
      <c r="G43" s="93">
        <v>7</v>
      </c>
      <c r="H43" s="93">
        <v>1</v>
      </c>
      <c r="I43" s="93">
        <v>0</v>
      </c>
      <c r="J43" s="93">
        <v>1</v>
      </c>
      <c r="K43" s="92">
        <v>123.09</v>
      </c>
      <c r="L43" s="92">
        <f t="shared" si="42"/>
        <v>1723.26</v>
      </c>
      <c r="M43" s="89">
        <v>16</v>
      </c>
      <c r="N43" s="89">
        <v>12</v>
      </c>
      <c r="O43" s="89">
        <v>1102</v>
      </c>
      <c r="P43" s="89">
        <v>67</v>
      </c>
      <c r="Q43" s="233">
        <f t="shared" si="14"/>
        <v>1.7142857142857142</v>
      </c>
      <c r="R43" s="92">
        <f t="shared" si="15"/>
        <v>1.7142857142857142</v>
      </c>
      <c r="S43" s="93">
        <v>13</v>
      </c>
      <c r="T43" s="93">
        <v>-1</v>
      </c>
      <c r="U43" s="92">
        <f t="shared" si="16"/>
        <v>12</v>
      </c>
      <c r="V43" s="93">
        <v>9572.65</v>
      </c>
      <c r="W43" s="93">
        <v>-688</v>
      </c>
      <c r="X43" s="92">
        <f t="shared" si="17"/>
        <v>8884.65</v>
      </c>
      <c r="Y43" s="93">
        <v>14292.61</v>
      </c>
      <c r="Z43" s="93">
        <v>-1102</v>
      </c>
      <c r="AA43" s="92">
        <f t="shared" si="18"/>
        <v>13190.61</v>
      </c>
      <c r="AB43" s="92">
        <f t="shared" si="19"/>
        <v>8860.08</v>
      </c>
      <c r="AC43" s="234">
        <f t="shared" si="20"/>
        <v>2.8730020909739809E-3</v>
      </c>
      <c r="AD43" s="92">
        <f t="shared" si="21"/>
        <v>1477.08</v>
      </c>
      <c r="AE43" s="93">
        <v>5005.25</v>
      </c>
      <c r="AF43" s="234">
        <f t="shared" si="22"/>
        <v>0.37945553693119571</v>
      </c>
      <c r="AG43" s="93">
        <v>2003.1999999999996</v>
      </c>
      <c r="AH43" s="93"/>
      <c r="AI43" s="93"/>
      <c r="AJ43" s="93"/>
      <c r="AK43" s="93"/>
      <c r="AL43" s="122">
        <f t="shared" si="6"/>
        <v>1.3306578227571118</v>
      </c>
      <c r="AM43" s="93">
        <v>0</v>
      </c>
      <c r="AN43" s="94">
        <f t="shared" si="23"/>
        <v>507.31351499999994</v>
      </c>
      <c r="AO43" s="95">
        <f t="shared" si="25"/>
        <v>4196.4358271772435</v>
      </c>
      <c r="AP43" s="96"/>
      <c r="AQ43" s="97">
        <f t="shared" si="7"/>
        <v>1099.2175</v>
      </c>
      <c r="AR43" s="98">
        <f t="shared" si="35"/>
        <v>123.09</v>
      </c>
      <c r="AS43" s="98">
        <f t="shared" si="9"/>
        <v>417.10416666666669</v>
      </c>
      <c r="AT43" s="98">
        <f t="shared" si="10"/>
        <v>154.09230769230766</v>
      </c>
      <c r="AU43" s="98">
        <f t="shared" si="24"/>
        <v>0</v>
      </c>
      <c r="AV43" s="98">
        <f t="array" ref="AV43">_xlfn.IFS(U43=0,AO43,U43&lt;0,AO43/-U43,U43&gt;0,AO43/U43)</f>
        <v>349.70298559810362</v>
      </c>
      <c r="AW43" s="234">
        <f t="shared" si="43"/>
        <v>0.31813811697694372</v>
      </c>
      <c r="AX43" s="234">
        <f t="shared" si="44"/>
        <v>2.8410348980266766</v>
      </c>
      <c r="AY43" s="99"/>
      <c r="AZ43" s="94">
        <f t="shared" si="13"/>
        <v>4895.8417983734507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1576</v>
      </c>
      <c r="F44" s="93">
        <v>60</v>
      </c>
      <c r="G44" s="93">
        <v>16</v>
      </c>
      <c r="H44" s="93">
        <v>58</v>
      </c>
      <c r="I44" s="93">
        <v>0</v>
      </c>
      <c r="J44" s="93">
        <v>1442</v>
      </c>
      <c r="K44" s="92">
        <v>111.39</v>
      </c>
      <c r="L44" s="92">
        <f t="shared" si="42"/>
        <v>175550.64</v>
      </c>
      <c r="M44" s="89">
        <v>38</v>
      </c>
      <c r="N44" s="89">
        <v>97</v>
      </c>
      <c r="O44" s="89">
        <v>1093</v>
      </c>
      <c r="P44" s="89">
        <v>66</v>
      </c>
      <c r="Q44" s="233">
        <f t="shared" si="14"/>
        <v>13.857142857142858</v>
      </c>
      <c r="R44" s="92">
        <f t="shared" si="15"/>
        <v>4.4285714285714288</v>
      </c>
      <c r="S44" s="93">
        <v>32</v>
      </c>
      <c r="T44" s="93">
        <v>-1</v>
      </c>
      <c r="U44" s="92">
        <f t="shared" si="16"/>
        <v>31</v>
      </c>
      <c r="V44" s="93">
        <v>21835.31</v>
      </c>
      <c r="W44" s="93">
        <v>-631</v>
      </c>
      <c r="X44" s="92">
        <f t="shared" si="17"/>
        <v>21204.31</v>
      </c>
      <c r="Y44" s="93">
        <v>33437.1</v>
      </c>
      <c r="Z44" s="93">
        <v>-995</v>
      </c>
      <c r="AA44" s="92">
        <f t="shared" si="18"/>
        <v>32442.1</v>
      </c>
      <c r="AB44" s="92">
        <f t="shared" si="19"/>
        <v>69973.86</v>
      </c>
      <c r="AC44" s="234">
        <f t="shared" si="20"/>
        <v>7.0661039281418349E-3</v>
      </c>
      <c r="AD44" s="92">
        <f t="shared" si="21"/>
        <v>3453.09</v>
      </c>
      <c r="AE44" s="93">
        <v>12286.880000000003</v>
      </c>
      <c r="AF44" s="234">
        <f t="shared" si="22"/>
        <v>0.37873257279892497</v>
      </c>
      <c r="AG44" s="93">
        <v>3974.3499999999949</v>
      </c>
      <c r="AH44" s="93">
        <v>2000</v>
      </c>
      <c r="AI44" s="93">
        <v>1936</v>
      </c>
      <c r="AJ44" s="93"/>
      <c r="AK44" s="93"/>
      <c r="AL44" s="122">
        <f t="shared" si="6"/>
        <v>77.178153719912473</v>
      </c>
      <c r="AM44" s="93">
        <v>0</v>
      </c>
      <c r="AN44" s="94">
        <f t="shared" si="23"/>
        <v>1210.7661009999999</v>
      </c>
      <c r="AO44" s="95">
        <f t="shared" si="25"/>
        <v>7503.8357452800892</v>
      </c>
      <c r="AP44" s="96"/>
      <c r="AQ44" s="97">
        <f t="shared" si="7"/>
        <v>1046.5193548387097</v>
      </c>
      <c r="AR44" s="98">
        <f t="shared" si="35"/>
        <v>111.39</v>
      </c>
      <c r="AS44" s="98">
        <f t="shared" si="9"/>
        <v>396.35096774193556</v>
      </c>
      <c r="AT44" s="98">
        <f t="shared" si="10"/>
        <v>124.19843749999984</v>
      </c>
      <c r="AU44" s="98">
        <f t="shared" si="24"/>
        <v>123</v>
      </c>
      <c r="AV44" s="98">
        <f t="array" ref="AV44">_xlfn.IFS(U44=0,AO44,U44&lt;0,AO44/-U44,U44&gt;0,AO44/U44)</f>
        <v>242.05921758968029</v>
      </c>
      <c r="AW44" s="234">
        <f t="shared" si="43"/>
        <v>0.23129932233980197</v>
      </c>
      <c r="AX44" s="234">
        <f t="shared" si="44"/>
        <v>2.1730785311938261</v>
      </c>
      <c r="AY44" s="99"/>
      <c r="AZ44" s="94">
        <f t="shared" si="13"/>
        <v>381485.32692133612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624</v>
      </c>
      <c r="F45" s="93">
        <v>122</v>
      </c>
      <c r="G45" s="93">
        <v>47</v>
      </c>
      <c r="H45" s="93">
        <v>40</v>
      </c>
      <c r="I45" s="93">
        <v>0</v>
      </c>
      <c r="J45" s="93">
        <v>415</v>
      </c>
      <c r="K45" s="92">
        <v>107.88</v>
      </c>
      <c r="L45" s="92">
        <f t="shared" si="42"/>
        <v>67317.119999999995</v>
      </c>
      <c r="M45" s="89">
        <v>9</v>
      </c>
      <c r="N45" s="89">
        <v>213</v>
      </c>
      <c r="O45" s="89">
        <v>1631</v>
      </c>
      <c r="P45" s="89">
        <v>43</v>
      </c>
      <c r="Q45" s="233">
        <f t="shared" si="14"/>
        <v>30.428571428571427</v>
      </c>
      <c r="R45" s="92">
        <f t="shared" si="15"/>
        <v>9.2857142857142865</v>
      </c>
      <c r="S45" s="93">
        <v>66</v>
      </c>
      <c r="T45" s="93">
        <v>-1</v>
      </c>
      <c r="U45" s="92">
        <f t="shared" si="16"/>
        <v>65</v>
      </c>
      <c r="V45" s="93">
        <v>69163.53</v>
      </c>
      <c r="W45" s="93">
        <v>-1023</v>
      </c>
      <c r="X45" s="92">
        <f t="shared" si="17"/>
        <v>68140.53</v>
      </c>
      <c r="Y45" s="93">
        <v>104444.46999999997</v>
      </c>
      <c r="Z45" s="93">
        <v>-1575</v>
      </c>
      <c r="AA45" s="92">
        <f t="shared" si="18"/>
        <v>102869.46999999997</v>
      </c>
      <c r="AB45" s="92">
        <f t="shared" si="19"/>
        <v>149383.29</v>
      </c>
      <c r="AC45" s="234">
        <f t="shared" si="20"/>
        <v>2.240565086886695E-2</v>
      </c>
      <c r="AD45" s="92">
        <f t="shared" si="21"/>
        <v>7012.2</v>
      </c>
      <c r="AE45" s="93">
        <v>38662.75999999998</v>
      </c>
      <c r="AF45" s="234">
        <f t="shared" si="22"/>
        <v>0.37584290071680149</v>
      </c>
      <c r="AG45" s="93">
        <v>13807.090000000007</v>
      </c>
      <c r="AH45" s="93">
        <v>19459</v>
      </c>
      <c r="AI45" s="93">
        <v>3713</v>
      </c>
      <c r="AJ45" s="93"/>
      <c r="AK45" s="93"/>
      <c r="AL45" s="122">
        <f t="shared" si="6"/>
        <v>53.22631291028447</v>
      </c>
      <c r="AM45" s="93">
        <v>30</v>
      </c>
      <c r="AN45" s="94">
        <f t="shared" si="23"/>
        <v>3890.824263</v>
      </c>
      <c r="AO45" s="95">
        <f t="shared" si="25"/>
        <v>16241.3694240897</v>
      </c>
      <c r="AP45" s="96"/>
      <c r="AQ45" s="97">
        <f t="shared" si="7"/>
        <v>1582.6072307692302</v>
      </c>
      <c r="AR45" s="98">
        <f t="shared" si="35"/>
        <v>107.88</v>
      </c>
      <c r="AS45" s="98">
        <f t="shared" si="9"/>
        <v>594.81169230769206</v>
      </c>
      <c r="AT45" s="98">
        <f t="shared" si="10"/>
        <v>209.19833333333344</v>
      </c>
      <c r="AU45" s="98">
        <f t="shared" si="24"/>
        <v>351.09090909090907</v>
      </c>
      <c r="AV45" s="98">
        <f t="array" ref="AV45">_xlfn.IFS(U45=0,AO45,U45&lt;0,AO45/-U45,U45&gt;0,AO45/U45)</f>
        <v>249.8672219090723</v>
      </c>
      <c r="AW45" s="234">
        <f t="shared" si="43"/>
        <v>0.15788328086155887</v>
      </c>
      <c r="AX45" s="234">
        <f t="shared" si="44"/>
        <v>2.3161588979335588</v>
      </c>
      <c r="AY45" s="99"/>
      <c r="AZ45" s="94">
        <f t="shared" si="13"/>
        <v>155917.14647126111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186</v>
      </c>
      <c r="F47" s="93">
        <v>23</v>
      </c>
      <c r="G47" s="93">
        <v>5</v>
      </c>
      <c r="H47" s="93">
        <v>58</v>
      </c>
      <c r="I47" s="93">
        <v>0</v>
      </c>
      <c r="J47" s="93">
        <v>100</v>
      </c>
      <c r="K47" s="92">
        <v>123.09</v>
      </c>
      <c r="L47" s="92">
        <f t="shared" si="42"/>
        <v>22894.74</v>
      </c>
      <c r="M47" s="89">
        <v>41</v>
      </c>
      <c r="N47" s="89">
        <v>46</v>
      </c>
      <c r="O47" s="89">
        <v>1245</v>
      </c>
      <c r="P47" s="89">
        <v>79</v>
      </c>
      <c r="Q47" s="233">
        <f t="shared" si="14"/>
        <v>6.5714285714285712</v>
      </c>
      <c r="R47" s="92">
        <f t="shared" si="15"/>
        <v>3.4285714285714284</v>
      </c>
      <c r="S47" s="93">
        <v>25</v>
      </c>
      <c r="T47" s="93">
        <v>-1</v>
      </c>
      <c r="U47" s="92">
        <f t="shared" si="16"/>
        <v>24</v>
      </c>
      <c r="V47" s="93">
        <v>19449.600000000002</v>
      </c>
      <c r="W47" s="93">
        <v>-634</v>
      </c>
      <c r="X47" s="92">
        <f t="shared" si="17"/>
        <v>18815.600000000002</v>
      </c>
      <c r="Y47" s="93">
        <v>29830.66</v>
      </c>
      <c r="Z47" s="93">
        <v>-1056</v>
      </c>
      <c r="AA47" s="92">
        <f t="shared" si="18"/>
        <v>28774.66</v>
      </c>
      <c r="AB47" s="92">
        <f t="shared" si="19"/>
        <v>45243.3</v>
      </c>
      <c r="AC47" s="234">
        <f t="shared" si="20"/>
        <v>6.2673112423963229E-3</v>
      </c>
      <c r="AD47" s="92">
        <f t="shared" si="21"/>
        <v>2954.16</v>
      </c>
      <c r="AE47" s="93">
        <v>10770.58</v>
      </c>
      <c r="AF47" s="234">
        <f t="shared" si="22"/>
        <v>0.37430781110880196</v>
      </c>
      <c r="AG47" s="93">
        <v>2400.4299999999994</v>
      </c>
      <c r="AH47" s="93">
        <v>3288</v>
      </c>
      <c r="AI47" s="93">
        <v>670</v>
      </c>
      <c r="AJ47" s="93"/>
      <c r="AK47" s="93"/>
      <c r="AL47" s="122">
        <f t="shared" si="6"/>
        <v>77.178153719912473</v>
      </c>
      <c r="AM47" s="93">
        <v>0</v>
      </c>
      <c r="AN47" s="94">
        <f t="shared" si="23"/>
        <v>1074.37076</v>
      </c>
      <c r="AO47" s="95">
        <f t="shared" si="25"/>
        <v>7539.9410862800887</v>
      </c>
      <c r="AP47" s="96"/>
      <c r="AQ47" s="97">
        <f t="shared" si="7"/>
        <v>1198.9441666666667</v>
      </c>
      <c r="AR47" s="98">
        <f t="shared" si="35"/>
        <v>123.09</v>
      </c>
      <c r="AS47" s="98">
        <f t="shared" si="9"/>
        <v>448.77416666666664</v>
      </c>
      <c r="AT47" s="98">
        <f t="shared" si="10"/>
        <v>96.017199999999974</v>
      </c>
      <c r="AU47" s="98">
        <f t="shared" si="24"/>
        <v>158.32</v>
      </c>
      <c r="AV47" s="98">
        <f t="array" ref="AV47">_xlfn.IFS(U47=0,AO47,U47&lt;0,AO47/-U47,U47&gt;0,AO47/U47)</f>
        <v>314.16421192833701</v>
      </c>
      <c r="AW47" s="234">
        <f t="shared" si="43"/>
        <v>0.26203406352256076</v>
      </c>
      <c r="AX47" s="234">
        <f t="shared" si="44"/>
        <v>2.5523130386573807</v>
      </c>
      <c r="AY47" s="99"/>
      <c r="AZ47" s="94">
        <f t="shared" si="13"/>
        <v>58434.543418670684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752</v>
      </c>
      <c r="F48" s="93">
        <v>60</v>
      </c>
      <c r="G48" s="93">
        <v>34</v>
      </c>
      <c r="H48" s="93">
        <v>177</v>
      </c>
      <c r="I48" s="93">
        <v>0</v>
      </c>
      <c r="J48" s="93">
        <v>481</v>
      </c>
      <c r="K48" s="92">
        <v>107.88</v>
      </c>
      <c r="L48" s="92">
        <f t="shared" si="42"/>
        <v>81125.759999999995</v>
      </c>
      <c r="M48" s="89">
        <v>37</v>
      </c>
      <c r="N48" s="89">
        <v>140</v>
      </c>
      <c r="O48" s="89">
        <v>1341</v>
      </c>
      <c r="P48" s="89">
        <v>62</v>
      </c>
      <c r="Q48" s="233">
        <f t="shared" si="14"/>
        <v>20</v>
      </c>
      <c r="R48" s="92">
        <f t="shared" si="15"/>
        <v>11.142857142857142</v>
      </c>
      <c r="S48" s="93">
        <v>80</v>
      </c>
      <c r="T48" s="93">
        <v>-2</v>
      </c>
      <c r="U48" s="92">
        <f t="shared" si="16"/>
        <v>78</v>
      </c>
      <c r="V48" s="93">
        <v>68145.289999999994</v>
      </c>
      <c r="W48" s="93">
        <v>-1676</v>
      </c>
      <c r="X48" s="92">
        <f t="shared" si="17"/>
        <v>66469.289999999994</v>
      </c>
      <c r="Y48" s="93">
        <v>106757.55000000002</v>
      </c>
      <c r="Z48" s="93">
        <v>-2682</v>
      </c>
      <c r="AA48" s="92">
        <f t="shared" si="18"/>
        <v>104075.55000000002</v>
      </c>
      <c r="AB48" s="92">
        <f t="shared" si="19"/>
        <v>116398.8</v>
      </c>
      <c r="AC48" s="234">
        <f t="shared" si="20"/>
        <v>2.2668343068991285E-2</v>
      </c>
      <c r="AD48" s="92">
        <f t="shared" si="21"/>
        <v>8414.64</v>
      </c>
      <c r="AE48" s="93">
        <v>39131.360000000001</v>
      </c>
      <c r="AF48" s="234">
        <f t="shared" si="22"/>
        <v>0.37598994192199797</v>
      </c>
      <c r="AG48" s="93">
        <v>9354.53999999999</v>
      </c>
      <c r="AH48" s="93">
        <v>11681</v>
      </c>
      <c r="AI48" s="93">
        <v>594</v>
      </c>
      <c r="AJ48" s="93"/>
      <c r="AK48" s="93"/>
      <c r="AL48" s="122">
        <f t="shared" si="6"/>
        <v>235.52643462800876</v>
      </c>
      <c r="AM48" s="93">
        <v>0</v>
      </c>
      <c r="AN48" s="94">
        <f t="shared" si="23"/>
        <v>3795.3964589999996</v>
      </c>
      <c r="AO48" s="95">
        <f t="shared" si="25"/>
        <v>30869.087106372015</v>
      </c>
      <c r="AP48" s="96"/>
      <c r="AQ48" s="97">
        <f t="shared" si="7"/>
        <v>1334.3019230769232</v>
      </c>
      <c r="AR48" s="98">
        <f t="shared" si="35"/>
        <v>107.88</v>
      </c>
      <c r="AS48" s="98">
        <f t="shared" si="9"/>
        <v>501.68410256410255</v>
      </c>
      <c r="AT48" s="98">
        <f t="shared" si="10"/>
        <v>116.93174999999988</v>
      </c>
      <c r="AU48" s="98">
        <f t="shared" si="24"/>
        <v>153.4375</v>
      </c>
      <c r="AV48" s="98">
        <f t="array" ref="AV48">_xlfn.IFS(U48=0,AO48,U48&lt;0,AO48/-U48,U48&gt;0,AO48/U48)</f>
        <v>395.75752700476943</v>
      </c>
      <c r="AW48" s="234">
        <f t="shared" si="43"/>
        <v>0.29660268051787392</v>
      </c>
      <c r="AX48" s="234">
        <f t="shared" si="44"/>
        <v>3.6684976548458419</v>
      </c>
      <c r="AY48" s="99"/>
      <c r="AZ48" s="94">
        <f t="shared" si="13"/>
        <v>297609.6603075866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2121</v>
      </c>
      <c r="F49" s="93">
        <v>101</v>
      </c>
      <c r="G49" s="93">
        <v>34</v>
      </c>
      <c r="H49" s="93">
        <v>64</v>
      </c>
      <c r="I49" s="93">
        <v>0</v>
      </c>
      <c r="J49" s="93">
        <v>1922</v>
      </c>
      <c r="K49" s="92">
        <v>123.09</v>
      </c>
      <c r="L49" s="92">
        <f t="shared" si="42"/>
        <v>261073.89</v>
      </c>
      <c r="M49" s="89">
        <v>9</v>
      </c>
      <c r="N49" s="89">
        <v>172</v>
      </c>
      <c r="O49" s="89">
        <v>1590</v>
      </c>
      <c r="P49" s="89">
        <v>39</v>
      </c>
      <c r="Q49" s="233">
        <f t="shared" si="14"/>
        <v>24.571428571428573</v>
      </c>
      <c r="R49" s="92">
        <f t="shared" si="15"/>
        <v>5.8571428571428568</v>
      </c>
      <c r="S49" s="93">
        <v>43</v>
      </c>
      <c r="T49" s="93">
        <v>-2</v>
      </c>
      <c r="U49" s="92">
        <f t="shared" si="16"/>
        <v>41</v>
      </c>
      <c r="V49" s="93">
        <v>43644.480000000003</v>
      </c>
      <c r="W49" s="93">
        <v>-2179</v>
      </c>
      <c r="X49" s="92">
        <f t="shared" si="17"/>
        <v>41465.480000000003</v>
      </c>
      <c r="Y49" s="93">
        <v>65974.03</v>
      </c>
      <c r="Z49" s="93">
        <v>-3070</v>
      </c>
      <c r="AA49" s="92">
        <f t="shared" si="18"/>
        <v>62904.03</v>
      </c>
      <c r="AB49" s="92">
        <f t="shared" si="19"/>
        <v>106657.2</v>
      </c>
      <c r="AC49" s="234">
        <f t="shared" si="20"/>
        <v>1.3700913734898538E-2</v>
      </c>
      <c r="AD49" s="92">
        <f t="shared" si="21"/>
        <v>5046.6900000000005</v>
      </c>
      <c r="AE49" s="93">
        <v>23618.920000000002</v>
      </c>
      <c r="AF49" s="234">
        <f t="shared" si="22"/>
        <v>0.37547546635724299</v>
      </c>
      <c r="AG49" s="93">
        <v>8335.4100000000035</v>
      </c>
      <c r="AH49" s="93">
        <v>7539</v>
      </c>
      <c r="AI49" s="93">
        <v>6517</v>
      </c>
      <c r="AJ49" s="93"/>
      <c r="AK49" s="93"/>
      <c r="AL49" s="122">
        <f t="shared" si="6"/>
        <v>85.162100656455152</v>
      </c>
      <c r="AM49" s="93">
        <v>0</v>
      </c>
      <c r="AN49" s="94">
        <f t="shared" si="23"/>
        <v>2367.6789080000003</v>
      </c>
      <c r="AO49" s="95">
        <f t="shared" si="25"/>
        <v>9394.1689913435403</v>
      </c>
      <c r="AP49" s="96"/>
      <c r="AQ49" s="97">
        <f t="shared" si="7"/>
        <v>1534.2446341463415</v>
      </c>
      <c r="AR49" s="98">
        <f t="shared" si="35"/>
        <v>123.09</v>
      </c>
      <c r="AS49" s="98">
        <f t="shared" si="9"/>
        <v>576.07121951219517</v>
      </c>
      <c r="AT49" s="98">
        <f t="shared" si="10"/>
        <v>193.84674418604661</v>
      </c>
      <c r="AU49" s="98">
        <f t="shared" si="24"/>
        <v>326.88372093023258</v>
      </c>
      <c r="AV49" s="98">
        <f t="array" ref="AV49">_xlfn.IFS(U49=0,AO49,U49&lt;0,AO49/-U49,U49&gt;0,AO49/U49)</f>
        <v>229.12607295959853</v>
      </c>
      <c r="AW49" s="234">
        <f t="shared" si="43"/>
        <v>0.14934129007860927</v>
      </c>
      <c r="AX49" s="234">
        <f t="shared" si="44"/>
        <v>1.8614515635681088</v>
      </c>
      <c r="AY49" s="99"/>
      <c r="AZ49" s="94">
        <f t="shared" si="13"/>
        <v>485976.40074730851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1635</v>
      </c>
      <c r="F50" s="93">
        <v>70</v>
      </c>
      <c r="G50" s="93">
        <v>11</v>
      </c>
      <c r="H50" s="93">
        <v>53</v>
      </c>
      <c r="I50" s="93">
        <v>0</v>
      </c>
      <c r="J50" s="93">
        <v>1501</v>
      </c>
      <c r="K50" s="92">
        <v>134.79</v>
      </c>
      <c r="L50" s="92">
        <f t="shared" si="42"/>
        <v>220381.65</v>
      </c>
      <c r="M50" s="89">
        <v>40</v>
      </c>
      <c r="N50" s="89">
        <v>101</v>
      </c>
      <c r="O50" s="89">
        <v>1233</v>
      </c>
      <c r="P50" s="89">
        <v>70</v>
      </c>
      <c r="Q50" s="233">
        <f t="shared" si="14"/>
        <v>14.428571428571429</v>
      </c>
      <c r="R50" s="92">
        <f t="shared" si="15"/>
        <v>5.7142857142857144</v>
      </c>
      <c r="S50" s="93">
        <v>40</v>
      </c>
      <c r="T50" s="93">
        <v>0</v>
      </c>
      <c r="U50" s="92">
        <f t="shared" si="16"/>
        <v>40</v>
      </c>
      <c r="V50" s="93">
        <v>31767.920000000002</v>
      </c>
      <c r="W50" s="93">
        <v>0</v>
      </c>
      <c r="X50" s="92">
        <f t="shared" si="17"/>
        <v>31767.920000000002</v>
      </c>
      <c r="Y50" s="93">
        <v>48671.109999999993</v>
      </c>
      <c r="Z50" s="93">
        <v>0</v>
      </c>
      <c r="AA50" s="92">
        <f t="shared" si="18"/>
        <v>48671.109999999993</v>
      </c>
      <c r="AB50" s="92">
        <f t="shared" si="19"/>
        <v>87173.1</v>
      </c>
      <c r="AC50" s="234">
        <f t="shared" si="20"/>
        <v>1.0600889632854327E-2</v>
      </c>
      <c r="AD50" s="92">
        <f t="shared" si="21"/>
        <v>5391.5999999999995</v>
      </c>
      <c r="AE50" s="93">
        <v>18336.909999999985</v>
      </c>
      <c r="AF50" s="234">
        <f t="shared" si="22"/>
        <v>0.37675142399669925</v>
      </c>
      <c r="AG50" s="93">
        <v>3980.4100000000012</v>
      </c>
      <c r="AH50" s="93">
        <v>4686</v>
      </c>
      <c r="AI50" s="93">
        <v>1473</v>
      </c>
      <c r="AJ50" s="93"/>
      <c r="AK50" s="93"/>
      <c r="AL50" s="122">
        <f t="shared" si="6"/>
        <v>70.524864606126911</v>
      </c>
      <c r="AM50" s="93">
        <v>0</v>
      </c>
      <c r="AN50" s="94">
        <f t="shared" si="23"/>
        <v>1813.948232</v>
      </c>
      <c r="AO50" s="95">
        <f t="shared" si="25"/>
        <v>12918.716903393883</v>
      </c>
      <c r="AP50" s="96"/>
      <c r="AQ50" s="97">
        <f t="shared" si="7"/>
        <v>1216.7777499999997</v>
      </c>
      <c r="AR50" s="98">
        <f t="shared" si="35"/>
        <v>134.79</v>
      </c>
      <c r="AS50" s="98">
        <f t="shared" si="9"/>
        <v>458.42274999999961</v>
      </c>
      <c r="AT50" s="98">
        <f t="shared" si="10"/>
        <v>99.510250000000028</v>
      </c>
      <c r="AU50" s="98">
        <f t="shared" si="24"/>
        <v>153.97499999999999</v>
      </c>
      <c r="AV50" s="98">
        <f t="array" ref="AV50">_xlfn.IFS(U50=0,AO50,U50&lt;0,AO50/-U50,U50&gt;0,AO50/U50)</f>
        <v>322.96792258484709</v>
      </c>
      <c r="AW50" s="234">
        <f t="shared" si="43"/>
        <v>0.26542885303815522</v>
      </c>
      <c r="AX50" s="234">
        <f t="shared" si="44"/>
        <v>2.3960822211206105</v>
      </c>
      <c r="AY50" s="99"/>
      <c r="AZ50" s="94">
        <f t="shared" si="13"/>
        <v>528052.55342622497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4</v>
      </c>
      <c r="F51" s="93">
        <v>2</v>
      </c>
      <c r="G51" s="93">
        <v>1</v>
      </c>
      <c r="H51" s="93" t="s">
        <v>100</v>
      </c>
      <c r="I51" s="93">
        <v>0</v>
      </c>
      <c r="J51" s="93">
        <v>1</v>
      </c>
      <c r="K51" s="92">
        <v>144.15</v>
      </c>
      <c r="L51" s="92">
        <f t="shared" si="42"/>
        <v>576.6</v>
      </c>
      <c r="M51" s="89">
        <v>999</v>
      </c>
      <c r="N51" s="89">
        <v>4</v>
      </c>
      <c r="O51" s="89">
        <v>1119</v>
      </c>
      <c r="P51" s="89">
        <v>67</v>
      </c>
      <c r="Q51" s="233">
        <f t="shared" si="14"/>
        <v>0.5714285714285714</v>
      </c>
      <c r="R51" s="92">
        <f t="shared" si="15"/>
        <v>0.42857142857142855</v>
      </c>
      <c r="S51" s="93">
        <v>3</v>
      </c>
      <c r="T51" s="93">
        <v>0</v>
      </c>
      <c r="U51" s="92">
        <f t="shared" si="16"/>
        <v>3</v>
      </c>
      <c r="V51" s="93">
        <v>2070</v>
      </c>
      <c r="W51" s="93">
        <v>0</v>
      </c>
      <c r="X51" s="92">
        <f t="shared" si="17"/>
        <v>2070</v>
      </c>
      <c r="Y51" s="93">
        <v>3357</v>
      </c>
      <c r="Z51" s="93">
        <v>0</v>
      </c>
      <c r="AA51" s="92">
        <f t="shared" si="18"/>
        <v>3357</v>
      </c>
      <c r="AB51" s="92">
        <f t="shared" si="19"/>
        <v>2998.92</v>
      </c>
      <c r="AC51" s="234">
        <f t="shared" si="20"/>
        <v>7.3117680072412518E-4</v>
      </c>
      <c r="AD51" s="92">
        <f t="shared" si="21"/>
        <v>432.45000000000005</v>
      </c>
      <c r="AE51" s="93">
        <v>1266.1199999999999</v>
      </c>
      <c r="AF51" s="234">
        <f t="shared" si="22"/>
        <v>0.37715817694369969</v>
      </c>
      <c r="AG51" s="93">
        <v>233.38</v>
      </c>
      <c r="AH51" s="93"/>
      <c r="AI51" s="93"/>
      <c r="AJ51" s="93"/>
      <c r="AK51" s="93"/>
      <c r="AL51" s="122">
        <f t="shared" si="6"/>
        <v>0</v>
      </c>
      <c r="AM51" s="93">
        <v>0</v>
      </c>
      <c r="AN51" s="94">
        <f t="shared" si="23"/>
        <v>118.197</v>
      </c>
      <c r="AO51" s="95">
        <f t="shared" si="25"/>
        <v>1306.8530000000001</v>
      </c>
      <c r="AP51" s="96"/>
      <c r="AQ51" s="97">
        <f t="shared" si="7"/>
        <v>1119</v>
      </c>
      <c r="AR51" s="98">
        <f t="shared" si="35"/>
        <v>144.15</v>
      </c>
      <c r="AS51" s="98">
        <f t="shared" si="9"/>
        <v>422.03999999999996</v>
      </c>
      <c r="AT51" s="98">
        <f t="shared" si="10"/>
        <v>77.793333333333337</v>
      </c>
      <c r="AU51" s="98">
        <f t="shared" si="24"/>
        <v>0</v>
      </c>
      <c r="AV51" s="98">
        <f t="array" ref="AV51">_xlfn.IFS(U51=0,AO51,U51&lt;0,AO51/-U51,U51&gt;0,AO51/U51)</f>
        <v>435.61766666666671</v>
      </c>
      <c r="AW51" s="234">
        <f t="shared" si="43"/>
        <v>0.38929192731605605</v>
      </c>
      <c r="AX51" s="234">
        <f t="shared" si="44"/>
        <v>3.0219747947739624</v>
      </c>
      <c r="AY51" s="99"/>
      <c r="AZ51" s="94">
        <f t="shared" si="13"/>
        <v>1742.4706666666668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49</v>
      </c>
      <c r="F52" s="93">
        <v>10</v>
      </c>
      <c r="G52" s="93">
        <v>4</v>
      </c>
      <c r="H52" s="93">
        <v>34</v>
      </c>
      <c r="I52" s="93">
        <v>0</v>
      </c>
      <c r="J52" s="93">
        <v>1</v>
      </c>
      <c r="K52" s="92">
        <v>96.18</v>
      </c>
      <c r="L52" s="92">
        <f t="shared" si="42"/>
        <v>4712.8200000000006</v>
      </c>
      <c r="M52" s="89">
        <v>111</v>
      </c>
      <c r="N52" s="89">
        <v>13</v>
      </c>
      <c r="O52" s="89">
        <v>1106</v>
      </c>
      <c r="P52" s="89">
        <v>25</v>
      </c>
      <c r="Q52" s="233">
        <f t="shared" si="14"/>
        <v>1.8571428571428572</v>
      </c>
      <c r="R52" s="92">
        <f t="shared" si="15"/>
        <v>0</v>
      </c>
      <c r="S52" s="93">
        <v>1</v>
      </c>
      <c r="T52" s="93">
        <v>-1</v>
      </c>
      <c r="U52" s="92">
        <f t="shared" si="16"/>
        <v>0</v>
      </c>
      <c r="V52" s="93">
        <v>696</v>
      </c>
      <c r="W52" s="93">
        <v>-629</v>
      </c>
      <c r="X52" s="92">
        <f t="shared" si="17"/>
        <v>67</v>
      </c>
      <c r="Y52" s="93">
        <v>1106</v>
      </c>
      <c r="Z52" s="93">
        <v>-1072.82</v>
      </c>
      <c r="AA52" s="92">
        <f t="shared" si="18"/>
        <v>33.180000000000064</v>
      </c>
      <c r="AB52" s="92">
        <f t="shared" si="19"/>
        <v>3594.5</v>
      </c>
      <c r="AC52" s="234">
        <f t="shared" si="20"/>
        <v>7.2268234280686688E-6</v>
      </c>
      <c r="AD52" s="92">
        <f t="shared" si="21"/>
        <v>0</v>
      </c>
      <c r="AE52" s="93">
        <v>14.380000000000109</v>
      </c>
      <c r="AF52" s="234">
        <f t="shared" si="22"/>
        <v>0.43339361060880294</v>
      </c>
      <c r="AG52" s="93">
        <v>743.3900000000001</v>
      </c>
      <c r="AH52" s="93"/>
      <c r="AI52" s="93">
        <v>1000</v>
      </c>
      <c r="AJ52" s="93"/>
      <c r="AK52" s="93"/>
      <c r="AL52" s="122">
        <f t="shared" si="6"/>
        <v>45.242365973741791</v>
      </c>
      <c r="AM52" s="93">
        <v>0</v>
      </c>
      <c r="AN52" s="94">
        <f t="shared" si="23"/>
        <v>3.8256999999999999</v>
      </c>
      <c r="AO52" s="95">
        <f t="shared" si="25"/>
        <v>-1773.6580659737419</v>
      </c>
      <c r="AP52" s="96"/>
      <c r="AQ52" s="97">
        <f t="shared" si="7"/>
        <v>0</v>
      </c>
      <c r="AR52" s="98">
        <f t="shared" si="35"/>
        <v>96.18</v>
      </c>
      <c r="AS52" s="98">
        <f t="shared" si="9"/>
        <v>0</v>
      </c>
      <c r="AT52" s="98">
        <f t="shared" si="10"/>
        <v>743.3900000000001</v>
      </c>
      <c r="AU52" s="98">
        <f t="shared" si="24"/>
        <v>1000</v>
      </c>
      <c r="AV52" s="98">
        <f t="array" ref="AV52">_xlfn.IFS(U52=0,AO52,U52&lt;0,AO52/-U52,U52&gt;0,AO52/U52)</f>
        <v>-1773.6580659737419</v>
      </c>
      <c r="AW52" s="234">
        <f t="shared" si="43"/>
        <v>0</v>
      </c>
      <c r="AX52" s="234">
        <f t="shared" si="44"/>
        <v>-18.4410279265309</v>
      </c>
      <c r="AY52" s="99"/>
      <c r="AZ52" s="94">
        <f t="shared" si="13"/>
        <v>-86909.245232713351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>
        <v>5</v>
      </c>
      <c r="G53" s="93" t="s">
        <v>100</v>
      </c>
      <c r="H53" s="93">
        <v>42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999</v>
      </c>
      <c r="N53" s="89">
        <v>6</v>
      </c>
      <c r="O53" s="89">
        <v>1106</v>
      </c>
      <c r="P53" s="89">
        <v>0</v>
      </c>
      <c r="Q53" s="233">
        <f t="shared" si="14"/>
        <v>0.8571428571428571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203.53</v>
      </c>
      <c r="AH53" s="93"/>
      <c r="AI53" s="93"/>
      <c r="AJ53" s="93"/>
      <c r="AK53" s="93"/>
      <c r="AL53" s="122">
        <f t="shared" si="6"/>
        <v>55.887628555798692</v>
      </c>
      <c r="AM53" s="93">
        <v>0</v>
      </c>
      <c r="AN53" s="94">
        <f t="shared" si="23"/>
        <v>0</v>
      </c>
      <c r="AO53" s="95">
        <f t="shared" si="25"/>
        <v>-259.41762855579867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203.53</v>
      </c>
      <c r="AU53" s="98">
        <f t="shared" si="24"/>
        <v>0</v>
      </c>
      <c r="AV53" s="98">
        <f t="array" ref="AV53">_xlfn.IFS(U53=0,AO53,U53&lt;0,AO53/-U53,U53&gt;0,AO53/U53)</f>
        <v>-259.41762855579867</v>
      </c>
      <c r="AW53" s="234">
        <f t="shared" si="43"/>
        <v>0</v>
      </c>
      <c r="AX53" s="234">
        <f t="shared" si="44"/>
        <v>-2.6972096959430094</v>
      </c>
      <c r="AY53" s="99"/>
      <c r="AZ53" s="94">
        <f t="shared" si="13"/>
        <v>-12452.046170678335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45</v>
      </c>
      <c r="F54" s="93">
        <v>8</v>
      </c>
      <c r="G54" s="93">
        <v>5</v>
      </c>
      <c r="H54" s="93">
        <v>31</v>
      </c>
      <c r="I54" s="93">
        <v>0</v>
      </c>
      <c r="J54" s="93">
        <v>1</v>
      </c>
      <c r="K54" s="93">
        <v>123.09</v>
      </c>
      <c r="L54" s="92">
        <f t="shared" si="42"/>
        <v>5539.05</v>
      </c>
      <c r="M54" s="89">
        <v>71</v>
      </c>
      <c r="N54" s="89">
        <v>15</v>
      </c>
      <c r="O54" s="89">
        <v>998</v>
      </c>
      <c r="P54" s="89">
        <v>25</v>
      </c>
      <c r="Q54" s="233">
        <f t="shared" si="14"/>
        <v>2.1428571428571428</v>
      </c>
      <c r="R54" s="92">
        <f t="shared" si="15"/>
        <v>0.2857142857142857</v>
      </c>
      <c r="S54" s="93">
        <v>2</v>
      </c>
      <c r="T54" s="93">
        <v>0</v>
      </c>
      <c r="U54" s="92">
        <f t="shared" si="16"/>
        <v>2</v>
      </c>
      <c r="V54" s="93">
        <v>1216</v>
      </c>
      <c r="W54" s="93">
        <v>0</v>
      </c>
      <c r="X54" s="92">
        <f t="shared" si="17"/>
        <v>1216</v>
      </c>
      <c r="Y54" s="93">
        <v>1945.06</v>
      </c>
      <c r="Z54" s="93">
        <v>0</v>
      </c>
      <c r="AA54" s="92">
        <f t="shared" si="18"/>
        <v>1945.06</v>
      </c>
      <c r="AB54" s="92">
        <f t="shared" si="19"/>
        <v>3742.5</v>
      </c>
      <c r="AC54" s="234">
        <f t="shared" si="20"/>
        <v>4.2364693119346648E-4</v>
      </c>
      <c r="AD54" s="92">
        <f t="shared" si="21"/>
        <v>246.18</v>
      </c>
      <c r="AE54" s="93">
        <v>734.27</v>
      </c>
      <c r="AF54" s="234">
        <f t="shared" si="22"/>
        <v>0.37750506411113283</v>
      </c>
      <c r="AG54" s="93">
        <v>871.78000000000009</v>
      </c>
      <c r="AH54" s="93"/>
      <c r="AI54" s="93"/>
      <c r="AJ54" s="93"/>
      <c r="AK54" s="93"/>
      <c r="AL54" s="122">
        <f t="shared" si="6"/>
        <v>41.250392505470458</v>
      </c>
      <c r="AM54" s="93">
        <v>0</v>
      </c>
      <c r="AN54" s="94">
        <f t="shared" si="23"/>
        <v>69.433599999999998</v>
      </c>
      <c r="AO54" s="95">
        <f t="shared" si="25"/>
        <v>-17.853992505470643</v>
      </c>
      <c r="AP54" s="96"/>
      <c r="AQ54" s="97">
        <f t="shared" si="7"/>
        <v>972.53</v>
      </c>
      <c r="AR54" s="98">
        <f t="shared" si="35"/>
        <v>123.09</v>
      </c>
      <c r="AS54" s="98">
        <f t="shared" si="9"/>
        <v>367.13499999999999</v>
      </c>
      <c r="AT54" s="98">
        <f t="shared" si="10"/>
        <v>435.89000000000004</v>
      </c>
      <c r="AU54" s="98">
        <f t="shared" si="24"/>
        <v>0</v>
      </c>
      <c r="AV54" s="98">
        <f t="array" ref="AV54">_xlfn.IFS(U54=0,AO54,U54&lt;0,AO54/-U54,U54&gt;0,AO54/U54)</f>
        <v>-8.9269962527353215</v>
      </c>
      <c r="AW54" s="234">
        <f t="shared" si="43"/>
        <v>-9.1791474327119187E-3</v>
      </c>
      <c r="AX54" s="234">
        <f t="shared" si="44"/>
        <v>-7.2524138863720208E-2</v>
      </c>
      <c r="AY54" s="99"/>
      <c r="AZ54" s="94">
        <f t="shared" si="13"/>
        <v>-401.71483137308945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20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6"/>
        <v>0</v>
      </c>
      <c r="AM55" s="93">
        <v>0</v>
      </c>
      <c r="AN55" s="94">
        <f t="shared" si="23"/>
        <v>0</v>
      </c>
      <c r="AO55" s="95">
        <f t="shared" si="25"/>
        <v>0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0</v>
      </c>
      <c r="AU55" s="98">
        <f t="shared" si="24"/>
        <v>0</v>
      </c>
      <c r="AV55" s="98">
        <f t="array" ref="AV55">_xlfn.IFS(U55=0,AO55,U55&lt;0,AO55/-U55,U55&gt;0,AO55/U55)</f>
        <v>0</v>
      </c>
      <c r="AW55" s="234">
        <f t="shared" si="43"/>
        <v>0</v>
      </c>
      <c r="AX55" s="234">
        <f t="shared" si="44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2"/>
        <v>152.34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34</v>
      </c>
      <c r="F58" s="93">
        <v>13</v>
      </c>
      <c r="G58" s="93">
        <v>8</v>
      </c>
      <c r="H58" s="93">
        <v>12</v>
      </c>
      <c r="I58" s="93">
        <v>0</v>
      </c>
      <c r="J58" s="93">
        <v>1</v>
      </c>
      <c r="K58" s="93">
        <v>169.89</v>
      </c>
      <c r="L58" s="92">
        <f t="shared" si="42"/>
        <v>5776.2599999999993</v>
      </c>
      <c r="M58" s="89">
        <v>41</v>
      </c>
      <c r="N58" s="89">
        <v>22</v>
      </c>
      <c r="O58" s="89">
        <v>1039</v>
      </c>
      <c r="P58" s="89">
        <v>33</v>
      </c>
      <c r="Q58" s="233">
        <f t="shared" si="14"/>
        <v>3.1428571428571428</v>
      </c>
      <c r="R58" s="92">
        <f t="shared" si="15"/>
        <v>0.7142857142857143</v>
      </c>
      <c r="S58" s="93">
        <v>5</v>
      </c>
      <c r="T58" s="93">
        <v>0</v>
      </c>
      <c r="U58" s="92">
        <f t="shared" si="16"/>
        <v>5</v>
      </c>
      <c r="V58" s="93">
        <v>3285</v>
      </c>
      <c r="W58" s="93">
        <v>0</v>
      </c>
      <c r="X58" s="92">
        <f t="shared" si="17"/>
        <v>3285</v>
      </c>
      <c r="Y58" s="93">
        <v>5163.83</v>
      </c>
      <c r="Z58" s="93">
        <v>0</v>
      </c>
      <c r="AA58" s="92">
        <f t="shared" si="18"/>
        <v>5163.83</v>
      </c>
      <c r="AB58" s="92">
        <f t="shared" si="19"/>
        <v>7543.14</v>
      </c>
      <c r="AC58" s="234">
        <f t="shared" si="20"/>
        <v>1.1247163237662376E-3</v>
      </c>
      <c r="AD58" s="92">
        <f t="shared" si="21"/>
        <v>849.44999999999993</v>
      </c>
      <c r="AE58" s="93">
        <v>1933.4299999999998</v>
      </c>
      <c r="AF58" s="234">
        <f t="shared" si="22"/>
        <v>0.37441782552872577</v>
      </c>
      <c r="AG58" s="93">
        <v>1323.42</v>
      </c>
      <c r="AH58" s="93">
        <v>2000</v>
      </c>
      <c r="AI58" s="93">
        <v>1004</v>
      </c>
      <c r="AJ58" s="93"/>
      <c r="AK58" s="93"/>
      <c r="AL58" s="122">
        <f t="shared" si="6"/>
        <v>15.967893873085339</v>
      </c>
      <c r="AM58" s="93">
        <v>0</v>
      </c>
      <c r="AN58" s="94">
        <f t="shared" si="23"/>
        <v>187.5735</v>
      </c>
      <c r="AO58" s="95">
        <f t="shared" si="25"/>
        <v>-2150.0113938730851</v>
      </c>
      <c r="AP58" s="96"/>
      <c r="AQ58" s="97">
        <f t="shared" si="7"/>
        <v>1032.7660000000001</v>
      </c>
      <c r="AR58" s="98">
        <f t="shared" si="35"/>
        <v>169.89</v>
      </c>
      <c r="AS58" s="98">
        <f t="shared" si="9"/>
        <v>386.68599999999998</v>
      </c>
      <c r="AT58" s="98">
        <f t="shared" si="10"/>
        <v>264.68400000000003</v>
      </c>
      <c r="AU58" s="98">
        <f t="shared" si="24"/>
        <v>600.79999999999995</v>
      </c>
      <c r="AV58" s="98">
        <f t="array" ref="AV58">_xlfn.IFS(U58=0,AO58,U58&lt;0,AO58/-U58,U58&gt;0,AO58/U58)</f>
        <v>-430.00227877461703</v>
      </c>
      <c r="AW58" s="234">
        <f t="shared" si="43"/>
        <v>-0.41635983250282926</v>
      </c>
      <c r="AX58" s="234">
        <f t="shared" si="44"/>
        <v>-2.5310629158550655</v>
      </c>
      <c r="AY58" s="99"/>
      <c r="AZ58" s="94">
        <f t="shared" si="13"/>
        <v>-14620.077478336978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67</v>
      </c>
      <c r="F60" s="93">
        <v>3</v>
      </c>
      <c r="G60" s="93">
        <v>6</v>
      </c>
      <c r="H60" s="93">
        <v>17</v>
      </c>
      <c r="I60" s="93">
        <v>0</v>
      </c>
      <c r="J60" s="93">
        <v>41</v>
      </c>
      <c r="K60" s="93">
        <v>158.19</v>
      </c>
      <c r="L60" s="92">
        <f t="shared" si="42"/>
        <v>10598.73</v>
      </c>
      <c r="M60" s="89">
        <v>77</v>
      </c>
      <c r="N60" s="89">
        <v>8</v>
      </c>
      <c r="O60" s="89">
        <v>1049</v>
      </c>
      <c r="P60" s="89">
        <v>0</v>
      </c>
      <c r="Q60" s="233">
        <f t="shared" si="14"/>
        <v>1.1428571428571428</v>
      </c>
      <c r="R60" s="92">
        <f t="shared" si="15"/>
        <v>0.2857142857142857</v>
      </c>
      <c r="S60" s="93">
        <v>2</v>
      </c>
      <c r="T60" s="93">
        <v>0</v>
      </c>
      <c r="U60" s="92">
        <f t="shared" si="16"/>
        <v>2</v>
      </c>
      <c r="V60" s="93">
        <v>1322</v>
      </c>
      <c r="W60" s="93">
        <v>0</v>
      </c>
      <c r="X60" s="92">
        <f t="shared" si="17"/>
        <v>1322</v>
      </c>
      <c r="Y60" s="93">
        <v>2066.5299999999997</v>
      </c>
      <c r="Z60" s="93">
        <v>0</v>
      </c>
      <c r="AA60" s="92">
        <f t="shared" si="18"/>
        <v>2066.5299999999997</v>
      </c>
      <c r="AB60" s="92">
        <f t="shared" si="19"/>
        <v>0</v>
      </c>
      <c r="AC60" s="234">
        <f t="shared" si="20"/>
        <v>4.5010390050653152E-4</v>
      </c>
      <c r="AD60" s="92">
        <f t="shared" si="21"/>
        <v>316.38</v>
      </c>
      <c r="AE60" s="93">
        <v>787.40999999999985</v>
      </c>
      <c r="AF60" s="234">
        <f t="shared" si="22"/>
        <v>0.3810300358572099</v>
      </c>
      <c r="AG60" s="93">
        <v>591.61</v>
      </c>
      <c r="AH60" s="93"/>
      <c r="AI60" s="93"/>
      <c r="AJ60" s="93"/>
      <c r="AK60" s="93"/>
      <c r="AL60" s="122">
        <f t="shared" si="6"/>
        <v>22.621182986870895</v>
      </c>
      <c r="AM60" s="93">
        <v>0</v>
      </c>
      <c r="AN60" s="94">
        <f t="shared" si="23"/>
        <v>75.486199999999997</v>
      </c>
      <c r="AO60" s="95">
        <f t="shared" si="25"/>
        <v>273.02261701312887</v>
      </c>
      <c r="AP60" s="96"/>
      <c r="AQ60" s="97">
        <f t="shared" si="7"/>
        <v>1033.2649999999999</v>
      </c>
      <c r="AR60" s="98">
        <f t="shared" si="35"/>
        <v>158.19</v>
      </c>
      <c r="AS60" s="98">
        <f t="shared" si="9"/>
        <v>393.70499999999993</v>
      </c>
      <c r="AT60" s="98">
        <f t="shared" si="10"/>
        <v>295.80500000000001</v>
      </c>
      <c r="AU60" s="98">
        <f t="shared" si="24"/>
        <v>0</v>
      </c>
      <c r="AV60" s="98">
        <f t="array" ref="AV60">_xlfn.IFS(U60=0,AO60,U60&lt;0,AO60/-U60,U60&gt;0,AO60/U60)</f>
        <v>136.51130850656443</v>
      </c>
      <c r="AW60" s="234">
        <f t="shared" si="43"/>
        <v>0.13211645464286939</v>
      </c>
      <c r="AX60" s="234">
        <f t="shared" si="44"/>
        <v>0.86295788928860506</v>
      </c>
      <c r="AY60" s="99"/>
      <c r="AZ60" s="94">
        <f t="shared" si="13"/>
        <v>9146.2576699398178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>
        <v>2</v>
      </c>
      <c r="G61" s="93" t="s">
        <v>100</v>
      </c>
      <c r="H61" s="93">
        <v>161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2</v>
      </c>
      <c r="O61" s="89">
        <v>948</v>
      </c>
      <c r="P61" s="89">
        <v>0</v>
      </c>
      <c r="Q61" s="233">
        <f t="shared" si="14"/>
        <v>0.2857142857142857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94.37</v>
      </c>
      <c r="AH61" s="93"/>
      <c r="AI61" s="93"/>
      <c r="AJ61" s="93"/>
      <c r="AK61" s="93"/>
      <c r="AL61" s="122">
        <f t="shared" si="6"/>
        <v>214.23590946389496</v>
      </c>
      <c r="AM61" s="93">
        <v>0</v>
      </c>
      <c r="AN61" s="94">
        <f t="shared" si="23"/>
        <v>0</v>
      </c>
      <c r="AO61" s="95">
        <f t="shared" si="25"/>
        <v>-308.60590946389493</v>
      </c>
      <c r="AP61" s="96"/>
      <c r="AQ61" s="97">
        <f t="shared" si="7"/>
        <v>0</v>
      </c>
      <c r="AR61" s="98">
        <f t="shared" si="35"/>
        <v>128.94</v>
      </c>
      <c r="AS61" s="98">
        <f t="shared" si="9"/>
        <v>0</v>
      </c>
      <c r="AT61" s="98">
        <f t="shared" si="10"/>
        <v>94.37</v>
      </c>
      <c r="AU61" s="98">
        <f t="shared" si="24"/>
        <v>0</v>
      </c>
      <c r="AV61" s="98">
        <f t="array" ref="AV61">_xlfn.IFS(U61=0,AO61,U61&lt;0,AO61/-U61,U61&gt;0,AO61/U61)</f>
        <v>-308.60590946389493</v>
      </c>
      <c r="AW61" s="234">
        <f t="shared" si="43"/>
        <v>0</v>
      </c>
      <c r="AX61" s="234">
        <f t="shared" si="44"/>
        <v>-2.3934070844105393</v>
      </c>
      <c r="AY61" s="99"/>
      <c r="AZ61" s="94">
        <f t="shared" si="13"/>
        <v>-149365.26018052513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1.3306578227571118</v>
      </c>
      <c r="AM65" s="93">
        <v>0</v>
      </c>
      <c r="AN65" s="94">
        <f t="shared" si="23"/>
        <v>0</v>
      </c>
      <c r="AO65" s="95">
        <f t="shared" si="25"/>
        <v>-1.3306578227571118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-1.3306578227571118</v>
      </c>
      <c r="AW65" s="234">
        <f t="shared" si="43"/>
        <v>0</v>
      </c>
      <c r="AX65" s="234">
        <f t="shared" si="44"/>
        <v>-1.334795689394234E-2</v>
      </c>
      <c r="AY65" s="99"/>
      <c r="AZ65" s="94">
        <f t="shared" si="13"/>
        <v>-2.6613156455142235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3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1</v>
      </c>
      <c r="K66" s="93">
        <v>97.35</v>
      </c>
      <c r="L66" s="92">
        <f t="shared" si="42"/>
        <v>292.04999999999995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2.6613156455142235</v>
      </c>
      <c r="AM66" s="93">
        <v>0</v>
      </c>
      <c r="AN66" s="94">
        <f t="shared" si="23"/>
        <v>0</v>
      </c>
      <c r="AO66" s="95">
        <f t="shared" si="25"/>
        <v>-2.6613156455142235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-2.6613156455142235</v>
      </c>
      <c r="AW66" s="234">
        <f t="shared" si="43"/>
        <v>0</v>
      </c>
      <c r="AX66" s="234">
        <f t="shared" si="44"/>
        <v>-2.7337602932863109E-2</v>
      </c>
      <c r="AY66" s="99"/>
      <c r="AZ66" s="94">
        <f t="shared" si="13"/>
        <v>-7.9839469365426705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323.39999999999998</v>
      </c>
      <c r="M67" s="89">
        <v>3</v>
      </c>
      <c r="N67" s="89">
        <v>1</v>
      </c>
      <c r="O67" s="89">
        <v>1049</v>
      </c>
      <c r="P67" s="89">
        <v>0</v>
      </c>
      <c r="Q67" s="233">
        <f t="shared" si="14"/>
        <v>0.14285714285714285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12</v>
      </c>
      <c r="F69" s="93">
        <v>2</v>
      </c>
      <c r="G69" s="93" t="s">
        <v>100</v>
      </c>
      <c r="H69" s="93">
        <v>9</v>
      </c>
      <c r="I69" s="93">
        <v>0</v>
      </c>
      <c r="J69" s="93">
        <v>1</v>
      </c>
      <c r="K69" s="93">
        <v>140.63999999999999</v>
      </c>
      <c r="L69" s="92">
        <f t="shared" si="42"/>
        <v>1687.6799999999998</v>
      </c>
      <c r="M69" s="89">
        <v>111</v>
      </c>
      <c r="N69" s="89">
        <v>3</v>
      </c>
      <c r="O69" s="89">
        <v>998</v>
      </c>
      <c r="P69" s="89">
        <v>100</v>
      </c>
      <c r="Q69" s="233">
        <f t="shared" si="47"/>
        <v>0.42857142857142855</v>
      </c>
      <c r="R69" s="92">
        <f t="shared" si="48"/>
        <v>0.14285714285714285</v>
      </c>
      <c r="S69" s="93">
        <v>1</v>
      </c>
      <c r="T69" s="93">
        <v>0</v>
      </c>
      <c r="U69" s="92">
        <f t="shared" si="49"/>
        <v>1</v>
      </c>
      <c r="V69" s="93">
        <v>657</v>
      </c>
      <c r="W69" s="93">
        <v>0</v>
      </c>
      <c r="X69" s="92">
        <f t="shared" si="50"/>
        <v>657</v>
      </c>
      <c r="Y69" s="93">
        <v>998</v>
      </c>
      <c r="Z69" s="93">
        <v>0</v>
      </c>
      <c r="AA69" s="92">
        <f t="shared" si="51"/>
        <v>998</v>
      </c>
      <c r="AB69" s="92">
        <f t="shared" si="52"/>
        <v>2994</v>
      </c>
      <c r="AC69" s="234">
        <f t="shared" si="53"/>
        <v>2.1737100003654363E-4</v>
      </c>
      <c r="AD69" s="92">
        <f t="shared" si="54"/>
        <v>140.63999999999999</v>
      </c>
      <c r="AE69" s="93">
        <v>378.08000000000004</v>
      </c>
      <c r="AF69" s="234">
        <f t="shared" si="55"/>
        <v>0.37883767535070145</v>
      </c>
      <c r="AG69" s="93">
        <v>237.53</v>
      </c>
      <c r="AH69" s="93"/>
      <c r="AI69" s="93"/>
      <c r="AJ69" s="93"/>
      <c r="AK69" s="93"/>
      <c r="AL69" s="122">
        <f t="shared" si="46"/>
        <v>11.975920404814005</v>
      </c>
      <c r="AM69" s="93">
        <v>0</v>
      </c>
      <c r="AN69" s="94">
        <f t="shared" si="56"/>
        <v>37.514699999999998</v>
      </c>
      <c r="AO69" s="95">
        <f t="shared" ref="AO69:AO103" si="57">AA69-AD69-AE69-AG69-AH69-AI69-AK69-AL69-AN69-AM69</f>
        <v>192.25937959518598</v>
      </c>
      <c r="AP69" s="96"/>
      <c r="AQ69" s="97">
        <f t="shared" si="7"/>
        <v>998</v>
      </c>
      <c r="AR69" s="98">
        <f t="shared" si="35"/>
        <v>140.63999999999999</v>
      </c>
      <c r="AS69" s="98">
        <f t="shared" si="9"/>
        <v>378.08000000000004</v>
      </c>
      <c r="AT69" s="98">
        <f t="shared" si="10"/>
        <v>237.53</v>
      </c>
      <c r="AU69" s="98">
        <f t="shared" si="24"/>
        <v>0</v>
      </c>
      <c r="AV69" s="98">
        <f t="array" ref="AV69">_xlfn.IFS(U69=0,AO69,U69&lt;0,AO69/-U69,U69&gt;0,AO69/U69)</f>
        <v>192.25937959518598</v>
      </c>
      <c r="AW69" s="234">
        <f t="shared" si="43"/>
        <v>0.19264466893305207</v>
      </c>
      <c r="AX69" s="234">
        <f t="shared" si="44"/>
        <v>1.3670319937086604</v>
      </c>
      <c r="AY69" s="99"/>
      <c r="AZ69" s="94">
        <f t="shared" si="13"/>
        <v>2307.1125551422319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7</v>
      </c>
      <c r="F70" s="93">
        <v>2</v>
      </c>
      <c r="G70" s="93">
        <v>2</v>
      </c>
      <c r="H70" s="93">
        <v>2</v>
      </c>
      <c r="I70" s="93">
        <v>0</v>
      </c>
      <c r="J70" s="93">
        <v>1</v>
      </c>
      <c r="K70" s="93">
        <v>117.24</v>
      </c>
      <c r="L70" s="92">
        <f t="shared" si="42"/>
        <v>820.68</v>
      </c>
      <c r="M70" s="89">
        <v>31</v>
      </c>
      <c r="N70" s="89">
        <v>4</v>
      </c>
      <c r="O70" s="89">
        <v>1048</v>
      </c>
      <c r="P70" s="89">
        <v>0</v>
      </c>
      <c r="Q70" s="233">
        <f t="shared" si="47"/>
        <v>0.5714285714285714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488.09</v>
      </c>
      <c r="AH70" s="93"/>
      <c r="AI70" s="93"/>
      <c r="AJ70" s="93"/>
      <c r="AK70" s="93"/>
      <c r="AL70" s="122">
        <f t="shared" si="46"/>
        <v>2.6613156455142235</v>
      </c>
      <c r="AM70" s="93">
        <v>0</v>
      </c>
      <c r="AN70" s="94">
        <f t="shared" si="56"/>
        <v>0</v>
      </c>
      <c r="AO70" s="95">
        <f t="shared" si="57"/>
        <v>-490.75131564551418</v>
      </c>
      <c r="AP70" s="96"/>
      <c r="AQ70" s="97">
        <f t="shared" si="7"/>
        <v>0</v>
      </c>
      <c r="AR70" s="98">
        <f t="shared" si="35"/>
        <v>117.24</v>
      </c>
      <c r="AS70" s="98">
        <f t="shared" si="9"/>
        <v>0</v>
      </c>
      <c r="AT70" s="98">
        <f t="shared" si="10"/>
        <v>488.09</v>
      </c>
      <c r="AU70" s="98">
        <f t="shared" si="24"/>
        <v>0</v>
      </c>
      <c r="AV70" s="98">
        <f t="array" ref="AV70">_xlfn.IFS(U70=0,AO70,U70&lt;0,AO70/-U70,U70&gt;0,AO70/U70)</f>
        <v>-490.75131564551418</v>
      </c>
      <c r="AW70" s="234">
        <f t="shared" si="43"/>
        <v>0</v>
      </c>
      <c r="AX70" s="234">
        <f t="shared" si="44"/>
        <v>-4.1858692907328061</v>
      </c>
      <c r="AY70" s="99"/>
      <c r="AZ70" s="94">
        <f t="shared" si="13"/>
        <v>-3435.2592095185992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13</v>
      </c>
      <c r="F71" s="93">
        <v>8</v>
      </c>
      <c r="G71" s="93">
        <v>4</v>
      </c>
      <c r="H71" s="93" t="s">
        <v>100</v>
      </c>
      <c r="I71" s="93">
        <v>0</v>
      </c>
      <c r="J71" s="93">
        <v>1</v>
      </c>
      <c r="K71" s="93">
        <v>123.09</v>
      </c>
      <c r="L71" s="92">
        <f t="shared" si="42"/>
        <v>1600.17</v>
      </c>
      <c r="M71" s="89">
        <v>15</v>
      </c>
      <c r="N71" s="89">
        <v>8</v>
      </c>
      <c r="O71" s="89">
        <v>702</v>
      </c>
      <c r="P71" s="89">
        <v>33</v>
      </c>
      <c r="Q71" s="233">
        <f t="shared" si="47"/>
        <v>1.1428571428571428</v>
      </c>
      <c r="R71" s="92">
        <f t="shared" si="48"/>
        <v>0.42857142857142855</v>
      </c>
      <c r="S71" s="93">
        <v>3</v>
      </c>
      <c r="T71" s="93">
        <v>0</v>
      </c>
      <c r="U71" s="92">
        <f t="shared" si="49"/>
        <v>3</v>
      </c>
      <c r="V71" s="93">
        <v>1393</v>
      </c>
      <c r="W71" s="93">
        <v>0</v>
      </c>
      <c r="X71" s="92">
        <f t="shared" si="50"/>
        <v>1393</v>
      </c>
      <c r="Y71" s="93">
        <v>2084.94</v>
      </c>
      <c r="Z71" s="93">
        <v>0</v>
      </c>
      <c r="AA71" s="92">
        <f t="shared" si="51"/>
        <v>2084.94</v>
      </c>
      <c r="AB71" s="92">
        <f t="shared" si="52"/>
        <v>1853.28</v>
      </c>
      <c r="AC71" s="234">
        <f t="shared" si="53"/>
        <v>4.5411372025670467E-4</v>
      </c>
      <c r="AD71" s="92">
        <f t="shared" si="54"/>
        <v>369.27</v>
      </c>
      <c r="AE71" s="93">
        <v>794.93000000000006</v>
      </c>
      <c r="AF71" s="234">
        <f t="shared" si="55"/>
        <v>0.38127236275384424</v>
      </c>
      <c r="AG71" s="93">
        <v>967.88</v>
      </c>
      <c r="AH71" s="93"/>
      <c r="AI71" s="93"/>
      <c r="AJ71" s="93"/>
      <c r="AK71" s="93"/>
      <c r="AL71" s="122">
        <f t="shared" si="46"/>
        <v>0</v>
      </c>
      <c r="AM71" s="93">
        <v>0</v>
      </c>
      <c r="AN71" s="94">
        <f t="shared" si="56"/>
        <v>79.540300000000002</v>
      </c>
      <c r="AO71" s="95">
        <f t="shared" si="57"/>
        <v>-126.68029999999999</v>
      </c>
      <c r="AP71" s="96"/>
      <c r="AQ71" s="97">
        <f t="shared" si="7"/>
        <v>694.98</v>
      </c>
      <c r="AR71" s="98">
        <f t="shared" si="35"/>
        <v>123.09</v>
      </c>
      <c r="AS71" s="98">
        <f t="shared" si="9"/>
        <v>264.97666666666669</v>
      </c>
      <c r="AT71" s="98">
        <f t="shared" si="10"/>
        <v>322.62666666666667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-42.226766666666663</v>
      </c>
      <c r="AW71" s="234">
        <f t="shared" si="43"/>
        <v>-6.0759686130056494E-2</v>
      </c>
      <c r="AX71" s="234">
        <f t="shared" si="44"/>
        <v>-0.34305602946353614</v>
      </c>
      <c r="AY71" s="99"/>
      <c r="AZ71" s="94">
        <f t="shared" si="13"/>
        <v>-548.94796666666662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3</v>
      </c>
      <c r="F72" s="93">
        <v>2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369.27</v>
      </c>
      <c r="M72" s="89">
        <v>999</v>
      </c>
      <c r="N72" s="89">
        <v>1</v>
      </c>
      <c r="O72" s="89">
        <v>837</v>
      </c>
      <c r="P72" s="89">
        <v>0</v>
      </c>
      <c r="Q72" s="233">
        <f t="shared" si="47"/>
        <v>0.14285714285714285</v>
      </c>
      <c r="R72" s="92">
        <f t="shared" si="48"/>
        <v>0.2857142857142857</v>
      </c>
      <c r="S72" s="93">
        <v>2</v>
      </c>
      <c r="T72" s="93">
        <v>0</v>
      </c>
      <c r="U72" s="92">
        <f t="shared" si="49"/>
        <v>2</v>
      </c>
      <c r="V72" s="93">
        <v>1055</v>
      </c>
      <c r="W72" s="93">
        <v>0</v>
      </c>
      <c r="X72" s="92">
        <f t="shared" si="50"/>
        <v>1055</v>
      </c>
      <c r="Y72" s="93">
        <v>1674</v>
      </c>
      <c r="Z72" s="93">
        <v>0</v>
      </c>
      <c r="AA72" s="92">
        <f t="shared" si="51"/>
        <v>1674</v>
      </c>
      <c r="AB72" s="92">
        <f t="shared" si="52"/>
        <v>0</v>
      </c>
      <c r="AC72" s="234">
        <f t="shared" si="53"/>
        <v>3.6460827060237876E-4</v>
      </c>
      <c r="AD72" s="92">
        <f t="shared" si="54"/>
        <v>246.18</v>
      </c>
      <c r="AE72" s="93">
        <v>632.28</v>
      </c>
      <c r="AF72" s="234">
        <f t="shared" si="55"/>
        <v>0.37770609318996412</v>
      </c>
      <c r="AG72" s="93">
        <v>197.89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60.240499999999997</v>
      </c>
      <c r="AO72" s="95">
        <f t="shared" si="57"/>
        <v>537.40949999999998</v>
      </c>
      <c r="AP72" s="96"/>
      <c r="AQ72" s="97">
        <f t="shared" si="7"/>
        <v>837</v>
      </c>
      <c r="AR72" s="98">
        <f t="shared" si="35"/>
        <v>123.09</v>
      </c>
      <c r="AS72" s="98">
        <f t="shared" si="9"/>
        <v>316.14</v>
      </c>
      <c r="AT72" s="98">
        <f t="shared" si="10"/>
        <v>98.944999999999993</v>
      </c>
      <c r="AU72" s="98">
        <f t="shared" si="58"/>
        <v>0</v>
      </c>
      <c r="AV72" s="98">
        <f t="array" ref="AV72">_xlfn.IFS(U72=0,AO72,U72&lt;0,AO72/-U72,U72&gt;0,AO72/U72)</f>
        <v>268.70474999999999</v>
      </c>
      <c r="AW72" s="234">
        <f t="shared" si="43"/>
        <v>0.32103315412186378</v>
      </c>
      <c r="AX72" s="234">
        <f t="shared" si="44"/>
        <v>2.1829941506214965</v>
      </c>
      <c r="AY72" s="99"/>
      <c r="AZ72" s="94">
        <f t="shared" si="13"/>
        <v>806.11424999999997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7</v>
      </c>
      <c r="F73" s="93">
        <v>2</v>
      </c>
      <c r="G73" s="93">
        <v>4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861.63</v>
      </c>
      <c r="M73" s="89">
        <v>17</v>
      </c>
      <c r="N73" s="89">
        <v>6</v>
      </c>
      <c r="O73" s="89">
        <v>807</v>
      </c>
      <c r="P73" s="89">
        <v>25</v>
      </c>
      <c r="Q73" s="233">
        <f t="shared" si="47"/>
        <v>0.8571428571428571</v>
      </c>
      <c r="R73" s="92">
        <f t="shared" si="48"/>
        <v>0.14285714285714285</v>
      </c>
      <c r="S73" s="93">
        <v>1</v>
      </c>
      <c r="T73" s="93">
        <v>0</v>
      </c>
      <c r="U73" s="92">
        <f t="shared" si="49"/>
        <v>1</v>
      </c>
      <c r="V73" s="93">
        <v>638.67999999999995</v>
      </c>
      <c r="W73" s="93">
        <v>0</v>
      </c>
      <c r="X73" s="92">
        <f t="shared" si="50"/>
        <v>638.67999999999995</v>
      </c>
      <c r="Y73" s="93">
        <v>807.21</v>
      </c>
      <c r="Z73" s="93">
        <v>0</v>
      </c>
      <c r="AA73" s="92">
        <f t="shared" si="51"/>
        <v>807.21</v>
      </c>
      <c r="AB73" s="92">
        <f t="shared" si="52"/>
        <v>1210.5</v>
      </c>
      <c r="AC73" s="234">
        <f t="shared" si="53"/>
        <v>1.7581567629208254E-4</v>
      </c>
      <c r="AD73" s="92">
        <f t="shared" si="54"/>
        <v>123.09</v>
      </c>
      <c r="AE73" s="93">
        <v>300.50000000000006</v>
      </c>
      <c r="AF73" s="234">
        <f t="shared" si="55"/>
        <v>0.37226991736970561</v>
      </c>
      <c r="AG73" s="93">
        <v>460.28</v>
      </c>
      <c r="AH73" s="93"/>
      <c r="AI73" s="93"/>
      <c r="AJ73" s="93"/>
      <c r="AK73" s="93"/>
      <c r="AL73" s="122">
        <f t="shared" si="46"/>
        <v>0</v>
      </c>
      <c r="AM73" s="93">
        <v>0</v>
      </c>
      <c r="AN73" s="94">
        <f t="shared" si="56"/>
        <v>36.468627999999995</v>
      </c>
      <c r="AO73" s="95">
        <f t="shared" si="57"/>
        <v>-113.12862800000002</v>
      </c>
      <c r="AP73" s="96"/>
      <c r="AQ73" s="97">
        <f t="shared" si="7"/>
        <v>807.21</v>
      </c>
      <c r="AR73" s="98">
        <f t="shared" si="35"/>
        <v>123.09</v>
      </c>
      <c r="AS73" s="98">
        <f t="shared" si="9"/>
        <v>300.50000000000006</v>
      </c>
      <c r="AT73" s="98">
        <f t="shared" si="10"/>
        <v>460.28</v>
      </c>
      <c r="AU73" s="98">
        <f t="shared" si="58"/>
        <v>0</v>
      </c>
      <c r="AV73" s="98">
        <f t="array" ref="AV73">_xlfn.IFS(U73=0,AO73,U73&lt;0,AO73/-U73,U73&gt;0,AO73/U73)</f>
        <v>-113.12862800000002</v>
      </c>
      <c r="AW73" s="234">
        <f t="shared" si="43"/>
        <v>-0.14014770381932831</v>
      </c>
      <c r="AX73" s="234">
        <f t="shared" si="44"/>
        <v>-0.91907245105207591</v>
      </c>
      <c r="AY73" s="99"/>
      <c r="AZ73" s="94">
        <f t="shared" si="13"/>
        <v>-791.90039600000011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1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8"/>
        <v>0</v>
      </c>
      <c r="AV74" s="98">
        <f t="array" ref="AV74">_xlfn.IFS(U74=0,AO74,U74&lt;0,AO74/-U74,U74&gt;0,AO74/U74)</f>
        <v>0</v>
      </c>
      <c r="AW74" s="234">
        <f t="shared" si="43"/>
        <v>0</v>
      </c>
      <c r="AX74" s="234">
        <f t="shared" si="44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26</v>
      </c>
      <c r="F75" s="93">
        <v>11</v>
      </c>
      <c r="G75" s="93">
        <v>4</v>
      </c>
      <c r="H75" s="93">
        <v>10</v>
      </c>
      <c r="I75" s="93">
        <v>0</v>
      </c>
      <c r="J75" s="93">
        <v>1</v>
      </c>
      <c r="K75" s="93">
        <v>134.79</v>
      </c>
      <c r="L75" s="92">
        <f t="shared" si="42"/>
        <v>3504.54</v>
      </c>
      <c r="M75" s="89">
        <v>15</v>
      </c>
      <c r="N75" s="89">
        <v>16</v>
      </c>
      <c r="O75" s="89">
        <v>763</v>
      </c>
      <c r="P75" s="89">
        <v>29</v>
      </c>
      <c r="Q75" s="233">
        <f t="shared" si="47"/>
        <v>2.2857142857142856</v>
      </c>
      <c r="R75" s="92">
        <f t="shared" si="48"/>
        <v>0.7142857142857143</v>
      </c>
      <c r="S75" s="93">
        <v>6</v>
      </c>
      <c r="T75" s="93">
        <v>-1</v>
      </c>
      <c r="U75" s="92">
        <f t="shared" si="49"/>
        <v>5</v>
      </c>
      <c r="V75" s="93">
        <v>3164.75</v>
      </c>
      <c r="W75" s="93">
        <v>-507</v>
      </c>
      <c r="X75" s="92">
        <f t="shared" si="50"/>
        <v>2657.75</v>
      </c>
      <c r="Y75" s="93">
        <v>4561.17</v>
      </c>
      <c r="Z75" s="93">
        <v>-763</v>
      </c>
      <c r="AA75" s="92">
        <f t="shared" si="51"/>
        <v>3798.17</v>
      </c>
      <c r="AB75" s="92">
        <f t="shared" si="52"/>
        <v>3540.32</v>
      </c>
      <c r="AC75" s="234">
        <f t="shared" si="53"/>
        <v>8.2726654429739373E-4</v>
      </c>
      <c r="AD75" s="92">
        <f t="shared" si="54"/>
        <v>673.94999999999993</v>
      </c>
      <c r="AE75" s="93">
        <v>1440.6399999999999</v>
      </c>
      <c r="AF75" s="234">
        <f t="shared" si="55"/>
        <v>0.37929845162275511</v>
      </c>
      <c r="AG75" s="93">
        <v>1416.28</v>
      </c>
      <c r="AH75" s="93"/>
      <c r="AI75" s="93"/>
      <c r="AJ75" s="93"/>
      <c r="AK75" s="93"/>
      <c r="AL75" s="122">
        <f t="shared" si="46"/>
        <v>13.306578227571118</v>
      </c>
      <c r="AM75" s="93">
        <v>0</v>
      </c>
      <c r="AN75" s="94">
        <f t="shared" si="56"/>
        <v>151.75752499999999</v>
      </c>
      <c r="AO75" s="95">
        <f t="shared" si="57"/>
        <v>102.2358967724293</v>
      </c>
      <c r="AP75" s="96"/>
      <c r="AQ75" s="97">
        <f t="shared" si="7"/>
        <v>759.63400000000001</v>
      </c>
      <c r="AR75" s="98">
        <f t="shared" si="35"/>
        <v>134.79</v>
      </c>
      <c r="AS75" s="98">
        <f t="shared" si="9"/>
        <v>288.12799999999999</v>
      </c>
      <c r="AT75" s="98">
        <f t="shared" si="10"/>
        <v>236.04666666666665</v>
      </c>
      <c r="AU75" s="98">
        <f t="shared" si="58"/>
        <v>0</v>
      </c>
      <c r="AV75" s="98">
        <f t="array" ref="AV75">_xlfn.IFS(U75=0,AO75,U75&lt;0,AO75/-U75,U75&gt;0,AO75/U75)</f>
        <v>20.447179354485861</v>
      </c>
      <c r="AW75" s="234">
        <f t="shared" si="43"/>
        <v>2.6917146092046776E-2</v>
      </c>
      <c r="AX75" s="234">
        <f t="shared" si="44"/>
        <v>0.15169656023804334</v>
      </c>
      <c r="AY75" s="99"/>
      <c r="AZ75" s="94">
        <f t="shared" si="13"/>
        <v>531.62666321663244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47</v>
      </c>
      <c r="F76" s="93">
        <v>1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2"/>
        <v>5785.2300000000005</v>
      </c>
      <c r="M76" s="89">
        <v>274</v>
      </c>
      <c r="N76" s="89">
        <v>3</v>
      </c>
      <c r="O76" s="89">
        <v>1050</v>
      </c>
      <c r="P76" s="89">
        <v>0</v>
      </c>
      <c r="Q76" s="233">
        <f t="shared" si="47"/>
        <v>0.42857142857142855</v>
      </c>
      <c r="R76" s="92">
        <f t="shared" si="48"/>
        <v>0.14285714285714285</v>
      </c>
      <c r="S76" s="93">
        <v>1</v>
      </c>
      <c r="T76" s="93">
        <v>0</v>
      </c>
      <c r="U76" s="92">
        <f t="shared" si="49"/>
        <v>1</v>
      </c>
      <c r="V76" s="93">
        <v>656</v>
      </c>
      <c r="W76" s="93">
        <v>0</v>
      </c>
      <c r="X76" s="92">
        <f t="shared" si="50"/>
        <v>656</v>
      </c>
      <c r="Y76" s="93">
        <v>1050</v>
      </c>
      <c r="Z76" s="93">
        <v>0</v>
      </c>
      <c r="AA76" s="92">
        <f t="shared" si="51"/>
        <v>1050</v>
      </c>
      <c r="AB76" s="92">
        <f t="shared" si="52"/>
        <v>0</v>
      </c>
      <c r="AC76" s="234">
        <f t="shared" si="53"/>
        <v>2.2869694392622326E-4</v>
      </c>
      <c r="AD76" s="92">
        <f t="shared" si="54"/>
        <v>123.09</v>
      </c>
      <c r="AE76" s="93">
        <v>396.37</v>
      </c>
      <c r="AF76" s="234">
        <f t="shared" si="55"/>
        <v>0.37749523809523811</v>
      </c>
      <c r="AG76" s="93">
        <v>141.69</v>
      </c>
      <c r="AH76" s="93"/>
      <c r="AI76" s="93"/>
      <c r="AJ76" s="93"/>
      <c r="AK76" s="93"/>
      <c r="AL76" s="122">
        <f t="shared" si="46"/>
        <v>58.548944201312914</v>
      </c>
      <c r="AM76" s="93">
        <v>0</v>
      </c>
      <c r="AN76" s="94">
        <f t="shared" si="56"/>
        <v>37.457599999999999</v>
      </c>
      <c r="AO76" s="95">
        <f t="shared" si="57"/>
        <v>292.84345579868705</v>
      </c>
      <c r="AP76" s="96"/>
      <c r="AQ76" s="97">
        <f t="shared" si="7"/>
        <v>1050</v>
      </c>
      <c r="AR76" s="98">
        <f t="shared" si="35"/>
        <v>123.09</v>
      </c>
      <c r="AS76" s="98">
        <f t="shared" si="9"/>
        <v>396.37</v>
      </c>
      <c r="AT76" s="98">
        <f t="shared" si="10"/>
        <v>141.69</v>
      </c>
      <c r="AU76" s="98">
        <f t="shared" si="58"/>
        <v>0</v>
      </c>
      <c r="AV76" s="98">
        <f t="array" ref="AV76">_xlfn.IFS(U76=0,AO76,U76&lt;0,AO76/-U76,U76&gt;0,AO76/U76)</f>
        <v>292.84345579868705</v>
      </c>
      <c r="AW76" s="234">
        <f t="shared" si="43"/>
        <v>0.27889852933208292</v>
      </c>
      <c r="AX76" s="234">
        <f t="shared" si="44"/>
        <v>2.3791002989575678</v>
      </c>
      <c r="AY76" s="99"/>
      <c r="AZ76" s="94">
        <f t="shared" si="13"/>
        <v>13763.642422538291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42</v>
      </c>
      <c r="F77" s="93">
        <v>1</v>
      </c>
      <c r="G77" s="93">
        <v>1</v>
      </c>
      <c r="H77" s="93">
        <v>36</v>
      </c>
      <c r="I77" s="93">
        <v>0</v>
      </c>
      <c r="J77" s="93">
        <v>4</v>
      </c>
      <c r="K77" s="93">
        <v>123.09</v>
      </c>
      <c r="L77" s="92">
        <f t="shared" si="42"/>
        <v>5169.78</v>
      </c>
      <c r="M77" s="89">
        <v>569</v>
      </c>
      <c r="N77" s="89">
        <v>1</v>
      </c>
      <c r="O77" s="89">
        <v>1150</v>
      </c>
      <c r="P77" s="89">
        <v>0</v>
      </c>
      <c r="Q77" s="233">
        <f t="shared" si="47"/>
        <v>0.14285714285714285</v>
      </c>
      <c r="R77" s="92">
        <f t="shared" si="48"/>
        <v>0</v>
      </c>
      <c r="S77" s="93">
        <v>0</v>
      </c>
      <c r="T77" s="93">
        <v>0</v>
      </c>
      <c r="U77" s="92">
        <f t="shared" si="49"/>
        <v>0</v>
      </c>
      <c r="V77" s="93">
        <v>0</v>
      </c>
      <c r="W77" s="93">
        <v>0</v>
      </c>
      <c r="X77" s="92">
        <f t="shared" si="50"/>
        <v>0</v>
      </c>
      <c r="Y77" s="93">
        <v>0</v>
      </c>
      <c r="Z77" s="93">
        <v>0</v>
      </c>
      <c r="AA77" s="92">
        <f t="shared" si="51"/>
        <v>0</v>
      </c>
      <c r="AB77" s="92">
        <f t="shared" si="52"/>
        <v>0</v>
      </c>
      <c r="AC77" s="234">
        <f t="shared" si="53"/>
        <v>0</v>
      </c>
      <c r="AD77" s="92">
        <f t="shared" si="54"/>
        <v>0</v>
      </c>
      <c r="AE77" s="93">
        <v>0</v>
      </c>
      <c r="AF77" s="234">
        <f t="shared" si="55"/>
        <v>0</v>
      </c>
      <c r="AG77" s="93">
        <v>206.48</v>
      </c>
      <c r="AH77" s="93"/>
      <c r="AI77" s="93"/>
      <c r="AJ77" s="93"/>
      <c r="AK77" s="93"/>
      <c r="AL77" s="122">
        <f t="shared" si="46"/>
        <v>47.90368161925602</v>
      </c>
      <c r="AM77" s="93">
        <v>0</v>
      </c>
      <c r="AN77" s="94">
        <f t="shared" si="56"/>
        <v>0</v>
      </c>
      <c r="AO77" s="95">
        <f t="shared" si="57"/>
        <v>-254.38368161925601</v>
      </c>
      <c r="AP77" s="96"/>
      <c r="AQ77" s="97">
        <f t="shared" si="7"/>
        <v>0</v>
      </c>
      <c r="AR77" s="98">
        <f t="shared" si="35"/>
        <v>123.09</v>
      </c>
      <c r="AS77" s="98">
        <f t="shared" si="9"/>
        <v>0</v>
      </c>
      <c r="AT77" s="98">
        <f t="shared" si="10"/>
        <v>206.48</v>
      </c>
      <c r="AU77" s="98">
        <f t="shared" si="58"/>
        <v>0</v>
      </c>
      <c r="AV77" s="98">
        <f t="array" ref="AV77">_xlfn.IFS(U77=0,AO77,U77&lt;0,AO77/-U77,U77&gt;0,AO77/U77)</f>
        <v>-254.38368161925601</v>
      </c>
      <c r="AW77" s="234">
        <f t="shared" si="43"/>
        <v>0</v>
      </c>
      <c r="AX77" s="234">
        <f t="shared" si="44"/>
        <v>-2.0666478318243238</v>
      </c>
      <c r="AY77" s="99"/>
      <c r="AZ77" s="94">
        <f t="shared" si="13"/>
        <v>-10684.114628008752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24</v>
      </c>
      <c r="F78" s="93">
        <v>6</v>
      </c>
      <c r="G78" s="93">
        <v>1</v>
      </c>
      <c r="H78" s="93">
        <v>16</v>
      </c>
      <c r="I78" s="93">
        <v>0</v>
      </c>
      <c r="J78" s="93">
        <v>1</v>
      </c>
      <c r="K78" s="93">
        <v>123.09</v>
      </c>
      <c r="L78" s="92">
        <f t="shared" si="42"/>
        <v>2954.16</v>
      </c>
      <c r="M78" s="89">
        <v>78</v>
      </c>
      <c r="N78" s="89">
        <v>8</v>
      </c>
      <c r="O78" s="89">
        <v>1000</v>
      </c>
      <c r="P78" s="89">
        <v>0</v>
      </c>
      <c r="Q78" s="233">
        <f t="shared" si="47"/>
        <v>1.1428571428571428</v>
      </c>
      <c r="R78" s="92">
        <f t="shared" si="48"/>
        <v>0.14285714285714285</v>
      </c>
      <c r="S78" s="93">
        <v>1</v>
      </c>
      <c r="T78" s="93">
        <v>0</v>
      </c>
      <c r="U78" s="92">
        <f t="shared" si="49"/>
        <v>1</v>
      </c>
      <c r="V78" s="93">
        <v>630</v>
      </c>
      <c r="W78" s="93">
        <v>0</v>
      </c>
      <c r="X78" s="92">
        <f t="shared" si="50"/>
        <v>630</v>
      </c>
      <c r="Y78" s="93">
        <v>1000</v>
      </c>
      <c r="Z78" s="93">
        <v>0</v>
      </c>
      <c r="AA78" s="92">
        <f t="shared" si="51"/>
        <v>1000</v>
      </c>
      <c r="AB78" s="92">
        <f t="shared" si="52"/>
        <v>0</v>
      </c>
      <c r="AC78" s="234">
        <f t="shared" si="53"/>
        <v>2.1780661326306977E-4</v>
      </c>
      <c r="AD78" s="92">
        <f t="shared" si="54"/>
        <v>123.09</v>
      </c>
      <c r="AE78" s="93">
        <v>377.70000000000005</v>
      </c>
      <c r="AF78" s="234">
        <f t="shared" si="55"/>
        <v>0.37770000000000004</v>
      </c>
      <c r="AG78" s="93">
        <v>666.77999999999986</v>
      </c>
      <c r="AH78" s="93">
        <v>1320</v>
      </c>
      <c r="AI78" s="93">
        <v>90</v>
      </c>
      <c r="AJ78" s="93"/>
      <c r="AK78" s="93"/>
      <c r="AL78" s="122">
        <f t="shared" si="46"/>
        <v>21.290525164113788</v>
      </c>
      <c r="AM78" s="93">
        <v>0</v>
      </c>
      <c r="AN78" s="94">
        <f t="shared" si="56"/>
        <v>35.972999999999999</v>
      </c>
      <c r="AO78" s="95">
        <f t="shared" si="57"/>
        <v>-1634.8335251641138</v>
      </c>
      <c r="AP78" s="96"/>
      <c r="AQ78" s="97">
        <f t="shared" si="7"/>
        <v>1000</v>
      </c>
      <c r="AR78" s="98">
        <f t="shared" si="35"/>
        <v>123.09</v>
      </c>
      <c r="AS78" s="98">
        <f t="shared" si="9"/>
        <v>377.70000000000005</v>
      </c>
      <c r="AT78" s="98">
        <f t="shared" si="10"/>
        <v>666.77999999999986</v>
      </c>
      <c r="AU78" s="98">
        <f t="shared" si="58"/>
        <v>1410</v>
      </c>
      <c r="AV78" s="98">
        <f t="array" ref="AV78">_xlfn.IFS(U78=0,AO78,U78&lt;0,AO78/-U78,U78&gt;0,AO78/U78)</f>
        <v>-1634.8335251641138</v>
      </c>
      <c r="AW78" s="234">
        <f t="shared" si="43"/>
        <v>-1.6348335251641137</v>
      </c>
      <c r="AX78" s="234">
        <f t="shared" si="44"/>
        <v>-13.281611220766218</v>
      </c>
      <c r="AY78" s="99"/>
      <c r="AZ78" s="94">
        <f t="shared" si="13"/>
        <v>-39236.004603938731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1</v>
      </c>
      <c r="G79" s="93">
        <v>1</v>
      </c>
      <c r="H79" s="93">
        <v>47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999</v>
      </c>
      <c r="N79" s="89">
        <v>2</v>
      </c>
      <c r="O79" s="89">
        <v>1500</v>
      </c>
      <c r="P79" s="89">
        <v>0</v>
      </c>
      <c r="Q79" s="233">
        <f t="shared" si="47"/>
        <v>0.2857142857142857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206.48</v>
      </c>
      <c r="AH79" s="93"/>
      <c r="AI79" s="93"/>
      <c r="AJ79" s="93"/>
      <c r="AK79" s="93"/>
      <c r="AL79" s="122">
        <f t="shared" si="46"/>
        <v>62.540917669584246</v>
      </c>
      <c r="AM79" s="93">
        <v>0</v>
      </c>
      <c r="AN79" s="94">
        <f t="shared" si="56"/>
        <v>0</v>
      </c>
      <c r="AO79" s="95">
        <f t="shared" si="57"/>
        <v>-269.02091766958426</v>
      </c>
      <c r="AP79" s="96"/>
      <c r="AQ79" s="97">
        <f t="shared" si="7"/>
        <v>0</v>
      </c>
      <c r="AR79" s="98">
        <f t="shared" si="35"/>
        <v>164.04</v>
      </c>
      <c r="AS79" s="98">
        <f t="shared" si="9"/>
        <v>0</v>
      </c>
      <c r="AT79" s="98">
        <f t="shared" si="10"/>
        <v>206.48</v>
      </c>
      <c r="AU79" s="98">
        <f t="shared" si="58"/>
        <v>0</v>
      </c>
      <c r="AV79" s="98">
        <f t="array" ref="AV79">_xlfn.IFS(U79=0,AO79,U79&lt;0,AO79/-U79,U79&gt;0,AO79/U79)</f>
        <v>-269.02091766958426</v>
      </c>
      <c r="AW79" s="234">
        <f t="shared" si="43"/>
        <v>0</v>
      </c>
      <c r="AX79" s="234">
        <f t="shared" si="44"/>
        <v>-1.6399714561666927</v>
      </c>
      <c r="AY79" s="99"/>
      <c r="AZ79" s="94">
        <f t="shared" si="13"/>
        <v>-13451.045883479213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41</v>
      </c>
      <c r="F80" s="93">
        <v>12</v>
      </c>
      <c r="G80" s="93">
        <v>5</v>
      </c>
      <c r="H80" s="93">
        <v>23</v>
      </c>
      <c r="I80" s="93">
        <v>0</v>
      </c>
      <c r="J80" s="93">
        <v>1</v>
      </c>
      <c r="K80" s="93">
        <v>164.04</v>
      </c>
      <c r="L80" s="92">
        <f t="shared" si="42"/>
        <v>6725.6399999999994</v>
      </c>
      <c r="M80" s="89">
        <v>95</v>
      </c>
      <c r="N80" s="89">
        <v>18</v>
      </c>
      <c r="O80" s="89">
        <v>987</v>
      </c>
      <c r="P80" s="89">
        <v>29</v>
      </c>
      <c r="Q80" s="233">
        <f t="shared" si="47"/>
        <v>2.5714285714285716</v>
      </c>
      <c r="R80" s="92">
        <f t="shared" si="48"/>
        <v>0.14285714285714285</v>
      </c>
      <c r="S80" s="93">
        <v>3</v>
      </c>
      <c r="T80" s="93">
        <v>-2</v>
      </c>
      <c r="U80" s="92">
        <f t="shared" si="49"/>
        <v>1</v>
      </c>
      <c r="V80" s="93">
        <v>1827</v>
      </c>
      <c r="W80" s="93">
        <v>-1344</v>
      </c>
      <c r="X80" s="92">
        <f t="shared" si="50"/>
        <v>483</v>
      </c>
      <c r="Y80" s="93">
        <v>2911.39</v>
      </c>
      <c r="Z80" s="93">
        <v>-2058</v>
      </c>
      <c r="AA80" s="92">
        <f t="shared" si="51"/>
        <v>853.38999999999987</v>
      </c>
      <c r="AB80" s="92">
        <f t="shared" si="52"/>
        <v>5152.1400000000003</v>
      </c>
      <c r="AC80" s="234">
        <f t="shared" si="53"/>
        <v>1.8587398569257108E-4</v>
      </c>
      <c r="AD80" s="92">
        <f t="shared" si="54"/>
        <v>164.04</v>
      </c>
      <c r="AE80" s="93">
        <v>320.12999999999965</v>
      </c>
      <c r="AF80" s="234">
        <f t="shared" si="55"/>
        <v>0.37512743294390571</v>
      </c>
      <c r="AG80" s="93">
        <v>1521.11</v>
      </c>
      <c r="AH80" s="93"/>
      <c r="AI80" s="93"/>
      <c r="AJ80" s="93"/>
      <c r="AK80" s="93"/>
      <c r="AL80" s="122">
        <f t="shared" si="46"/>
        <v>30.605129923413571</v>
      </c>
      <c r="AM80" s="93">
        <v>0</v>
      </c>
      <c r="AN80" s="94">
        <f t="shared" si="56"/>
        <v>27.5793</v>
      </c>
      <c r="AO80" s="95">
        <f t="shared" si="57"/>
        <v>-1210.0744299234134</v>
      </c>
      <c r="AP80" s="96"/>
      <c r="AQ80" s="97">
        <f t="shared" si="7"/>
        <v>853.38999999999987</v>
      </c>
      <c r="AR80" s="98">
        <f t="shared" si="35"/>
        <v>164.04</v>
      </c>
      <c r="AS80" s="98">
        <f t="shared" si="9"/>
        <v>320.12999999999965</v>
      </c>
      <c r="AT80" s="98">
        <f t="shared" si="10"/>
        <v>507.03666666666663</v>
      </c>
      <c r="AU80" s="98">
        <f t="shared" si="58"/>
        <v>0</v>
      </c>
      <c r="AV80" s="98">
        <f t="array" ref="AV80">_xlfn.IFS(U80=0,AO80,U80&lt;0,AO80/-U80,U80&gt;0,AO80/U80)</f>
        <v>-1210.0744299234134</v>
      </c>
      <c r="AW80" s="234">
        <f t="shared" si="43"/>
        <v>-1.4179618110399859</v>
      </c>
      <c r="AX80" s="234">
        <f t="shared" si="44"/>
        <v>-7.3767034255267827</v>
      </c>
      <c r="AY80" s="99"/>
      <c r="AZ80" s="94">
        <f t="shared" si="13"/>
        <v>-49613.051626859946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28</v>
      </c>
      <c r="F81" s="93">
        <v>4</v>
      </c>
      <c r="G81" s="93">
        <v>2</v>
      </c>
      <c r="H81" s="93">
        <v>21</v>
      </c>
      <c r="I81" s="93">
        <v>0</v>
      </c>
      <c r="J81" s="93">
        <v>1</v>
      </c>
      <c r="K81" s="93">
        <v>128.94</v>
      </c>
      <c r="L81" s="92">
        <f t="shared" si="42"/>
        <v>3610.3199999999997</v>
      </c>
      <c r="M81" s="89">
        <v>88</v>
      </c>
      <c r="N81" s="89">
        <v>5</v>
      </c>
      <c r="O81" s="89">
        <v>1167</v>
      </c>
      <c r="P81" s="89">
        <v>0</v>
      </c>
      <c r="Q81" s="233">
        <f t="shared" si="47"/>
        <v>0.7142857142857143</v>
      </c>
      <c r="R81" s="92">
        <f t="shared" si="48"/>
        <v>0.14285714285714285</v>
      </c>
      <c r="S81" s="93">
        <v>2</v>
      </c>
      <c r="T81" s="93">
        <v>-1</v>
      </c>
      <c r="U81" s="92">
        <f t="shared" si="49"/>
        <v>1</v>
      </c>
      <c r="V81" s="93">
        <v>1426</v>
      </c>
      <c r="W81" s="93">
        <v>-770</v>
      </c>
      <c r="X81" s="92">
        <f t="shared" si="50"/>
        <v>656</v>
      </c>
      <c r="Y81" s="93">
        <v>2334</v>
      </c>
      <c r="Z81" s="93">
        <v>-1167</v>
      </c>
      <c r="AA81" s="92">
        <f t="shared" si="51"/>
        <v>1167</v>
      </c>
      <c r="AB81" s="92">
        <f t="shared" si="52"/>
        <v>0</v>
      </c>
      <c r="AC81" s="234">
        <f t="shared" si="53"/>
        <v>2.541803176780024E-4</v>
      </c>
      <c r="AD81" s="92">
        <f t="shared" si="54"/>
        <v>128.94</v>
      </c>
      <c r="AE81" s="93">
        <v>437.6</v>
      </c>
      <c r="AF81" s="234">
        <f t="shared" si="55"/>
        <v>0.37497857754927166</v>
      </c>
      <c r="AG81" s="93">
        <v>771.5</v>
      </c>
      <c r="AH81" s="93"/>
      <c r="AI81" s="93"/>
      <c r="AJ81" s="93"/>
      <c r="AK81" s="93"/>
      <c r="AL81" s="122">
        <f t="shared" si="46"/>
        <v>27.943814277899346</v>
      </c>
      <c r="AM81" s="93">
        <v>0</v>
      </c>
      <c r="AN81" s="94">
        <f t="shared" si="56"/>
        <v>37.457599999999999</v>
      </c>
      <c r="AO81" s="95">
        <f t="shared" si="57"/>
        <v>-236.44141427789941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437.6</v>
      </c>
      <c r="AT81" s="98">
        <f t="shared" si="10"/>
        <v>385.75</v>
      </c>
      <c r="AU81" s="98">
        <f t="shared" si="58"/>
        <v>0</v>
      </c>
      <c r="AV81" s="98">
        <f t="array" ref="AV81">_xlfn.IFS(U81=0,AO81,U81&lt;0,AO81/-U81,U81&gt;0,AO81/U81)</f>
        <v>-236.44141427789941</v>
      </c>
      <c r="AW81" s="234">
        <f t="shared" si="43"/>
        <v>-0.20260618190051363</v>
      </c>
      <c r="AX81" s="234">
        <f t="shared" si="44"/>
        <v>-1.83373207909027</v>
      </c>
      <c r="AY81" s="99"/>
      <c r="AZ81" s="94">
        <f t="shared" si="13"/>
        <v>-6620.3595997811835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48</v>
      </c>
      <c r="F82" s="93">
        <v>1</v>
      </c>
      <c r="G82" s="93" t="s">
        <v>100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2"/>
        <v>6189.12</v>
      </c>
      <c r="M82" s="89">
        <v>999</v>
      </c>
      <c r="N82" s="89">
        <v>1</v>
      </c>
      <c r="O82" s="89">
        <v>1174</v>
      </c>
      <c r="P82" s="89">
        <v>0</v>
      </c>
      <c r="Q82" s="233">
        <f t="shared" si="47"/>
        <v>0.14285714285714285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97.32</v>
      </c>
      <c r="AH82" s="93"/>
      <c r="AI82" s="93"/>
      <c r="AJ82" s="93"/>
      <c r="AK82" s="93"/>
      <c r="AL82" s="122">
        <f t="shared" si="46"/>
        <v>61.210259846827142</v>
      </c>
      <c r="AM82" s="93">
        <v>0</v>
      </c>
      <c r="AN82" s="94">
        <f t="shared" si="56"/>
        <v>0</v>
      </c>
      <c r="AO82" s="95">
        <f t="shared" si="57"/>
        <v>-158.53025984682714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97.32</v>
      </c>
      <c r="AU82" s="98">
        <f t="shared" si="58"/>
        <v>0</v>
      </c>
      <c r="AV82" s="98">
        <f t="array" ref="AV82">_xlfn.IFS(U82=0,AO82,U82&lt;0,AO82/-U82,U82&gt;0,AO82/U82)</f>
        <v>-158.53025984682714</v>
      </c>
      <c r="AW82" s="234">
        <f t="shared" si="43"/>
        <v>0</v>
      </c>
      <c r="AX82" s="234">
        <f t="shared" si="44"/>
        <v>-1.2294885981605952</v>
      </c>
      <c r="AY82" s="99"/>
      <c r="AZ82" s="94">
        <f t="shared" si="13"/>
        <v>-7609.452472647703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48</v>
      </c>
      <c r="F83" s="93">
        <v>4</v>
      </c>
      <c r="G83" s="93">
        <v>1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42"/>
        <v>5908.32</v>
      </c>
      <c r="M83" s="89">
        <v>335</v>
      </c>
      <c r="N83" s="89">
        <v>5</v>
      </c>
      <c r="O83" s="89">
        <v>1375</v>
      </c>
      <c r="P83" s="89">
        <v>0</v>
      </c>
      <c r="Q83" s="233">
        <f t="shared" si="47"/>
        <v>0.7142857142857143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109.16</v>
      </c>
      <c r="AH83" s="93"/>
      <c r="AI83" s="93"/>
      <c r="AJ83" s="93"/>
      <c r="AK83" s="93"/>
      <c r="AL83" s="122">
        <f t="shared" si="46"/>
        <v>55.887628555798692</v>
      </c>
      <c r="AM83" s="93">
        <v>0</v>
      </c>
      <c r="AN83" s="94">
        <f t="shared" si="56"/>
        <v>0</v>
      </c>
      <c r="AO83" s="95">
        <f t="shared" si="57"/>
        <v>-165.0476285557987</v>
      </c>
      <c r="AP83" s="96"/>
      <c r="AQ83" s="97">
        <f t="shared" si="7"/>
        <v>0</v>
      </c>
      <c r="AR83" s="98">
        <f t="shared" si="35"/>
        <v>123.09</v>
      </c>
      <c r="AS83" s="98">
        <f t="shared" si="9"/>
        <v>0</v>
      </c>
      <c r="AT83" s="98">
        <f t="shared" si="10"/>
        <v>109.16</v>
      </c>
      <c r="AU83" s="98">
        <f t="shared" si="58"/>
        <v>0</v>
      </c>
      <c r="AV83" s="98">
        <f t="array" ref="AV83">_xlfn.IFS(U83=0,AO83,U83&lt;0,AO83/-U83,U83&gt;0,AO83/U83)</f>
        <v>-165.0476285557987</v>
      </c>
      <c r="AW83" s="234">
        <f t="shared" si="43"/>
        <v>0</v>
      </c>
      <c r="AX83" s="234">
        <f t="shared" si="44"/>
        <v>-1.340869514629935</v>
      </c>
      <c r="AY83" s="99"/>
      <c r="AZ83" s="94">
        <f t="shared" si="13"/>
        <v>-7922.2861706783369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>
        <v>1</v>
      </c>
      <c r="G84" s="93" t="s">
        <v>100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47"/>
        <v>0.14285714285714285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0</v>
      </c>
      <c r="AH84" s="93"/>
      <c r="AI84" s="93"/>
      <c r="AJ84" s="93"/>
      <c r="AK84" s="93"/>
      <c r="AL84" s="122">
        <f t="shared" si="46"/>
        <v>62.540917669584246</v>
      </c>
      <c r="AM84" s="93">
        <v>0</v>
      </c>
      <c r="AN84" s="94">
        <f t="shared" si="56"/>
        <v>0</v>
      </c>
      <c r="AO84" s="95">
        <f t="shared" si="57"/>
        <v>-62.540917669584246</v>
      </c>
      <c r="AP84" s="96"/>
      <c r="AQ84" s="97">
        <f t="shared" si="7"/>
        <v>0</v>
      </c>
      <c r="AR84" s="98">
        <f t="shared" si="35"/>
        <v>146.49</v>
      </c>
      <c r="AS84" s="98">
        <f t="shared" si="9"/>
        <v>0</v>
      </c>
      <c r="AT84" s="98">
        <f t="shared" si="10"/>
        <v>0</v>
      </c>
      <c r="AU84" s="98">
        <f t="shared" si="58"/>
        <v>0</v>
      </c>
      <c r="AV84" s="98">
        <f t="array" ref="AV84">_xlfn.IFS(U84=0,AO84,U84&lt;0,AO84/-U84,U84&gt;0,AO84/U84)</f>
        <v>-62.540917669584246</v>
      </c>
      <c r="AW84" s="234">
        <f t="shared" si="43"/>
        <v>0</v>
      </c>
      <c r="AX84" s="234">
        <f t="shared" si="44"/>
        <v>-0.42692960386090684</v>
      </c>
      <c r="AY84" s="99"/>
      <c r="AZ84" s="94">
        <f t="shared" si="13"/>
        <v>-3064.5049658096282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39</v>
      </c>
      <c r="F85" s="93">
        <v>3</v>
      </c>
      <c r="G85" s="93">
        <v>2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2"/>
        <v>4024.8</v>
      </c>
      <c r="M85" s="89">
        <v>525</v>
      </c>
      <c r="N85" s="89">
        <v>6</v>
      </c>
      <c r="O85" s="89">
        <v>1008</v>
      </c>
      <c r="P85" s="89">
        <v>50</v>
      </c>
      <c r="Q85" s="233">
        <f t="shared" si="47"/>
        <v>0.8571428571428571</v>
      </c>
      <c r="R85" s="92">
        <f t="shared" si="48"/>
        <v>0.5714285714285714</v>
      </c>
      <c r="S85" s="93">
        <v>4</v>
      </c>
      <c r="T85" s="93">
        <v>0</v>
      </c>
      <c r="U85" s="92">
        <f t="shared" si="49"/>
        <v>4</v>
      </c>
      <c r="V85" s="93">
        <v>2528</v>
      </c>
      <c r="W85" s="93">
        <v>0</v>
      </c>
      <c r="X85" s="92">
        <f t="shared" si="50"/>
        <v>2528</v>
      </c>
      <c r="Y85" s="93">
        <v>4001.76</v>
      </c>
      <c r="Z85" s="93">
        <v>0</v>
      </c>
      <c r="AA85" s="92">
        <f t="shared" si="51"/>
        <v>4001.76</v>
      </c>
      <c r="AB85" s="92">
        <f t="shared" si="52"/>
        <v>3024</v>
      </c>
      <c r="AC85" s="234">
        <f t="shared" si="53"/>
        <v>8.7160979269162206E-4</v>
      </c>
      <c r="AD85" s="92">
        <f t="shared" si="54"/>
        <v>412.8</v>
      </c>
      <c r="AE85" s="93">
        <v>1511.73</v>
      </c>
      <c r="AF85" s="234">
        <f t="shared" si="55"/>
        <v>0.37776628283555236</v>
      </c>
      <c r="AG85" s="93">
        <v>833.5</v>
      </c>
      <c r="AH85" s="93"/>
      <c r="AI85" s="93"/>
      <c r="AJ85" s="93"/>
      <c r="AK85" s="93"/>
      <c r="AL85" s="122">
        <f t="shared" si="46"/>
        <v>43.911708150984687</v>
      </c>
      <c r="AM85" s="93">
        <v>0</v>
      </c>
      <c r="AN85" s="94">
        <f t="shared" si="56"/>
        <v>144.34879999999998</v>
      </c>
      <c r="AO85" s="95">
        <f t="shared" si="57"/>
        <v>1055.4694918490154</v>
      </c>
      <c r="AP85" s="96"/>
      <c r="AQ85" s="97">
        <f t="shared" si="7"/>
        <v>1000.44</v>
      </c>
      <c r="AR85" s="98">
        <f t="shared" si="35"/>
        <v>103.2</v>
      </c>
      <c r="AS85" s="98">
        <f t="shared" si="9"/>
        <v>377.9325</v>
      </c>
      <c r="AT85" s="98">
        <f t="shared" si="10"/>
        <v>208.375</v>
      </c>
      <c r="AU85" s="98">
        <f t="shared" si="58"/>
        <v>0</v>
      </c>
      <c r="AV85" s="98">
        <f t="array" ref="AV85">_xlfn.IFS(U85=0,AO85,U85&lt;0,AO85/-U85,U85&gt;0,AO85/U85)</f>
        <v>263.86737296225385</v>
      </c>
      <c r="AW85" s="234">
        <f t="shared" si="43"/>
        <v>0.26375132238040644</v>
      </c>
      <c r="AX85" s="234">
        <f t="shared" si="44"/>
        <v>2.5568543891691262</v>
      </c>
      <c r="AY85" s="99"/>
      <c r="AZ85" s="94">
        <f t="shared" si="13"/>
        <v>10290.8275455279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44</v>
      </c>
      <c r="F86" s="93">
        <v>4</v>
      </c>
      <c r="G86" s="93" t="s">
        <v>100</v>
      </c>
      <c r="H86" s="93">
        <v>39</v>
      </c>
      <c r="I86" s="93">
        <v>0</v>
      </c>
      <c r="J86" s="93">
        <v>1</v>
      </c>
      <c r="K86" s="93">
        <v>150</v>
      </c>
      <c r="L86" s="92">
        <f t="shared" si="42"/>
        <v>6600</v>
      </c>
      <c r="M86" s="89">
        <v>343</v>
      </c>
      <c r="N86" s="89">
        <v>6</v>
      </c>
      <c r="O86" s="89">
        <v>1392</v>
      </c>
      <c r="P86" s="89">
        <v>100</v>
      </c>
      <c r="Q86" s="233">
        <f t="shared" si="47"/>
        <v>0.8571428571428571</v>
      </c>
      <c r="R86" s="92">
        <f t="shared" si="48"/>
        <v>0.42857142857142855</v>
      </c>
      <c r="S86" s="93">
        <v>3</v>
      </c>
      <c r="T86" s="93">
        <v>0</v>
      </c>
      <c r="U86" s="92">
        <f t="shared" si="49"/>
        <v>3</v>
      </c>
      <c r="V86" s="93">
        <v>2641</v>
      </c>
      <c r="W86" s="93">
        <v>0</v>
      </c>
      <c r="X86" s="92">
        <f t="shared" si="50"/>
        <v>2641</v>
      </c>
      <c r="Y86" s="93">
        <v>4176</v>
      </c>
      <c r="Z86" s="93">
        <v>0</v>
      </c>
      <c r="AA86" s="92">
        <f t="shared" si="51"/>
        <v>4176</v>
      </c>
      <c r="AB86" s="92">
        <f t="shared" si="52"/>
        <v>8352</v>
      </c>
      <c r="AC86" s="234">
        <f t="shared" si="53"/>
        <v>9.0956041698657928E-4</v>
      </c>
      <c r="AD86" s="92">
        <f t="shared" si="54"/>
        <v>450</v>
      </c>
      <c r="AE86" s="93">
        <v>1585.5699999999997</v>
      </c>
      <c r="AF86" s="234">
        <f t="shared" si="55"/>
        <v>0.37968630268199227</v>
      </c>
      <c r="AG86" s="93">
        <v>162.69</v>
      </c>
      <c r="AH86" s="93"/>
      <c r="AI86" s="93">
        <v>504</v>
      </c>
      <c r="AJ86" s="93"/>
      <c r="AK86" s="93"/>
      <c r="AL86" s="122">
        <f t="shared" si="46"/>
        <v>51.895655087527359</v>
      </c>
      <c r="AM86" s="93">
        <v>0</v>
      </c>
      <c r="AN86" s="94">
        <f t="shared" si="56"/>
        <v>150.80109999999999</v>
      </c>
      <c r="AO86" s="95">
        <f t="shared" si="57"/>
        <v>1271.043244912473</v>
      </c>
      <c r="AP86" s="96"/>
      <c r="AQ86" s="97">
        <f t="shared" si="7"/>
        <v>1392</v>
      </c>
      <c r="AR86" s="98">
        <f t="shared" si="35"/>
        <v>150</v>
      </c>
      <c r="AS86" s="98">
        <f t="shared" si="9"/>
        <v>528.5233333333332</v>
      </c>
      <c r="AT86" s="98">
        <f t="shared" si="10"/>
        <v>54.23</v>
      </c>
      <c r="AU86" s="98">
        <f t="shared" si="58"/>
        <v>168</v>
      </c>
      <c r="AV86" s="98">
        <f t="array" ref="AV86">_xlfn.IFS(U86=0,AO86,U86&lt;0,AO86/-U86,U86&gt;0,AO86/U86)</f>
        <v>423.68108163749099</v>
      </c>
      <c r="AW86" s="234">
        <f t="shared" si="43"/>
        <v>0.30436859313038145</v>
      </c>
      <c r="AX86" s="234">
        <f t="shared" si="44"/>
        <v>2.8245405442499401</v>
      </c>
      <c r="AY86" s="99"/>
      <c r="AZ86" s="94">
        <f t="shared" si="13"/>
        <v>18641.967592049605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31</v>
      </c>
      <c r="F87" s="93">
        <v>24</v>
      </c>
      <c r="G87" s="93">
        <v>6</v>
      </c>
      <c r="H87" s="93" t="s">
        <v>100</v>
      </c>
      <c r="I87" s="93">
        <v>0</v>
      </c>
      <c r="J87" s="93">
        <v>1</v>
      </c>
      <c r="K87" s="93">
        <v>150</v>
      </c>
      <c r="L87" s="92">
        <f t="shared" si="42"/>
        <v>4650</v>
      </c>
      <c r="M87" s="89">
        <v>20</v>
      </c>
      <c r="N87" s="89">
        <v>28</v>
      </c>
      <c r="O87" s="89">
        <v>1056</v>
      </c>
      <c r="P87" s="89">
        <v>0</v>
      </c>
      <c r="Q87" s="233">
        <f t="shared" si="47"/>
        <v>4</v>
      </c>
      <c r="R87" s="92">
        <f t="shared" si="48"/>
        <v>0.7142857142857143</v>
      </c>
      <c r="S87" s="93">
        <v>7</v>
      </c>
      <c r="T87" s="93">
        <v>-2</v>
      </c>
      <c r="U87" s="92">
        <f t="shared" si="49"/>
        <v>5</v>
      </c>
      <c r="V87" s="93">
        <v>4976.8</v>
      </c>
      <c r="W87" s="93">
        <v>-1414</v>
      </c>
      <c r="X87" s="92">
        <f t="shared" si="50"/>
        <v>3562.8</v>
      </c>
      <c r="Y87" s="93">
        <v>7360.3099999999995</v>
      </c>
      <c r="Z87" s="93">
        <v>-2112</v>
      </c>
      <c r="AA87" s="92">
        <f t="shared" si="51"/>
        <v>5248.3099999999995</v>
      </c>
      <c r="AB87" s="92">
        <f t="shared" si="52"/>
        <v>0</v>
      </c>
      <c r="AC87" s="234">
        <f t="shared" si="53"/>
        <v>1.1431166264547015E-3</v>
      </c>
      <c r="AD87" s="92">
        <f t="shared" si="54"/>
        <v>750</v>
      </c>
      <c r="AE87" s="93">
        <v>1957.0999999999995</v>
      </c>
      <c r="AF87" s="234">
        <f t="shared" si="55"/>
        <v>0.37290099098566959</v>
      </c>
      <c r="AG87" s="93">
        <v>2981.5899999999997</v>
      </c>
      <c r="AH87" s="93">
        <v>940</v>
      </c>
      <c r="AI87" s="93"/>
      <c r="AJ87" s="93"/>
      <c r="AK87" s="93"/>
      <c r="AL87" s="122">
        <f t="shared" si="46"/>
        <v>0</v>
      </c>
      <c r="AM87" s="93">
        <v>0</v>
      </c>
      <c r="AN87" s="94">
        <f t="shared" si="56"/>
        <v>203.43588</v>
      </c>
      <c r="AO87" s="95">
        <f t="shared" si="57"/>
        <v>-1583.8158799999997</v>
      </c>
      <c r="AP87" s="96"/>
      <c r="AQ87" s="97">
        <f t="shared" si="7"/>
        <v>1049.6619999999998</v>
      </c>
      <c r="AR87" s="98">
        <f t="shared" si="35"/>
        <v>150</v>
      </c>
      <c r="AS87" s="98">
        <f t="shared" si="9"/>
        <v>391.4199999999999</v>
      </c>
      <c r="AT87" s="98">
        <f t="shared" si="10"/>
        <v>425.9414285714285</v>
      </c>
      <c r="AU87" s="98">
        <f t="shared" si="58"/>
        <v>134.28571428571428</v>
      </c>
      <c r="AV87" s="98">
        <f t="array" ref="AV87">_xlfn.IFS(U87=0,AO87,U87&lt;0,AO87/-U87,U87&gt;0,AO87/U87)</f>
        <v>-316.76317599999993</v>
      </c>
      <c r="AW87" s="234">
        <f t="shared" si="43"/>
        <v>-0.30177635848492179</v>
      </c>
      <c r="AX87" s="234">
        <f t="shared" si="44"/>
        <v>-2.1117545066666663</v>
      </c>
      <c r="AY87" s="99"/>
      <c r="AZ87" s="94">
        <f t="shared" si="13"/>
        <v>-9819.6584559999974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7</v>
      </c>
      <c r="F88" s="93">
        <v>4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1050</v>
      </c>
      <c r="M88" s="89">
        <v>14</v>
      </c>
      <c r="N88" s="89">
        <v>6</v>
      </c>
      <c r="O88" s="89">
        <v>1257</v>
      </c>
      <c r="P88" s="89">
        <v>67</v>
      </c>
      <c r="Q88" s="233">
        <f t="shared" si="47"/>
        <v>0.8571428571428571</v>
      </c>
      <c r="R88" s="92">
        <f t="shared" si="48"/>
        <v>0.7142857142857143</v>
      </c>
      <c r="S88" s="93">
        <v>5</v>
      </c>
      <c r="T88" s="93">
        <v>0</v>
      </c>
      <c r="U88" s="92">
        <f t="shared" si="49"/>
        <v>5</v>
      </c>
      <c r="V88" s="93">
        <v>3910</v>
      </c>
      <c r="W88" s="93">
        <v>0</v>
      </c>
      <c r="X88" s="92">
        <f t="shared" si="50"/>
        <v>3910</v>
      </c>
      <c r="Y88" s="93">
        <v>6247.29</v>
      </c>
      <c r="Z88" s="93">
        <v>0</v>
      </c>
      <c r="AA88" s="92">
        <f t="shared" si="51"/>
        <v>6247.29</v>
      </c>
      <c r="AB88" s="92">
        <f t="shared" si="52"/>
        <v>5053.1400000000003</v>
      </c>
      <c r="AC88" s="234">
        <f t="shared" si="53"/>
        <v>1.360701076972243E-3</v>
      </c>
      <c r="AD88" s="92">
        <f t="shared" si="54"/>
        <v>750</v>
      </c>
      <c r="AE88" s="93">
        <v>2317.5500000000002</v>
      </c>
      <c r="AF88" s="234">
        <f t="shared" si="55"/>
        <v>0.37096885209426811</v>
      </c>
      <c r="AG88" s="93">
        <v>757.26</v>
      </c>
      <c r="AH88" s="93"/>
      <c r="AI88" s="93"/>
      <c r="AJ88" s="93"/>
      <c r="AK88" s="93"/>
      <c r="AL88" s="122">
        <f t="shared" si="46"/>
        <v>1.3306578227571118</v>
      </c>
      <c r="AM88" s="93">
        <v>0</v>
      </c>
      <c r="AN88" s="94">
        <f t="shared" si="56"/>
        <v>223.261</v>
      </c>
      <c r="AO88" s="95">
        <f t="shared" si="57"/>
        <v>2197.8883421772425</v>
      </c>
      <c r="AP88" s="96"/>
      <c r="AQ88" s="97">
        <f t="shared" si="7"/>
        <v>1249.4580000000001</v>
      </c>
      <c r="AR88" s="98">
        <f t="shared" si="35"/>
        <v>150</v>
      </c>
      <c r="AS88" s="98">
        <f t="shared" si="9"/>
        <v>463.51000000000005</v>
      </c>
      <c r="AT88" s="98">
        <f t="shared" si="10"/>
        <v>151.452</v>
      </c>
      <c r="AU88" s="98">
        <f t="shared" si="58"/>
        <v>0</v>
      </c>
      <c r="AV88" s="98">
        <f t="array" ref="AV88">_xlfn.IFS(U88=0,AO88,U88&lt;0,AO88/-U88,U88&gt;0,AO88/U88)</f>
        <v>439.57766843544852</v>
      </c>
      <c r="AW88" s="234">
        <f t="shared" si="43"/>
        <v>0.35181468159429807</v>
      </c>
      <c r="AX88" s="234">
        <f t="shared" si="44"/>
        <v>2.9305177895696568</v>
      </c>
      <c r="AY88" s="99"/>
      <c r="AZ88" s="94">
        <f t="shared" si="13"/>
        <v>3077.0436790481394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37</v>
      </c>
      <c r="F89" s="93">
        <v>6</v>
      </c>
      <c r="G89" s="93">
        <v>1</v>
      </c>
      <c r="H89" s="93">
        <v>29</v>
      </c>
      <c r="I89" s="93">
        <v>0</v>
      </c>
      <c r="J89" s="93">
        <v>1</v>
      </c>
      <c r="K89" s="93">
        <v>169.89</v>
      </c>
      <c r="L89" s="92">
        <f t="shared" si="42"/>
        <v>6285.9299999999994</v>
      </c>
      <c r="M89" s="89">
        <v>112</v>
      </c>
      <c r="N89" s="89">
        <v>6</v>
      </c>
      <c r="O89" s="89">
        <v>1504</v>
      </c>
      <c r="P89" s="89">
        <v>0</v>
      </c>
      <c r="Q89" s="233">
        <f t="shared" si="47"/>
        <v>0.8571428571428571</v>
      </c>
      <c r="R89" s="92">
        <f t="shared" si="48"/>
        <v>0.2857142857142857</v>
      </c>
      <c r="S89" s="93">
        <v>2</v>
      </c>
      <c r="T89" s="93">
        <v>0</v>
      </c>
      <c r="U89" s="92">
        <f t="shared" si="49"/>
        <v>2</v>
      </c>
      <c r="V89" s="93">
        <v>1744</v>
      </c>
      <c r="W89" s="93">
        <v>0</v>
      </c>
      <c r="X89" s="92">
        <f t="shared" si="50"/>
        <v>1744</v>
      </c>
      <c r="Y89" s="93">
        <v>2917.76</v>
      </c>
      <c r="Z89" s="93">
        <v>0</v>
      </c>
      <c r="AA89" s="92">
        <f t="shared" si="51"/>
        <v>2917.76</v>
      </c>
      <c r="AB89" s="92">
        <f t="shared" si="52"/>
        <v>0</v>
      </c>
      <c r="AC89" s="234">
        <f t="shared" si="53"/>
        <v>6.3550742391445443E-4</v>
      </c>
      <c r="AD89" s="92">
        <f t="shared" si="54"/>
        <v>339.78</v>
      </c>
      <c r="AE89" s="93">
        <v>1098.2600000000002</v>
      </c>
      <c r="AF89" s="234">
        <f t="shared" si="55"/>
        <v>0.37640518754112751</v>
      </c>
      <c r="AG89" s="93">
        <v>211.21</v>
      </c>
      <c r="AH89" s="93"/>
      <c r="AI89" s="93"/>
      <c r="AJ89" s="93"/>
      <c r="AK89" s="93"/>
      <c r="AL89" s="122">
        <f t="shared" si="46"/>
        <v>38.589076859956236</v>
      </c>
      <c r="AM89" s="93">
        <v>0</v>
      </c>
      <c r="AN89" s="94">
        <f t="shared" si="56"/>
        <v>99.582399999999993</v>
      </c>
      <c r="AO89" s="95">
        <f t="shared" si="57"/>
        <v>1130.3385231400439</v>
      </c>
      <c r="AP89" s="96"/>
      <c r="AQ89" s="97">
        <f t="shared" si="7"/>
        <v>1458.88</v>
      </c>
      <c r="AR89" s="98">
        <f t="shared" si="35"/>
        <v>169.89</v>
      </c>
      <c r="AS89" s="98">
        <f t="shared" si="9"/>
        <v>549.13000000000011</v>
      </c>
      <c r="AT89" s="98">
        <f t="shared" si="10"/>
        <v>105.605</v>
      </c>
      <c r="AU89" s="98">
        <f t="shared" si="58"/>
        <v>0</v>
      </c>
      <c r="AV89" s="98">
        <f t="array" ref="AV89">_xlfn.IFS(U89=0,AO89,U89&lt;0,AO89/-U89,U89&gt;0,AO89/U89)</f>
        <v>565.16926157002194</v>
      </c>
      <c r="AW89" s="234">
        <f t="shared" si="43"/>
        <v>0.3873994170665318</v>
      </c>
      <c r="AX89" s="234">
        <f t="shared" si="44"/>
        <v>3.3266776241687093</v>
      </c>
      <c r="AY89" s="99"/>
      <c r="AZ89" s="94">
        <f t="shared" si="13"/>
        <v>20911.26267809081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46"/>
        <v>66.532891137855586</v>
      </c>
      <c r="AM90" s="93">
        <v>0</v>
      </c>
      <c r="AN90" s="94">
        <f t="shared" si="56"/>
        <v>0</v>
      </c>
      <c r="AO90" s="95">
        <f t="shared" si="57"/>
        <v>-66.532891137855586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8"/>
        <v>0</v>
      </c>
      <c r="AV90" s="98">
        <f t="array" ref="AV90">_xlfn.IFS(U90=0,AO90,U90&lt;0,AO90/-U90,U90&gt;0,AO90/U90)</f>
        <v>-66.532891137855586</v>
      </c>
      <c r="AW90" s="234">
        <f t="shared" si="43"/>
        <v>0</v>
      </c>
      <c r="AX90" s="234">
        <f t="shared" si="44"/>
        <v>-0.61673054447400433</v>
      </c>
      <c r="AY90" s="99"/>
      <c r="AZ90" s="94">
        <f t="shared" si="13"/>
        <v>-3393.1774480306349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40</v>
      </c>
      <c r="F91" s="93">
        <v>12</v>
      </c>
      <c r="G91" s="93">
        <v>4</v>
      </c>
      <c r="H91" s="93">
        <v>18</v>
      </c>
      <c r="I91" s="93">
        <v>0</v>
      </c>
      <c r="J91" s="93">
        <v>6</v>
      </c>
      <c r="K91" s="93">
        <v>93.84</v>
      </c>
      <c r="L91" s="92">
        <f t="shared" si="42"/>
        <v>3753.6000000000004</v>
      </c>
      <c r="M91" s="89">
        <v>171</v>
      </c>
      <c r="N91" s="89">
        <v>16</v>
      </c>
      <c r="O91" s="89">
        <v>1075</v>
      </c>
      <c r="P91" s="89">
        <v>0</v>
      </c>
      <c r="Q91" s="233">
        <f t="shared" si="47"/>
        <v>2.2857142857142856</v>
      </c>
      <c r="R91" s="92">
        <f t="shared" si="48"/>
        <v>0</v>
      </c>
      <c r="S91" s="93">
        <v>1</v>
      </c>
      <c r="T91" s="93">
        <v>-1</v>
      </c>
      <c r="U91" s="92">
        <f t="shared" si="49"/>
        <v>0</v>
      </c>
      <c r="V91" s="93">
        <v>709</v>
      </c>
      <c r="W91" s="93">
        <v>-709</v>
      </c>
      <c r="X91" s="92">
        <f t="shared" si="50"/>
        <v>0</v>
      </c>
      <c r="Y91" s="93">
        <v>1075</v>
      </c>
      <c r="Z91" s="93">
        <v>-1075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480.69999999999993</v>
      </c>
      <c r="AH91" s="93"/>
      <c r="AI91" s="93">
        <v>1000</v>
      </c>
      <c r="AJ91" s="93"/>
      <c r="AK91" s="93"/>
      <c r="AL91" s="122">
        <f t="shared" si="46"/>
        <v>23.95184080962801</v>
      </c>
      <c r="AM91" s="93">
        <v>0</v>
      </c>
      <c r="AN91" s="94">
        <f t="shared" si="56"/>
        <v>0</v>
      </c>
      <c r="AO91" s="95">
        <f t="shared" si="57"/>
        <v>-1504.6518408096279</v>
      </c>
      <c r="AP91" s="96"/>
      <c r="AQ91" s="97">
        <f t="shared" si="7"/>
        <v>0</v>
      </c>
      <c r="AR91" s="98">
        <f t="shared" si="35"/>
        <v>93.84</v>
      </c>
      <c r="AS91" s="98">
        <f t="shared" si="9"/>
        <v>0</v>
      </c>
      <c r="AT91" s="98">
        <f t="shared" si="10"/>
        <v>480.69999999999993</v>
      </c>
      <c r="AU91" s="98">
        <f t="shared" si="58"/>
        <v>1000</v>
      </c>
      <c r="AV91" s="98">
        <f t="array" ref="AV91">_xlfn.IFS(U91=0,AO91,U91&lt;0,AO91/-U91,U91&gt;0,AO91/U91)</f>
        <v>-1504.6518408096279</v>
      </c>
      <c r="AW91" s="234">
        <f t="shared" si="43"/>
        <v>0</v>
      </c>
      <c r="AX91" s="234">
        <f t="shared" si="44"/>
        <v>-16.034226777596203</v>
      </c>
      <c r="AY91" s="99"/>
      <c r="AZ91" s="94">
        <f t="shared" si="13"/>
        <v>-60186.073632385116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0</v>
      </c>
      <c r="O92" s="89">
        <v>0</v>
      </c>
      <c r="P92" s="89">
        <v>0</v>
      </c>
      <c r="Q92" s="233">
        <f t="shared" si="47"/>
        <v>0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0</v>
      </c>
      <c r="AH92" s="93"/>
      <c r="AI92" s="93"/>
      <c r="AJ92" s="93"/>
      <c r="AK92" s="93"/>
      <c r="AL92" s="122">
        <f t="shared" si="46"/>
        <v>65.202233315098468</v>
      </c>
      <c r="AM92" s="93">
        <v>0</v>
      </c>
      <c r="AN92" s="94">
        <f t="shared" si="56"/>
        <v>0</v>
      </c>
      <c r="AO92" s="95">
        <f t="shared" si="57"/>
        <v>-65.202233315098468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0</v>
      </c>
      <c r="AU92" s="98">
        <f t="shared" si="58"/>
        <v>0</v>
      </c>
      <c r="AV92" s="98">
        <f t="array" ref="AV92">_xlfn.IFS(U92=0,AO92,U92&lt;0,AO92/-U92,U92&gt;0,AO92/U92)</f>
        <v>-65.202233315098468</v>
      </c>
      <c r="AW92" s="234">
        <f t="shared" si="43"/>
        <v>0</v>
      </c>
      <c r="AX92" s="234">
        <f t="shared" si="44"/>
        <v>-0.467500059619262</v>
      </c>
      <c r="AY92" s="99"/>
      <c r="AZ92" s="94">
        <f t="shared" si="13"/>
        <v>-3260.1116657549233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47</v>
      </c>
      <c r="F93" s="93">
        <v>4</v>
      </c>
      <c r="G93" s="93">
        <v>2</v>
      </c>
      <c r="H93" s="93">
        <v>40</v>
      </c>
      <c r="I93" s="93">
        <v>0</v>
      </c>
      <c r="J93" s="93">
        <v>1</v>
      </c>
      <c r="K93" s="93">
        <v>139.47</v>
      </c>
      <c r="L93" s="92">
        <f t="shared" si="42"/>
        <v>6555.09</v>
      </c>
      <c r="M93" s="89">
        <v>199</v>
      </c>
      <c r="N93" s="89">
        <v>7</v>
      </c>
      <c r="O93" s="89">
        <v>1296</v>
      </c>
      <c r="P93" s="89">
        <v>33</v>
      </c>
      <c r="Q93" s="233">
        <f t="shared" si="47"/>
        <v>1</v>
      </c>
      <c r="R93" s="92">
        <f t="shared" si="48"/>
        <v>0.14285714285714285</v>
      </c>
      <c r="S93" s="93">
        <v>1</v>
      </c>
      <c r="T93" s="93">
        <v>0</v>
      </c>
      <c r="U93" s="92">
        <f t="shared" si="49"/>
        <v>1</v>
      </c>
      <c r="V93" s="93">
        <v>760</v>
      </c>
      <c r="W93" s="93">
        <v>0</v>
      </c>
      <c r="X93" s="92">
        <f t="shared" si="50"/>
        <v>760</v>
      </c>
      <c r="Y93" s="93">
        <v>1257.1199999999999</v>
      </c>
      <c r="Z93" s="93">
        <v>0</v>
      </c>
      <c r="AA93" s="92">
        <f t="shared" si="51"/>
        <v>1257.1199999999999</v>
      </c>
      <c r="AB93" s="92">
        <f t="shared" si="52"/>
        <v>2993.76</v>
      </c>
      <c r="AC93" s="234">
        <f t="shared" si="53"/>
        <v>2.7380904966527024E-4</v>
      </c>
      <c r="AD93" s="92">
        <f t="shared" si="54"/>
        <v>139.47</v>
      </c>
      <c r="AE93" s="93">
        <v>461.9799999999999</v>
      </c>
      <c r="AF93" s="234">
        <f t="shared" si="55"/>
        <v>0.36749077255950102</v>
      </c>
      <c r="AG93" s="93">
        <v>386.64</v>
      </c>
      <c r="AH93" s="93"/>
      <c r="AI93" s="93"/>
      <c r="AJ93" s="93"/>
      <c r="AK93" s="93"/>
      <c r="AL93" s="122">
        <f t="shared" si="46"/>
        <v>53.22631291028447</v>
      </c>
      <c r="AM93" s="93">
        <v>0</v>
      </c>
      <c r="AN93" s="94">
        <f t="shared" si="56"/>
        <v>43.396000000000001</v>
      </c>
      <c r="AO93" s="95">
        <f t="shared" si="57"/>
        <v>172.40768708971552</v>
      </c>
      <c r="AP93" s="96"/>
      <c r="AQ93" s="97">
        <f t="shared" si="7"/>
        <v>1257.1199999999999</v>
      </c>
      <c r="AR93" s="98">
        <f t="shared" si="35"/>
        <v>139.47</v>
      </c>
      <c r="AS93" s="98">
        <f t="shared" si="9"/>
        <v>461.9799999999999</v>
      </c>
      <c r="AT93" s="98">
        <f t="shared" si="10"/>
        <v>386.64</v>
      </c>
      <c r="AU93" s="98">
        <f t="shared" si="58"/>
        <v>0</v>
      </c>
      <c r="AV93" s="98">
        <f t="array" ref="AV93">_xlfn.IFS(U93=0,AO93,U93&lt;0,AO93/-U93,U93&gt;0,AO93/U93)</f>
        <v>172.40768708971552</v>
      </c>
      <c r="AW93" s="234">
        <f t="shared" si="43"/>
        <v>0.13714497191176303</v>
      </c>
      <c r="AX93" s="234">
        <f t="shared" si="44"/>
        <v>1.2361632400495843</v>
      </c>
      <c r="AY93" s="99"/>
      <c r="AZ93" s="94">
        <f t="shared" si="13"/>
        <v>8103.1612932166299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6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0.14285714285714285</v>
      </c>
      <c r="S94" s="93">
        <v>1</v>
      </c>
      <c r="T94" s="93">
        <v>0</v>
      </c>
      <c r="U94" s="92">
        <f t="shared" si="49"/>
        <v>1</v>
      </c>
      <c r="V94" s="93">
        <v>830</v>
      </c>
      <c r="W94" s="93">
        <v>0</v>
      </c>
      <c r="X94" s="92">
        <f t="shared" si="50"/>
        <v>830</v>
      </c>
      <c r="Y94" s="93">
        <v>1297</v>
      </c>
      <c r="Z94" s="93">
        <v>0</v>
      </c>
      <c r="AA94" s="92">
        <f t="shared" si="51"/>
        <v>1297</v>
      </c>
      <c r="AB94" s="92">
        <f t="shared" si="52"/>
        <v>0</v>
      </c>
      <c r="AC94" s="234">
        <f t="shared" si="53"/>
        <v>2.824951774022015E-4</v>
      </c>
      <c r="AD94" s="92">
        <f t="shared" si="54"/>
        <v>400.08</v>
      </c>
      <c r="AE94" s="93">
        <v>490.39</v>
      </c>
      <c r="AF94" s="234">
        <f t="shared" si="55"/>
        <v>0.37809560524286817</v>
      </c>
      <c r="AG94" s="93">
        <v>47.32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47.393000000000001</v>
      </c>
      <c r="AO94" s="95">
        <f t="shared" si="57"/>
        <v>311.81700000000012</v>
      </c>
      <c r="AP94" s="96"/>
      <c r="AQ94" s="97">
        <f t="shared" si="7"/>
        <v>1297</v>
      </c>
      <c r="AR94" s="98">
        <f t="shared" si="35"/>
        <v>400.08</v>
      </c>
      <c r="AS94" s="98">
        <f t="shared" si="9"/>
        <v>490.39</v>
      </c>
      <c r="AT94" s="98">
        <f t="shared" si="10"/>
        <v>47.32</v>
      </c>
      <c r="AU94" s="98">
        <f t="shared" si="58"/>
        <v>0</v>
      </c>
      <c r="AV94" s="98">
        <f t="array" ref="AV94">_xlfn.IFS(U94=0,AO94,U94&lt;0,AO94/-U94,U94&gt;0,AO94/U94)</f>
        <v>311.81700000000012</v>
      </c>
      <c r="AW94" s="234">
        <f t="shared" si="43"/>
        <v>0.24041403238242107</v>
      </c>
      <c r="AX94" s="234">
        <f t="shared" si="44"/>
        <v>0.77938662267546521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>
        <v>1</v>
      </c>
      <c r="G97" s="93">
        <v>2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50</v>
      </c>
      <c r="N97" s="89">
        <v>3</v>
      </c>
      <c r="O97" s="89">
        <v>1509</v>
      </c>
      <c r="P97" s="89">
        <v>0</v>
      </c>
      <c r="Q97" s="233">
        <f t="shared" si="47"/>
        <v>0.42857142857142855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191.69</v>
      </c>
      <c r="AH97" s="93"/>
      <c r="AI97" s="93"/>
      <c r="AJ97" s="93"/>
      <c r="AK97" s="93"/>
      <c r="AL97" s="122">
        <f t="shared" si="46"/>
        <v>1.3306578227571118</v>
      </c>
      <c r="AM97" s="93">
        <v>0</v>
      </c>
      <c r="AN97" s="94">
        <f t="shared" si="56"/>
        <v>0</v>
      </c>
      <c r="AO97" s="95">
        <f t="shared" si="57"/>
        <v>-193.0206578227571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191.69</v>
      </c>
      <c r="AU97" s="98">
        <f t="shared" si="58"/>
        <v>0</v>
      </c>
      <c r="AV97" s="98">
        <f t="array" ref="AV97">_xlfn.IFS(U97=0,AO97,U97&lt;0,AO97/-U97,U97&gt;0,AO97/U97)</f>
        <v>-193.0206578227571</v>
      </c>
      <c r="AW97" s="234">
        <f t="shared" si="43"/>
        <v>0</v>
      </c>
      <c r="AX97" s="234">
        <f t="shared" si="44"/>
        <v>-0.48245515352618751</v>
      </c>
      <c r="AY97" s="99"/>
      <c r="AZ97" s="94">
        <f t="shared" si="13"/>
        <v>-772.08263129102841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13</v>
      </c>
      <c r="F98" s="93">
        <v>1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2"/>
        <v>3901.04</v>
      </c>
      <c r="M98" s="89">
        <v>95</v>
      </c>
      <c r="N98" s="89">
        <v>1</v>
      </c>
      <c r="O98" s="89">
        <v>878</v>
      </c>
      <c r="P98" s="89">
        <v>0</v>
      </c>
      <c r="Q98" s="233">
        <f t="shared" si="47"/>
        <v>0.14285714285714285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97.32</v>
      </c>
      <c r="AH98" s="93"/>
      <c r="AI98" s="93"/>
      <c r="AJ98" s="93"/>
      <c r="AK98" s="93"/>
      <c r="AL98" s="122">
        <f t="shared" si="46"/>
        <v>15.967893873085339</v>
      </c>
      <c r="AM98" s="93">
        <v>0</v>
      </c>
      <c r="AN98" s="94">
        <f t="shared" si="56"/>
        <v>0</v>
      </c>
      <c r="AO98" s="95">
        <f t="shared" si="57"/>
        <v>-113.28789387308534</v>
      </c>
      <c r="AP98" s="96"/>
      <c r="AQ98" s="97">
        <f t="shared" ref="AQ98:AQ103" si="59">IF(U98=0,0,AA98/U98)</f>
        <v>0</v>
      </c>
      <c r="AR98" s="98">
        <f t="shared" si="35"/>
        <v>300.08</v>
      </c>
      <c r="AS98" s="98">
        <f t="shared" ref="AS98:AS103" si="60">IF(U98=0,0,AE98/U98)</f>
        <v>0</v>
      </c>
      <c r="AT98" s="98">
        <f t="shared" ref="AT98:AT103" si="61">IF(S98=0,AG98/1,AG98/S98)</f>
        <v>97.32</v>
      </c>
      <c r="AU98" s="98">
        <f t="shared" si="58"/>
        <v>0</v>
      </c>
      <c r="AV98" s="98">
        <f t="array" ref="AV98">_xlfn.IFS(U98=0,AO98,U98&lt;0,AO98/-U98,U98&gt;0,AO98/U98)</f>
        <v>-113.28789387308534</v>
      </c>
      <c r="AW98" s="234">
        <f t="shared" si="43"/>
        <v>0</v>
      </c>
      <c r="AX98" s="234">
        <f t="shared" si="44"/>
        <v>-0.37752563940644274</v>
      </c>
      <c r="AY98" s="99"/>
      <c r="AZ98" s="94">
        <f t="shared" ref="AZ98:AZ103" si="62">AV98*E98</f>
        <v>-1472.7426203501093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47</v>
      </c>
      <c r="F100" s="93">
        <v>3</v>
      </c>
      <c r="G100" s="93">
        <v>3</v>
      </c>
      <c r="H100" s="93">
        <v>41</v>
      </c>
      <c r="I100" s="93">
        <v>0</v>
      </c>
      <c r="J100" s="93">
        <v>0</v>
      </c>
      <c r="K100" s="93">
        <v>142.97999999999999</v>
      </c>
      <c r="L100" s="92">
        <f t="shared" si="63"/>
        <v>6720.0599999999995</v>
      </c>
      <c r="M100" s="89">
        <v>95</v>
      </c>
      <c r="N100" s="89">
        <v>7</v>
      </c>
      <c r="O100" s="89">
        <v>1586</v>
      </c>
      <c r="P100" s="89">
        <v>33</v>
      </c>
      <c r="Q100" s="233">
        <f t="shared" si="47"/>
        <v>1</v>
      </c>
      <c r="R100" s="92">
        <f t="shared" si="48"/>
        <v>0.42857142857142855</v>
      </c>
      <c r="S100" s="93">
        <v>3</v>
      </c>
      <c r="T100" s="93">
        <v>0</v>
      </c>
      <c r="U100" s="92">
        <f t="shared" si="49"/>
        <v>3</v>
      </c>
      <c r="V100" s="93">
        <v>3180</v>
      </c>
      <c r="W100" s="93">
        <v>0</v>
      </c>
      <c r="X100" s="92">
        <f t="shared" si="50"/>
        <v>3180</v>
      </c>
      <c r="Y100" s="93">
        <v>5100</v>
      </c>
      <c r="Z100" s="93">
        <v>0</v>
      </c>
      <c r="AA100" s="92">
        <f t="shared" si="51"/>
        <v>5100</v>
      </c>
      <c r="AB100" s="92">
        <f t="shared" si="52"/>
        <v>3663.66</v>
      </c>
      <c r="AC100" s="234">
        <f t="shared" si="53"/>
        <v>1.1108137276416557E-3</v>
      </c>
      <c r="AD100" s="92">
        <f t="shared" si="54"/>
        <v>428.93999999999994</v>
      </c>
      <c r="AE100" s="93">
        <v>1924.9500000000003</v>
      </c>
      <c r="AF100" s="234">
        <f t="shared" si="55"/>
        <v>0.37744117647058828</v>
      </c>
      <c r="AG100" s="93">
        <v>531.24</v>
      </c>
      <c r="AH100" s="93">
        <v>1000</v>
      </c>
      <c r="AI100" s="93">
        <v>178</v>
      </c>
      <c r="AJ100" s="93"/>
      <c r="AK100" s="93"/>
      <c r="AL100" s="122">
        <f t="shared" si="46"/>
        <v>54.556970733041574</v>
      </c>
      <c r="AM100" s="93">
        <v>0</v>
      </c>
      <c r="AN100" s="94">
        <f t="shared" si="56"/>
        <v>181.578</v>
      </c>
      <c r="AO100" s="95">
        <f t="shared" si="57"/>
        <v>800.73502926695835</v>
      </c>
      <c r="AP100" s="96"/>
      <c r="AQ100" s="97">
        <f t="shared" si="59"/>
        <v>1700</v>
      </c>
      <c r="AR100" s="98">
        <f t="shared" si="64"/>
        <v>142.97999999999999</v>
      </c>
      <c r="AS100" s="98">
        <f t="shared" si="60"/>
        <v>641.65000000000009</v>
      </c>
      <c r="AT100" s="98">
        <f t="shared" si="61"/>
        <v>177.08</v>
      </c>
      <c r="AU100" s="98">
        <f t="shared" si="58"/>
        <v>392.66666666666669</v>
      </c>
      <c r="AV100" s="98">
        <f t="array" ref="AV100">_xlfn.IFS(U100=0,AO100,U100&lt;0,AO100/-U100,U100&gt;0,AO100/U100)</f>
        <v>266.91167642231943</v>
      </c>
      <c r="AW100" s="234">
        <f t="shared" si="65"/>
        <v>0.15700686848371731</v>
      </c>
      <c r="AX100" s="234">
        <f t="shared" si="66"/>
        <v>1.8667763073319308</v>
      </c>
      <c r="AY100" s="99"/>
      <c r="AZ100" s="94">
        <f t="shared" si="62"/>
        <v>12544.848791849014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29</v>
      </c>
      <c r="F102" s="93">
        <v>19</v>
      </c>
      <c r="G102" s="93">
        <v>7</v>
      </c>
      <c r="H102" s="93">
        <v>3</v>
      </c>
      <c r="I102" s="93">
        <v>0</v>
      </c>
      <c r="J102" s="93">
        <v>0</v>
      </c>
      <c r="K102" s="92">
        <v>123.09</v>
      </c>
      <c r="L102" s="92">
        <f t="shared" si="63"/>
        <v>3569.61</v>
      </c>
      <c r="M102" s="89">
        <v>11</v>
      </c>
      <c r="N102" s="89">
        <v>34</v>
      </c>
      <c r="O102" s="89">
        <v>1300</v>
      </c>
      <c r="P102" s="89">
        <v>24</v>
      </c>
      <c r="Q102" s="233">
        <f t="shared" si="47"/>
        <v>4.8571428571428568</v>
      </c>
      <c r="R102" s="92">
        <f t="shared" si="48"/>
        <v>2.4285714285714284</v>
      </c>
      <c r="S102" s="93">
        <v>18</v>
      </c>
      <c r="T102" s="93">
        <v>-1</v>
      </c>
      <c r="U102" s="92">
        <f t="shared" si="49"/>
        <v>17</v>
      </c>
      <c r="V102" s="93">
        <v>14949.67</v>
      </c>
      <c r="W102" s="93">
        <v>-794</v>
      </c>
      <c r="X102" s="92">
        <f t="shared" si="50"/>
        <v>14155.67</v>
      </c>
      <c r="Y102" s="93">
        <v>23400.09</v>
      </c>
      <c r="Z102" s="93">
        <v>-1300</v>
      </c>
      <c r="AA102" s="92">
        <f t="shared" si="51"/>
        <v>22100.09</v>
      </c>
      <c r="AB102" s="92">
        <f t="shared" si="52"/>
        <v>10608</v>
      </c>
      <c r="AC102" s="234">
        <f t="shared" si="53"/>
        <v>4.8135457557090351E-3</v>
      </c>
      <c r="AD102" s="92">
        <f t="shared" si="54"/>
        <v>2092.5300000000002</v>
      </c>
      <c r="AE102" s="93">
        <v>8320.36</v>
      </c>
      <c r="AF102" s="234">
        <f t="shared" si="55"/>
        <v>0.37648534462981825</v>
      </c>
      <c r="AG102" s="93">
        <v>2653.5200000000004</v>
      </c>
      <c r="AH102" s="93">
        <v>2000</v>
      </c>
      <c r="AI102" s="93"/>
      <c r="AJ102" s="93"/>
      <c r="AK102" s="93"/>
      <c r="AL102" s="122">
        <f t="shared" si="46"/>
        <v>3.9919734682713348</v>
      </c>
      <c r="AM102" s="93">
        <v>0</v>
      </c>
      <c r="AN102" s="94">
        <f t="shared" si="56"/>
        <v>808.28875700000003</v>
      </c>
      <c r="AO102" s="95">
        <f t="shared" si="57"/>
        <v>6221.3992695317284</v>
      </c>
      <c r="AP102" s="96"/>
      <c r="AQ102" s="97">
        <f t="shared" si="59"/>
        <v>1300.0052941176471</v>
      </c>
      <c r="AR102" s="98">
        <f t="shared" si="64"/>
        <v>123.09</v>
      </c>
      <c r="AS102" s="98">
        <f t="shared" si="60"/>
        <v>489.43294117647065</v>
      </c>
      <c r="AT102" s="98">
        <f t="shared" si="61"/>
        <v>147.41777777777781</v>
      </c>
      <c r="AU102" s="98">
        <f t="shared" si="58"/>
        <v>111.11111111111111</v>
      </c>
      <c r="AV102" s="98">
        <f t="array" ref="AV102">_xlfn.IFS(U102=0,AO102,U102&lt;0,AO102/-U102,U102&gt;0,AO102/U102)</f>
        <v>365.96466291363106</v>
      </c>
      <c r="AW102" s="234">
        <f t="shared" si="65"/>
        <v>0.28151013274297654</v>
      </c>
      <c r="AX102" s="234">
        <f t="shared" si="66"/>
        <v>2.9731469893056386</v>
      </c>
      <c r="AY102" s="99"/>
      <c r="AZ102" s="94">
        <f t="shared" si="62"/>
        <v>10612.975224495302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609.65458278461665</v>
      </c>
      <c r="AR104" s="111">
        <f t="shared" si="67"/>
        <v>141.22217391304349</v>
      </c>
      <c r="AS104" s="111">
        <f t="shared" si="67"/>
        <v>229.36555114106051</v>
      </c>
      <c r="AT104" s="111">
        <f t="shared" si="67"/>
        <v>148.95386213162146</v>
      </c>
      <c r="AU104" s="111">
        <f t="shared" si="67"/>
        <v>96.832182001734708</v>
      </c>
      <c r="AV104" s="111">
        <f t="shared" si="67"/>
        <v>6.642683393464293</v>
      </c>
      <c r="AW104" s="112">
        <f t="shared" si="67"/>
        <v>5.7515681073266239E-2</v>
      </c>
      <c r="AX104" s="112">
        <f t="shared" si="67"/>
        <v>-1.2482077230560046E-2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85929</v>
      </c>
      <c r="F105" s="116">
        <f t="shared" si="68"/>
        <v>4809</v>
      </c>
      <c r="G105" s="116">
        <f t="shared" si="68"/>
        <v>1306</v>
      </c>
      <c r="H105" s="116">
        <f t="shared" si="68"/>
        <v>7312</v>
      </c>
      <c r="I105" s="116">
        <f t="shared" si="68"/>
        <v>1441</v>
      </c>
      <c r="J105" s="116">
        <f t="shared" si="68"/>
        <v>71061</v>
      </c>
      <c r="K105" s="116"/>
      <c r="L105" s="116">
        <f>SUM(L3:L103)</f>
        <v>10596459.500000004</v>
      </c>
      <c r="M105" s="116"/>
      <c r="N105" s="116">
        <f>SUM(N3:N103)</f>
        <v>8243</v>
      </c>
      <c r="O105" s="116"/>
      <c r="P105" s="116"/>
      <c r="Q105" s="212"/>
      <c r="R105" s="116"/>
      <c r="S105" s="116">
        <f t="shared" ref="S105:AE105" si="69">SUM(S3:S103)</f>
        <v>3480</v>
      </c>
      <c r="T105" s="116">
        <f t="shared" si="69"/>
        <v>-60</v>
      </c>
      <c r="U105" s="116">
        <f t="shared" si="69"/>
        <v>3420</v>
      </c>
      <c r="V105" s="116">
        <f t="shared" si="69"/>
        <v>3014405.28</v>
      </c>
      <c r="W105" s="116">
        <f t="shared" si="69"/>
        <v>-49269.89</v>
      </c>
      <c r="X105" s="116">
        <f t="shared" si="69"/>
        <v>2965135.3899999997</v>
      </c>
      <c r="Y105" s="116">
        <f t="shared" si="69"/>
        <v>4668001.5599999996</v>
      </c>
      <c r="Z105" s="116">
        <f t="shared" si="69"/>
        <v>-76772.740000000005</v>
      </c>
      <c r="AA105" s="116">
        <f t="shared" si="69"/>
        <v>4591228.8199999994</v>
      </c>
      <c r="AB105" s="116">
        <f t="shared" si="69"/>
        <v>6710424.0800000001</v>
      </c>
      <c r="AC105" s="239">
        <f t="shared" si="69"/>
        <v>1.0000000000000002</v>
      </c>
      <c r="AD105" s="117">
        <f t="shared" si="69"/>
        <v>424325.40000000026</v>
      </c>
      <c r="AE105" s="116">
        <f t="shared" si="69"/>
        <v>1726243.7500000012</v>
      </c>
      <c r="AF105" s="239">
        <f>AE105/AA105</f>
        <v>0.37598730485404153</v>
      </c>
      <c r="AG105" s="116">
        <f t="shared" ref="AG105:AN105" si="70">SUM(AG3:AG103)</f>
        <v>445765.14000000054</v>
      </c>
      <c r="AH105" s="117">
        <f t="shared" si="70"/>
        <v>304803</v>
      </c>
      <c r="AI105" s="117">
        <f t="shared" si="70"/>
        <v>178004</v>
      </c>
      <c r="AJ105" s="117">
        <f t="shared" si="70"/>
        <v>46</v>
      </c>
      <c r="AK105" s="117">
        <f t="shared" si="70"/>
        <v>0</v>
      </c>
      <c r="AL105" s="117">
        <f t="shared" si="70"/>
        <v>9729.77</v>
      </c>
      <c r="AM105" s="116">
        <f t="shared" si="70"/>
        <v>1842</v>
      </c>
      <c r="AN105" s="117">
        <f t="shared" si="70"/>
        <v>169309.23076900005</v>
      </c>
      <c r="AO105" s="117">
        <f>SUM(AO3:AO103)</f>
        <v>1331206.5292309979</v>
      </c>
      <c r="AP105" s="118"/>
      <c r="AQ105" s="116"/>
      <c r="AR105" s="116"/>
      <c r="AS105" s="116"/>
      <c r="AT105" s="116"/>
      <c r="AU105" s="240">
        <f>(AH105+AI105+AJ105)/S105</f>
        <v>138.75086206896552</v>
      </c>
      <c r="AV105" s="116"/>
      <c r="AW105" s="116"/>
      <c r="AX105" s="116"/>
      <c r="AY105" s="119"/>
      <c r="AZ105" s="116">
        <f>SUM(AZ3:AZ103)</f>
        <v>30824160.674988709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45"/>
      <c r="AI106" s="545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46"/>
      <c r="AI114" s="547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9">E105+E113+E124</f>
        <v>85929</v>
      </c>
      <c r="F126" s="267">
        <f t="shared" si="79"/>
        <v>4809</v>
      </c>
      <c r="G126" s="267">
        <f t="shared" si="79"/>
        <v>1306</v>
      </c>
      <c r="H126" s="267">
        <f t="shared" si="79"/>
        <v>7312</v>
      </c>
      <c r="I126" s="267">
        <f t="shared" si="79"/>
        <v>1441</v>
      </c>
      <c r="J126" s="267">
        <f t="shared" si="79"/>
        <v>71061</v>
      </c>
      <c r="K126" s="267">
        <f t="shared" si="79"/>
        <v>0</v>
      </c>
      <c r="L126" s="267">
        <f t="shared" si="79"/>
        <v>10596459.500000004</v>
      </c>
      <c r="M126" s="267">
        <f t="shared" si="79"/>
        <v>0</v>
      </c>
      <c r="N126" s="267">
        <f t="shared" si="79"/>
        <v>8243</v>
      </c>
      <c r="O126" s="267">
        <f t="shared" si="79"/>
        <v>0</v>
      </c>
      <c r="P126" s="267">
        <f t="shared" si="79"/>
        <v>0</v>
      </c>
      <c r="Q126" s="215">
        <f t="shared" si="79"/>
        <v>0</v>
      </c>
      <c r="R126" s="267">
        <f t="shared" si="79"/>
        <v>0</v>
      </c>
      <c r="S126" s="267">
        <f t="shared" si="79"/>
        <v>3480</v>
      </c>
      <c r="T126" s="267">
        <f t="shared" si="79"/>
        <v>-60</v>
      </c>
      <c r="U126" s="267">
        <f t="shared" si="79"/>
        <v>3420</v>
      </c>
      <c r="V126" s="267">
        <f t="shared" si="79"/>
        <v>3014405.28</v>
      </c>
      <c r="W126" s="267">
        <f t="shared" si="79"/>
        <v>-49269.89</v>
      </c>
      <c r="X126" s="267">
        <f t="shared" si="79"/>
        <v>2965135.3899999997</v>
      </c>
      <c r="Y126" s="267">
        <f t="shared" si="79"/>
        <v>4668001.5599999996</v>
      </c>
      <c r="Z126" s="267">
        <f t="shared" si="79"/>
        <v>-76772.740000000005</v>
      </c>
      <c r="AA126" s="267">
        <f t="shared" si="79"/>
        <v>4591228.8199999994</v>
      </c>
      <c r="AB126" s="267">
        <f t="shared" si="79"/>
        <v>6710424.0800000001</v>
      </c>
      <c r="AC126" s="267">
        <f t="shared" si="79"/>
        <v>1.0000000000000002</v>
      </c>
      <c r="AD126" s="267">
        <f t="shared" si="79"/>
        <v>424325.40000000026</v>
      </c>
      <c r="AE126" s="267">
        <f t="shared" si="79"/>
        <v>1726243.7500000012</v>
      </c>
      <c r="AF126" s="268">
        <f>AE126/AA126</f>
        <v>0.37598730485404153</v>
      </c>
      <c r="AG126" s="267">
        <f>AG105+AG113+AG124+AG125</f>
        <v>445765.14000000054</v>
      </c>
      <c r="AH126" s="267">
        <f>AH105+AH113+AH124</f>
        <v>304803</v>
      </c>
      <c r="AI126" s="267">
        <f>AI105+AI113+AI124</f>
        <v>178004</v>
      </c>
      <c r="AJ126" s="267">
        <f>AJ105+AJ113+AJ124</f>
        <v>46</v>
      </c>
      <c r="AK126" s="267">
        <f>AK105+AK113+AK124</f>
        <v>0</v>
      </c>
      <c r="AL126" s="156">
        <v>9729.77</v>
      </c>
      <c r="AM126" s="267">
        <f>AM105+AM113+AM124</f>
        <v>1842</v>
      </c>
      <c r="AN126" s="267">
        <f>AN105+AN113+AN124</f>
        <v>169309.23076900005</v>
      </c>
      <c r="AO126" s="267">
        <f>AO105+AO113+AO124</f>
        <v>1331206.5292309979</v>
      </c>
      <c r="AP126" s="155"/>
      <c r="AQ126" s="155"/>
      <c r="AR126" s="155"/>
      <c r="AS126" s="155"/>
      <c r="AT126" s="155"/>
      <c r="AU126" s="155">
        <f>(AH126+AI126)/S126</f>
        <v>138.73764367816091</v>
      </c>
      <c r="AV126" s="155"/>
      <c r="AW126" s="155"/>
      <c r="AX126" s="155"/>
      <c r="AY126" s="157"/>
      <c r="AZ126" s="155">
        <f>AZ105+AZ124</f>
        <v>30824160.674988709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64" priority="15" operator="greaterThan">
      <formula>0.23</formula>
    </cfRule>
  </conditionalFormatting>
  <conditionalFormatting sqref="M123:O123 M106:M112 M3:M104">
    <cfRule type="cellIs" dxfId="63" priority="26" operator="greaterThan">
      <formula>120</formula>
    </cfRule>
  </conditionalFormatting>
  <conditionalFormatting sqref="AC125 AC127">
    <cfRule type="cellIs" dxfId="62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{27A01D0C-88FE-4FFC-8F84-F13968CCC268}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{191E1B43-6D61-4029-9662-814C58FA7343}</x14:id>
        </ext>
      </extLst>
    </cfRule>
  </conditionalFormatting>
  <conditionalFormatting sqref="AC1">
    <cfRule type="cellIs" dxfId="61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{6C6E6BBD-DEE5-47FF-9542-3E29446DF122}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{BB5AE8CF-CB98-4708-8660-F87BD304CEC0}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{FFF7DAE2-C22C-4088-93B3-DB54E9B870EB}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{63AEB849-1B24-4D6A-9978-821089A37D36}</x14:id>
        </ext>
      </extLst>
    </cfRule>
  </conditionalFormatting>
  <conditionalFormatting sqref="Q123">
    <cfRule type="cellIs" dxfId="60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{FCED4710-E3E4-41A0-9482-C4F7E53147F7}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{CC1F3895-5A20-4FD3-AC6A-28B594941745}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{682FB356-4A39-401D-ACE7-83F2E1B2084B}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{E65EE326-52E5-467D-B975-8C821EB330BA}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{E78614EB-FD02-4E12-A11F-C0D8AD64A409}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{836306A2-3822-4144-B1BF-3518FBB957B1}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{4295D523-AE51-4CDF-9922-7B21446EAE3A}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{A1DB6D8F-59A9-4218-BB80-FF257EE4E76D}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{BC02EF03-6D20-4F80-A3CF-770169D1A55F}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{DBE4278C-E3F6-4C62-A4FC-A4AAC7D5AB48}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{67C933F6-D96E-4C8F-AED2-89FE3332D680}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{72EB2566-BFC6-423B-9894-E0AB4BFAE11A}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{B39FFB44-3A1E-4D70-8CC7-2F2DD1788548}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{71F03D04-D882-4173-81E4-C197DDEF2D61}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{DF0B4CF0-7F26-46F1-A982-A902AA613422}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{FDC888C8-5E41-46E5-AD59-B50C0584486E}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{04C8A5DC-D0DC-4C2E-A206-63FD1FB99892}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{AF8674E5-19C2-41B3-8619-1FD86364EC96}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{EBBB6854-F359-4AA4-8889-0C3FEA0FF846}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{D123AAC0-A74F-4B4C-A23B-E14D7D1FD693}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{4F980515-4051-4891-BCB3-630C1446596E}</x14:id>
        </ext>
      </extLst>
    </cfRule>
  </conditionalFormatting>
  <conditionalFormatting sqref="M115:M122">
    <cfRule type="cellIs" dxfId="59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{88EAEC26-21CA-41E7-9A20-D13BDA2B9AFF}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{C4C60ECF-0E84-4E8D-BFB4-23EAA14A8221}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{89987388-77A5-4101-A0CF-B3EF3CD0FE3F}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{2D4DE101-19E5-4462-A0EE-4ECECFB367AC}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{8072FC8B-3AB3-44B7-B505-F46C6F61D1FC}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{B00A8598-72A8-49D9-B695-DDD8B959F66A}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A01D0C-88FE-4FFC-8F84-F13968CCC2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191E1B43-6D61-4029-9662-814C58FA73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6C6E6BBD-DEE5-47FF-9542-3E29446DF1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BB5AE8CF-CB98-4708-8660-F87BD304CE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FFF7DAE2-C22C-4088-93B3-DB54E9B870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63AEB849-1B24-4D6A-9978-821089A37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FCED4710-E3E4-41A0-9482-C4F7E53147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C1F3895-5A20-4FD3-AC6A-28B594941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82FB356-4A39-401D-ACE7-83F2E1B208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E65EE326-52E5-467D-B975-8C821EB33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78614EB-FD02-4E12-A11F-C0D8AD64A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36306A2-3822-4144-B1BF-3518FBB957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4295D523-AE51-4CDF-9922-7B21446EAE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A1DB6D8F-59A9-4218-BB80-FF257EE4E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C02EF03-6D20-4F80-A3CF-770169D1A5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DBE4278C-E3F6-4C62-A4FC-A4AAC7D5AB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7C933F6-D96E-4C8F-AED2-89FE3332D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72EB2566-BFC6-423B-9894-E0AB4BFAE1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39FFB44-3A1E-4D70-8CC7-2F2DD17885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1F03D04-D882-4173-81E4-C197DDEF2D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DF0B4CF0-7F26-46F1-A982-A902AA613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FDC888C8-5E41-46E5-AD59-B50C058448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04C8A5DC-D0DC-4C2E-A206-63FD1FB998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F8674E5-19C2-41B3-8619-1FD86364EC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BBB6854-F359-4AA4-8889-0C3FEA0FF8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123AAC0-A74F-4B4C-A23B-E14D7D1FD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F980515-4051-4891-BCB3-630C144659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88EAEC26-21CA-41E7-9A20-D13BDA2B9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C4C60ECF-0E84-4E8D-BFB4-23EAA14A82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89987388-77A5-4101-A0CF-B3EF3CD0FE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2D4DE101-19E5-4462-A0EE-4ECECFB367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8072FC8B-3AB3-44B7-B505-F46C6F61D1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B00A8598-72A8-49D9-B695-DDD8B959F6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8E0A-5D0D-438A-90F9-C8A3D3F3F116}">
  <dimension ref="A1:AZ129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L127" sqref="AL12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288</v>
      </c>
      <c r="B1" s="73"/>
      <c r="C1" s="72"/>
      <c r="D1" s="72"/>
      <c r="E1" s="222"/>
      <c r="F1" s="539" t="s">
        <v>42</v>
      </c>
      <c r="G1" s="539"/>
      <c r="H1" s="539"/>
      <c r="I1" s="540" t="s">
        <v>115</v>
      </c>
      <c r="J1" s="541"/>
      <c r="M1" s="350" t="s">
        <v>43</v>
      </c>
      <c r="N1" s="539" t="s">
        <v>116</v>
      </c>
      <c r="O1" s="539"/>
      <c r="P1" s="539"/>
      <c r="R1" s="224"/>
      <c r="S1" s="542"/>
      <c r="T1" s="542"/>
      <c r="U1" s="224"/>
      <c r="V1" s="543"/>
      <c r="W1" s="544"/>
      <c r="X1" s="224"/>
      <c r="Y1" s="542"/>
      <c r="Z1" s="542"/>
      <c r="AA1" s="224"/>
      <c r="AB1" s="224"/>
      <c r="AC1" s="224"/>
      <c r="AD1" s="224"/>
      <c r="AE1" s="225"/>
      <c r="AF1" s="224"/>
      <c r="AG1" s="225"/>
      <c r="AH1" s="535"/>
      <c r="AI1" s="535"/>
      <c r="AJ1" s="283" t="s">
        <v>248</v>
      </c>
      <c r="AK1" s="349"/>
      <c r="AL1" s="351" t="s">
        <v>44</v>
      </c>
      <c r="AM1" s="225"/>
      <c r="AQ1" s="536" t="s">
        <v>45</v>
      </c>
      <c r="AR1" s="537"/>
      <c r="AS1" s="537"/>
      <c r="AT1" s="537"/>
      <c r="AU1" s="537"/>
      <c r="AV1" s="537"/>
      <c r="AW1" s="537"/>
      <c r="AX1" s="538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287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3791</v>
      </c>
      <c r="F3" s="93">
        <v>151</v>
      </c>
      <c r="G3" s="93">
        <v>29</v>
      </c>
      <c r="H3" s="93">
        <v>620</v>
      </c>
      <c r="I3" s="93">
        <v>1</v>
      </c>
      <c r="J3" s="93">
        <v>2990</v>
      </c>
      <c r="K3" s="92">
        <v>142.97999999999999</v>
      </c>
      <c r="L3" s="92">
        <f t="shared" ref="L3" si="0">E3*K3</f>
        <v>542037.17999999993</v>
      </c>
      <c r="M3" s="89">
        <v>58</v>
      </c>
      <c r="N3" s="89">
        <v>180</v>
      </c>
      <c r="O3" s="89">
        <v>1515</v>
      </c>
      <c r="P3" s="89">
        <v>66</v>
      </c>
      <c r="Q3" s="233">
        <f>N3/7</f>
        <v>25.714285714285715</v>
      </c>
      <c r="R3" s="92">
        <f>U3/7</f>
        <v>14.428571428571429</v>
      </c>
      <c r="S3" s="93">
        <v>103</v>
      </c>
      <c r="T3" s="93">
        <v>-2</v>
      </c>
      <c r="U3" s="92">
        <f t="shared" ref="U3" si="1">S3+T3</f>
        <v>101</v>
      </c>
      <c r="V3" s="93">
        <v>97439.400000000023</v>
      </c>
      <c r="W3" s="93">
        <v>-1867</v>
      </c>
      <c r="X3" s="92">
        <f t="shared" ref="X3" si="2">V3+W3</f>
        <v>95572.400000000023</v>
      </c>
      <c r="Y3" s="93">
        <v>152864.16000000003</v>
      </c>
      <c r="Z3" s="93">
        <v>-2943</v>
      </c>
      <c r="AA3" s="92">
        <f>Y3+Z3</f>
        <v>149921.16000000003</v>
      </c>
      <c r="AB3" s="92">
        <f>N3*O3*P3/100</f>
        <v>179982</v>
      </c>
      <c r="AC3" s="234">
        <f t="shared" ref="AC3" si="3">AA3/$AA$126</f>
        <v>5.7831073331864366E-2</v>
      </c>
      <c r="AD3" s="92">
        <f t="shared" ref="AD3" si="4">U3*K3</f>
        <v>14440.98</v>
      </c>
      <c r="AE3" s="93">
        <v>56219.360000000015</v>
      </c>
      <c r="AF3" s="234">
        <f t="shared" ref="AF3" si="5">IF(AA3=0,0,AE3/AA3)</f>
        <v>0.37499282956455249</v>
      </c>
      <c r="AG3" s="93">
        <v>10600.299999999996</v>
      </c>
      <c r="AH3" s="93">
        <v>8006</v>
      </c>
      <c r="AI3" s="93">
        <v>19609</v>
      </c>
      <c r="AJ3" s="93"/>
      <c r="AK3" s="93"/>
      <c r="AL3" s="122">
        <f t="shared" ref="AL3" si="6">IFERROR($AL$126*H3/$H$126,0)</f>
        <v>622.11734545142758</v>
      </c>
      <c r="AM3" s="93">
        <v>0</v>
      </c>
      <c r="AN3" s="94">
        <f>X3*5.71%</f>
        <v>5457.184040000001</v>
      </c>
      <c r="AO3" s="95">
        <f>AA3-AD3-AE3-AG3-AH3-AI3-AK3-AL3-AN3-AM3</f>
        <v>34966.21861454859</v>
      </c>
      <c r="AP3" s="96"/>
      <c r="AQ3" s="97">
        <f t="shared" ref="AQ3:AQ97" si="7">IF(U3=0,0,AA3/U3)</f>
        <v>1484.3679207920795</v>
      </c>
      <c r="AR3" s="98">
        <f t="shared" ref="AR3:AR19" si="8">K3</f>
        <v>142.97999999999999</v>
      </c>
      <c r="AS3" s="98">
        <f t="shared" ref="AS3:AS97" si="9">IF(U3=0,0,AE3/U3)</f>
        <v>556.6273267326734</v>
      </c>
      <c r="AT3" s="98">
        <f t="shared" ref="AT3:AT97" si="10">IF(S3=0,AG3/1,AG3/S3)</f>
        <v>102.91553398058248</v>
      </c>
      <c r="AU3" s="98">
        <f>IF(S3=0,0,(AH3+AI3+AJ3)/S3)</f>
        <v>268.10679611650488</v>
      </c>
      <c r="AV3" s="98">
        <f>_xlfn.IFS(U3=0,AO3,U3&lt;0,AO3/-U3,U3&gt;0,AO3/U3)</f>
        <v>346.20018430246131</v>
      </c>
      <c r="AW3" s="234">
        <f t="shared" ref="AW3" si="11">IF(AQ3=0,0,AV3/AQ3)</f>
        <v>0.23323071015824973</v>
      </c>
      <c r="AX3" s="234">
        <f t="shared" ref="AX3" si="12">IF(AR3=0,0,AV3/AR3)</f>
        <v>2.4213189558152282</v>
      </c>
      <c r="AY3" s="99"/>
      <c r="AZ3" s="94">
        <f t="shared" ref="AZ3:AZ97" si="13">AV3*E3</f>
        <v>1312444.8986906309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7939</v>
      </c>
      <c r="F4" s="93">
        <v>489</v>
      </c>
      <c r="G4" s="93">
        <v>119</v>
      </c>
      <c r="H4" s="93">
        <v>1683</v>
      </c>
      <c r="I4" s="93">
        <v>0</v>
      </c>
      <c r="J4" s="93">
        <v>5648</v>
      </c>
      <c r="K4" s="92">
        <v>123.09</v>
      </c>
      <c r="L4" s="92">
        <f>E4*K4</f>
        <v>977211.51</v>
      </c>
      <c r="M4" s="89">
        <v>13</v>
      </c>
      <c r="N4" s="89">
        <v>678</v>
      </c>
      <c r="O4" s="89">
        <v>1275</v>
      </c>
      <c r="P4" s="89">
        <v>67</v>
      </c>
      <c r="Q4" s="233">
        <f t="shared" ref="Q4:Q67" si="14">N4/7</f>
        <v>96.857142857142861</v>
      </c>
      <c r="R4" s="92">
        <f t="shared" ref="R4:R67" si="15">U4/7</f>
        <v>61</v>
      </c>
      <c r="S4" s="93">
        <v>432</v>
      </c>
      <c r="T4" s="93">
        <v>-5</v>
      </c>
      <c r="U4" s="92">
        <f t="shared" ref="U4:U67" si="16">S4+T4</f>
        <v>427</v>
      </c>
      <c r="V4" s="93">
        <v>340261.09999999986</v>
      </c>
      <c r="W4" s="93">
        <v>-3504</v>
      </c>
      <c r="X4" s="92">
        <f t="shared" ref="X4:X67" si="17">V4+W4</f>
        <v>336757.09999999986</v>
      </c>
      <c r="Y4" s="93">
        <v>532953.60000000021</v>
      </c>
      <c r="Z4" s="93">
        <v>-5782</v>
      </c>
      <c r="AA4" s="92">
        <f t="shared" ref="AA4:AA67" si="18">Y4+Z4</f>
        <v>527171.60000000021</v>
      </c>
      <c r="AB4" s="92">
        <f t="shared" ref="AB4:AB67" si="19">N4*O4*P4/100</f>
        <v>579181.5</v>
      </c>
      <c r="AC4" s="234">
        <f t="shared" ref="AC4:AC67" si="20">AA4/$AA$126</f>
        <v>0.20335287866019897</v>
      </c>
      <c r="AD4" s="92">
        <f t="shared" ref="AD4:AD67" si="21">U4*K4</f>
        <v>52559.43</v>
      </c>
      <c r="AE4" s="93">
        <v>197881.13999999984</v>
      </c>
      <c r="AF4" s="234">
        <f t="shared" ref="AF4:AF67" si="22">IF(AA4=0,0,AE4/AA4)</f>
        <v>0.37536380943131187</v>
      </c>
      <c r="AG4" s="93">
        <v>43361.180000000102</v>
      </c>
      <c r="AH4" s="93">
        <v>6266</v>
      </c>
      <c r="AI4" s="93">
        <v>25473</v>
      </c>
      <c r="AJ4" s="93"/>
      <c r="AK4" s="93"/>
      <c r="AL4" s="122">
        <f t="shared" ref="AL4:AL67" si="23">IFERROR($AL$126*H4/$H$126,0)</f>
        <v>1688.7475683786333</v>
      </c>
      <c r="AM4" s="93">
        <v>0</v>
      </c>
      <c r="AN4" s="94">
        <f t="shared" ref="AN4:AN67" si="24">X4*5.71%</f>
        <v>19228.830409999991</v>
      </c>
      <c r="AO4" s="95">
        <f>AA4-AD4-AE4-AG4-AH4-AI4-AK4-AL4-AN4-AM4</f>
        <v>180713.27202162164</v>
      </c>
      <c r="AP4" s="96"/>
      <c r="AQ4" s="97">
        <f t="shared" si="7"/>
        <v>1234.5939110070262</v>
      </c>
      <c r="AR4" s="98">
        <f t="shared" si="8"/>
        <v>123.09</v>
      </c>
      <c r="AS4" s="98">
        <f t="shared" si="9"/>
        <v>463.42187353629942</v>
      </c>
      <c r="AT4" s="98">
        <f t="shared" si="10"/>
        <v>100.37310185185208</v>
      </c>
      <c r="AU4" s="98">
        <f t="shared" ref="AU4:AU70" si="25">IF(S4=0,0,(AH4+AI4+AJ4)/S4)</f>
        <v>73.469907407407405</v>
      </c>
      <c r="AV4" s="98">
        <f t="array" ref="AV4">_xlfn.IFS(U4=0,AO4,U4&lt;0,AO4/-U4,U4&gt;0,AO4/U4)</f>
        <v>423.21609372745115</v>
      </c>
      <c r="AW4" s="234">
        <f>IF(AQ4=0,0,AV4/AQ4)</f>
        <v>0.34279781388379338</v>
      </c>
      <c r="AX4" s="234">
        <f>IF(AR4=0,0,AV4/AR4)</f>
        <v>3.4382654458319211</v>
      </c>
      <c r="AY4" s="99"/>
      <c r="AZ4" s="94">
        <f t="shared" si="13"/>
        <v>3359912.5681022345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7090</v>
      </c>
      <c r="F5" s="93">
        <v>138</v>
      </c>
      <c r="G5" s="93">
        <v>33</v>
      </c>
      <c r="H5" s="93">
        <v>431</v>
      </c>
      <c r="I5" s="93">
        <v>0</v>
      </c>
      <c r="J5" s="93">
        <v>6488</v>
      </c>
      <c r="K5" s="92">
        <v>123.09</v>
      </c>
      <c r="L5" s="92">
        <f>E5*K5</f>
        <v>872708.1</v>
      </c>
      <c r="M5" s="89">
        <v>29</v>
      </c>
      <c r="N5" s="89">
        <v>206</v>
      </c>
      <c r="O5" s="89">
        <v>1259</v>
      </c>
      <c r="P5" s="89">
        <v>80</v>
      </c>
      <c r="Q5" s="233">
        <f t="shared" si="14"/>
        <v>29.428571428571427</v>
      </c>
      <c r="R5" s="92">
        <f t="shared" si="15"/>
        <v>20.428571428571427</v>
      </c>
      <c r="S5" s="93">
        <v>146</v>
      </c>
      <c r="T5" s="93">
        <v>-3</v>
      </c>
      <c r="U5" s="92">
        <f t="shared" si="16"/>
        <v>143</v>
      </c>
      <c r="V5" s="93">
        <v>113741.09</v>
      </c>
      <c r="W5" s="93">
        <v>-2185</v>
      </c>
      <c r="X5" s="92">
        <f t="shared" si="17"/>
        <v>111556.09</v>
      </c>
      <c r="Y5" s="93">
        <v>179134.39999999997</v>
      </c>
      <c r="Z5" s="93">
        <v>-3514</v>
      </c>
      <c r="AA5" s="92">
        <f t="shared" si="18"/>
        <v>175620.39999999997</v>
      </c>
      <c r="AB5" s="92">
        <f t="shared" si="19"/>
        <v>207483.2</v>
      </c>
      <c r="AC5" s="234">
        <f t="shared" si="20"/>
        <v>6.7744381319964089E-2</v>
      </c>
      <c r="AD5" s="92">
        <f t="shared" si="21"/>
        <v>17601.87</v>
      </c>
      <c r="AE5" s="93">
        <v>65931.049999999901</v>
      </c>
      <c r="AF5" s="234">
        <f t="shared" si="22"/>
        <v>0.37541794688999636</v>
      </c>
      <c r="AG5" s="93">
        <v>12766.01999999998</v>
      </c>
      <c r="AH5" s="93">
        <v>3311</v>
      </c>
      <c r="AI5" s="93">
        <v>9987</v>
      </c>
      <c r="AJ5" s="93"/>
      <c r="AK5" s="93"/>
      <c r="AL5" s="122">
        <f t="shared" si="23"/>
        <v>432.47189659607301</v>
      </c>
      <c r="AM5" s="93">
        <v>0</v>
      </c>
      <c r="AN5" s="94">
        <f t="shared" si="24"/>
        <v>6369.8527389999999</v>
      </c>
      <c r="AO5" s="95">
        <f t="shared" ref="AO5:AO68" si="26">AA5-AD5-AE5-AG5-AH5-AI5-AK5-AL5-AN5-AM5</f>
        <v>59221.135364404014</v>
      </c>
      <c r="AP5" s="96"/>
      <c r="AQ5" s="97">
        <f t="shared" si="7"/>
        <v>1228.1146853146852</v>
      </c>
      <c r="AR5" s="98">
        <f t="shared" si="8"/>
        <v>123.09</v>
      </c>
      <c r="AS5" s="98">
        <f t="shared" si="9"/>
        <v>461.05629370629299</v>
      </c>
      <c r="AT5" s="98">
        <f t="shared" si="10"/>
        <v>87.438493150684792</v>
      </c>
      <c r="AU5" s="98">
        <f t="shared" si="25"/>
        <v>91.082191780821915</v>
      </c>
      <c r="AV5" s="98">
        <f t="array" ref="AV5">_xlfn.IFS(U5=0,AO5,U5&lt;0,AO5/-U5,U5&gt;0,AO5/U5)</f>
        <v>414.13381373709103</v>
      </c>
      <c r="AW5" s="234">
        <f>IF(AQ5=0,0,AV5/AQ5)</f>
        <v>0.33721102653452573</v>
      </c>
      <c r="AX5" s="234">
        <f>IF(AR5=0,0,AV5/AR5)</f>
        <v>3.3644797606392967</v>
      </c>
      <c r="AY5" s="99"/>
      <c r="AZ5" s="94">
        <f t="shared" si="13"/>
        <v>2936208.7393959756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2317</v>
      </c>
      <c r="F6" s="93">
        <v>102</v>
      </c>
      <c r="G6" s="93">
        <v>19</v>
      </c>
      <c r="H6" s="93">
        <v>247</v>
      </c>
      <c r="I6" s="93">
        <v>0</v>
      </c>
      <c r="J6" s="93">
        <v>1949</v>
      </c>
      <c r="K6" s="92">
        <v>123.09</v>
      </c>
      <c r="L6" s="92">
        <f t="shared" ref="L6" si="28">E6*K6</f>
        <v>285199.53000000003</v>
      </c>
      <c r="M6" s="89">
        <v>21</v>
      </c>
      <c r="N6" s="89">
        <v>147</v>
      </c>
      <c r="O6" s="89">
        <v>1175</v>
      </c>
      <c r="P6" s="89">
        <v>76</v>
      </c>
      <c r="Q6" s="233">
        <f t="shared" si="14"/>
        <v>21</v>
      </c>
      <c r="R6" s="92">
        <f t="shared" si="15"/>
        <v>15</v>
      </c>
      <c r="S6" s="93">
        <v>107</v>
      </c>
      <c r="T6" s="93">
        <v>-2</v>
      </c>
      <c r="U6" s="92">
        <f t="shared" si="16"/>
        <v>105</v>
      </c>
      <c r="V6" s="93">
        <v>76831.970000000016</v>
      </c>
      <c r="W6" s="93">
        <v>-1365</v>
      </c>
      <c r="X6" s="92">
        <f t="shared" si="17"/>
        <v>75466.970000000016</v>
      </c>
      <c r="Y6" s="93">
        <v>120158.7</v>
      </c>
      <c r="Z6" s="93">
        <v>-2200.54</v>
      </c>
      <c r="AA6" s="92">
        <f t="shared" si="18"/>
        <v>117958.16</v>
      </c>
      <c r="AB6" s="92">
        <f t="shared" si="19"/>
        <v>131271</v>
      </c>
      <c r="AC6" s="234">
        <f t="shared" si="20"/>
        <v>4.5501562294820747E-2</v>
      </c>
      <c r="AD6" s="92">
        <f t="shared" si="21"/>
        <v>12924.45</v>
      </c>
      <c r="AE6" s="93">
        <v>44251.370000000017</v>
      </c>
      <c r="AF6" s="234">
        <f t="shared" si="22"/>
        <v>0.37514462755268491</v>
      </c>
      <c r="AG6" s="93">
        <v>9440.4399999999932</v>
      </c>
      <c r="AH6" s="93">
        <v>2464</v>
      </c>
      <c r="AI6" s="93">
        <v>9156</v>
      </c>
      <c r="AJ6" s="93"/>
      <c r="AK6" s="93"/>
      <c r="AL6" s="122">
        <f t="shared" si="23"/>
        <v>247.84352310726226</v>
      </c>
      <c r="AM6" s="93">
        <v>0</v>
      </c>
      <c r="AN6" s="94">
        <f t="shared" si="24"/>
        <v>4309.1639870000008</v>
      </c>
      <c r="AO6" s="95">
        <f t="shared" si="26"/>
        <v>35164.892489892729</v>
      </c>
      <c r="AP6" s="96"/>
      <c r="AQ6" s="97">
        <f t="shared" si="7"/>
        <v>1123.4110476190476</v>
      </c>
      <c r="AR6" s="98">
        <f t="shared" si="8"/>
        <v>123.09</v>
      </c>
      <c r="AS6" s="98">
        <f t="shared" si="9"/>
        <v>421.44161904761921</v>
      </c>
      <c r="AT6" s="98">
        <f t="shared" si="10"/>
        <v>88.228411214953212</v>
      </c>
      <c r="AU6" s="98">
        <f t="shared" si="25"/>
        <v>108.59813084112149</v>
      </c>
      <c r="AV6" s="98">
        <f t="array" ref="AV6">_xlfn.IFS(U6=0,AO6,U6&lt;0,AO6/-U6,U6&gt;0,AO6/U6)</f>
        <v>334.90373799897839</v>
      </c>
      <c r="AW6" s="234">
        <f t="shared" ref="AW6" si="29">IF(AQ6=0,0,AV6/AQ6)</f>
        <v>0.29811326736440047</v>
      </c>
      <c r="AX6" s="234">
        <f t="shared" ref="AX6" si="30">IF(AR6=0,0,AV6/AR6)</f>
        <v>2.720803785839454</v>
      </c>
      <c r="AY6" s="99"/>
      <c r="AZ6" s="94">
        <f t="shared" si="13"/>
        <v>775971.96094363288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4470</v>
      </c>
      <c r="F7" s="93">
        <v>174</v>
      </c>
      <c r="G7" s="93">
        <v>28</v>
      </c>
      <c r="H7" s="93">
        <v>1223</v>
      </c>
      <c r="I7" s="93">
        <v>3</v>
      </c>
      <c r="J7" s="93">
        <v>3042</v>
      </c>
      <c r="K7" s="92">
        <v>117.24</v>
      </c>
      <c r="L7" s="92">
        <f>E7*K7</f>
        <v>524062.8</v>
      </c>
      <c r="M7" s="89">
        <v>23</v>
      </c>
      <c r="N7" s="89">
        <v>224</v>
      </c>
      <c r="O7" s="89">
        <v>1412</v>
      </c>
      <c r="P7" s="89">
        <v>65</v>
      </c>
      <c r="Q7" s="233">
        <f t="shared" si="14"/>
        <v>32</v>
      </c>
      <c r="R7" s="92">
        <f t="shared" si="15"/>
        <v>19.857142857142858</v>
      </c>
      <c r="S7" s="93">
        <v>142</v>
      </c>
      <c r="T7" s="93">
        <v>-3</v>
      </c>
      <c r="U7" s="92">
        <f t="shared" si="16"/>
        <v>139</v>
      </c>
      <c r="V7" s="93">
        <v>125355.04999999999</v>
      </c>
      <c r="W7" s="93">
        <v>-2531</v>
      </c>
      <c r="X7" s="92">
        <f t="shared" si="17"/>
        <v>122824.04999999999</v>
      </c>
      <c r="Y7" s="93">
        <v>196404.55000000013</v>
      </c>
      <c r="Z7" s="93">
        <v>-4110.54</v>
      </c>
      <c r="AA7" s="92">
        <f t="shared" si="18"/>
        <v>192294.01000000013</v>
      </c>
      <c r="AB7" s="92">
        <f t="shared" si="19"/>
        <v>205587.20000000001</v>
      </c>
      <c r="AC7" s="234">
        <f t="shared" si="20"/>
        <v>7.4176113589224255E-2</v>
      </c>
      <c r="AD7" s="92">
        <f t="shared" si="21"/>
        <v>16296.359999999999</v>
      </c>
      <c r="AE7" s="93">
        <v>72399.530000000159</v>
      </c>
      <c r="AF7" s="234">
        <f t="shared" si="22"/>
        <v>0.37650434353103412</v>
      </c>
      <c r="AG7" s="93">
        <v>15144.889999999981</v>
      </c>
      <c r="AH7" s="93">
        <v>5391</v>
      </c>
      <c r="AI7" s="93">
        <v>18000</v>
      </c>
      <c r="AJ7" s="93"/>
      <c r="AK7" s="93"/>
      <c r="AL7" s="122">
        <f t="shared" si="23"/>
        <v>1227.1766346566064</v>
      </c>
      <c r="AM7" s="93">
        <v>0</v>
      </c>
      <c r="AN7" s="94">
        <f t="shared" si="24"/>
        <v>7013.2532549999987</v>
      </c>
      <c r="AO7" s="95">
        <f t="shared" si="26"/>
        <v>56821.800110343393</v>
      </c>
      <c r="AP7" s="96"/>
      <c r="AQ7" s="97">
        <f t="shared" si="7"/>
        <v>1383.4101438848929</v>
      </c>
      <c r="AR7" s="98">
        <f t="shared" si="8"/>
        <v>117.24</v>
      </c>
      <c r="AS7" s="98">
        <f t="shared" si="9"/>
        <v>520.85992805755507</v>
      </c>
      <c r="AT7" s="98">
        <f t="shared" si="10"/>
        <v>106.65415492957733</v>
      </c>
      <c r="AU7" s="98">
        <f t="shared" si="25"/>
        <v>164.72535211267606</v>
      </c>
      <c r="AV7" s="98">
        <f t="array" ref="AV7">_xlfn.IFS(U7=0,AO7,U7&lt;0,AO7/-U7,U7&gt;0,AO7/U7)</f>
        <v>408.78992885139132</v>
      </c>
      <c r="AW7" s="234">
        <f>IF(AQ7=0,0,AV7/AQ7)</f>
        <v>0.29549438440824732</v>
      </c>
      <c r="AX7" s="234">
        <f>IF(AR7=0,0,AV7/AR7)</f>
        <v>3.4867786493636244</v>
      </c>
      <c r="AY7" s="99"/>
      <c r="AZ7" s="94">
        <f t="shared" si="13"/>
        <v>1827290.9819657193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360</v>
      </c>
      <c r="F8" s="93">
        <v>59</v>
      </c>
      <c r="G8" s="93">
        <v>23</v>
      </c>
      <c r="H8" s="93">
        <v>278</v>
      </c>
      <c r="I8" s="93">
        <v>0</v>
      </c>
      <c r="J8" s="93">
        <v>0</v>
      </c>
      <c r="K8" s="92">
        <v>169.89</v>
      </c>
      <c r="L8" s="92">
        <f>E8*K8</f>
        <v>61160.399999999994</v>
      </c>
      <c r="M8" s="89">
        <v>52</v>
      </c>
      <c r="N8" s="89">
        <v>67</v>
      </c>
      <c r="O8" s="89">
        <v>1464</v>
      </c>
      <c r="P8" s="89">
        <v>56</v>
      </c>
      <c r="Q8" s="233">
        <f t="shared" si="14"/>
        <v>9.5714285714285712</v>
      </c>
      <c r="R8" s="92">
        <f t="shared" si="15"/>
        <v>6.1428571428571432</v>
      </c>
      <c r="S8" s="93">
        <v>45</v>
      </c>
      <c r="T8" s="93">
        <v>-2</v>
      </c>
      <c r="U8" s="92">
        <f t="shared" si="16"/>
        <v>43</v>
      </c>
      <c r="V8" s="93">
        <v>41836.369999999995</v>
      </c>
      <c r="W8" s="93">
        <v>-1701</v>
      </c>
      <c r="X8" s="92">
        <f t="shared" si="17"/>
        <v>40135.369999999995</v>
      </c>
      <c r="Y8" s="93">
        <v>64738.590000000004</v>
      </c>
      <c r="Z8" s="93">
        <v>-2750</v>
      </c>
      <c r="AA8" s="92">
        <f t="shared" si="18"/>
        <v>61988.590000000004</v>
      </c>
      <c r="AB8" s="92">
        <f t="shared" si="19"/>
        <v>54929.279999999999</v>
      </c>
      <c r="AC8" s="234">
        <f t="shared" si="20"/>
        <v>2.3911679272151265E-2</v>
      </c>
      <c r="AD8" s="92">
        <f t="shared" si="21"/>
        <v>7305.2699999999995</v>
      </c>
      <c r="AE8" s="93">
        <v>23073.279999999992</v>
      </c>
      <c r="AF8" s="234">
        <f t="shared" si="22"/>
        <v>0.37221817757106573</v>
      </c>
      <c r="AG8" s="93">
        <v>5713.4399999999978</v>
      </c>
      <c r="AH8" s="93">
        <v>624</v>
      </c>
      <c r="AI8" s="93">
        <v>8500</v>
      </c>
      <c r="AJ8" s="93"/>
      <c r="AK8" s="93"/>
      <c r="AL8" s="122">
        <f t="shared" si="23"/>
        <v>278.94939037983363</v>
      </c>
      <c r="AM8" s="93">
        <v>0</v>
      </c>
      <c r="AN8" s="94">
        <f t="shared" si="24"/>
        <v>2291.7296269999997</v>
      </c>
      <c r="AO8" s="95">
        <f t="shared" si="26"/>
        <v>14201.920982620184</v>
      </c>
      <c r="AP8" s="96"/>
      <c r="AQ8" s="97">
        <f t="shared" si="7"/>
        <v>1441.5951162790698</v>
      </c>
      <c r="AR8" s="98">
        <f t="shared" si="8"/>
        <v>169.89</v>
      </c>
      <c r="AS8" s="98">
        <f t="shared" si="9"/>
        <v>536.58790697674397</v>
      </c>
      <c r="AT8" s="98">
        <f t="shared" si="10"/>
        <v>126.96533333333329</v>
      </c>
      <c r="AU8" s="98">
        <f t="shared" si="25"/>
        <v>202.75555555555556</v>
      </c>
      <c r="AV8" s="98">
        <f t="array" ref="AV8">_xlfn.IFS(U8=0,AO8,U8&lt;0,AO8/-U8,U8&gt;0,AO8/U8)</f>
        <v>330.27723215395775</v>
      </c>
      <c r="AW8" s="234">
        <f>IF(AQ8=0,0,AV8/AQ8)</f>
        <v>0.22910540444007815</v>
      </c>
      <c r="AX8" s="234">
        <f>IF(AR8=0,0,AV8/AR8)</f>
        <v>1.9440651724878319</v>
      </c>
      <c r="AY8" s="99"/>
      <c r="AZ8" s="94">
        <f t="shared" si="13"/>
        <v>118899.8035754248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11134</v>
      </c>
      <c r="F9" s="93">
        <v>193</v>
      </c>
      <c r="G9" s="93">
        <v>56</v>
      </c>
      <c r="H9" s="93">
        <v>778</v>
      </c>
      <c r="I9" s="93">
        <v>0</v>
      </c>
      <c r="J9" s="93">
        <v>10107</v>
      </c>
      <c r="K9" s="92">
        <v>123.09</v>
      </c>
      <c r="L9" s="92">
        <f>E9*K9</f>
        <v>1370484.06</v>
      </c>
      <c r="M9" s="89">
        <v>29</v>
      </c>
      <c r="N9" s="89">
        <v>232</v>
      </c>
      <c r="O9" s="89">
        <v>1450</v>
      </c>
      <c r="P9" s="89">
        <v>55</v>
      </c>
      <c r="Q9" s="233">
        <f t="shared" si="14"/>
        <v>33.142857142857146</v>
      </c>
      <c r="R9" s="92">
        <f t="shared" si="15"/>
        <v>15.285714285714286</v>
      </c>
      <c r="S9" s="93">
        <v>109</v>
      </c>
      <c r="T9" s="93">
        <v>-2</v>
      </c>
      <c r="U9" s="92">
        <f t="shared" si="16"/>
        <v>107</v>
      </c>
      <c r="V9" s="93">
        <v>101730.52</v>
      </c>
      <c r="W9" s="93">
        <v>-1988</v>
      </c>
      <c r="X9" s="92">
        <f t="shared" si="17"/>
        <v>99742.52</v>
      </c>
      <c r="Y9" s="93">
        <v>157983.03000000006</v>
      </c>
      <c r="Z9" s="93">
        <v>-2900</v>
      </c>
      <c r="AA9" s="92">
        <f t="shared" si="18"/>
        <v>155083.03000000006</v>
      </c>
      <c r="AB9" s="92">
        <f t="shared" si="19"/>
        <v>185020</v>
      </c>
      <c r="AC9" s="234">
        <f t="shared" si="20"/>
        <v>5.9822229767017024E-2</v>
      </c>
      <c r="AD9" s="92">
        <f t="shared" si="21"/>
        <v>13170.630000000001</v>
      </c>
      <c r="AE9" s="93">
        <v>58225.070000000036</v>
      </c>
      <c r="AF9" s="234">
        <f t="shared" si="22"/>
        <v>0.37544449576462374</v>
      </c>
      <c r="AG9" s="93">
        <v>16792.789999999975</v>
      </c>
      <c r="AH9" s="93">
        <v>4761</v>
      </c>
      <c r="AI9" s="93">
        <v>17500</v>
      </c>
      <c r="AJ9" s="93"/>
      <c r="AK9" s="93"/>
      <c r="AL9" s="122">
        <f t="shared" si="23"/>
        <v>780.65692703421075</v>
      </c>
      <c r="AM9" s="93">
        <v>0</v>
      </c>
      <c r="AN9" s="94">
        <f t="shared" si="24"/>
        <v>5695.2978919999996</v>
      </c>
      <c r="AO9" s="95">
        <f t="shared" si="26"/>
        <v>38157.585180965827</v>
      </c>
      <c r="AP9" s="96"/>
      <c r="AQ9" s="97">
        <f t="shared" si="7"/>
        <v>1449.3741121495332</v>
      </c>
      <c r="AR9" s="98">
        <f t="shared" si="8"/>
        <v>123.09</v>
      </c>
      <c r="AS9" s="98">
        <f t="shared" si="9"/>
        <v>544.1595327102807</v>
      </c>
      <c r="AT9" s="98">
        <f t="shared" si="10"/>
        <v>154.06229357798142</v>
      </c>
      <c r="AU9" s="98">
        <f t="shared" si="25"/>
        <v>204.22935779816513</v>
      </c>
      <c r="AV9" s="98">
        <f t="array" ref="AV9">_xlfn.IFS(U9=0,AO9,U9&lt;0,AO9/-U9,U9&gt;0,AO9/U9)</f>
        <v>356.61294561650305</v>
      </c>
      <c r="AW9" s="234">
        <f>IF(AQ9=0,0,AV9/AQ9)</f>
        <v>0.24604616753339043</v>
      </c>
      <c r="AX9" s="234">
        <f>IF(AR9=0,0,AV9/AR9)</f>
        <v>2.8971723585709892</v>
      </c>
      <c r="AY9" s="99"/>
      <c r="AZ9" s="94">
        <f t="shared" si="13"/>
        <v>3970528.5364941452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9743</v>
      </c>
      <c r="F10" s="93">
        <v>156</v>
      </c>
      <c r="G10" s="93">
        <v>36</v>
      </c>
      <c r="H10" s="93">
        <v>865</v>
      </c>
      <c r="I10" s="93">
        <v>0</v>
      </c>
      <c r="J10" s="93">
        <v>8686</v>
      </c>
      <c r="K10" s="92">
        <v>123.09</v>
      </c>
      <c r="L10" s="92">
        <f>E10*K10</f>
        <v>1199265.8700000001</v>
      </c>
      <c r="M10" s="89">
        <v>24</v>
      </c>
      <c r="N10" s="89">
        <v>198</v>
      </c>
      <c r="O10" s="89">
        <v>1245</v>
      </c>
      <c r="P10" s="89">
        <v>62</v>
      </c>
      <c r="Q10" s="233">
        <f t="shared" si="14"/>
        <v>28.285714285714285</v>
      </c>
      <c r="R10" s="92">
        <f t="shared" si="15"/>
        <v>15.857142857142858</v>
      </c>
      <c r="S10" s="93">
        <v>114</v>
      </c>
      <c r="T10" s="93">
        <v>-3</v>
      </c>
      <c r="U10" s="92">
        <f t="shared" si="16"/>
        <v>111</v>
      </c>
      <c r="V10" s="93">
        <v>86663.360000000015</v>
      </c>
      <c r="W10" s="93">
        <v>-2275</v>
      </c>
      <c r="X10" s="92">
        <f t="shared" si="17"/>
        <v>84388.360000000015</v>
      </c>
      <c r="Y10" s="93">
        <v>137057.74</v>
      </c>
      <c r="Z10" s="93">
        <v>-3603</v>
      </c>
      <c r="AA10" s="92">
        <f t="shared" si="18"/>
        <v>133454.74</v>
      </c>
      <c r="AB10" s="92">
        <f t="shared" si="19"/>
        <v>152836.20000000001</v>
      </c>
      <c r="AC10" s="234">
        <f t="shared" si="20"/>
        <v>5.1479263203572399E-2</v>
      </c>
      <c r="AD10" s="92">
        <f t="shared" si="21"/>
        <v>13662.99</v>
      </c>
      <c r="AE10" s="93">
        <v>50160.089999999967</v>
      </c>
      <c r="AF10" s="234">
        <f t="shared" si="22"/>
        <v>0.37585843710009831</v>
      </c>
      <c r="AG10" s="93">
        <v>14137.389999999974</v>
      </c>
      <c r="AH10" s="93">
        <v>4429</v>
      </c>
      <c r="AI10" s="93">
        <v>22800</v>
      </c>
      <c r="AJ10" s="93"/>
      <c r="AK10" s="93"/>
      <c r="AL10" s="122">
        <f t="shared" si="23"/>
        <v>867.95403841207235</v>
      </c>
      <c r="AM10" s="93">
        <v>0</v>
      </c>
      <c r="AN10" s="94">
        <f t="shared" si="24"/>
        <v>4818.5753560000003</v>
      </c>
      <c r="AO10" s="95">
        <f t="shared" si="26"/>
        <v>22578.740605587973</v>
      </c>
      <c r="AP10" s="96"/>
      <c r="AQ10" s="97">
        <f t="shared" si="7"/>
        <v>1202.2949549549548</v>
      </c>
      <c r="AR10" s="98">
        <f t="shared" si="8"/>
        <v>123.09</v>
      </c>
      <c r="AS10" s="98">
        <f t="shared" si="9"/>
        <v>451.89270270270242</v>
      </c>
      <c r="AT10" s="98">
        <f t="shared" si="10"/>
        <v>124.01219298245591</v>
      </c>
      <c r="AU10" s="98">
        <f t="shared" si="25"/>
        <v>238.85087719298247</v>
      </c>
      <c r="AV10" s="98">
        <f t="array" ref="AV10">_xlfn.IFS(U10=0,AO10,U10&lt;0,AO10/-U10,U10&gt;0,AO10/U10)</f>
        <v>203.41207752781958</v>
      </c>
      <c r="AW10" s="234">
        <f>IF(AQ10=0,0,AV10/AQ10)</f>
        <v>0.16918650177272065</v>
      </c>
      <c r="AX10" s="234">
        <f>IF(AR10=0,0,AV10/AR10)</f>
        <v>1.6525475467366932</v>
      </c>
      <c r="AY10" s="99"/>
      <c r="AZ10" s="94">
        <f t="shared" si="13"/>
        <v>1981843.8713535462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2717</v>
      </c>
      <c r="F11" s="93">
        <v>66</v>
      </c>
      <c r="G11" s="93">
        <v>17</v>
      </c>
      <c r="H11" s="93">
        <v>317</v>
      </c>
      <c r="I11" s="93">
        <v>0</v>
      </c>
      <c r="J11" s="93">
        <v>2317</v>
      </c>
      <c r="K11" s="92">
        <v>123.09</v>
      </c>
      <c r="L11" s="92">
        <f t="shared" ref="L11" si="32">E11*K11</f>
        <v>334435.53000000003</v>
      </c>
      <c r="M11" s="89">
        <v>52</v>
      </c>
      <c r="N11" s="89">
        <v>87</v>
      </c>
      <c r="O11" s="89">
        <v>1217</v>
      </c>
      <c r="P11" s="89">
        <v>64</v>
      </c>
      <c r="Q11" s="233">
        <f t="shared" si="14"/>
        <v>12.428571428571429</v>
      </c>
      <c r="R11" s="92">
        <f t="shared" si="15"/>
        <v>8.8571428571428577</v>
      </c>
      <c r="S11" s="93">
        <v>64</v>
      </c>
      <c r="T11" s="93">
        <v>-2</v>
      </c>
      <c r="U11" s="92">
        <f t="shared" si="16"/>
        <v>62</v>
      </c>
      <c r="V11" s="93">
        <v>48936.34</v>
      </c>
      <c r="W11" s="93">
        <v>-1528</v>
      </c>
      <c r="X11" s="92">
        <f t="shared" si="17"/>
        <v>47408.34</v>
      </c>
      <c r="Y11" s="93">
        <v>77890.11</v>
      </c>
      <c r="Z11" s="93">
        <v>-2434</v>
      </c>
      <c r="AA11" s="92">
        <f t="shared" si="18"/>
        <v>75456.11</v>
      </c>
      <c r="AB11" s="92">
        <f t="shared" si="19"/>
        <v>67762.559999999998</v>
      </c>
      <c r="AC11" s="234">
        <f t="shared" si="20"/>
        <v>2.9106684011431228E-2</v>
      </c>
      <c r="AD11" s="92">
        <f t="shared" si="21"/>
        <v>7631.58</v>
      </c>
      <c r="AE11" s="93">
        <v>28370.149999999983</v>
      </c>
      <c r="AF11" s="234">
        <f t="shared" si="22"/>
        <v>0.3759821437919339</v>
      </c>
      <c r="AG11" s="93">
        <v>6050.3699999999981</v>
      </c>
      <c r="AH11" s="93">
        <v>2279</v>
      </c>
      <c r="AI11" s="93">
        <v>4547</v>
      </c>
      <c r="AJ11" s="93"/>
      <c r="AK11" s="93"/>
      <c r="AL11" s="122">
        <f t="shared" si="23"/>
        <v>318.08257823887504</v>
      </c>
      <c r="AM11" s="93">
        <v>0</v>
      </c>
      <c r="AN11" s="94">
        <f t="shared" si="24"/>
        <v>2707.0162139999998</v>
      </c>
      <c r="AO11" s="95">
        <f t="shared" si="26"/>
        <v>23552.91120776115</v>
      </c>
      <c r="AP11" s="96"/>
      <c r="AQ11" s="97">
        <f t="shared" si="7"/>
        <v>1217.0340322580646</v>
      </c>
      <c r="AR11" s="98">
        <f t="shared" si="8"/>
        <v>123.09</v>
      </c>
      <c r="AS11" s="98">
        <f t="shared" si="9"/>
        <v>457.58306451612879</v>
      </c>
      <c r="AT11" s="98">
        <f t="shared" si="10"/>
        <v>94.53703124999997</v>
      </c>
      <c r="AU11" s="98">
        <f t="shared" si="25"/>
        <v>106.65625</v>
      </c>
      <c r="AV11" s="98">
        <f t="array" ref="AV11">_xlfn.IFS(U11=0,AO11,U11&lt;0,AO11/-U11,U11&gt;0,AO11/U11)</f>
        <v>379.88566464130889</v>
      </c>
      <c r="AW11" s="234">
        <f t="shared" ref="AW11:AW28" si="33">IF(AQ11=0,0,AV11/AQ11)</f>
        <v>0.31214054379110123</v>
      </c>
      <c r="AX11" s="234">
        <f t="shared" ref="AX11:AX28" si="34">IF(AR11=0,0,AV11/AR11)</f>
        <v>3.0862431118799973</v>
      </c>
      <c r="AY11" s="99"/>
      <c r="AZ11" s="94">
        <f t="shared" si="13"/>
        <v>1032149.3508304362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5150</v>
      </c>
      <c r="F12" s="93">
        <v>109</v>
      </c>
      <c r="G12" s="93">
        <v>26</v>
      </c>
      <c r="H12" s="93">
        <v>533</v>
      </c>
      <c r="I12" s="93">
        <v>1</v>
      </c>
      <c r="J12" s="93">
        <v>4481</v>
      </c>
      <c r="K12" s="92">
        <v>117.24</v>
      </c>
      <c r="L12" s="92">
        <f>E12*K12</f>
        <v>603786</v>
      </c>
      <c r="M12" s="89">
        <v>48</v>
      </c>
      <c r="N12" s="89">
        <v>111</v>
      </c>
      <c r="O12" s="89">
        <v>1330</v>
      </c>
      <c r="P12" s="89">
        <v>60</v>
      </c>
      <c r="Q12" s="233">
        <f t="shared" si="14"/>
        <v>15.857142857142858</v>
      </c>
      <c r="R12" s="92">
        <f t="shared" si="15"/>
        <v>8.7142857142857135</v>
      </c>
      <c r="S12" s="93">
        <v>66</v>
      </c>
      <c r="T12" s="93">
        <v>-5</v>
      </c>
      <c r="U12" s="92">
        <f t="shared" si="16"/>
        <v>61</v>
      </c>
      <c r="V12" s="93">
        <v>54986.77</v>
      </c>
      <c r="W12" s="93">
        <v>-3980</v>
      </c>
      <c r="X12" s="92">
        <f t="shared" si="17"/>
        <v>51006.77</v>
      </c>
      <c r="Y12" s="93">
        <v>85288.43</v>
      </c>
      <c r="Z12" s="93">
        <v>-6363.85</v>
      </c>
      <c r="AA12" s="92">
        <f t="shared" si="18"/>
        <v>78924.579999999987</v>
      </c>
      <c r="AB12" s="92">
        <f t="shared" si="19"/>
        <v>88578</v>
      </c>
      <c r="AC12" s="234">
        <f t="shared" si="20"/>
        <v>3.0444622851548066E-2</v>
      </c>
      <c r="AD12" s="92">
        <f t="shared" si="21"/>
        <v>7151.6399999999994</v>
      </c>
      <c r="AE12" s="93">
        <v>28919.879999999994</v>
      </c>
      <c r="AF12" s="234">
        <f t="shared" si="22"/>
        <v>0.36642424958105574</v>
      </c>
      <c r="AG12" s="93">
        <v>9726.98</v>
      </c>
      <c r="AH12" s="93">
        <v>1803</v>
      </c>
      <c r="AI12" s="93">
        <v>7930</v>
      </c>
      <c r="AJ12" s="93"/>
      <c r="AK12" s="93"/>
      <c r="AL12" s="122">
        <f t="shared" si="23"/>
        <v>534.82023407356598</v>
      </c>
      <c r="AM12" s="93">
        <v>0</v>
      </c>
      <c r="AN12" s="94">
        <f t="shared" si="24"/>
        <v>2912.4865669999999</v>
      </c>
      <c r="AO12" s="95">
        <f t="shared" si="26"/>
        <v>19945.773198926436</v>
      </c>
      <c r="AP12" s="96"/>
      <c r="AQ12" s="97">
        <f t="shared" si="7"/>
        <v>1293.8455737704917</v>
      </c>
      <c r="AR12" s="98">
        <f t="shared" si="8"/>
        <v>117.24</v>
      </c>
      <c r="AS12" s="98">
        <f t="shared" si="9"/>
        <v>474.09639344262285</v>
      </c>
      <c r="AT12" s="98">
        <f t="shared" si="10"/>
        <v>147.37848484848485</v>
      </c>
      <c r="AU12" s="98">
        <f t="shared" si="25"/>
        <v>147.46969696969697</v>
      </c>
      <c r="AV12" s="98">
        <f t="array" ref="AV12">_xlfn.IFS(U12=0,AO12,U12&lt;0,AO12/-U12,U12&gt;0,AO12/U12)</f>
        <v>326.97988850699073</v>
      </c>
      <c r="AW12" s="234">
        <f t="shared" si="33"/>
        <v>0.25271940881948862</v>
      </c>
      <c r="AX12" s="234">
        <f t="shared" si="34"/>
        <v>2.7889789193704431</v>
      </c>
      <c r="AY12" s="99"/>
      <c r="AZ12" s="94">
        <f t="shared" si="13"/>
        <v>1683946.4258110023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5734</v>
      </c>
      <c r="F13" s="93">
        <v>195</v>
      </c>
      <c r="G13" s="93">
        <v>43</v>
      </c>
      <c r="H13" s="93">
        <v>299</v>
      </c>
      <c r="I13" s="93">
        <v>1</v>
      </c>
      <c r="J13" s="93">
        <v>5196</v>
      </c>
      <c r="K13" s="92">
        <v>123.09</v>
      </c>
      <c r="L13" s="92">
        <f t="shared" ref="L13:L28" si="35">E13*K13</f>
        <v>705798.06</v>
      </c>
      <c r="M13" s="89">
        <v>25</v>
      </c>
      <c r="N13" s="89">
        <v>253</v>
      </c>
      <c r="O13" s="89">
        <v>1490</v>
      </c>
      <c r="P13" s="89">
        <v>68</v>
      </c>
      <c r="Q13" s="233">
        <f t="shared" si="14"/>
        <v>36.142857142857146</v>
      </c>
      <c r="R13" s="92">
        <f t="shared" si="15"/>
        <v>18.857142857142858</v>
      </c>
      <c r="S13" s="93">
        <v>136</v>
      </c>
      <c r="T13" s="93">
        <v>-4</v>
      </c>
      <c r="U13" s="92">
        <f t="shared" si="16"/>
        <v>132</v>
      </c>
      <c r="V13" s="93">
        <v>127239.29999999996</v>
      </c>
      <c r="W13" s="93">
        <v>-3689</v>
      </c>
      <c r="X13" s="92">
        <f t="shared" si="17"/>
        <v>123550.29999999996</v>
      </c>
      <c r="Y13" s="93">
        <v>199867.76999999987</v>
      </c>
      <c r="Z13" s="93">
        <v>-5870.6</v>
      </c>
      <c r="AA13" s="92">
        <f t="shared" si="18"/>
        <v>193997.16999999987</v>
      </c>
      <c r="AB13" s="92">
        <f t="shared" si="19"/>
        <v>256339.6</v>
      </c>
      <c r="AC13" s="234">
        <f t="shared" si="20"/>
        <v>7.4833096038238678E-2</v>
      </c>
      <c r="AD13" s="92">
        <f t="shared" si="21"/>
        <v>16247.880000000001</v>
      </c>
      <c r="AE13" s="93">
        <v>73087.549999999916</v>
      </c>
      <c r="AF13" s="234">
        <f t="shared" si="22"/>
        <v>0.37674544427632611</v>
      </c>
      <c r="AG13" s="93">
        <v>16949.419999999976</v>
      </c>
      <c r="AH13" s="93">
        <v>9000</v>
      </c>
      <c r="AI13" s="93">
        <v>22606</v>
      </c>
      <c r="AJ13" s="93"/>
      <c r="AK13" s="93"/>
      <c r="AL13" s="122">
        <f t="shared" si="23"/>
        <v>300.0211069193175</v>
      </c>
      <c r="AM13" s="93">
        <v>0</v>
      </c>
      <c r="AN13" s="94">
        <f t="shared" si="24"/>
        <v>7054.7221299999974</v>
      </c>
      <c r="AO13" s="95">
        <f t="shared" si="26"/>
        <v>48751.576763080666</v>
      </c>
      <c r="AP13" s="96"/>
      <c r="AQ13" s="97">
        <f t="shared" si="7"/>
        <v>1469.6755303030293</v>
      </c>
      <c r="AR13" s="98">
        <f t="shared" si="8"/>
        <v>123.09</v>
      </c>
      <c r="AS13" s="98">
        <f t="shared" si="9"/>
        <v>553.69356060605992</v>
      </c>
      <c r="AT13" s="98">
        <f t="shared" si="10"/>
        <v>124.62808823529394</v>
      </c>
      <c r="AU13" s="98">
        <f t="shared" si="25"/>
        <v>232.39705882352942</v>
      </c>
      <c r="AV13" s="98">
        <f t="array" ref="AV13">_xlfn.IFS(U13=0,AO13,U13&lt;0,AO13/-U13,U13&gt;0,AO13/U13)</f>
        <v>369.33012699303532</v>
      </c>
      <c r="AW13" s="234">
        <f t="shared" si="33"/>
        <v>0.25130045331630713</v>
      </c>
      <c r="AX13" s="234">
        <f t="shared" si="34"/>
        <v>3.0004884799174207</v>
      </c>
      <c r="AY13" s="99"/>
      <c r="AZ13" s="94">
        <f t="shared" si="13"/>
        <v>2117738.9481780645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2947</v>
      </c>
      <c r="F14" s="93">
        <v>38</v>
      </c>
      <c r="G14" s="93">
        <v>7</v>
      </c>
      <c r="H14" s="93">
        <v>411</v>
      </c>
      <c r="I14" s="93">
        <v>2</v>
      </c>
      <c r="J14" s="93">
        <v>2489</v>
      </c>
      <c r="K14" s="92">
        <v>123.09</v>
      </c>
      <c r="L14" s="92">
        <f t="shared" si="35"/>
        <v>362746.23</v>
      </c>
      <c r="M14" s="89">
        <v>88</v>
      </c>
      <c r="N14" s="89">
        <v>43</v>
      </c>
      <c r="O14" s="89">
        <v>1202</v>
      </c>
      <c r="P14" s="89">
        <v>69</v>
      </c>
      <c r="Q14" s="233">
        <f t="shared" si="14"/>
        <v>6.1428571428571432</v>
      </c>
      <c r="R14" s="92">
        <f t="shared" si="15"/>
        <v>5</v>
      </c>
      <c r="S14" s="93">
        <v>35</v>
      </c>
      <c r="T14" s="93">
        <v>0</v>
      </c>
      <c r="U14" s="92">
        <f t="shared" si="16"/>
        <v>35</v>
      </c>
      <c r="V14" s="93">
        <v>26082.600000000002</v>
      </c>
      <c r="W14" s="93">
        <v>0</v>
      </c>
      <c r="X14" s="92">
        <f t="shared" si="17"/>
        <v>26082.600000000002</v>
      </c>
      <c r="Y14" s="93">
        <v>40222.420000000006</v>
      </c>
      <c r="Z14" s="93">
        <v>0</v>
      </c>
      <c r="AA14" s="92">
        <f t="shared" si="18"/>
        <v>40222.420000000006</v>
      </c>
      <c r="AB14" s="92">
        <f t="shared" si="19"/>
        <v>35663.339999999997</v>
      </c>
      <c r="AC14" s="234">
        <f t="shared" si="20"/>
        <v>1.5515526431392658E-2</v>
      </c>
      <c r="AD14" s="92">
        <f t="shared" si="21"/>
        <v>4308.1500000000005</v>
      </c>
      <c r="AE14" s="93">
        <v>15152.690000000002</v>
      </c>
      <c r="AF14" s="234">
        <f t="shared" si="22"/>
        <v>0.3767224846242469</v>
      </c>
      <c r="AG14" s="93">
        <v>3479.0899999999988</v>
      </c>
      <c r="AH14" s="93">
        <v>1619</v>
      </c>
      <c r="AI14" s="93">
        <v>2724</v>
      </c>
      <c r="AJ14" s="93"/>
      <c r="AK14" s="93"/>
      <c r="AL14" s="122">
        <f t="shared" si="23"/>
        <v>412.40359512989795</v>
      </c>
      <c r="AM14" s="93">
        <v>0</v>
      </c>
      <c r="AN14" s="94">
        <f t="shared" si="24"/>
        <v>1489.31646</v>
      </c>
      <c r="AO14" s="95">
        <f t="shared" si="26"/>
        <v>11037.769944870104</v>
      </c>
      <c r="AP14" s="96"/>
      <c r="AQ14" s="97">
        <f t="shared" si="7"/>
        <v>1149.2120000000002</v>
      </c>
      <c r="AR14" s="98">
        <f t="shared" si="8"/>
        <v>123.09</v>
      </c>
      <c r="AS14" s="98">
        <f t="shared" si="9"/>
        <v>432.93400000000008</v>
      </c>
      <c r="AT14" s="98">
        <f t="shared" si="10"/>
        <v>99.402571428571392</v>
      </c>
      <c r="AU14" s="98">
        <f t="shared" si="25"/>
        <v>124.08571428571429</v>
      </c>
      <c r="AV14" s="98">
        <f t="array" ref="AV14">_xlfn.IFS(U14=0,AO14,U14&lt;0,AO14/-U14,U14&gt;0,AO14/U14)</f>
        <v>315.36485556771726</v>
      </c>
      <c r="AW14" s="234">
        <f t="shared" si="33"/>
        <v>0.27441834541208865</v>
      </c>
      <c r="AX14" s="234">
        <f t="shared" si="34"/>
        <v>2.5620672318443192</v>
      </c>
      <c r="AY14" s="99"/>
      <c r="AZ14" s="94">
        <f t="shared" si="13"/>
        <v>929380.22935806273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2829</v>
      </c>
      <c r="F15" s="93">
        <v>36</v>
      </c>
      <c r="G15" s="93">
        <v>10</v>
      </c>
      <c r="H15" s="93">
        <v>499</v>
      </c>
      <c r="I15" s="93">
        <v>0</v>
      </c>
      <c r="J15" s="93">
        <v>2284</v>
      </c>
      <c r="K15" s="92">
        <v>123.09</v>
      </c>
      <c r="L15" s="92">
        <f t="shared" si="35"/>
        <v>348221.61</v>
      </c>
      <c r="M15" s="89">
        <v>124</v>
      </c>
      <c r="N15" s="89">
        <v>43</v>
      </c>
      <c r="O15" s="89">
        <v>1199</v>
      </c>
      <c r="P15" s="89">
        <v>56</v>
      </c>
      <c r="Q15" s="233">
        <f t="shared" si="14"/>
        <v>6.1428571428571432</v>
      </c>
      <c r="R15" s="92">
        <f t="shared" si="15"/>
        <v>3.5714285714285716</v>
      </c>
      <c r="S15" s="93">
        <v>25</v>
      </c>
      <c r="T15" s="93">
        <v>0</v>
      </c>
      <c r="U15" s="92">
        <f t="shared" si="16"/>
        <v>25</v>
      </c>
      <c r="V15" s="93">
        <v>18306.53</v>
      </c>
      <c r="W15" s="93">
        <v>0</v>
      </c>
      <c r="X15" s="92">
        <f t="shared" si="17"/>
        <v>18306.53</v>
      </c>
      <c r="Y15" s="93">
        <v>28690.11</v>
      </c>
      <c r="Z15" s="93">
        <v>0</v>
      </c>
      <c r="AA15" s="92">
        <f t="shared" si="18"/>
        <v>28690.11</v>
      </c>
      <c r="AB15" s="92">
        <f t="shared" si="19"/>
        <v>28871.919999999998</v>
      </c>
      <c r="AC15" s="234">
        <f t="shared" si="20"/>
        <v>1.1067015858930485E-2</v>
      </c>
      <c r="AD15" s="92">
        <f t="shared" si="21"/>
        <v>3077.25</v>
      </c>
      <c r="AE15" s="93">
        <v>10775.95</v>
      </c>
      <c r="AF15" s="234">
        <f t="shared" si="22"/>
        <v>0.37559807194883532</v>
      </c>
      <c r="AG15" s="93">
        <v>2450.65</v>
      </c>
      <c r="AH15" s="93">
        <v>1503</v>
      </c>
      <c r="AI15" s="93">
        <v>823</v>
      </c>
      <c r="AJ15" s="93"/>
      <c r="AK15" s="93"/>
      <c r="AL15" s="122">
        <f t="shared" si="23"/>
        <v>500.70412158106831</v>
      </c>
      <c r="AM15" s="93">
        <v>0</v>
      </c>
      <c r="AN15" s="94">
        <f t="shared" si="24"/>
        <v>1045.3028629999999</v>
      </c>
      <c r="AO15" s="95">
        <f t="shared" si="26"/>
        <v>8514.2530154189335</v>
      </c>
      <c r="AP15" s="96"/>
      <c r="AQ15" s="97">
        <f t="shared" si="7"/>
        <v>1147.6043999999999</v>
      </c>
      <c r="AR15" s="98">
        <f t="shared" si="8"/>
        <v>123.09</v>
      </c>
      <c r="AS15" s="98">
        <f t="shared" si="9"/>
        <v>431.03800000000001</v>
      </c>
      <c r="AT15" s="98">
        <f t="shared" si="10"/>
        <v>98.02600000000001</v>
      </c>
      <c r="AU15" s="98">
        <f t="shared" si="25"/>
        <v>93.04</v>
      </c>
      <c r="AV15" s="98">
        <f t="array" ref="AV15">_xlfn.IFS(U15=0,AO15,U15&lt;0,AO15/-U15,U15&gt;0,AO15/U15)</f>
        <v>340.57012061675732</v>
      </c>
      <c r="AW15" s="234">
        <f t="shared" si="33"/>
        <v>0.29676613353587467</v>
      </c>
      <c r="AX15" s="234">
        <f t="shared" si="34"/>
        <v>2.7668382534467244</v>
      </c>
      <c r="AY15" s="99"/>
      <c r="AZ15" s="94">
        <f t="shared" si="13"/>
        <v>963472.87122480641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4611</v>
      </c>
      <c r="F16" s="93">
        <v>183</v>
      </c>
      <c r="G16" s="93">
        <v>30</v>
      </c>
      <c r="H16" s="93">
        <v>192</v>
      </c>
      <c r="I16" s="93">
        <v>2</v>
      </c>
      <c r="J16" s="93">
        <v>4204</v>
      </c>
      <c r="K16" s="92">
        <v>117.24</v>
      </c>
      <c r="L16" s="92">
        <f t="shared" si="35"/>
        <v>540593.64</v>
      </c>
      <c r="M16" s="89">
        <v>17</v>
      </c>
      <c r="N16" s="89">
        <v>216</v>
      </c>
      <c r="O16" s="89">
        <v>1206</v>
      </c>
      <c r="P16" s="89">
        <v>63</v>
      </c>
      <c r="Q16" s="233">
        <f t="shared" si="14"/>
        <v>30.857142857142858</v>
      </c>
      <c r="R16" s="92">
        <f t="shared" si="15"/>
        <v>15.857142857142858</v>
      </c>
      <c r="S16" s="93">
        <v>113</v>
      </c>
      <c r="T16" s="93">
        <v>-2</v>
      </c>
      <c r="U16" s="92">
        <f t="shared" si="16"/>
        <v>111</v>
      </c>
      <c r="V16" s="93">
        <v>84129.31</v>
      </c>
      <c r="W16" s="93">
        <v>-1488</v>
      </c>
      <c r="X16" s="92">
        <f t="shared" si="17"/>
        <v>82641.31</v>
      </c>
      <c r="Y16" s="93">
        <v>130505.78999999996</v>
      </c>
      <c r="Z16" s="93">
        <v>-2256</v>
      </c>
      <c r="AA16" s="92">
        <f t="shared" si="18"/>
        <v>128249.78999999996</v>
      </c>
      <c r="AB16" s="92">
        <f t="shared" si="19"/>
        <v>164112.48000000001</v>
      </c>
      <c r="AC16" s="234">
        <f t="shared" si="20"/>
        <v>4.9471488949833373E-2</v>
      </c>
      <c r="AD16" s="92">
        <f t="shared" si="21"/>
        <v>13013.64</v>
      </c>
      <c r="AE16" s="93">
        <v>48280.799999999945</v>
      </c>
      <c r="AF16" s="234">
        <f t="shared" si="22"/>
        <v>0.37645909595641408</v>
      </c>
      <c r="AG16" s="93">
        <v>12359.879999999985</v>
      </c>
      <c r="AH16" s="93">
        <v>653</v>
      </c>
      <c r="AI16" s="93">
        <v>12428</v>
      </c>
      <c r="AJ16" s="93"/>
      <c r="AK16" s="93"/>
      <c r="AL16" s="122">
        <f t="shared" si="23"/>
        <v>192.65569407528079</v>
      </c>
      <c r="AM16" s="93">
        <v>0</v>
      </c>
      <c r="AN16" s="94">
        <f t="shared" si="24"/>
        <v>4718.8188009999994</v>
      </c>
      <c r="AO16" s="95">
        <f t="shared" si="26"/>
        <v>36602.995504924758</v>
      </c>
      <c r="AP16" s="96"/>
      <c r="AQ16" s="97">
        <f t="shared" si="7"/>
        <v>1155.4035135135132</v>
      </c>
      <c r="AR16" s="98">
        <f t="shared" si="8"/>
        <v>117.24</v>
      </c>
      <c r="AS16" s="98">
        <f t="shared" si="9"/>
        <v>434.96216216216169</v>
      </c>
      <c r="AT16" s="98">
        <f t="shared" si="10"/>
        <v>109.37946902654853</v>
      </c>
      <c r="AU16" s="98">
        <f t="shared" si="25"/>
        <v>115.76106194690266</v>
      </c>
      <c r="AV16" s="98">
        <f t="array" ref="AV16">_xlfn.IFS(U16=0,AO16,U16&lt;0,AO16/-U16,U16&gt;0,AO16/U16)</f>
        <v>329.7567162605834</v>
      </c>
      <c r="AW16" s="234">
        <f t="shared" si="33"/>
        <v>0.28540394105070088</v>
      </c>
      <c r="AX16" s="234">
        <f t="shared" si="34"/>
        <v>2.8126639053273919</v>
      </c>
      <c r="AY16" s="99"/>
      <c r="AZ16" s="94">
        <f t="shared" si="13"/>
        <v>1520508.2186775501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2095</v>
      </c>
      <c r="F17" s="93">
        <v>24</v>
      </c>
      <c r="G17" s="93">
        <v>10</v>
      </c>
      <c r="H17" s="93">
        <v>213</v>
      </c>
      <c r="I17" s="93">
        <v>1</v>
      </c>
      <c r="J17" s="93">
        <v>1847</v>
      </c>
      <c r="K17" s="93">
        <v>123.09</v>
      </c>
      <c r="L17" s="92">
        <f t="shared" si="35"/>
        <v>257873.55000000002</v>
      </c>
      <c r="M17" s="89">
        <v>32</v>
      </c>
      <c r="N17" s="89">
        <v>37</v>
      </c>
      <c r="O17" s="89">
        <v>1480</v>
      </c>
      <c r="P17" s="89">
        <v>50</v>
      </c>
      <c r="Q17" s="233">
        <f t="shared" si="14"/>
        <v>5.2857142857142856</v>
      </c>
      <c r="R17" s="92">
        <f t="shared" si="15"/>
        <v>2.7142857142857144</v>
      </c>
      <c r="S17" s="93">
        <v>20</v>
      </c>
      <c r="T17" s="93">
        <v>-1</v>
      </c>
      <c r="U17" s="92">
        <f t="shared" si="16"/>
        <v>19</v>
      </c>
      <c r="V17" s="93">
        <v>18777.009999999998</v>
      </c>
      <c r="W17" s="93">
        <v>-980</v>
      </c>
      <c r="X17" s="92">
        <f t="shared" si="17"/>
        <v>17797.009999999998</v>
      </c>
      <c r="Y17" s="93">
        <v>28706.350000000002</v>
      </c>
      <c r="Z17" s="93">
        <v>-1381</v>
      </c>
      <c r="AA17" s="92">
        <f t="shared" si="18"/>
        <v>27325.350000000002</v>
      </c>
      <c r="AB17" s="92">
        <f t="shared" si="19"/>
        <v>27380</v>
      </c>
      <c r="AC17" s="234">
        <f t="shared" si="20"/>
        <v>1.054056892081718E-2</v>
      </c>
      <c r="AD17" s="92">
        <f t="shared" si="21"/>
        <v>2338.71</v>
      </c>
      <c r="AE17" s="93">
        <v>10213.860000000006</v>
      </c>
      <c r="AF17" s="234">
        <f t="shared" si="22"/>
        <v>0.37378697802589922</v>
      </c>
      <c r="AG17" s="93">
        <v>2858.6499999999996</v>
      </c>
      <c r="AH17" s="93">
        <v>408</v>
      </c>
      <c r="AI17" s="93">
        <v>3852</v>
      </c>
      <c r="AJ17" s="93"/>
      <c r="AK17" s="93"/>
      <c r="AL17" s="122">
        <f t="shared" si="23"/>
        <v>213.72741061476464</v>
      </c>
      <c r="AM17" s="93">
        <v>0</v>
      </c>
      <c r="AN17" s="94">
        <f t="shared" si="24"/>
        <v>1016.2092709999998</v>
      </c>
      <c r="AO17" s="95">
        <f t="shared" si="26"/>
        <v>6424.1933183852334</v>
      </c>
      <c r="AP17" s="96"/>
      <c r="AQ17" s="97">
        <f t="shared" si="7"/>
        <v>1438.1763157894738</v>
      </c>
      <c r="AR17" s="98">
        <f t="shared" si="8"/>
        <v>123.09</v>
      </c>
      <c r="AS17" s="98">
        <f t="shared" si="9"/>
        <v>537.57157894736872</v>
      </c>
      <c r="AT17" s="98">
        <f t="shared" si="10"/>
        <v>142.93249999999998</v>
      </c>
      <c r="AU17" s="98">
        <f t="shared" si="25"/>
        <v>213</v>
      </c>
      <c r="AV17" s="98">
        <f t="array" ref="AV17">_xlfn.IFS(U17=0,AO17,U17&lt;0,AO17/-U17,U17&gt;0,AO17/U17)</f>
        <v>338.11543780974915</v>
      </c>
      <c r="AW17" s="234">
        <f t="shared" si="33"/>
        <v>0.23510012930795884</v>
      </c>
      <c r="AX17" s="234">
        <f t="shared" si="34"/>
        <v>2.7468960744962967</v>
      </c>
      <c r="AY17" s="99"/>
      <c r="AZ17" s="94">
        <f t="shared" si="13"/>
        <v>708351.84221142449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2042</v>
      </c>
      <c r="F18" s="93">
        <v>71</v>
      </c>
      <c r="G18" s="93">
        <v>21</v>
      </c>
      <c r="H18" s="93">
        <v>219</v>
      </c>
      <c r="I18" s="93">
        <v>2</v>
      </c>
      <c r="J18" s="93">
        <v>1729</v>
      </c>
      <c r="K18" s="93">
        <v>123.09</v>
      </c>
      <c r="L18" s="92">
        <f t="shared" si="35"/>
        <v>251349.78</v>
      </c>
      <c r="M18" s="89">
        <v>31</v>
      </c>
      <c r="N18" s="89">
        <v>91</v>
      </c>
      <c r="O18" s="89">
        <v>1429</v>
      </c>
      <c r="P18" s="89">
        <v>50</v>
      </c>
      <c r="Q18" s="233">
        <f t="shared" si="14"/>
        <v>13</v>
      </c>
      <c r="R18" s="92">
        <f t="shared" si="15"/>
        <v>5.8571428571428568</v>
      </c>
      <c r="S18" s="93">
        <v>41</v>
      </c>
      <c r="T18" s="93">
        <v>0</v>
      </c>
      <c r="U18" s="92">
        <f t="shared" si="16"/>
        <v>41</v>
      </c>
      <c r="V18" s="93">
        <v>36919.07</v>
      </c>
      <c r="W18" s="93">
        <v>0</v>
      </c>
      <c r="X18" s="92">
        <f t="shared" si="17"/>
        <v>36919.07</v>
      </c>
      <c r="Y18" s="93">
        <v>58326.209999999992</v>
      </c>
      <c r="Z18" s="93">
        <v>0</v>
      </c>
      <c r="AA18" s="92">
        <f t="shared" si="18"/>
        <v>58326.209999999992</v>
      </c>
      <c r="AB18" s="92">
        <f t="shared" si="19"/>
        <v>65019.5</v>
      </c>
      <c r="AC18" s="234">
        <f t="shared" si="20"/>
        <v>2.2498940961234021E-2</v>
      </c>
      <c r="AD18" s="92">
        <f t="shared" si="21"/>
        <v>5046.6900000000005</v>
      </c>
      <c r="AE18" s="93">
        <v>22010.700000000004</v>
      </c>
      <c r="AF18" s="234">
        <f t="shared" si="22"/>
        <v>0.37737236827148563</v>
      </c>
      <c r="AG18" s="93">
        <v>7946.1700000000019</v>
      </c>
      <c r="AH18" s="93">
        <v>1787</v>
      </c>
      <c r="AI18" s="93">
        <v>10673</v>
      </c>
      <c r="AJ18" s="93"/>
      <c r="AK18" s="93"/>
      <c r="AL18" s="122">
        <f t="shared" si="23"/>
        <v>219.74790105461716</v>
      </c>
      <c r="AM18" s="93">
        <v>0</v>
      </c>
      <c r="AN18" s="94">
        <f t="shared" si="24"/>
        <v>2108.0788969999999</v>
      </c>
      <c r="AO18" s="95">
        <f t="shared" si="26"/>
        <v>8534.8232019453662</v>
      </c>
      <c r="AP18" s="96"/>
      <c r="AQ18" s="97">
        <f t="shared" si="7"/>
        <v>1422.5904878048777</v>
      </c>
      <c r="AR18" s="98">
        <f t="shared" si="8"/>
        <v>123.09</v>
      </c>
      <c r="AS18" s="98">
        <f t="shared" si="9"/>
        <v>536.84634146341477</v>
      </c>
      <c r="AT18" s="98">
        <f t="shared" si="10"/>
        <v>193.80902439024396</v>
      </c>
      <c r="AU18" s="98">
        <f t="shared" si="25"/>
        <v>303.90243902439022</v>
      </c>
      <c r="AV18" s="98">
        <f t="array" ref="AV18">_xlfn.IFS(U18=0,AO18,U18&lt;0,AO18/-U18,U18&gt;0,AO18/U18)</f>
        <v>208.16641955964309</v>
      </c>
      <c r="AW18" s="234">
        <f t="shared" si="33"/>
        <v>0.14632912376692003</v>
      </c>
      <c r="AX18" s="234">
        <f t="shared" si="34"/>
        <v>1.6911724718469663</v>
      </c>
      <c r="AY18" s="99"/>
      <c r="AZ18" s="94">
        <f t="shared" si="13"/>
        <v>425075.82874079118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5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23"/>
        <v>0</v>
      </c>
      <c r="AM20" s="93">
        <v>0</v>
      </c>
      <c r="AN20" s="94">
        <f t="shared" si="24"/>
        <v>0</v>
      </c>
      <c r="AO20" s="95">
        <f t="shared" si="26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5"/>
        <v>0</v>
      </c>
      <c r="AV20" s="98">
        <f t="array" ref="AV20">_xlfn.IFS(U20=0,AO20,U20&lt;0,AO20/-U20,U20&gt;0,AO20/U20)</f>
        <v>0</v>
      </c>
      <c r="AW20" s="234">
        <f t="shared" si="33"/>
        <v>0</v>
      </c>
      <c r="AX20" s="234">
        <f t="shared" si="34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5"/>
        <v>37751.279999999999</v>
      </c>
      <c r="M21" s="89">
        <v>20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23"/>
        <v>0</v>
      </c>
      <c r="AM21" s="93">
        <v>0</v>
      </c>
      <c r="AN21" s="94">
        <f t="shared" si="24"/>
        <v>0</v>
      </c>
      <c r="AO21" s="95">
        <f t="shared" si="26"/>
        <v>0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0</v>
      </c>
      <c r="AW21" s="234">
        <f t="shared" si="33"/>
        <v>0</v>
      </c>
      <c r="AX21" s="234">
        <f t="shared" si="34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5"/>
        <v>37634.04</v>
      </c>
      <c r="M22" s="89">
        <v>16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0.14285714285714285</v>
      </c>
      <c r="S22" s="93">
        <v>1</v>
      </c>
      <c r="T22" s="93">
        <v>0</v>
      </c>
      <c r="U22" s="92">
        <f t="shared" si="16"/>
        <v>1</v>
      </c>
      <c r="V22" s="93">
        <v>531</v>
      </c>
      <c r="W22" s="93">
        <v>0</v>
      </c>
      <c r="X22" s="92">
        <f t="shared" si="17"/>
        <v>531</v>
      </c>
      <c r="Y22" s="93">
        <v>838</v>
      </c>
      <c r="Z22" s="93">
        <v>0</v>
      </c>
      <c r="AA22" s="92">
        <f t="shared" si="18"/>
        <v>838</v>
      </c>
      <c r="AB22" s="92">
        <f t="shared" si="19"/>
        <v>0</v>
      </c>
      <c r="AC22" s="234">
        <f t="shared" si="20"/>
        <v>3.2325283136884963E-4</v>
      </c>
      <c r="AD22" s="92">
        <f t="shared" si="21"/>
        <v>117.24</v>
      </c>
      <c r="AE22" s="93">
        <v>316.64</v>
      </c>
      <c r="AF22" s="234">
        <f t="shared" si="22"/>
        <v>0.37785202863961814</v>
      </c>
      <c r="AG22" s="93">
        <v>66.55</v>
      </c>
      <c r="AH22" s="93"/>
      <c r="AI22" s="93"/>
      <c r="AJ22" s="93"/>
      <c r="AK22" s="93"/>
      <c r="AL22" s="122">
        <f t="shared" si="23"/>
        <v>0</v>
      </c>
      <c r="AM22" s="93">
        <v>0</v>
      </c>
      <c r="AN22" s="94">
        <f t="shared" si="24"/>
        <v>30.3201</v>
      </c>
      <c r="AO22" s="95">
        <f t="shared" si="26"/>
        <v>307.24989999999997</v>
      </c>
      <c r="AP22" s="96"/>
      <c r="AQ22" s="97">
        <f t="shared" si="7"/>
        <v>838</v>
      </c>
      <c r="AR22" s="98">
        <f t="shared" si="36"/>
        <v>117.24</v>
      </c>
      <c r="AS22" s="98">
        <f t="shared" si="9"/>
        <v>316.64</v>
      </c>
      <c r="AT22" s="98">
        <f t="shared" si="10"/>
        <v>66.55</v>
      </c>
      <c r="AU22" s="98">
        <f t="shared" si="25"/>
        <v>0</v>
      </c>
      <c r="AV22" s="98">
        <f t="array" ref="AV22">_xlfn.IFS(U22=0,AO22,U22&lt;0,AO22/-U22,U22&gt;0,AO22/U22)</f>
        <v>307.24989999999997</v>
      </c>
      <c r="AW22" s="234">
        <f t="shared" si="33"/>
        <v>0.36664665871121715</v>
      </c>
      <c r="AX22" s="234">
        <f t="shared" si="34"/>
        <v>2.6206917434322756</v>
      </c>
      <c r="AY22" s="99"/>
      <c r="AZ22" s="94">
        <f t="shared" si="13"/>
        <v>98627.217899999989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5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0</v>
      </c>
      <c r="AO24" s="95">
        <f t="shared" si="26"/>
        <v>0</v>
      </c>
      <c r="AP24" s="96"/>
      <c r="AQ24" s="97">
        <f t="shared" si="7"/>
        <v>0</v>
      </c>
      <c r="AR24" s="98">
        <f t="shared" si="36"/>
        <v>117.24</v>
      </c>
      <c r="AS24" s="98">
        <f t="shared" si="9"/>
        <v>0</v>
      </c>
      <c r="AT24" s="98">
        <f t="shared" si="10"/>
        <v>0</v>
      </c>
      <c r="AU24" s="98">
        <f t="shared" si="25"/>
        <v>0</v>
      </c>
      <c r="AV24" s="98">
        <f t="array" ref="AV24">_xlfn.IFS(U24=0,AO24,U24&lt;0,AO24/-U24,U24&gt;0,AO24/U24)</f>
        <v>0</v>
      </c>
      <c r="AW24" s="234">
        <f t="shared" si="33"/>
        <v>0</v>
      </c>
      <c r="AX24" s="234">
        <f t="shared" si="34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999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753</v>
      </c>
      <c r="F26" s="93">
        <v>78</v>
      </c>
      <c r="G26" s="93">
        <v>43</v>
      </c>
      <c r="H26" s="93">
        <v>261</v>
      </c>
      <c r="I26" s="93">
        <v>371</v>
      </c>
      <c r="J26" s="93">
        <v>0</v>
      </c>
      <c r="K26" s="93">
        <v>123.09</v>
      </c>
      <c r="L26" s="92">
        <f t="shared" si="35"/>
        <v>92686.77</v>
      </c>
      <c r="M26" s="89">
        <v>36</v>
      </c>
      <c r="N26" s="89">
        <v>124</v>
      </c>
      <c r="O26" s="89">
        <v>862</v>
      </c>
      <c r="P26" s="89">
        <v>31</v>
      </c>
      <c r="Q26" s="233">
        <f t="shared" si="14"/>
        <v>17.714285714285715</v>
      </c>
      <c r="R26" s="92">
        <f t="shared" si="15"/>
        <v>7.5714285714285712</v>
      </c>
      <c r="S26" s="93">
        <v>54</v>
      </c>
      <c r="T26" s="93">
        <v>-1</v>
      </c>
      <c r="U26" s="92">
        <f t="shared" si="16"/>
        <v>53</v>
      </c>
      <c r="V26" s="93">
        <v>26746.03</v>
      </c>
      <c r="W26" s="93">
        <v>-554</v>
      </c>
      <c r="X26" s="92">
        <f t="shared" si="17"/>
        <v>26192.03</v>
      </c>
      <c r="Y26" s="93">
        <v>40183.180000000008</v>
      </c>
      <c r="Z26" s="93">
        <v>-698.62</v>
      </c>
      <c r="AA26" s="92">
        <f t="shared" si="18"/>
        <v>39484.560000000005</v>
      </c>
      <c r="AB26" s="92">
        <f t="shared" si="19"/>
        <v>33135.279999999999</v>
      </c>
      <c r="AC26" s="234">
        <f t="shared" si="20"/>
        <v>1.5230901927629149E-2</v>
      </c>
      <c r="AD26" s="92">
        <f t="shared" si="21"/>
        <v>6523.77</v>
      </c>
      <c r="AE26" s="93">
        <v>14915.330000000004</v>
      </c>
      <c r="AF26" s="234">
        <f t="shared" si="22"/>
        <v>0.37775094872527393</v>
      </c>
      <c r="AG26" s="93">
        <v>14559.309999999967</v>
      </c>
      <c r="AH26" s="93">
        <v>1170</v>
      </c>
      <c r="AI26" s="93">
        <v>6500</v>
      </c>
      <c r="AJ26" s="93"/>
      <c r="AK26" s="93"/>
      <c r="AL26" s="122">
        <f t="shared" si="23"/>
        <v>261.89133413358485</v>
      </c>
      <c r="AM26" s="93">
        <v>0</v>
      </c>
      <c r="AN26" s="94">
        <f t="shared" si="24"/>
        <v>1495.5649129999999</v>
      </c>
      <c r="AO26" s="95">
        <f t="shared" si="26"/>
        <v>-5941.3062471335452</v>
      </c>
      <c r="AP26" s="96"/>
      <c r="AQ26" s="97">
        <f t="shared" si="7"/>
        <v>744.99169811320769</v>
      </c>
      <c r="AR26" s="98">
        <f t="shared" si="36"/>
        <v>123.09</v>
      </c>
      <c r="AS26" s="98">
        <f t="shared" si="9"/>
        <v>281.42132075471704</v>
      </c>
      <c r="AT26" s="98">
        <f t="shared" si="10"/>
        <v>269.61685185185121</v>
      </c>
      <c r="AU26" s="98">
        <f t="shared" si="25"/>
        <v>142.03703703703704</v>
      </c>
      <c r="AV26" s="98">
        <f t="array" ref="AV26">_xlfn.IFS(U26=0,AO26,U26&lt;0,AO26/-U26,U26&gt;0,AO26/U26)</f>
        <v>-112.10011787044425</v>
      </c>
      <c r="AW26" s="234">
        <f t="shared" si="33"/>
        <v>-0.15047163364954666</v>
      </c>
      <c r="AX26" s="234">
        <f t="shared" si="34"/>
        <v>-0.91071669404861688</v>
      </c>
      <c r="AY26" s="99"/>
      <c r="AZ26" s="94">
        <f t="shared" si="13"/>
        <v>-84411.388756444518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359</v>
      </c>
      <c r="F27" s="93">
        <v>20</v>
      </c>
      <c r="G27" s="93">
        <v>6</v>
      </c>
      <c r="H27" s="93">
        <v>13</v>
      </c>
      <c r="I27" s="93">
        <v>320</v>
      </c>
      <c r="J27" s="93">
        <v>0</v>
      </c>
      <c r="K27" s="93">
        <v>181.59</v>
      </c>
      <c r="L27" s="92">
        <f t="shared" si="35"/>
        <v>65190.81</v>
      </c>
      <c r="M27" s="89">
        <v>25</v>
      </c>
      <c r="N27" s="89">
        <v>23</v>
      </c>
      <c r="O27" s="89">
        <v>478</v>
      </c>
      <c r="P27" s="89">
        <v>33</v>
      </c>
      <c r="Q27" s="233">
        <f t="shared" si="14"/>
        <v>3.2857142857142856</v>
      </c>
      <c r="R27" s="92">
        <f t="shared" si="15"/>
        <v>1.4285714285714286</v>
      </c>
      <c r="S27" s="93">
        <v>10</v>
      </c>
      <c r="T27" s="93">
        <v>0</v>
      </c>
      <c r="U27" s="92">
        <f t="shared" si="16"/>
        <v>10</v>
      </c>
      <c r="V27" s="93">
        <v>2829</v>
      </c>
      <c r="W27" s="93">
        <v>0</v>
      </c>
      <c r="X27" s="92">
        <f t="shared" si="17"/>
        <v>2829</v>
      </c>
      <c r="Y27" s="93">
        <v>4780</v>
      </c>
      <c r="Z27" s="93">
        <v>0</v>
      </c>
      <c r="AA27" s="92">
        <f t="shared" si="18"/>
        <v>4780</v>
      </c>
      <c r="AB27" s="92">
        <f t="shared" si="19"/>
        <v>3628.02</v>
      </c>
      <c r="AC27" s="234">
        <f t="shared" si="20"/>
        <v>1.8438526658032235E-3</v>
      </c>
      <c r="AD27" s="92">
        <f t="shared" si="21"/>
        <v>1815.9</v>
      </c>
      <c r="AE27" s="93">
        <v>1803.4100000000003</v>
      </c>
      <c r="AF27" s="234">
        <f t="shared" si="22"/>
        <v>0.37728242677824275</v>
      </c>
      <c r="AG27" s="93">
        <v>1037.9300000000003</v>
      </c>
      <c r="AH27" s="93"/>
      <c r="AI27" s="93"/>
      <c r="AJ27" s="93"/>
      <c r="AK27" s="93"/>
      <c r="AL27" s="122">
        <f t="shared" si="23"/>
        <v>13.044395953013805</v>
      </c>
      <c r="AM27" s="93">
        <v>0</v>
      </c>
      <c r="AN27" s="94">
        <f t="shared" si="24"/>
        <v>161.5359</v>
      </c>
      <c r="AO27" s="95">
        <f t="shared" si="26"/>
        <v>-51.820295953014494</v>
      </c>
      <c r="AP27" s="96"/>
      <c r="AQ27" s="97">
        <f t="shared" si="7"/>
        <v>478</v>
      </c>
      <c r="AR27" s="98">
        <f t="shared" si="36"/>
        <v>181.59</v>
      </c>
      <c r="AS27" s="98">
        <f t="shared" si="9"/>
        <v>180.34100000000004</v>
      </c>
      <c r="AT27" s="98">
        <f t="shared" si="10"/>
        <v>103.79300000000003</v>
      </c>
      <c r="AU27" s="98">
        <f t="shared" si="25"/>
        <v>0</v>
      </c>
      <c r="AV27" s="98">
        <f t="array" ref="AV27">_xlfn.IFS(U27=0,AO27,U27&lt;0,AO27/-U27,U27&gt;0,AO27/U27)</f>
        <v>-5.182029595301449</v>
      </c>
      <c r="AW27" s="234">
        <f t="shared" si="33"/>
        <v>-1.0841066098957006E-2</v>
      </c>
      <c r="AX27" s="234">
        <f t="shared" si="34"/>
        <v>-2.8536976679891232E-2</v>
      </c>
      <c r="AY27" s="99"/>
      <c r="AZ27" s="94">
        <f t="shared" si="13"/>
        <v>-1860.3486247132203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1158</v>
      </c>
      <c r="F28" s="93">
        <v>220</v>
      </c>
      <c r="G28" s="93">
        <v>60</v>
      </c>
      <c r="H28" s="93">
        <v>453</v>
      </c>
      <c r="I28" s="93">
        <v>0</v>
      </c>
      <c r="J28" s="93">
        <v>425</v>
      </c>
      <c r="K28" s="93">
        <v>133.62</v>
      </c>
      <c r="L28" s="92">
        <f t="shared" si="35"/>
        <v>154731.96</v>
      </c>
      <c r="M28" s="89">
        <v>31</v>
      </c>
      <c r="N28" s="89">
        <v>266</v>
      </c>
      <c r="O28" s="89">
        <v>1358</v>
      </c>
      <c r="P28" s="89">
        <v>44</v>
      </c>
      <c r="Q28" s="233">
        <f t="shared" si="14"/>
        <v>38</v>
      </c>
      <c r="R28" s="92">
        <f t="shared" si="15"/>
        <v>16</v>
      </c>
      <c r="S28" s="93">
        <v>118</v>
      </c>
      <c r="T28" s="93">
        <v>-6</v>
      </c>
      <c r="U28" s="92">
        <f t="shared" si="16"/>
        <v>112</v>
      </c>
      <c r="V28" s="93">
        <v>99335.749999999942</v>
      </c>
      <c r="W28" s="93">
        <v>-4801</v>
      </c>
      <c r="X28" s="92">
        <f t="shared" si="17"/>
        <v>94534.749999999942</v>
      </c>
      <c r="Y28" s="93">
        <v>153817.98999999993</v>
      </c>
      <c r="Z28" s="93">
        <v>-7875</v>
      </c>
      <c r="AA28" s="92">
        <f t="shared" si="18"/>
        <v>145942.98999999993</v>
      </c>
      <c r="AB28" s="92">
        <f t="shared" si="19"/>
        <v>158940.32</v>
      </c>
      <c r="AC28" s="234">
        <f t="shared" si="20"/>
        <v>5.6296521164601057E-2</v>
      </c>
      <c r="AD28" s="92">
        <f t="shared" si="21"/>
        <v>14965.44</v>
      </c>
      <c r="AE28" s="93">
        <v>54509.249999999971</v>
      </c>
      <c r="AF28" s="234">
        <f t="shared" si="22"/>
        <v>0.37349687025049982</v>
      </c>
      <c r="AG28" s="93">
        <v>24130.729999999956</v>
      </c>
      <c r="AH28" s="93">
        <v>4509</v>
      </c>
      <c r="AI28" s="93">
        <v>11000</v>
      </c>
      <c r="AJ28" s="93"/>
      <c r="AK28" s="93"/>
      <c r="AL28" s="122">
        <f t="shared" si="23"/>
        <v>454.54702820886564</v>
      </c>
      <c r="AM28" s="93">
        <v>0</v>
      </c>
      <c r="AN28" s="94">
        <f t="shared" si="24"/>
        <v>5397.9342249999963</v>
      </c>
      <c r="AO28" s="95">
        <f t="shared" si="26"/>
        <v>30976.088746791145</v>
      </c>
      <c r="AP28" s="96"/>
      <c r="AQ28" s="97">
        <f t="shared" si="7"/>
        <v>1303.0624107142851</v>
      </c>
      <c r="AR28" s="98">
        <f t="shared" si="36"/>
        <v>133.62</v>
      </c>
      <c r="AS28" s="98">
        <f t="shared" si="9"/>
        <v>486.68973214285688</v>
      </c>
      <c r="AT28" s="98">
        <f t="shared" si="10"/>
        <v>204.4977118644064</v>
      </c>
      <c r="AU28" s="98">
        <f t="shared" si="25"/>
        <v>131.43220338983051</v>
      </c>
      <c r="AV28" s="98">
        <f>_xlfn.IFS(U28=0,AO28,U28&lt;0,AO28/-U28,U28&gt;0,AO28/U28)</f>
        <v>276.57222095349238</v>
      </c>
      <c r="AW28" s="234">
        <f t="shared" si="33"/>
        <v>0.21224786984829597</v>
      </c>
      <c r="AX28" s="234">
        <f t="shared" si="34"/>
        <v>2.0698414979306419</v>
      </c>
      <c r="AY28" s="99"/>
      <c r="AZ28" s="94">
        <f t="shared" si="13"/>
        <v>320270.63186414418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 t="s">
        <v>100</v>
      </c>
      <c r="G30" s="93" t="s">
        <v>100</v>
      </c>
      <c r="H30" s="93">
        <v>1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115.07</v>
      </c>
      <c r="AH30" s="93"/>
      <c r="AI30" s="93"/>
      <c r="AJ30" s="93"/>
      <c r="AK30" s="93"/>
      <c r="AL30" s="122">
        <f t="shared" si="23"/>
        <v>1.0034150733087541</v>
      </c>
      <c r="AM30" s="93">
        <v>0</v>
      </c>
      <c r="AN30" s="94">
        <f t="shared" si="24"/>
        <v>0</v>
      </c>
      <c r="AO30" s="95">
        <f t="shared" si="26"/>
        <v>-116.07341507330875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115.07</v>
      </c>
      <c r="AU30" s="98">
        <f t="shared" si="25"/>
        <v>0</v>
      </c>
      <c r="AV30" s="98">
        <f t="array" ref="AV30">_xlfn.IFS(U30=0,AO30,U30&lt;0,AO30/-U30,U30&gt;0,AO30/U30)</f>
        <v>-116.07341507330875</v>
      </c>
      <c r="AW30" s="234">
        <f>IF(AQ30=0,0,AV30/AQ30)</f>
        <v>0</v>
      </c>
      <c r="AX30" s="234">
        <f>IF(AR30=0,0,AV30/AR30)</f>
        <v>-1.0420452022022511</v>
      </c>
      <c r="AY30" s="99"/>
      <c r="AZ30" s="94">
        <f t="shared" si="13"/>
        <v>-116.07341507330875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158</v>
      </c>
      <c r="F33" s="93">
        <v>2</v>
      </c>
      <c r="G33" s="93">
        <v>2</v>
      </c>
      <c r="H33" s="93">
        <v>134</v>
      </c>
      <c r="I33" s="93">
        <v>20</v>
      </c>
      <c r="J33" s="93">
        <v>0</v>
      </c>
      <c r="K33" s="93">
        <v>123.09</v>
      </c>
      <c r="L33" s="92">
        <f>E33*K33</f>
        <v>19448.22</v>
      </c>
      <c r="M33" s="89">
        <v>280</v>
      </c>
      <c r="N33" s="89">
        <v>3</v>
      </c>
      <c r="O33" s="89">
        <v>1700</v>
      </c>
      <c r="P33" s="89">
        <v>0</v>
      </c>
      <c r="Q33" s="233">
        <f t="shared" si="14"/>
        <v>0.42857142857142855</v>
      </c>
      <c r="R33" s="92">
        <f t="shared" si="15"/>
        <v>0.14285714285714285</v>
      </c>
      <c r="S33" s="93">
        <v>1</v>
      </c>
      <c r="T33" s="93">
        <v>0</v>
      </c>
      <c r="U33" s="92">
        <f t="shared" si="16"/>
        <v>1</v>
      </c>
      <c r="V33" s="93">
        <v>1532</v>
      </c>
      <c r="W33" s="93">
        <v>0</v>
      </c>
      <c r="X33" s="92">
        <f t="shared" si="17"/>
        <v>1532</v>
      </c>
      <c r="Y33" s="93">
        <v>2358</v>
      </c>
      <c r="Z33" s="93">
        <v>0</v>
      </c>
      <c r="AA33" s="92">
        <f t="shared" si="18"/>
        <v>2358</v>
      </c>
      <c r="AB33" s="92">
        <f t="shared" si="19"/>
        <v>0</v>
      </c>
      <c r="AC33" s="234">
        <f t="shared" si="20"/>
        <v>9.0958254936485377E-4</v>
      </c>
      <c r="AD33" s="92">
        <f t="shared" si="21"/>
        <v>123.09</v>
      </c>
      <c r="AE33" s="93">
        <v>837.32999999999993</v>
      </c>
      <c r="AF33" s="234">
        <f t="shared" si="22"/>
        <v>0.35510178117048341</v>
      </c>
      <c r="AG33" s="93">
        <v>138.74</v>
      </c>
      <c r="AH33" s="93">
        <v>1106</v>
      </c>
      <c r="AI33" s="93">
        <v>540</v>
      </c>
      <c r="AJ33" s="93"/>
      <c r="AK33" s="93"/>
      <c r="AL33" s="122">
        <f t="shared" si="23"/>
        <v>134.45761982337305</v>
      </c>
      <c r="AM33" s="93">
        <v>0</v>
      </c>
      <c r="AN33" s="94">
        <f t="shared" si="24"/>
        <v>87.477199999999996</v>
      </c>
      <c r="AO33" s="95">
        <f t="shared" si="26"/>
        <v>-609.0948198233732</v>
      </c>
      <c r="AP33" s="96"/>
      <c r="AQ33" s="97">
        <f t="shared" si="7"/>
        <v>2358</v>
      </c>
      <c r="AR33" s="98">
        <f t="shared" si="36"/>
        <v>123.09</v>
      </c>
      <c r="AS33" s="98">
        <f t="shared" si="9"/>
        <v>837.32999999999993</v>
      </c>
      <c r="AT33" s="98">
        <f t="shared" si="10"/>
        <v>138.74</v>
      </c>
      <c r="AU33" s="98">
        <f t="shared" si="25"/>
        <v>1646</v>
      </c>
      <c r="AV33" s="98">
        <f t="array" ref="AV33">_xlfn.IFS(U33=0,AO33,U33&lt;0,AO33/-U33,U33&gt;0,AO33/U33)</f>
        <v>-609.0948198233732</v>
      </c>
      <c r="AW33" s="234">
        <f>IF(AQ33=0,0,AV33/AQ33)</f>
        <v>-0.25830993207098102</v>
      </c>
      <c r="AX33" s="234">
        <f>IF(AR33=0,0,AV33/AR33)</f>
        <v>-4.9483696467899358</v>
      </c>
      <c r="AY33" s="99"/>
      <c r="AZ33" s="94">
        <f t="shared" si="13"/>
        <v>-96236.981532092963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3</v>
      </c>
      <c r="N34" s="89">
        <v>1</v>
      </c>
      <c r="O34" s="89">
        <v>439</v>
      </c>
      <c r="P34" s="89">
        <v>0</v>
      </c>
      <c r="Q34" s="233">
        <f t="shared" si="14"/>
        <v>0.14285714285714285</v>
      </c>
      <c r="R34" s="92">
        <f t="shared" si="15"/>
        <v>-0.14285714285714285</v>
      </c>
      <c r="S34" s="93">
        <v>0</v>
      </c>
      <c r="T34" s="93">
        <v>-1</v>
      </c>
      <c r="U34" s="92">
        <f t="shared" si="16"/>
        <v>-1</v>
      </c>
      <c r="V34" s="93">
        <v>0</v>
      </c>
      <c r="W34" s="93">
        <v>-242</v>
      </c>
      <c r="X34" s="92">
        <f t="shared" si="17"/>
        <v>-242</v>
      </c>
      <c r="Y34" s="93">
        <v>0</v>
      </c>
      <c r="Z34" s="93">
        <v>-439</v>
      </c>
      <c r="AA34" s="92">
        <f t="shared" si="18"/>
        <v>-439</v>
      </c>
      <c r="AB34" s="92">
        <f t="shared" si="19"/>
        <v>0</v>
      </c>
      <c r="AC34" s="234">
        <f t="shared" si="20"/>
        <v>-1.6934128039489856E-4</v>
      </c>
      <c r="AD34" s="92">
        <f t="shared" si="21"/>
        <v>-117.24</v>
      </c>
      <c r="AE34" s="93">
        <v>-162.60000000000002</v>
      </c>
      <c r="AF34" s="234">
        <f t="shared" si="22"/>
        <v>0.37038724373576315</v>
      </c>
      <c r="AG34" s="93">
        <v>50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-13.818199999999999</v>
      </c>
      <c r="AO34" s="95">
        <f t="shared" si="26"/>
        <v>-195.34179999999998</v>
      </c>
      <c r="AP34" s="96"/>
      <c r="AQ34" s="97">
        <f t="shared" si="7"/>
        <v>439</v>
      </c>
      <c r="AR34" s="98">
        <f t="shared" si="36"/>
        <v>117.24</v>
      </c>
      <c r="AS34" s="98">
        <f t="shared" si="9"/>
        <v>162.60000000000002</v>
      </c>
      <c r="AT34" s="98">
        <f t="shared" si="10"/>
        <v>50</v>
      </c>
      <c r="AU34" s="98">
        <f t="shared" si="25"/>
        <v>0</v>
      </c>
      <c r="AV34" s="98">
        <f t="array" ref="AV34">_xlfn.IFS(U34=0,AO34,U34&lt;0,AO34/-U34,U34&gt;0,AO34/U34)</f>
        <v>-195.34179999999998</v>
      </c>
      <c r="AW34" s="234">
        <f>IF(AQ34=0,0,AV34/AQ34)</f>
        <v>-0.44496993166287013</v>
      </c>
      <c r="AX34" s="234">
        <f>IF(AR34=0,0,AV34/AR34)</f>
        <v>-1.6661702490617536</v>
      </c>
      <c r="AY34" s="99"/>
      <c r="AZ34" s="94">
        <f t="shared" si="13"/>
        <v>-390.68359999999996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3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3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4</v>
      </c>
      <c r="F37" s="93" t="s">
        <v>100</v>
      </c>
      <c r="G37" s="93">
        <v>1</v>
      </c>
      <c r="H37" s="93">
        <v>2</v>
      </c>
      <c r="I37" s="93">
        <v>0</v>
      </c>
      <c r="J37" s="93">
        <v>1</v>
      </c>
      <c r="K37" s="93">
        <v>169.89</v>
      </c>
      <c r="L37" s="92">
        <f t="shared" si="43"/>
        <v>679.56</v>
      </c>
      <c r="M37" s="89">
        <v>38</v>
      </c>
      <c r="N37" s="89">
        <v>3</v>
      </c>
      <c r="O37" s="89">
        <v>998</v>
      </c>
      <c r="P37" s="89">
        <v>33</v>
      </c>
      <c r="Q37" s="233">
        <f t="shared" si="14"/>
        <v>0.42857142857142855</v>
      </c>
      <c r="R37" s="92">
        <f t="shared" si="15"/>
        <v>0.5714285714285714</v>
      </c>
      <c r="S37" s="93">
        <v>4</v>
      </c>
      <c r="T37" s="93">
        <v>0</v>
      </c>
      <c r="U37" s="92">
        <f t="shared" si="16"/>
        <v>4</v>
      </c>
      <c r="V37" s="93">
        <v>2655</v>
      </c>
      <c r="W37" s="93">
        <v>0</v>
      </c>
      <c r="X37" s="92">
        <f t="shared" si="17"/>
        <v>2655</v>
      </c>
      <c r="Y37" s="93">
        <v>3992</v>
      </c>
      <c r="Z37" s="93">
        <v>0</v>
      </c>
      <c r="AA37" s="92">
        <f t="shared" si="18"/>
        <v>3992</v>
      </c>
      <c r="AB37" s="92">
        <f t="shared" si="19"/>
        <v>988.02</v>
      </c>
      <c r="AC37" s="234">
        <f t="shared" si="20"/>
        <v>1.5398869962105581E-3</v>
      </c>
      <c r="AD37" s="92">
        <f t="shared" si="21"/>
        <v>679.56</v>
      </c>
      <c r="AE37" s="93">
        <v>1519.54</v>
      </c>
      <c r="AF37" s="234">
        <f t="shared" si="22"/>
        <v>0.38064629258517035</v>
      </c>
      <c r="AG37" s="93">
        <v>481.28000000000003</v>
      </c>
      <c r="AH37" s="93"/>
      <c r="AI37" s="93"/>
      <c r="AJ37" s="93"/>
      <c r="AK37" s="93"/>
      <c r="AL37" s="122">
        <f t="shared" si="23"/>
        <v>2.0068301466175082</v>
      </c>
      <c r="AM37" s="93">
        <v>0</v>
      </c>
      <c r="AN37" s="94">
        <f t="shared" si="24"/>
        <v>151.60049999999998</v>
      </c>
      <c r="AO37" s="95">
        <f t="shared" si="26"/>
        <v>1158.0126698533827</v>
      </c>
      <c r="AP37" s="96"/>
      <c r="AQ37" s="97">
        <f t="shared" si="7"/>
        <v>998</v>
      </c>
      <c r="AR37" s="98">
        <f t="shared" si="36"/>
        <v>169.89</v>
      </c>
      <c r="AS37" s="98">
        <f t="shared" si="9"/>
        <v>379.88499999999999</v>
      </c>
      <c r="AT37" s="98">
        <f t="shared" si="10"/>
        <v>120.32000000000001</v>
      </c>
      <c r="AU37" s="98">
        <f t="shared" si="25"/>
        <v>0</v>
      </c>
      <c r="AV37" s="98">
        <f t="array" ref="AV37">_xlfn.IFS(U37=0,AO37,U37&lt;0,AO37/-U37,U37&gt;0,AO37/U37)</f>
        <v>289.50316746334568</v>
      </c>
      <c r="AW37" s="234">
        <f t="shared" si="44"/>
        <v>0.29008333413160892</v>
      </c>
      <c r="AX37" s="234">
        <f t="shared" si="45"/>
        <v>1.7040624372437796</v>
      </c>
      <c r="AY37" s="99"/>
      <c r="AZ37" s="94">
        <f t="shared" si="13"/>
        <v>1158.0126698533827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48</v>
      </c>
      <c r="F38" s="93">
        <v>1</v>
      </c>
      <c r="G38" s="93">
        <v>3</v>
      </c>
      <c r="H38" s="93">
        <v>43</v>
      </c>
      <c r="I38" s="93">
        <v>0</v>
      </c>
      <c r="J38" s="93">
        <v>1</v>
      </c>
      <c r="K38" s="92">
        <v>105.54</v>
      </c>
      <c r="L38" s="92">
        <f t="shared" si="43"/>
        <v>5065.92</v>
      </c>
      <c r="M38" s="89">
        <v>999</v>
      </c>
      <c r="N38" s="89">
        <v>3</v>
      </c>
      <c r="O38" s="89">
        <v>1197</v>
      </c>
      <c r="P38" s="89">
        <v>0</v>
      </c>
      <c r="Q38" s="233">
        <f t="shared" si="14"/>
        <v>0.42857142857142855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309.70999999999998</v>
      </c>
      <c r="AH38" s="93"/>
      <c r="AI38" s="93"/>
      <c r="AJ38" s="93"/>
      <c r="AK38" s="93"/>
      <c r="AL38" s="122">
        <f t="shared" si="23"/>
        <v>43.146848152276426</v>
      </c>
      <c r="AM38" s="93">
        <v>0</v>
      </c>
      <c r="AN38" s="94">
        <f t="shared" si="24"/>
        <v>0</v>
      </c>
      <c r="AO38" s="95">
        <f t="shared" si="26"/>
        <v>-352.85684815227643</v>
      </c>
      <c r="AP38" s="96"/>
      <c r="AQ38" s="97">
        <f t="shared" si="7"/>
        <v>0</v>
      </c>
      <c r="AR38" s="98">
        <f t="shared" si="36"/>
        <v>105.54</v>
      </c>
      <c r="AS38" s="98">
        <f t="shared" si="9"/>
        <v>0</v>
      </c>
      <c r="AT38" s="98">
        <f t="shared" si="10"/>
        <v>309.70999999999998</v>
      </c>
      <c r="AU38" s="98">
        <f t="shared" si="25"/>
        <v>0</v>
      </c>
      <c r="AV38" s="98">
        <f t="array" ref="AV38">_xlfn.IFS(U38=0,AO38,U38&lt;0,AO38/-U38,U38&gt;0,AO38/U38)</f>
        <v>-352.85684815227643</v>
      </c>
      <c r="AW38" s="234">
        <f t="shared" si="44"/>
        <v>0</v>
      </c>
      <c r="AX38" s="234">
        <f t="shared" si="45"/>
        <v>-3.3433470546927837</v>
      </c>
      <c r="AY38" s="99"/>
      <c r="AZ38" s="94">
        <f t="shared" si="13"/>
        <v>-16937.128711309269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32</v>
      </c>
      <c r="F39" s="93">
        <v>15</v>
      </c>
      <c r="G39" s="93">
        <v>10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3"/>
        <v>3377.28</v>
      </c>
      <c r="M39" s="89">
        <v>23</v>
      </c>
      <c r="N39" s="89">
        <v>30</v>
      </c>
      <c r="O39" s="89">
        <v>1077</v>
      </c>
      <c r="P39" s="89">
        <v>32</v>
      </c>
      <c r="Q39" s="233">
        <f t="shared" si="14"/>
        <v>4.2857142857142856</v>
      </c>
      <c r="R39" s="92">
        <f t="shared" si="15"/>
        <v>1</v>
      </c>
      <c r="S39" s="93">
        <v>8</v>
      </c>
      <c r="T39" s="93">
        <v>-1</v>
      </c>
      <c r="U39" s="92">
        <f t="shared" si="16"/>
        <v>7</v>
      </c>
      <c r="V39" s="93">
        <v>5586.22</v>
      </c>
      <c r="W39" s="93">
        <v>-673</v>
      </c>
      <c r="X39" s="92">
        <f t="shared" si="17"/>
        <v>4913.22</v>
      </c>
      <c r="Y39" s="93">
        <v>8616.16</v>
      </c>
      <c r="Z39" s="93">
        <v>-1077</v>
      </c>
      <c r="AA39" s="92">
        <f t="shared" si="18"/>
        <v>7539.16</v>
      </c>
      <c r="AB39" s="92">
        <f t="shared" si="19"/>
        <v>10339.200000000001</v>
      </c>
      <c r="AC39" s="234">
        <f t="shared" si="20"/>
        <v>2.9081799715307594E-3</v>
      </c>
      <c r="AD39" s="92">
        <f t="shared" si="21"/>
        <v>738.78000000000009</v>
      </c>
      <c r="AE39" s="93">
        <v>2819.18</v>
      </c>
      <c r="AF39" s="234">
        <f t="shared" si="22"/>
        <v>0.37393821062293409</v>
      </c>
      <c r="AG39" s="93">
        <v>2352.34</v>
      </c>
      <c r="AH39" s="93"/>
      <c r="AI39" s="93">
        <v>3000</v>
      </c>
      <c r="AJ39" s="93"/>
      <c r="AK39" s="93"/>
      <c r="AL39" s="122">
        <f t="shared" si="23"/>
        <v>6.0204904398525247</v>
      </c>
      <c r="AM39" s="93">
        <v>0</v>
      </c>
      <c r="AN39" s="94">
        <f t="shared" si="24"/>
        <v>280.54486200000002</v>
      </c>
      <c r="AO39" s="95">
        <f t="shared" si="26"/>
        <v>-1657.7053524398523</v>
      </c>
      <c r="AP39" s="96"/>
      <c r="AQ39" s="97">
        <f t="shared" si="7"/>
        <v>1077.0228571428572</v>
      </c>
      <c r="AR39" s="98">
        <f t="shared" si="36"/>
        <v>105.54</v>
      </c>
      <c r="AS39" s="98">
        <f t="shared" si="9"/>
        <v>402.73999999999995</v>
      </c>
      <c r="AT39" s="98">
        <f t="shared" si="10"/>
        <v>294.04250000000002</v>
      </c>
      <c r="AU39" s="98">
        <f t="shared" si="25"/>
        <v>375</v>
      </c>
      <c r="AV39" s="98">
        <f t="array" ref="AV39">_xlfn.IFS(U39=0,AO39,U39&lt;0,AO39/-U39,U39&gt;0,AO39/U39)</f>
        <v>-236.81505034855033</v>
      </c>
      <c r="AW39" s="234">
        <f t="shared" si="44"/>
        <v>-0.21987931711753725</v>
      </c>
      <c r="AX39" s="234">
        <f t="shared" si="45"/>
        <v>-2.2438416747067493</v>
      </c>
      <c r="AY39" s="99"/>
      <c r="AZ39" s="94">
        <f t="shared" si="13"/>
        <v>-7578.0816111536105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47</v>
      </c>
      <c r="F40" s="93">
        <v>4</v>
      </c>
      <c r="G40" s="93">
        <v>2</v>
      </c>
      <c r="H40" s="93">
        <v>40</v>
      </c>
      <c r="I40" s="93">
        <v>0</v>
      </c>
      <c r="J40" s="93">
        <v>1</v>
      </c>
      <c r="K40" s="92">
        <v>105.54</v>
      </c>
      <c r="L40" s="92">
        <f t="shared" si="43"/>
        <v>4960.38</v>
      </c>
      <c r="M40" s="89">
        <v>316</v>
      </c>
      <c r="N40" s="89">
        <v>4</v>
      </c>
      <c r="O40" s="89">
        <v>1197</v>
      </c>
      <c r="P40" s="89">
        <v>0</v>
      </c>
      <c r="Q40" s="233">
        <f t="shared" si="14"/>
        <v>0.5714285714285714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22"/>
        <v>0</v>
      </c>
      <c r="AG40" s="93">
        <v>400.21000000000004</v>
      </c>
      <c r="AH40" s="93"/>
      <c r="AI40" s="93"/>
      <c r="AJ40" s="93"/>
      <c r="AK40" s="93"/>
      <c r="AL40" s="122">
        <f t="shared" si="23"/>
        <v>40.136602932350165</v>
      </c>
      <c r="AM40" s="93">
        <v>0</v>
      </c>
      <c r="AN40" s="94">
        <f t="shared" si="24"/>
        <v>0</v>
      </c>
      <c r="AO40" s="95">
        <f t="shared" si="26"/>
        <v>-440.34660293235021</v>
      </c>
      <c r="AP40" s="96"/>
      <c r="AQ40" s="97">
        <f t="shared" si="7"/>
        <v>0</v>
      </c>
      <c r="AR40" s="98">
        <f t="shared" si="36"/>
        <v>105.54</v>
      </c>
      <c r="AS40" s="98">
        <f t="shared" si="9"/>
        <v>0</v>
      </c>
      <c r="AT40" s="98">
        <f t="shared" si="10"/>
        <v>400.21000000000004</v>
      </c>
      <c r="AU40" s="98">
        <f t="shared" si="25"/>
        <v>0</v>
      </c>
      <c r="AV40" s="98">
        <f t="array" ref="AV40">_xlfn.IFS(U40=0,AO40,U40&lt;0,AO40/-U40,U40&gt;0,AO40/U40)</f>
        <v>-440.34660293235021</v>
      </c>
      <c r="AW40" s="234">
        <f t="shared" si="44"/>
        <v>0</v>
      </c>
      <c r="AX40" s="234">
        <f t="shared" si="45"/>
        <v>-4.1723195275000018</v>
      </c>
      <c r="AY40" s="99"/>
      <c r="AZ40" s="94">
        <f t="shared" si="13"/>
        <v>-20696.290337820461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45</v>
      </c>
      <c r="F41" s="93">
        <v>1</v>
      </c>
      <c r="G41" s="93" t="s">
        <v>100</v>
      </c>
      <c r="H41" s="93">
        <v>43</v>
      </c>
      <c r="I41" s="93">
        <v>0</v>
      </c>
      <c r="J41" s="93">
        <v>1</v>
      </c>
      <c r="K41" s="92">
        <v>123.09</v>
      </c>
      <c r="L41" s="92">
        <f t="shared" si="43"/>
        <v>5539.05</v>
      </c>
      <c r="M41" s="89">
        <v>999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767</v>
      </c>
      <c r="W41" s="93">
        <v>0</v>
      </c>
      <c r="X41" s="92">
        <f t="shared" si="17"/>
        <v>767</v>
      </c>
      <c r="Y41" s="93">
        <v>1218</v>
      </c>
      <c r="Z41" s="93">
        <v>0</v>
      </c>
      <c r="AA41" s="92">
        <f t="shared" si="18"/>
        <v>1218</v>
      </c>
      <c r="AB41" s="92">
        <f t="shared" si="19"/>
        <v>0</v>
      </c>
      <c r="AC41" s="234">
        <f t="shared" si="20"/>
        <v>4.6983526086785069E-4</v>
      </c>
      <c r="AD41" s="92">
        <f t="shared" si="21"/>
        <v>123.09</v>
      </c>
      <c r="AE41" s="93">
        <v>460.03</v>
      </c>
      <c r="AF41" s="234">
        <f t="shared" si="22"/>
        <v>0.37769293924466335</v>
      </c>
      <c r="AG41" s="93">
        <v>59.16</v>
      </c>
      <c r="AH41" s="93"/>
      <c r="AI41" s="93"/>
      <c r="AJ41" s="93"/>
      <c r="AK41" s="93"/>
      <c r="AL41" s="122">
        <f t="shared" si="23"/>
        <v>43.146848152276426</v>
      </c>
      <c r="AM41" s="93">
        <v>0</v>
      </c>
      <c r="AN41" s="94">
        <f t="shared" si="24"/>
        <v>43.795699999999997</v>
      </c>
      <c r="AO41" s="95">
        <f t="shared" si="26"/>
        <v>488.77745184772368</v>
      </c>
      <c r="AP41" s="96"/>
      <c r="AQ41" s="97">
        <f t="shared" si="7"/>
        <v>1218</v>
      </c>
      <c r="AR41" s="98">
        <f t="shared" si="36"/>
        <v>123.09</v>
      </c>
      <c r="AS41" s="98">
        <f t="shared" si="9"/>
        <v>460.03</v>
      </c>
      <c r="AT41" s="98">
        <f t="shared" si="10"/>
        <v>59.16</v>
      </c>
      <c r="AU41" s="98">
        <f t="shared" si="25"/>
        <v>0</v>
      </c>
      <c r="AV41" s="98">
        <f t="array" ref="AV41">_xlfn.IFS(U41=0,AO41,U41&lt;0,AO41/-U41,U41&gt;0,AO41/U41)</f>
        <v>488.77745184772368</v>
      </c>
      <c r="AW41" s="234">
        <f t="shared" si="44"/>
        <v>0.40129511645954324</v>
      </c>
      <c r="AX41" s="234">
        <f t="shared" si="45"/>
        <v>3.9708948886808324</v>
      </c>
      <c r="AY41" s="99"/>
      <c r="AZ41" s="94">
        <f t="shared" si="13"/>
        <v>21994.985333147564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43</v>
      </c>
      <c r="F42" s="93">
        <v>4</v>
      </c>
      <c r="G42" s="93" t="s">
        <v>100</v>
      </c>
      <c r="H42" s="93">
        <v>38</v>
      </c>
      <c r="I42" s="93">
        <v>0</v>
      </c>
      <c r="J42" s="93">
        <v>1</v>
      </c>
      <c r="K42" s="92">
        <v>123.09</v>
      </c>
      <c r="L42" s="92">
        <f t="shared" si="43"/>
        <v>5292.87</v>
      </c>
      <c r="M42" s="89">
        <v>213</v>
      </c>
      <c r="N42" s="89">
        <v>5</v>
      </c>
      <c r="O42" s="89">
        <v>1176</v>
      </c>
      <c r="P42" s="89">
        <v>100</v>
      </c>
      <c r="Q42" s="233">
        <f t="shared" si="14"/>
        <v>0.7142857142857143</v>
      </c>
      <c r="R42" s="92">
        <f t="shared" si="15"/>
        <v>0.2857142857142857</v>
      </c>
      <c r="S42" s="93">
        <v>2</v>
      </c>
      <c r="T42" s="93">
        <v>0</v>
      </c>
      <c r="U42" s="92">
        <f t="shared" si="16"/>
        <v>2</v>
      </c>
      <c r="V42" s="93">
        <v>1397</v>
      </c>
      <c r="W42" s="93">
        <v>0</v>
      </c>
      <c r="X42" s="92">
        <f t="shared" si="17"/>
        <v>1397</v>
      </c>
      <c r="Y42" s="93">
        <v>2316.7200000000003</v>
      </c>
      <c r="Z42" s="93">
        <v>0</v>
      </c>
      <c r="AA42" s="92">
        <f t="shared" si="18"/>
        <v>2316.7200000000003</v>
      </c>
      <c r="AB42" s="92">
        <f t="shared" si="19"/>
        <v>5880</v>
      </c>
      <c r="AC42" s="234">
        <f t="shared" si="20"/>
        <v>8.93659068602436E-4</v>
      </c>
      <c r="AD42" s="92">
        <f t="shared" si="21"/>
        <v>246.18</v>
      </c>
      <c r="AE42" s="93">
        <v>872.52000000000044</v>
      </c>
      <c r="AF42" s="234">
        <f t="shared" si="22"/>
        <v>0.37661866777167735</v>
      </c>
      <c r="AG42" s="93">
        <v>194.93</v>
      </c>
      <c r="AH42" s="93"/>
      <c r="AI42" s="93"/>
      <c r="AJ42" s="93"/>
      <c r="AK42" s="93"/>
      <c r="AL42" s="122">
        <f t="shared" si="23"/>
        <v>38.129772785732655</v>
      </c>
      <c r="AM42" s="93">
        <v>0</v>
      </c>
      <c r="AN42" s="94">
        <f t="shared" si="24"/>
        <v>79.768699999999995</v>
      </c>
      <c r="AO42" s="95">
        <f t="shared" si="26"/>
        <v>885.19152721426724</v>
      </c>
      <c r="AP42" s="96"/>
      <c r="AQ42" s="97">
        <f t="shared" si="7"/>
        <v>1158.3600000000001</v>
      </c>
      <c r="AR42" s="98">
        <f t="shared" si="36"/>
        <v>123.09</v>
      </c>
      <c r="AS42" s="98">
        <f t="shared" si="9"/>
        <v>436.26000000000022</v>
      </c>
      <c r="AT42" s="98">
        <f t="shared" si="10"/>
        <v>97.465000000000003</v>
      </c>
      <c r="AU42" s="98">
        <f t="shared" si="25"/>
        <v>0</v>
      </c>
      <c r="AV42" s="98">
        <f t="array" ref="AV42">_xlfn.IFS(U42=0,AO42,U42&lt;0,AO42/-U42,U42&gt;0,AO42/U42)</f>
        <v>442.59576360713362</v>
      </c>
      <c r="AW42" s="234">
        <f t="shared" si="44"/>
        <v>0.38208826583025446</v>
      </c>
      <c r="AX42" s="234">
        <f t="shared" si="45"/>
        <v>3.5957085352760876</v>
      </c>
      <c r="AY42" s="99"/>
      <c r="AZ42" s="94">
        <f t="shared" si="13"/>
        <v>19031.617835106746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23</v>
      </c>
      <c r="F43" s="93">
        <v>17</v>
      </c>
      <c r="G43" s="93">
        <v>3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3"/>
        <v>2831.07</v>
      </c>
      <c r="M43" s="89">
        <v>19</v>
      </c>
      <c r="N43" s="89">
        <v>33</v>
      </c>
      <c r="O43" s="89">
        <v>1102</v>
      </c>
      <c r="P43" s="89">
        <v>50</v>
      </c>
      <c r="Q43" s="233">
        <f t="shared" si="14"/>
        <v>4.7142857142857144</v>
      </c>
      <c r="R43" s="92">
        <f t="shared" si="15"/>
        <v>2.4285714285714284</v>
      </c>
      <c r="S43" s="93">
        <v>17</v>
      </c>
      <c r="T43" s="93">
        <v>0</v>
      </c>
      <c r="U43" s="92">
        <f t="shared" si="16"/>
        <v>17</v>
      </c>
      <c r="V43" s="93">
        <v>12026.58</v>
      </c>
      <c r="W43" s="93">
        <v>0</v>
      </c>
      <c r="X43" s="92">
        <f t="shared" si="17"/>
        <v>12026.58</v>
      </c>
      <c r="Y43" s="93">
        <v>18700.520000000004</v>
      </c>
      <c r="Z43" s="93">
        <v>0</v>
      </c>
      <c r="AA43" s="92">
        <f t="shared" si="18"/>
        <v>18700.520000000004</v>
      </c>
      <c r="AB43" s="92">
        <f t="shared" si="19"/>
        <v>18183</v>
      </c>
      <c r="AC43" s="234">
        <f t="shared" si="20"/>
        <v>7.2135990907754195E-3</v>
      </c>
      <c r="AD43" s="92">
        <f t="shared" si="21"/>
        <v>2092.5300000000002</v>
      </c>
      <c r="AE43" s="93">
        <v>7060.8400000000056</v>
      </c>
      <c r="AF43" s="234">
        <f t="shared" si="22"/>
        <v>0.37757452733934693</v>
      </c>
      <c r="AG43" s="93">
        <v>3274.079999999999</v>
      </c>
      <c r="AH43" s="93"/>
      <c r="AI43" s="93">
        <v>2000</v>
      </c>
      <c r="AJ43" s="93"/>
      <c r="AK43" s="93"/>
      <c r="AL43" s="122">
        <f t="shared" si="23"/>
        <v>2.0068301466175082</v>
      </c>
      <c r="AM43" s="93">
        <v>0</v>
      </c>
      <c r="AN43" s="94">
        <f t="shared" si="24"/>
        <v>686.71771799999999</v>
      </c>
      <c r="AO43" s="95">
        <f t="shared" si="26"/>
        <v>3584.3454518533836</v>
      </c>
      <c r="AP43" s="96"/>
      <c r="AQ43" s="97">
        <f t="shared" si="7"/>
        <v>1100.0305882352943</v>
      </c>
      <c r="AR43" s="98">
        <f t="shared" si="36"/>
        <v>123.09</v>
      </c>
      <c r="AS43" s="98">
        <f t="shared" si="9"/>
        <v>415.34352941176502</v>
      </c>
      <c r="AT43" s="98">
        <f t="shared" si="10"/>
        <v>192.59294117647053</v>
      </c>
      <c r="AU43" s="98">
        <f t="shared" si="25"/>
        <v>117.64705882352941</v>
      </c>
      <c r="AV43" s="98">
        <f t="array" ref="AV43">_xlfn.IFS(U43=0,AO43,U43&lt;0,AO43/-U43,U43&gt;0,AO43/U43)</f>
        <v>210.84385010902255</v>
      </c>
      <c r="AW43" s="234">
        <f t="shared" si="44"/>
        <v>0.19167089748591926</v>
      </c>
      <c r="AX43" s="234">
        <f t="shared" si="45"/>
        <v>1.7129242839306407</v>
      </c>
      <c r="AY43" s="99"/>
      <c r="AZ43" s="94">
        <f t="shared" si="13"/>
        <v>4849.4085525075188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1603</v>
      </c>
      <c r="F44" s="93">
        <v>24</v>
      </c>
      <c r="G44" s="93">
        <v>5</v>
      </c>
      <c r="H44" s="93">
        <v>132</v>
      </c>
      <c r="I44" s="93">
        <v>0</v>
      </c>
      <c r="J44" s="93">
        <v>1442</v>
      </c>
      <c r="K44" s="92">
        <v>111.39</v>
      </c>
      <c r="L44" s="92">
        <f t="shared" si="43"/>
        <v>178558.17</v>
      </c>
      <c r="M44" s="89">
        <v>67</v>
      </c>
      <c r="N44" s="89">
        <v>37</v>
      </c>
      <c r="O44" s="89">
        <v>995</v>
      </c>
      <c r="P44" s="89">
        <v>55</v>
      </c>
      <c r="Q44" s="233">
        <f t="shared" si="14"/>
        <v>5.2857142857142856</v>
      </c>
      <c r="R44" s="92">
        <f t="shared" si="15"/>
        <v>2</v>
      </c>
      <c r="S44" s="93">
        <v>16</v>
      </c>
      <c r="T44" s="93">
        <v>-2</v>
      </c>
      <c r="U44" s="92">
        <f t="shared" si="16"/>
        <v>14</v>
      </c>
      <c r="V44" s="93">
        <v>11089.41</v>
      </c>
      <c r="W44" s="93">
        <v>-1341</v>
      </c>
      <c r="X44" s="92">
        <f t="shared" si="17"/>
        <v>9748.41</v>
      </c>
      <c r="Y44" s="93">
        <v>15861.77</v>
      </c>
      <c r="Z44" s="93">
        <v>-1990</v>
      </c>
      <c r="AA44" s="92">
        <f t="shared" si="18"/>
        <v>13871.77</v>
      </c>
      <c r="AB44" s="92">
        <f t="shared" si="19"/>
        <v>20248.25</v>
      </c>
      <c r="AC44" s="234">
        <f t="shared" si="20"/>
        <v>5.350941442240415E-3</v>
      </c>
      <c r="AD44" s="92">
        <f t="shared" si="21"/>
        <v>1559.46</v>
      </c>
      <c r="AE44" s="93">
        <v>5213.7999999999993</v>
      </c>
      <c r="AF44" s="234">
        <f t="shared" si="22"/>
        <v>0.37585686613892816</v>
      </c>
      <c r="AG44" s="93">
        <v>2235.6899999999996</v>
      </c>
      <c r="AH44" s="93">
        <v>670</v>
      </c>
      <c r="AI44" s="93">
        <v>984</v>
      </c>
      <c r="AJ44" s="93"/>
      <c r="AK44" s="93"/>
      <c r="AL44" s="122">
        <f t="shared" si="23"/>
        <v>132.45078967675556</v>
      </c>
      <c r="AM44" s="93">
        <v>0</v>
      </c>
      <c r="AN44" s="94">
        <f t="shared" si="24"/>
        <v>556.63421099999994</v>
      </c>
      <c r="AO44" s="95">
        <f t="shared" si="26"/>
        <v>2519.7349993232469</v>
      </c>
      <c r="AP44" s="96"/>
      <c r="AQ44" s="97">
        <f t="shared" si="7"/>
        <v>990.84071428571428</v>
      </c>
      <c r="AR44" s="98">
        <f t="shared" si="36"/>
        <v>111.39</v>
      </c>
      <c r="AS44" s="98">
        <f t="shared" si="9"/>
        <v>372.41428571428565</v>
      </c>
      <c r="AT44" s="98">
        <f t="shared" si="10"/>
        <v>139.73062499999997</v>
      </c>
      <c r="AU44" s="98">
        <f t="shared" si="25"/>
        <v>103.375</v>
      </c>
      <c r="AV44" s="98">
        <f t="array" ref="AV44">_xlfn.IFS(U44=0,AO44,U44&lt;0,AO44/-U44,U44&gt;0,AO44/U44)</f>
        <v>179.98107138023192</v>
      </c>
      <c r="AW44" s="234">
        <f t="shared" si="44"/>
        <v>0.18164480807591582</v>
      </c>
      <c r="AX44" s="234">
        <f t="shared" si="45"/>
        <v>1.6157740495576975</v>
      </c>
      <c r="AY44" s="99"/>
      <c r="AZ44" s="94">
        <f t="shared" si="13"/>
        <v>288509.65742251178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659</v>
      </c>
      <c r="F45" s="93">
        <v>105</v>
      </c>
      <c r="G45" s="93">
        <v>27</v>
      </c>
      <c r="H45" s="93">
        <v>112</v>
      </c>
      <c r="I45" s="93">
        <v>0</v>
      </c>
      <c r="J45" s="93">
        <v>415</v>
      </c>
      <c r="K45" s="92">
        <v>107.88</v>
      </c>
      <c r="L45" s="92">
        <f t="shared" si="43"/>
        <v>71092.92</v>
      </c>
      <c r="M45" s="89">
        <v>13</v>
      </c>
      <c r="N45" s="89">
        <v>83</v>
      </c>
      <c r="O45" s="89">
        <v>1559</v>
      </c>
      <c r="P45" s="89">
        <v>46</v>
      </c>
      <c r="Q45" s="233">
        <f t="shared" si="14"/>
        <v>11.857142857142858</v>
      </c>
      <c r="R45" s="92">
        <f t="shared" si="15"/>
        <v>5.5714285714285712</v>
      </c>
      <c r="S45" s="93">
        <v>41</v>
      </c>
      <c r="T45" s="93">
        <v>-2</v>
      </c>
      <c r="U45" s="92">
        <f t="shared" si="16"/>
        <v>39</v>
      </c>
      <c r="V45" s="93">
        <v>38784.749999999993</v>
      </c>
      <c r="W45" s="93">
        <v>-1899</v>
      </c>
      <c r="X45" s="92">
        <f t="shared" si="17"/>
        <v>36885.749999999993</v>
      </c>
      <c r="Y45" s="93">
        <v>60758.659999999996</v>
      </c>
      <c r="Z45" s="93">
        <v>-2907.25</v>
      </c>
      <c r="AA45" s="92">
        <f t="shared" si="18"/>
        <v>57851.409999999996</v>
      </c>
      <c r="AB45" s="92">
        <f t="shared" si="19"/>
        <v>59522.62</v>
      </c>
      <c r="AC45" s="234">
        <f t="shared" si="20"/>
        <v>2.2315790073007376E-2</v>
      </c>
      <c r="AD45" s="92">
        <f t="shared" si="21"/>
        <v>4207.32</v>
      </c>
      <c r="AE45" s="93">
        <v>21718.49</v>
      </c>
      <c r="AF45" s="234">
        <f t="shared" si="22"/>
        <v>0.37541850751779432</v>
      </c>
      <c r="AG45" s="93">
        <v>6353.2199999999984</v>
      </c>
      <c r="AH45" s="93">
        <v>3125</v>
      </c>
      <c r="AI45" s="93">
        <v>6364</v>
      </c>
      <c r="AJ45" s="93"/>
      <c r="AK45" s="93"/>
      <c r="AL45" s="122">
        <f t="shared" si="23"/>
        <v>112.38248821058046</v>
      </c>
      <c r="AM45" s="93">
        <v>0</v>
      </c>
      <c r="AN45" s="94">
        <f t="shared" si="24"/>
        <v>2106.1763249999995</v>
      </c>
      <c r="AO45" s="95">
        <f t="shared" si="26"/>
        <v>13864.821186789417</v>
      </c>
      <c r="AP45" s="96"/>
      <c r="AQ45" s="97">
        <f t="shared" si="7"/>
        <v>1483.3694871794871</v>
      </c>
      <c r="AR45" s="98">
        <f t="shared" si="36"/>
        <v>107.88</v>
      </c>
      <c r="AS45" s="98">
        <f t="shared" si="9"/>
        <v>556.88435897435897</v>
      </c>
      <c r="AT45" s="98">
        <f t="shared" si="10"/>
        <v>154.95658536585361</v>
      </c>
      <c r="AU45" s="98">
        <f t="shared" si="25"/>
        <v>231.4390243902439</v>
      </c>
      <c r="AV45" s="98">
        <f t="array" ref="AV45">_xlfn.IFS(U45=0,AO45,U45&lt;0,AO45/-U45,U45&gt;0,AO45/U45)</f>
        <v>355.50823555870301</v>
      </c>
      <c r="AW45" s="234">
        <f t="shared" si="44"/>
        <v>0.23966263202209623</v>
      </c>
      <c r="AX45" s="234">
        <f t="shared" si="45"/>
        <v>3.2954044823758157</v>
      </c>
      <c r="AY45" s="99"/>
      <c r="AZ45" s="94">
        <f t="shared" si="13"/>
        <v>234279.92723318527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211</v>
      </c>
      <c r="F47" s="93">
        <v>19</v>
      </c>
      <c r="G47" s="93">
        <v>3</v>
      </c>
      <c r="H47" s="93">
        <v>89</v>
      </c>
      <c r="I47" s="93">
        <v>0</v>
      </c>
      <c r="J47" s="93">
        <v>100</v>
      </c>
      <c r="K47" s="92">
        <v>123.09</v>
      </c>
      <c r="L47" s="92">
        <f t="shared" si="43"/>
        <v>25971.99</v>
      </c>
      <c r="M47" s="89">
        <v>57</v>
      </c>
      <c r="N47" s="89">
        <v>21</v>
      </c>
      <c r="O47" s="89">
        <v>1124</v>
      </c>
      <c r="P47" s="89">
        <v>77</v>
      </c>
      <c r="Q47" s="233">
        <f t="shared" si="14"/>
        <v>3</v>
      </c>
      <c r="R47" s="92">
        <f t="shared" si="15"/>
        <v>2</v>
      </c>
      <c r="S47" s="93">
        <v>14</v>
      </c>
      <c r="T47" s="93">
        <v>0</v>
      </c>
      <c r="U47" s="92">
        <f t="shared" si="16"/>
        <v>14</v>
      </c>
      <c r="V47" s="93">
        <v>9734.2899999999991</v>
      </c>
      <c r="W47" s="93">
        <v>0</v>
      </c>
      <c r="X47" s="92">
        <f t="shared" si="17"/>
        <v>9734.2899999999991</v>
      </c>
      <c r="Y47" s="93">
        <v>15327.05</v>
      </c>
      <c r="Z47" s="93">
        <v>0</v>
      </c>
      <c r="AA47" s="92">
        <f t="shared" si="18"/>
        <v>15327.05</v>
      </c>
      <c r="AB47" s="92">
        <f t="shared" si="19"/>
        <v>18175.080000000002</v>
      </c>
      <c r="AC47" s="234">
        <f t="shared" si="20"/>
        <v>5.9123058580333255E-3</v>
      </c>
      <c r="AD47" s="92">
        <f t="shared" si="21"/>
        <v>1723.26</v>
      </c>
      <c r="AE47" s="93">
        <v>5774.07</v>
      </c>
      <c r="AF47" s="234">
        <f t="shared" si="22"/>
        <v>0.37672415761676253</v>
      </c>
      <c r="AG47" s="93">
        <v>1720.3599999999994</v>
      </c>
      <c r="AH47" s="93">
        <v>678</v>
      </c>
      <c r="AI47" s="93"/>
      <c r="AJ47" s="93"/>
      <c r="AK47" s="93"/>
      <c r="AL47" s="122">
        <f t="shared" si="23"/>
        <v>89.303941524479129</v>
      </c>
      <c r="AM47" s="93">
        <v>0</v>
      </c>
      <c r="AN47" s="94">
        <f t="shared" si="24"/>
        <v>555.82795899999996</v>
      </c>
      <c r="AO47" s="95">
        <f t="shared" si="26"/>
        <v>4786.2280994755201</v>
      </c>
      <c r="AP47" s="96"/>
      <c r="AQ47" s="97">
        <f t="shared" si="7"/>
        <v>1094.7892857142856</v>
      </c>
      <c r="AR47" s="98">
        <f t="shared" si="36"/>
        <v>123.09</v>
      </c>
      <c r="AS47" s="98">
        <f t="shared" si="9"/>
        <v>412.43357142857138</v>
      </c>
      <c r="AT47" s="98">
        <f t="shared" si="10"/>
        <v>122.88285714285711</v>
      </c>
      <c r="AU47" s="98">
        <f t="shared" si="25"/>
        <v>48.428571428571431</v>
      </c>
      <c r="AV47" s="98">
        <f t="array" ref="AV47">_xlfn.IFS(U47=0,AO47,U47&lt;0,AO47/-U47,U47&gt;0,AO47/U47)</f>
        <v>341.87343567682285</v>
      </c>
      <c r="AW47" s="234">
        <f t="shared" si="44"/>
        <v>0.31227327499261243</v>
      </c>
      <c r="AX47" s="234">
        <f t="shared" si="45"/>
        <v>2.7774265633018347</v>
      </c>
      <c r="AY47" s="99"/>
      <c r="AZ47" s="94">
        <f t="shared" si="13"/>
        <v>72135.29492780962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780</v>
      </c>
      <c r="F48" s="93">
        <v>51</v>
      </c>
      <c r="G48" s="93">
        <v>13</v>
      </c>
      <c r="H48" s="93">
        <v>225</v>
      </c>
      <c r="I48" s="93">
        <v>0</v>
      </c>
      <c r="J48" s="93">
        <v>491</v>
      </c>
      <c r="K48" s="92">
        <v>107.88</v>
      </c>
      <c r="L48" s="92">
        <f t="shared" si="43"/>
        <v>84146.4</v>
      </c>
      <c r="M48" s="89">
        <v>53</v>
      </c>
      <c r="N48" s="89">
        <v>80</v>
      </c>
      <c r="O48" s="89">
        <v>1341</v>
      </c>
      <c r="P48" s="89">
        <v>69</v>
      </c>
      <c r="Q48" s="233">
        <f t="shared" si="14"/>
        <v>11.428571428571429</v>
      </c>
      <c r="R48" s="92">
        <f t="shared" si="15"/>
        <v>4</v>
      </c>
      <c r="S48" s="93">
        <v>28</v>
      </c>
      <c r="T48" s="93">
        <v>0</v>
      </c>
      <c r="U48" s="92">
        <f t="shared" si="16"/>
        <v>28</v>
      </c>
      <c r="V48" s="93">
        <v>23514.02</v>
      </c>
      <c r="W48" s="93">
        <v>0</v>
      </c>
      <c r="X48" s="92">
        <f t="shared" si="17"/>
        <v>23514.02</v>
      </c>
      <c r="Y48" s="93">
        <v>37046.990000000005</v>
      </c>
      <c r="Z48" s="93">
        <v>0</v>
      </c>
      <c r="AA48" s="92">
        <f t="shared" si="18"/>
        <v>37046.990000000005</v>
      </c>
      <c r="AB48" s="92">
        <f t="shared" si="19"/>
        <v>74023.199999999997</v>
      </c>
      <c r="AC48" s="234">
        <f t="shared" si="20"/>
        <v>1.4290625789013677E-2</v>
      </c>
      <c r="AD48" s="92">
        <f t="shared" si="21"/>
        <v>3020.64</v>
      </c>
      <c r="AE48" s="93">
        <v>13908.369999999999</v>
      </c>
      <c r="AF48" s="234">
        <f t="shared" si="22"/>
        <v>0.37542510201233614</v>
      </c>
      <c r="AG48" s="93">
        <v>4033.44</v>
      </c>
      <c r="AH48" s="93">
        <v>1393</v>
      </c>
      <c r="AI48" s="93">
        <v>4706</v>
      </c>
      <c r="AJ48" s="93"/>
      <c r="AK48" s="93"/>
      <c r="AL48" s="122">
        <f t="shared" si="23"/>
        <v>225.76839149446968</v>
      </c>
      <c r="AM48" s="93">
        <v>0</v>
      </c>
      <c r="AN48" s="94">
        <f t="shared" si="24"/>
        <v>1342.6505420000001</v>
      </c>
      <c r="AO48" s="95">
        <f t="shared" si="26"/>
        <v>8417.1210665055369</v>
      </c>
      <c r="AP48" s="96"/>
      <c r="AQ48" s="97">
        <f t="shared" si="7"/>
        <v>1323.1067857142859</v>
      </c>
      <c r="AR48" s="98">
        <f t="shared" si="36"/>
        <v>107.88</v>
      </c>
      <c r="AS48" s="98">
        <f t="shared" si="9"/>
        <v>496.72749999999996</v>
      </c>
      <c r="AT48" s="98">
        <f t="shared" si="10"/>
        <v>144.05142857142857</v>
      </c>
      <c r="AU48" s="98">
        <f t="shared" si="25"/>
        <v>217.82142857142858</v>
      </c>
      <c r="AV48" s="98">
        <f t="array" ref="AV48">_xlfn.IFS(U48=0,AO48,U48&lt;0,AO48/-U48,U48&gt;0,AO48/U48)</f>
        <v>300.61146666091201</v>
      </c>
      <c r="AW48" s="234">
        <f t="shared" si="44"/>
        <v>0.22720121301367627</v>
      </c>
      <c r="AX48" s="234">
        <f t="shared" si="45"/>
        <v>2.7865356568493884</v>
      </c>
      <c r="AY48" s="99"/>
      <c r="AZ48" s="94">
        <f t="shared" si="13"/>
        <v>234476.94399551136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2064</v>
      </c>
      <c r="F49" s="93">
        <v>24</v>
      </c>
      <c r="G49" s="93">
        <v>20</v>
      </c>
      <c r="H49" s="93">
        <v>68</v>
      </c>
      <c r="I49" s="93">
        <v>0</v>
      </c>
      <c r="J49" s="93">
        <v>1952</v>
      </c>
      <c r="K49" s="92">
        <v>123.09</v>
      </c>
      <c r="L49" s="92">
        <f t="shared" si="43"/>
        <v>254057.76</v>
      </c>
      <c r="M49" s="89">
        <v>16</v>
      </c>
      <c r="N49" s="89">
        <v>45</v>
      </c>
      <c r="O49" s="89">
        <v>1531</v>
      </c>
      <c r="P49" s="89">
        <v>47</v>
      </c>
      <c r="Q49" s="233">
        <f t="shared" si="14"/>
        <v>6.4285714285714288</v>
      </c>
      <c r="R49" s="92">
        <f t="shared" si="15"/>
        <v>3.5714285714285716</v>
      </c>
      <c r="S49" s="93">
        <v>25</v>
      </c>
      <c r="T49" s="93">
        <v>0</v>
      </c>
      <c r="U49" s="92">
        <f t="shared" si="16"/>
        <v>25</v>
      </c>
      <c r="V49" s="93">
        <v>24555</v>
      </c>
      <c r="W49" s="93">
        <v>0</v>
      </c>
      <c r="X49" s="92">
        <f t="shared" si="17"/>
        <v>24555</v>
      </c>
      <c r="Y49" s="93">
        <v>36715.480000000003</v>
      </c>
      <c r="Z49" s="93">
        <v>0</v>
      </c>
      <c r="AA49" s="92">
        <f t="shared" si="18"/>
        <v>36715.480000000003</v>
      </c>
      <c r="AB49" s="92">
        <f t="shared" si="19"/>
        <v>32380.65</v>
      </c>
      <c r="AC49" s="234">
        <f t="shared" si="20"/>
        <v>1.4162748049005218E-2</v>
      </c>
      <c r="AD49" s="92">
        <f t="shared" si="21"/>
        <v>3077.25</v>
      </c>
      <c r="AE49" s="93">
        <v>13727.830000000009</v>
      </c>
      <c r="AF49" s="234">
        <f t="shared" si="22"/>
        <v>0.37389760395342803</v>
      </c>
      <c r="AG49" s="93">
        <v>5607.1400000000012</v>
      </c>
      <c r="AH49" s="93">
        <v>40</v>
      </c>
      <c r="AI49" s="93">
        <v>5983</v>
      </c>
      <c r="AJ49" s="93"/>
      <c r="AK49" s="93"/>
      <c r="AL49" s="122">
        <f t="shared" si="23"/>
        <v>68.232224984995284</v>
      </c>
      <c r="AM49" s="93">
        <v>0</v>
      </c>
      <c r="AN49" s="94">
        <f t="shared" si="24"/>
        <v>1402.0905</v>
      </c>
      <c r="AO49" s="95">
        <f t="shared" si="26"/>
        <v>6809.9372750149978</v>
      </c>
      <c r="AP49" s="96"/>
      <c r="AQ49" s="97">
        <f t="shared" si="7"/>
        <v>1468.6192000000001</v>
      </c>
      <c r="AR49" s="98">
        <f t="shared" si="36"/>
        <v>123.09</v>
      </c>
      <c r="AS49" s="98">
        <f t="shared" si="9"/>
        <v>549.11320000000035</v>
      </c>
      <c r="AT49" s="98">
        <f t="shared" si="10"/>
        <v>224.28560000000004</v>
      </c>
      <c r="AU49" s="98">
        <f t="shared" si="25"/>
        <v>240.92</v>
      </c>
      <c r="AV49" s="98">
        <f t="array" ref="AV49">_xlfn.IFS(U49=0,AO49,U49&lt;0,AO49/-U49,U49&gt;0,AO49/U49)</f>
        <v>272.39749100059993</v>
      </c>
      <c r="AW49" s="234">
        <f t="shared" si="44"/>
        <v>0.18547863939174969</v>
      </c>
      <c r="AX49" s="234">
        <f t="shared" si="45"/>
        <v>2.2129944837159794</v>
      </c>
      <c r="AY49" s="99"/>
      <c r="AZ49" s="94">
        <f t="shared" si="13"/>
        <v>562228.42142523825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1672</v>
      </c>
      <c r="F50" s="93">
        <v>36</v>
      </c>
      <c r="G50" s="93">
        <v>9</v>
      </c>
      <c r="H50" s="93">
        <v>126</v>
      </c>
      <c r="I50" s="93">
        <v>0</v>
      </c>
      <c r="J50" s="93">
        <v>1501</v>
      </c>
      <c r="K50" s="92">
        <v>134.79</v>
      </c>
      <c r="L50" s="92">
        <f t="shared" si="43"/>
        <v>225368.87999999998</v>
      </c>
      <c r="M50" s="89">
        <v>73</v>
      </c>
      <c r="N50" s="89">
        <v>35</v>
      </c>
      <c r="O50" s="89">
        <v>1218</v>
      </c>
      <c r="P50" s="89">
        <v>63</v>
      </c>
      <c r="Q50" s="233">
        <f t="shared" si="14"/>
        <v>5</v>
      </c>
      <c r="R50" s="92">
        <f t="shared" si="15"/>
        <v>2.2857142857142856</v>
      </c>
      <c r="S50" s="93">
        <v>17</v>
      </c>
      <c r="T50" s="93">
        <v>-1</v>
      </c>
      <c r="U50" s="92">
        <f t="shared" si="16"/>
        <v>16</v>
      </c>
      <c r="V50" s="93">
        <v>13237.96</v>
      </c>
      <c r="W50" s="93">
        <v>-785</v>
      </c>
      <c r="X50" s="92">
        <f t="shared" si="17"/>
        <v>12452.96</v>
      </c>
      <c r="Y50" s="93">
        <v>20596.189999999999</v>
      </c>
      <c r="Z50" s="93">
        <v>-1218</v>
      </c>
      <c r="AA50" s="92">
        <f t="shared" si="18"/>
        <v>19378.189999999999</v>
      </c>
      <c r="AB50" s="92">
        <f t="shared" si="19"/>
        <v>26856.9</v>
      </c>
      <c r="AC50" s="234">
        <f t="shared" si="20"/>
        <v>7.4750057091927538E-3</v>
      </c>
      <c r="AD50" s="92">
        <f t="shared" si="21"/>
        <v>2156.64</v>
      </c>
      <c r="AE50" s="93">
        <v>7377.8599999999969</v>
      </c>
      <c r="AF50" s="234">
        <f t="shared" si="22"/>
        <v>0.38073008882666531</v>
      </c>
      <c r="AG50" s="93">
        <v>1844.9299999999998</v>
      </c>
      <c r="AH50" s="93">
        <v>1592</v>
      </c>
      <c r="AI50" s="93">
        <v>944</v>
      </c>
      <c r="AJ50" s="93"/>
      <c r="AK50" s="93"/>
      <c r="AL50" s="122">
        <f t="shared" si="23"/>
        <v>126.43029923690304</v>
      </c>
      <c r="AM50" s="93">
        <v>0</v>
      </c>
      <c r="AN50" s="94">
        <f t="shared" si="24"/>
        <v>711.06401599999992</v>
      </c>
      <c r="AO50" s="95">
        <f t="shared" si="26"/>
        <v>4625.2656847630988</v>
      </c>
      <c r="AP50" s="96"/>
      <c r="AQ50" s="97">
        <f t="shared" si="7"/>
        <v>1211.1368749999999</v>
      </c>
      <c r="AR50" s="98">
        <f t="shared" si="36"/>
        <v>134.79</v>
      </c>
      <c r="AS50" s="98">
        <f t="shared" si="9"/>
        <v>461.11624999999981</v>
      </c>
      <c r="AT50" s="98">
        <f t="shared" si="10"/>
        <v>108.52529411764705</v>
      </c>
      <c r="AU50" s="98">
        <f t="shared" si="25"/>
        <v>149.1764705882353</v>
      </c>
      <c r="AV50" s="98">
        <f t="array" ref="AV50">_xlfn.IFS(U50=0,AO50,U50&lt;0,AO50/-U50,U50&gt;0,AO50/U50)</f>
        <v>289.07910529769367</v>
      </c>
      <c r="AW50" s="234">
        <f t="shared" si="44"/>
        <v>0.2386840920004964</v>
      </c>
      <c r="AX50" s="234">
        <f t="shared" si="45"/>
        <v>2.144662848117024</v>
      </c>
      <c r="AY50" s="99"/>
      <c r="AZ50" s="94">
        <f t="shared" si="13"/>
        <v>483340.26405774383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7</v>
      </c>
      <c r="F51" s="93">
        <v>3</v>
      </c>
      <c r="G51" s="93">
        <v>1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3"/>
        <v>1009.0500000000001</v>
      </c>
      <c r="M51" s="89">
        <v>999</v>
      </c>
      <c r="N51" s="89">
        <v>1</v>
      </c>
      <c r="O51" s="89">
        <v>1119</v>
      </c>
      <c r="P51" s="89">
        <v>0</v>
      </c>
      <c r="Q51" s="233">
        <f t="shared" si="14"/>
        <v>0.14285714285714285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/>
      <c r="AJ51" s="93"/>
      <c r="AK51" s="93"/>
      <c r="AL51" s="122">
        <f t="shared" si="23"/>
        <v>2.0068301466175082</v>
      </c>
      <c r="AM51" s="93">
        <v>0</v>
      </c>
      <c r="AN51" s="94">
        <f t="shared" si="24"/>
        <v>0</v>
      </c>
      <c r="AO51" s="95">
        <f t="shared" si="26"/>
        <v>-2.0068301466175082</v>
      </c>
      <c r="AP51" s="96"/>
      <c r="AQ51" s="97">
        <f t="shared" si="7"/>
        <v>0</v>
      </c>
      <c r="AR51" s="98">
        <f t="shared" si="36"/>
        <v>144.15</v>
      </c>
      <c r="AS51" s="98">
        <f t="shared" si="9"/>
        <v>0</v>
      </c>
      <c r="AT51" s="98">
        <f t="shared" si="10"/>
        <v>0</v>
      </c>
      <c r="AU51" s="98">
        <f t="shared" si="25"/>
        <v>0</v>
      </c>
      <c r="AV51" s="98">
        <f t="array" ref="AV51">_xlfn.IFS(U51=0,AO51,U51&lt;0,AO51/-U51,U51&gt;0,AO51/U51)</f>
        <v>-2.0068301466175082</v>
      </c>
      <c r="AW51" s="234">
        <f t="shared" si="44"/>
        <v>0</v>
      </c>
      <c r="AX51" s="234">
        <f t="shared" si="45"/>
        <v>-1.3921818568279627E-2</v>
      </c>
      <c r="AY51" s="99"/>
      <c r="AZ51" s="94">
        <f t="shared" si="13"/>
        <v>-14.047811026322558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49</v>
      </c>
      <c r="F52" s="93">
        <v>5</v>
      </c>
      <c r="G52" s="93">
        <v>3</v>
      </c>
      <c r="H52" s="93">
        <v>40</v>
      </c>
      <c r="I52" s="93">
        <v>0</v>
      </c>
      <c r="J52" s="93">
        <v>1</v>
      </c>
      <c r="K52" s="92">
        <v>96.18</v>
      </c>
      <c r="L52" s="92">
        <f t="shared" si="43"/>
        <v>4712.8200000000006</v>
      </c>
      <c r="M52" s="89">
        <v>138</v>
      </c>
      <c r="N52" s="89">
        <v>3</v>
      </c>
      <c r="O52" s="89">
        <v>1106</v>
      </c>
      <c r="P52" s="89">
        <v>0</v>
      </c>
      <c r="Q52" s="233">
        <f t="shared" si="14"/>
        <v>0.42857142857142855</v>
      </c>
      <c r="R52" s="92">
        <f t="shared" si="15"/>
        <v>0.2857142857142857</v>
      </c>
      <c r="S52" s="93">
        <v>2</v>
      </c>
      <c r="T52" s="93">
        <v>0</v>
      </c>
      <c r="U52" s="92">
        <f t="shared" si="16"/>
        <v>2</v>
      </c>
      <c r="V52" s="93">
        <v>1466.83</v>
      </c>
      <c r="W52" s="93">
        <v>0</v>
      </c>
      <c r="X52" s="92">
        <f t="shared" si="17"/>
        <v>1466.83</v>
      </c>
      <c r="Y52" s="93">
        <v>2178.73</v>
      </c>
      <c r="Z52" s="93">
        <v>0</v>
      </c>
      <c r="AA52" s="92">
        <f t="shared" si="18"/>
        <v>2178.73</v>
      </c>
      <c r="AB52" s="92">
        <f t="shared" si="19"/>
        <v>0</v>
      </c>
      <c r="AC52" s="234">
        <f t="shared" si="20"/>
        <v>8.4043035953252244E-4</v>
      </c>
      <c r="AD52" s="92">
        <f t="shared" si="21"/>
        <v>192.36</v>
      </c>
      <c r="AE52" s="93">
        <v>814</v>
      </c>
      <c r="AF52" s="234">
        <f t="shared" si="22"/>
        <v>0.3736121501975922</v>
      </c>
      <c r="AG52" s="93">
        <v>404.38</v>
      </c>
      <c r="AH52" s="93"/>
      <c r="AI52" s="93"/>
      <c r="AJ52" s="93"/>
      <c r="AK52" s="93"/>
      <c r="AL52" s="122">
        <f t="shared" si="23"/>
        <v>40.136602932350165</v>
      </c>
      <c r="AM52" s="93">
        <v>0</v>
      </c>
      <c r="AN52" s="94">
        <f t="shared" si="24"/>
        <v>83.755992999999989</v>
      </c>
      <c r="AO52" s="95">
        <f t="shared" si="26"/>
        <v>644.09740406764979</v>
      </c>
      <c r="AP52" s="96"/>
      <c r="AQ52" s="97">
        <f t="shared" si="7"/>
        <v>1089.365</v>
      </c>
      <c r="AR52" s="98">
        <f t="shared" si="36"/>
        <v>96.18</v>
      </c>
      <c r="AS52" s="98">
        <f t="shared" si="9"/>
        <v>407</v>
      </c>
      <c r="AT52" s="98">
        <f t="shared" si="10"/>
        <v>202.19</v>
      </c>
      <c r="AU52" s="98">
        <f t="shared" si="25"/>
        <v>0</v>
      </c>
      <c r="AV52" s="98">
        <f t="array" ref="AV52">_xlfn.IFS(U52=0,AO52,U52&lt;0,AO52/-U52,U52&gt;0,AO52/U52)</f>
        <v>322.0487020338249</v>
      </c>
      <c r="AW52" s="234">
        <f t="shared" si="44"/>
        <v>0.2956297494722383</v>
      </c>
      <c r="AX52" s="234">
        <f t="shared" si="45"/>
        <v>3.3483957375111757</v>
      </c>
      <c r="AY52" s="99"/>
      <c r="AZ52" s="94">
        <f t="shared" si="13"/>
        <v>15780.38639965742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48</v>
      </c>
      <c r="F53" s="93" t="s">
        <v>100</v>
      </c>
      <c r="G53" s="93">
        <v>2</v>
      </c>
      <c r="H53" s="93">
        <v>45</v>
      </c>
      <c r="I53" s="93">
        <v>0</v>
      </c>
      <c r="J53" s="93">
        <v>1</v>
      </c>
      <c r="K53" s="92">
        <v>96.18</v>
      </c>
      <c r="L53" s="92">
        <f t="shared" si="43"/>
        <v>4616.6400000000003</v>
      </c>
      <c r="M53" s="89">
        <v>692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0</v>
      </c>
      <c r="AH53" s="93"/>
      <c r="AI53" s="93"/>
      <c r="AJ53" s="93"/>
      <c r="AK53" s="93"/>
      <c r="AL53" s="122">
        <f t="shared" si="23"/>
        <v>45.153678298893936</v>
      </c>
      <c r="AM53" s="93">
        <v>0</v>
      </c>
      <c r="AN53" s="94">
        <f t="shared" si="24"/>
        <v>0</v>
      </c>
      <c r="AO53" s="95">
        <f t="shared" si="26"/>
        <v>-45.153678298893936</v>
      </c>
      <c r="AP53" s="96"/>
      <c r="AQ53" s="97">
        <f t="shared" si="7"/>
        <v>0</v>
      </c>
      <c r="AR53" s="98">
        <f t="shared" si="36"/>
        <v>96.18</v>
      </c>
      <c r="AS53" s="98">
        <f t="shared" si="9"/>
        <v>0</v>
      </c>
      <c r="AT53" s="98">
        <f t="shared" si="10"/>
        <v>0</v>
      </c>
      <c r="AU53" s="98">
        <f t="shared" si="25"/>
        <v>0</v>
      </c>
      <c r="AV53" s="98">
        <f t="array" ref="AV53">_xlfn.IFS(U53=0,AO53,U53&lt;0,AO53/-U53,U53&gt;0,AO53/U53)</f>
        <v>-45.153678298893936</v>
      </c>
      <c r="AW53" s="234">
        <f t="shared" si="44"/>
        <v>0</v>
      </c>
      <c r="AX53" s="234">
        <f t="shared" si="45"/>
        <v>-0.46947055831663476</v>
      </c>
      <c r="AY53" s="99"/>
      <c r="AZ53" s="94">
        <f t="shared" si="13"/>
        <v>-2167.376558346909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46</v>
      </c>
      <c r="F54" s="93">
        <v>6</v>
      </c>
      <c r="G54" s="93" t="s">
        <v>100</v>
      </c>
      <c r="H54" s="93">
        <v>39</v>
      </c>
      <c r="I54" s="93">
        <v>0</v>
      </c>
      <c r="J54" s="93">
        <v>1</v>
      </c>
      <c r="K54" s="93">
        <v>123.09</v>
      </c>
      <c r="L54" s="92">
        <f t="shared" si="43"/>
        <v>5662.14</v>
      </c>
      <c r="M54" s="89">
        <v>142</v>
      </c>
      <c r="N54" s="89">
        <v>5</v>
      </c>
      <c r="O54" s="89">
        <v>998</v>
      </c>
      <c r="P54" s="89">
        <v>50</v>
      </c>
      <c r="Q54" s="233">
        <f t="shared" si="14"/>
        <v>0.7142857142857143</v>
      </c>
      <c r="R54" s="92">
        <f t="shared" si="15"/>
        <v>0.14285714285714285</v>
      </c>
      <c r="S54" s="93">
        <v>2</v>
      </c>
      <c r="T54" s="93">
        <v>-1</v>
      </c>
      <c r="U54" s="92">
        <f t="shared" si="16"/>
        <v>1</v>
      </c>
      <c r="V54" s="93">
        <v>1319</v>
      </c>
      <c r="W54" s="93">
        <v>-655</v>
      </c>
      <c r="X54" s="92">
        <f t="shared" si="17"/>
        <v>664</v>
      </c>
      <c r="Y54" s="93">
        <v>1996</v>
      </c>
      <c r="Z54" s="93">
        <v>-998</v>
      </c>
      <c r="AA54" s="92">
        <f t="shared" si="18"/>
        <v>998</v>
      </c>
      <c r="AB54" s="92">
        <f t="shared" si="19"/>
        <v>2495</v>
      </c>
      <c r="AC54" s="234">
        <f t="shared" si="20"/>
        <v>3.8497174905263953E-4</v>
      </c>
      <c r="AD54" s="92">
        <f t="shared" si="21"/>
        <v>123.09</v>
      </c>
      <c r="AE54" s="93">
        <v>367.25</v>
      </c>
      <c r="AF54" s="234">
        <f t="shared" si="22"/>
        <v>0.36798597194388777</v>
      </c>
      <c r="AG54" s="93">
        <v>236.06</v>
      </c>
      <c r="AH54" s="93"/>
      <c r="AI54" s="93"/>
      <c r="AJ54" s="93"/>
      <c r="AK54" s="93"/>
      <c r="AL54" s="122">
        <f t="shared" si="23"/>
        <v>39.133187859041414</v>
      </c>
      <c r="AM54" s="93">
        <v>0</v>
      </c>
      <c r="AN54" s="94">
        <f t="shared" si="24"/>
        <v>37.914400000000001</v>
      </c>
      <c r="AO54" s="95">
        <f t="shared" si="26"/>
        <v>194.55241214095855</v>
      </c>
      <c r="AP54" s="96"/>
      <c r="AQ54" s="97">
        <f t="shared" si="7"/>
        <v>998</v>
      </c>
      <c r="AR54" s="98">
        <f t="shared" si="36"/>
        <v>123.09</v>
      </c>
      <c r="AS54" s="98">
        <f t="shared" si="9"/>
        <v>367.25</v>
      </c>
      <c r="AT54" s="98">
        <f t="shared" si="10"/>
        <v>118.03</v>
      </c>
      <c r="AU54" s="98">
        <f t="shared" si="25"/>
        <v>0</v>
      </c>
      <c r="AV54" s="98">
        <f t="array" ref="AV54">_xlfn.IFS(U54=0,AO54,U54&lt;0,AO54/-U54,U54&gt;0,AO54/U54)</f>
        <v>194.55241214095855</v>
      </c>
      <c r="AW54" s="234">
        <f t="shared" si="44"/>
        <v>0.19494229673442739</v>
      </c>
      <c r="AX54" s="234">
        <f t="shared" si="45"/>
        <v>1.5805704130389029</v>
      </c>
      <c r="AY54" s="99"/>
      <c r="AZ54" s="94">
        <f t="shared" si="13"/>
        <v>8949.4109584840935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3"/>
        <v>316.38</v>
      </c>
      <c r="M55" s="89">
        <v>25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3"/>
        <v>152.34</v>
      </c>
      <c r="M56" s="89">
        <v>999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3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39</v>
      </c>
      <c r="F58" s="93">
        <v>10</v>
      </c>
      <c r="G58" s="93">
        <v>4</v>
      </c>
      <c r="H58" s="93">
        <v>24</v>
      </c>
      <c r="I58" s="93">
        <v>0</v>
      </c>
      <c r="J58" s="93">
        <v>1</v>
      </c>
      <c r="K58" s="93">
        <v>169.89</v>
      </c>
      <c r="L58" s="92">
        <f t="shared" si="43"/>
        <v>6625.7099999999991</v>
      </c>
      <c r="M58" s="89">
        <v>60</v>
      </c>
      <c r="N58" s="89">
        <v>6</v>
      </c>
      <c r="O58" s="89">
        <v>1039</v>
      </c>
      <c r="P58" s="89">
        <v>25</v>
      </c>
      <c r="Q58" s="233">
        <f t="shared" si="14"/>
        <v>0.8571428571428571</v>
      </c>
      <c r="R58" s="92">
        <f t="shared" si="15"/>
        <v>0.2857142857142857</v>
      </c>
      <c r="S58" s="93">
        <v>2</v>
      </c>
      <c r="T58" s="93">
        <v>0</v>
      </c>
      <c r="U58" s="92">
        <f t="shared" si="16"/>
        <v>2</v>
      </c>
      <c r="V58" s="93">
        <v>1177</v>
      </c>
      <c r="W58" s="93">
        <v>0</v>
      </c>
      <c r="X58" s="92">
        <f t="shared" si="17"/>
        <v>1177</v>
      </c>
      <c r="Y58" s="93">
        <v>2046.83</v>
      </c>
      <c r="Z58" s="93">
        <v>0</v>
      </c>
      <c r="AA58" s="92">
        <f t="shared" si="18"/>
        <v>2046.83</v>
      </c>
      <c r="AB58" s="92">
        <f t="shared" si="19"/>
        <v>1558.5</v>
      </c>
      <c r="AC58" s="234">
        <f t="shared" si="20"/>
        <v>7.8955082676694806E-4</v>
      </c>
      <c r="AD58" s="92">
        <f t="shared" si="21"/>
        <v>339.78</v>
      </c>
      <c r="AE58" s="93">
        <v>764.27</v>
      </c>
      <c r="AF58" s="234">
        <f t="shared" si="22"/>
        <v>0.37339202571781732</v>
      </c>
      <c r="AG58" s="93">
        <v>823.56</v>
      </c>
      <c r="AH58" s="93">
        <v>182</v>
      </c>
      <c r="AI58" s="93">
        <f>1168+155</f>
        <v>1323</v>
      </c>
      <c r="AJ58" s="93"/>
      <c r="AK58" s="93"/>
      <c r="AL58" s="122">
        <f t="shared" si="23"/>
        <v>24.081961759410099</v>
      </c>
      <c r="AM58" s="93">
        <v>0</v>
      </c>
      <c r="AN58" s="94">
        <f t="shared" si="24"/>
        <v>67.206699999999998</v>
      </c>
      <c r="AO58" s="95">
        <f t="shared" si="26"/>
        <v>-1477.0686617594101</v>
      </c>
      <c r="AP58" s="96"/>
      <c r="AQ58" s="97">
        <f t="shared" si="7"/>
        <v>1023.415</v>
      </c>
      <c r="AR58" s="98">
        <f t="shared" si="36"/>
        <v>169.89</v>
      </c>
      <c r="AS58" s="98">
        <f t="shared" si="9"/>
        <v>382.13499999999999</v>
      </c>
      <c r="AT58" s="98">
        <f t="shared" si="10"/>
        <v>411.78</v>
      </c>
      <c r="AU58" s="98">
        <f t="shared" si="25"/>
        <v>752.5</v>
      </c>
      <c r="AV58" s="98">
        <f t="array" ref="AV58">_xlfn.IFS(U58=0,AO58,U58&lt;0,AO58/-U58,U58&gt;0,AO58/U58)</f>
        <v>-738.53433087970507</v>
      </c>
      <c r="AW58" s="234">
        <f t="shared" si="44"/>
        <v>-0.72163719593684394</v>
      </c>
      <c r="AX58" s="234">
        <f t="shared" si="45"/>
        <v>-4.3471324438148518</v>
      </c>
      <c r="AY58" s="99"/>
      <c r="AZ58" s="94">
        <f t="shared" si="13"/>
        <v>-28802.838904308497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3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67</v>
      </c>
      <c r="F60" s="93">
        <v>2</v>
      </c>
      <c r="G60" s="93">
        <v>2</v>
      </c>
      <c r="H60" s="93">
        <v>22</v>
      </c>
      <c r="I60" s="93">
        <v>0</v>
      </c>
      <c r="J60" s="93">
        <v>41</v>
      </c>
      <c r="K60" s="93">
        <v>158.19</v>
      </c>
      <c r="L60" s="92">
        <f t="shared" si="43"/>
        <v>10598.73</v>
      </c>
      <c r="M60" s="89">
        <v>145</v>
      </c>
      <c r="N60" s="89">
        <v>4</v>
      </c>
      <c r="O60" s="89">
        <v>1049</v>
      </c>
      <c r="P60" s="89">
        <v>50</v>
      </c>
      <c r="Q60" s="233">
        <f t="shared" si="14"/>
        <v>0.5714285714285714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2098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188.73</v>
      </c>
      <c r="AH60" s="93"/>
      <c r="AI60" s="93"/>
      <c r="AJ60" s="93"/>
      <c r="AK60" s="93"/>
      <c r="AL60" s="122">
        <f t="shared" si="23"/>
        <v>22.075131612792593</v>
      </c>
      <c r="AM60" s="93">
        <v>0</v>
      </c>
      <c r="AN60" s="94">
        <f t="shared" si="24"/>
        <v>0</v>
      </c>
      <c r="AO60" s="95">
        <f t="shared" si="26"/>
        <v>-210.80513161279259</v>
      </c>
      <c r="AP60" s="96"/>
      <c r="AQ60" s="97">
        <f t="shared" si="7"/>
        <v>0</v>
      </c>
      <c r="AR60" s="98">
        <f t="shared" si="36"/>
        <v>158.19</v>
      </c>
      <c r="AS60" s="98">
        <f t="shared" si="9"/>
        <v>0</v>
      </c>
      <c r="AT60" s="98">
        <f t="shared" si="10"/>
        <v>188.73</v>
      </c>
      <c r="AU60" s="98">
        <f t="shared" si="25"/>
        <v>0</v>
      </c>
      <c r="AV60" s="98">
        <f t="array" ref="AV60">_xlfn.IFS(U60=0,AO60,U60&lt;0,AO60/-U60,U60&gt;0,AO60/U60)</f>
        <v>-210.80513161279259</v>
      </c>
      <c r="AW60" s="234">
        <f t="shared" si="44"/>
        <v>0</v>
      </c>
      <c r="AX60" s="234">
        <f t="shared" si="45"/>
        <v>-1.33260719143304</v>
      </c>
      <c r="AY60" s="99"/>
      <c r="AZ60" s="94">
        <f t="shared" si="13"/>
        <v>-14123.943818057103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484</v>
      </c>
      <c r="F61" s="93">
        <v>2</v>
      </c>
      <c r="G61" s="93" t="s">
        <v>100</v>
      </c>
      <c r="H61" s="93">
        <v>161</v>
      </c>
      <c r="I61" s="93">
        <v>0</v>
      </c>
      <c r="J61" s="93">
        <v>321</v>
      </c>
      <c r="K61" s="93">
        <v>128.94</v>
      </c>
      <c r="L61" s="92">
        <f t="shared" si="43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4"/>
        <v>0.14285714285714285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0</v>
      </c>
      <c r="AH61" s="93"/>
      <c r="AI61" s="93"/>
      <c r="AJ61" s="93"/>
      <c r="AK61" s="93"/>
      <c r="AL61" s="122">
        <f t="shared" si="23"/>
        <v>161.54982680270942</v>
      </c>
      <c r="AM61" s="93">
        <v>0</v>
      </c>
      <c r="AN61" s="94">
        <f t="shared" si="24"/>
        <v>0</v>
      </c>
      <c r="AO61" s="95">
        <f t="shared" si="26"/>
        <v>-161.54982680270942</v>
      </c>
      <c r="AP61" s="96"/>
      <c r="AQ61" s="97">
        <f t="shared" si="7"/>
        <v>0</v>
      </c>
      <c r="AR61" s="98">
        <f t="shared" si="36"/>
        <v>128.94</v>
      </c>
      <c r="AS61" s="98">
        <f t="shared" si="9"/>
        <v>0</v>
      </c>
      <c r="AT61" s="98">
        <f t="shared" si="10"/>
        <v>0</v>
      </c>
      <c r="AU61" s="98">
        <f t="shared" si="25"/>
        <v>0</v>
      </c>
      <c r="AV61" s="98">
        <f t="array" ref="AV61">_xlfn.IFS(U61=0,AO61,U61&lt;0,AO61/-U61,U61&gt;0,AO61/U61)</f>
        <v>-161.54982680270942</v>
      </c>
      <c r="AW61" s="234">
        <f t="shared" si="44"/>
        <v>0</v>
      </c>
      <c r="AX61" s="234">
        <f t="shared" si="45"/>
        <v>-1.2529069862161426</v>
      </c>
      <c r="AY61" s="99"/>
      <c r="AZ61" s="94">
        <f t="shared" si="13"/>
        <v>-78190.116172511363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3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3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3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3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109.16</v>
      </c>
      <c r="AH65" s="93"/>
      <c r="AI65" s="93"/>
      <c r="AJ65" s="93"/>
      <c r="AK65" s="93"/>
      <c r="AL65" s="122">
        <f t="shared" si="23"/>
        <v>1.0034150733087541</v>
      </c>
      <c r="AM65" s="93">
        <v>0</v>
      </c>
      <c r="AN65" s="94">
        <f t="shared" si="24"/>
        <v>0</v>
      </c>
      <c r="AO65" s="95">
        <f t="shared" si="26"/>
        <v>-110.16341507330876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109.16</v>
      </c>
      <c r="AU65" s="98">
        <f t="shared" si="25"/>
        <v>0</v>
      </c>
      <c r="AV65" s="98">
        <f t="array" ref="AV65">_xlfn.IFS(U65=0,AO65,U65&lt;0,AO65/-U65,U65&gt;0,AO65/U65)</f>
        <v>-110.16341507330876</v>
      </c>
      <c r="AW65" s="234">
        <f t="shared" si="44"/>
        <v>0</v>
      </c>
      <c r="AX65" s="234">
        <f t="shared" si="45"/>
        <v>-1.1050598362253863</v>
      </c>
      <c r="AY65" s="99"/>
      <c r="AZ65" s="94">
        <f t="shared" si="13"/>
        <v>-220.32683014661751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3"/>
        <v>194.7</v>
      </c>
      <c r="M66" s="89">
        <v>32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1.0034150733087541</v>
      </c>
      <c r="AM66" s="93">
        <v>0</v>
      </c>
      <c r="AN66" s="94">
        <f t="shared" si="24"/>
        <v>0</v>
      </c>
      <c r="AO66" s="95">
        <f t="shared" si="26"/>
        <v>-1.0034150733087541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-1.0034150733087541</v>
      </c>
      <c r="AW66" s="234">
        <f t="shared" si="44"/>
        <v>0</v>
      </c>
      <c r="AX66" s="234">
        <f t="shared" si="45"/>
        <v>-1.0307294024743237E-2</v>
      </c>
      <c r="AY66" s="99"/>
      <c r="AZ66" s="94">
        <f t="shared" si="13"/>
        <v>-2.0068301466175082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3"/>
        <v>323.39999999999998</v>
      </c>
      <c r="M67" s="89">
        <v>8</v>
      </c>
      <c r="N67" s="89">
        <v>1</v>
      </c>
      <c r="O67" s="89">
        <v>1049</v>
      </c>
      <c r="P67" s="89">
        <v>0</v>
      </c>
      <c r="Q67" s="233">
        <f t="shared" si="14"/>
        <v>0.14285714285714285</v>
      </c>
      <c r="R67" s="92">
        <f t="shared" si="15"/>
        <v>0.14285714285714285</v>
      </c>
      <c r="S67" s="93">
        <v>1</v>
      </c>
      <c r="T67" s="93">
        <v>0</v>
      </c>
      <c r="U67" s="92">
        <f t="shared" si="16"/>
        <v>1</v>
      </c>
      <c r="V67" s="93">
        <v>624</v>
      </c>
      <c r="W67" s="93">
        <v>0</v>
      </c>
      <c r="X67" s="92">
        <f t="shared" si="17"/>
        <v>624</v>
      </c>
      <c r="Y67" s="93">
        <v>1049</v>
      </c>
      <c r="Z67" s="93">
        <v>0</v>
      </c>
      <c r="AA67" s="92">
        <f t="shared" si="18"/>
        <v>1049</v>
      </c>
      <c r="AB67" s="92">
        <f t="shared" si="19"/>
        <v>0</v>
      </c>
      <c r="AC67" s="234">
        <f t="shared" si="20"/>
        <v>4.0464465406434756E-4</v>
      </c>
      <c r="AD67" s="92">
        <f t="shared" si="21"/>
        <v>161.69999999999999</v>
      </c>
      <c r="AE67" s="93">
        <v>394.73</v>
      </c>
      <c r="AF67" s="234">
        <f t="shared" si="22"/>
        <v>0.3762917063870353</v>
      </c>
      <c r="AG67" s="93">
        <v>144.63999999999999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35.630400000000002</v>
      </c>
      <c r="AO67" s="95">
        <f t="shared" si="26"/>
        <v>312.29959999999994</v>
      </c>
      <c r="AP67" s="96"/>
      <c r="AQ67" s="97">
        <f t="shared" si="7"/>
        <v>1049</v>
      </c>
      <c r="AR67" s="98">
        <f t="shared" si="36"/>
        <v>161.69999999999999</v>
      </c>
      <c r="AS67" s="98">
        <f t="shared" si="9"/>
        <v>394.73</v>
      </c>
      <c r="AT67" s="98">
        <f t="shared" si="10"/>
        <v>144.63999999999999</v>
      </c>
      <c r="AU67" s="98">
        <f t="shared" si="25"/>
        <v>0</v>
      </c>
      <c r="AV67" s="98">
        <f t="array" ref="AV67">_xlfn.IFS(U67=0,AO67,U67&lt;0,AO67/-U67,U67&gt;0,AO67/U67)</f>
        <v>312.29959999999994</v>
      </c>
      <c r="AW67" s="234">
        <f t="shared" si="44"/>
        <v>0.29771172545281216</v>
      </c>
      <c r="AX67" s="234">
        <f t="shared" si="45"/>
        <v>1.9313518862090289</v>
      </c>
      <c r="AY67" s="99"/>
      <c r="AZ67" s="94">
        <f t="shared" si="13"/>
        <v>624.59919999999988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3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13</v>
      </c>
      <c r="F69" s="93">
        <v>2</v>
      </c>
      <c r="G69" s="93">
        <v>2</v>
      </c>
      <c r="H69" s="93">
        <v>8</v>
      </c>
      <c r="I69" s="93">
        <v>0</v>
      </c>
      <c r="J69" s="93">
        <v>1</v>
      </c>
      <c r="K69" s="93">
        <v>140.63999999999999</v>
      </c>
      <c r="L69" s="92">
        <f t="shared" si="43"/>
        <v>1828.3199999999997</v>
      </c>
      <c r="M69" s="89">
        <v>172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55"/>
        <v>0</v>
      </c>
      <c r="AG69" s="93">
        <v>97.32</v>
      </c>
      <c r="AH69" s="93"/>
      <c r="AI69" s="93"/>
      <c r="AJ69" s="93"/>
      <c r="AK69" s="93"/>
      <c r="AL69" s="122">
        <f t="shared" si="56"/>
        <v>8.027320586470033</v>
      </c>
      <c r="AM69" s="93">
        <v>0</v>
      </c>
      <c r="AN69" s="94">
        <f t="shared" si="57"/>
        <v>0</v>
      </c>
      <c r="AO69" s="95">
        <f t="shared" ref="AO69:AO103" si="58">AA69-AD69-AE69-AG69-AH69-AI69-AK69-AL69-AN69-AM69</f>
        <v>-105.34732058647003</v>
      </c>
      <c r="AP69" s="96"/>
      <c r="AQ69" s="97">
        <f t="shared" si="7"/>
        <v>0</v>
      </c>
      <c r="AR69" s="98">
        <f t="shared" si="36"/>
        <v>140.63999999999999</v>
      </c>
      <c r="AS69" s="98">
        <f t="shared" si="9"/>
        <v>0</v>
      </c>
      <c r="AT69" s="98">
        <f t="shared" si="10"/>
        <v>97.32</v>
      </c>
      <c r="AU69" s="98">
        <f t="shared" si="25"/>
        <v>0</v>
      </c>
      <c r="AV69" s="98">
        <f t="array" ref="AV69">_xlfn.IFS(U69=0,AO69,U69&lt;0,AO69/-U69,U69&gt;0,AO69/U69)</f>
        <v>-105.34732058647003</v>
      </c>
      <c r="AW69" s="234">
        <f t="shared" si="44"/>
        <v>0</v>
      </c>
      <c r="AX69" s="234">
        <f t="shared" si="45"/>
        <v>-0.74905660257728979</v>
      </c>
      <c r="AY69" s="99"/>
      <c r="AZ69" s="94">
        <f t="shared" si="13"/>
        <v>-1369.5151676241105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7</v>
      </c>
      <c r="F70" s="93">
        <v>3</v>
      </c>
      <c r="G70" s="93" t="s">
        <v>100</v>
      </c>
      <c r="H70" s="93">
        <v>3</v>
      </c>
      <c r="I70" s="93">
        <v>0</v>
      </c>
      <c r="J70" s="93">
        <v>1</v>
      </c>
      <c r="K70" s="93">
        <v>117.24</v>
      </c>
      <c r="L70" s="92">
        <f t="shared" si="43"/>
        <v>820.68</v>
      </c>
      <c r="M70" s="89">
        <v>35</v>
      </c>
      <c r="N70" s="89">
        <v>2</v>
      </c>
      <c r="O70" s="89">
        <v>1048</v>
      </c>
      <c r="P70" s="89">
        <v>0</v>
      </c>
      <c r="Q70" s="233">
        <f t="shared" si="47"/>
        <v>0.2857142857142857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97.32</v>
      </c>
      <c r="AH70" s="93"/>
      <c r="AI70" s="93"/>
      <c r="AJ70" s="93"/>
      <c r="AK70" s="93"/>
      <c r="AL70" s="122">
        <f t="shared" si="56"/>
        <v>3.0102452199262624</v>
      </c>
      <c r="AM70" s="93">
        <v>0</v>
      </c>
      <c r="AN70" s="94">
        <f t="shared" si="57"/>
        <v>0</v>
      </c>
      <c r="AO70" s="95">
        <f t="shared" si="58"/>
        <v>-100.33024521992625</v>
      </c>
      <c r="AP70" s="96"/>
      <c r="AQ70" s="97">
        <f t="shared" si="7"/>
        <v>0</v>
      </c>
      <c r="AR70" s="98">
        <f t="shared" si="36"/>
        <v>117.24</v>
      </c>
      <c r="AS70" s="98">
        <f t="shared" si="9"/>
        <v>0</v>
      </c>
      <c r="AT70" s="98">
        <f t="shared" si="10"/>
        <v>97.32</v>
      </c>
      <c r="AU70" s="98">
        <f t="shared" si="25"/>
        <v>0</v>
      </c>
      <c r="AV70" s="98">
        <f t="array" ref="AV70">_xlfn.IFS(U70=0,AO70,U70&lt;0,AO70/-U70,U70&gt;0,AO70/U70)</f>
        <v>-100.33024521992625</v>
      </c>
      <c r="AW70" s="234">
        <f t="shared" si="44"/>
        <v>0</v>
      </c>
      <c r="AX70" s="234">
        <f t="shared" si="45"/>
        <v>-0.85576804179398036</v>
      </c>
      <c r="AY70" s="99"/>
      <c r="AZ70" s="94">
        <f t="shared" si="13"/>
        <v>-702.31171653948377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14</v>
      </c>
      <c r="F71" s="93">
        <v>7</v>
      </c>
      <c r="G71" s="93">
        <v>4</v>
      </c>
      <c r="H71" s="93">
        <v>2</v>
      </c>
      <c r="I71" s="93">
        <v>0</v>
      </c>
      <c r="J71" s="93">
        <v>1</v>
      </c>
      <c r="K71" s="93">
        <v>123.09</v>
      </c>
      <c r="L71" s="92">
        <f t="shared" si="43"/>
        <v>1723.26</v>
      </c>
      <c r="M71" s="89">
        <v>20</v>
      </c>
      <c r="N71" s="89">
        <v>14</v>
      </c>
      <c r="O71" s="89">
        <v>702</v>
      </c>
      <c r="P71" s="89">
        <v>25</v>
      </c>
      <c r="Q71" s="233">
        <f t="shared" si="47"/>
        <v>2</v>
      </c>
      <c r="R71" s="92">
        <f t="shared" si="48"/>
        <v>0</v>
      </c>
      <c r="S71" s="93">
        <v>0</v>
      </c>
      <c r="T71" s="93">
        <v>0</v>
      </c>
      <c r="U71" s="92">
        <f t="shared" si="49"/>
        <v>0</v>
      </c>
      <c r="V71" s="93">
        <v>0</v>
      </c>
      <c r="W71" s="93">
        <v>0</v>
      </c>
      <c r="X71" s="92">
        <f t="shared" si="50"/>
        <v>0</v>
      </c>
      <c r="Y71" s="93">
        <v>0</v>
      </c>
      <c r="Z71" s="93">
        <v>0</v>
      </c>
      <c r="AA71" s="92">
        <f t="shared" si="51"/>
        <v>0</v>
      </c>
      <c r="AB71" s="92">
        <f t="shared" si="52"/>
        <v>2457</v>
      </c>
      <c r="AC71" s="234">
        <f t="shared" si="53"/>
        <v>0</v>
      </c>
      <c r="AD71" s="92">
        <f t="shared" si="54"/>
        <v>0</v>
      </c>
      <c r="AE71" s="93">
        <v>0</v>
      </c>
      <c r="AF71" s="234">
        <f t="shared" si="55"/>
        <v>0</v>
      </c>
      <c r="AG71" s="93">
        <v>722.68000000000006</v>
      </c>
      <c r="AH71" s="93"/>
      <c r="AI71" s="93"/>
      <c r="AJ71" s="93"/>
      <c r="AK71" s="93"/>
      <c r="AL71" s="122">
        <f t="shared" si="56"/>
        <v>2.0068301466175082</v>
      </c>
      <c r="AM71" s="93">
        <v>0</v>
      </c>
      <c r="AN71" s="94">
        <f t="shared" si="57"/>
        <v>0</v>
      </c>
      <c r="AO71" s="95">
        <f t="shared" si="58"/>
        <v>-724.68683014661758</v>
      </c>
      <c r="AP71" s="96"/>
      <c r="AQ71" s="97">
        <f t="shared" si="7"/>
        <v>0</v>
      </c>
      <c r="AR71" s="98">
        <f t="shared" si="36"/>
        <v>123.09</v>
      </c>
      <c r="AS71" s="98">
        <f t="shared" si="9"/>
        <v>0</v>
      </c>
      <c r="AT71" s="98">
        <f t="shared" si="10"/>
        <v>722.68000000000006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-724.68683014661758</v>
      </c>
      <c r="AW71" s="234">
        <f t="shared" si="44"/>
        <v>0</v>
      </c>
      <c r="AX71" s="234">
        <f t="shared" si="45"/>
        <v>-5.8874549528525275</v>
      </c>
      <c r="AY71" s="99"/>
      <c r="AZ71" s="94">
        <f t="shared" si="13"/>
        <v>-10145.615622052646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5</v>
      </c>
      <c r="F72" s="93">
        <v>4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615.45000000000005</v>
      </c>
      <c r="M72" s="89">
        <v>6</v>
      </c>
      <c r="N72" s="89">
        <v>3</v>
      </c>
      <c r="O72" s="89">
        <v>837</v>
      </c>
      <c r="P72" s="89">
        <v>100</v>
      </c>
      <c r="Q72" s="233">
        <f t="shared" si="47"/>
        <v>0.42857142857142855</v>
      </c>
      <c r="R72" s="92">
        <f t="shared" si="48"/>
        <v>0.42857142857142855</v>
      </c>
      <c r="S72" s="93">
        <v>3</v>
      </c>
      <c r="T72" s="93">
        <v>0</v>
      </c>
      <c r="U72" s="92">
        <f t="shared" si="49"/>
        <v>3</v>
      </c>
      <c r="V72" s="93">
        <v>1531</v>
      </c>
      <c r="W72" s="93">
        <v>0</v>
      </c>
      <c r="X72" s="92">
        <f t="shared" si="50"/>
        <v>1531</v>
      </c>
      <c r="Y72" s="93">
        <v>2460.7799999999997</v>
      </c>
      <c r="Z72" s="93">
        <v>0</v>
      </c>
      <c r="AA72" s="92">
        <f t="shared" si="51"/>
        <v>2460.7799999999997</v>
      </c>
      <c r="AB72" s="92">
        <f t="shared" si="52"/>
        <v>2511</v>
      </c>
      <c r="AC72" s="234">
        <f t="shared" si="53"/>
        <v>9.4922923911197816E-4</v>
      </c>
      <c r="AD72" s="92">
        <f t="shared" si="54"/>
        <v>369.27</v>
      </c>
      <c r="AE72" s="93">
        <v>924.77999999999975</v>
      </c>
      <c r="AF72" s="234">
        <f t="shared" si="55"/>
        <v>0.37580767073854626</v>
      </c>
      <c r="AG72" s="93">
        <v>255.12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87.420099999999991</v>
      </c>
      <c r="AO72" s="95">
        <f t="shared" si="58"/>
        <v>824.18990000000008</v>
      </c>
      <c r="AP72" s="96"/>
      <c r="AQ72" s="97">
        <f t="shared" si="7"/>
        <v>820.25999999999988</v>
      </c>
      <c r="AR72" s="98">
        <f t="shared" si="36"/>
        <v>123.09</v>
      </c>
      <c r="AS72" s="98">
        <f t="shared" si="9"/>
        <v>308.25999999999993</v>
      </c>
      <c r="AT72" s="98">
        <f t="shared" si="10"/>
        <v>85.04</v>
      </c>
      <c r="AU72" s="98">
        <f t="shared" si="59"/>
        <v>0</v>
      </c>
      <c r="AV72" s="98">
        <f t="array" ref="AV72">_xlfn.IFS(U72=0,AO72,U72&lt;0,AO72/-U72,U72&gt;0,AO72/U72)</f>
        <v>274.72996666666671</v>
      </c>
      <c r="AW72" s="234">
        <f t="shared" si="44"/>
        <v>0.33493034728825832</v>
      </c>
      <c r="AX72" s="234">
        <f t="shared" si="45"/>
        <v>2.2319438351341838</v>
      </c>
      <c r="AY72" s="99"/>
      <c r="AZ72" s="94">
        <f t="shared" si="13"/>
        <v>1373.6498333333336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7</v>
      </c>
      <c r="F73" s="93" t="s">
        <v>100</v>
      </c>
      <c r="G73" s="93">
        <v>3</v>
      </c>
      <c r="H73" s="93">
        <v>3</v>
      </c>
      <c r="I73" s="93">
        <v>0</v>
      </c>
      <c r="J73" s="93">
        <v>1</v>
      </c>
      <c r="K73" s="93">
        <v>123.09</v>
      </c>
      <c r="L73" s="92">
        <f t="shared" si="43"/>
        <v>861.63</v>
      </c>
      <c r="M73" s="89">
        <v>7</v>
      </c>
      <c r="N73" s="89">
        <v>2</v>
      </c>
      <c r="O73" s="89">
        <v>807</v>
      </c>
      <c r="P73" s="89">
        <v>50</v>
      </c>
      <c r="Q73" s="233">
        <f t="shared" si="47"/>
        <v>0.2857142857142857</v>
      </c>
      <c r="R73" s="92">
        <f t="shared" si="48"/>
        <v>0.14285714285714285</v>
      </c>
      <c r="S73" s="93">
        <v>2</v>
      </c>
      <c r="T73" s="93">
        <v>-1</v>
      </c>
      <c r="U73" s="92">
        <f t="shared" si="49"/>
        <v>1</v>
      </c>
      <c r="V73" s="93">
        <v>1058</v>
      </c>
      <c r="W73" s="93">
        <v>-527</v>
      </c>
      <c r="X73" s="92">
        <f t="shared" si="50"/>
        <v>531</v>
      </c>
      <c r="Y73" s="93">
        <v>1614</v>
      </c>
      <c r="Z73" s="93">
        <v>-807</v>
      </c>
      <c r="AA73" s="92">
        <f t="shared" si="51"/>
        <v>807</v>
      </c>
      <c r="AB73" s="92">
        <f t="shared" si="52"/>
        <v>807</v>
      </c>
      <c r="AC73" s="234">
        <f t="shared" si="53"/>
        <v>3.1129479106761532E-4</v>
      </c>
      <c r="AD73" s="92">
        <f t="shared" si="54"/>
        <v>123.09</v>
      </c>
      <c r="AE73" s="93">
        <v>305.7</v>
      </c>
      <c r="AF73" s="234">
        <f t="shared" si="55"/>
        <v>0.37881040892193307</v>
      </c>
      <c r="AG73" s="93">
        <v>778.89</v>
      </c>
      <c r="AH73" s="93"/>
      <c r="AI73" s="93"/>
      <c r="AJ73" s="93"/>
      <c r="AK73" s="93"/>
      <c r="AL73" s="122">
        <f t="shared" si="56"/>
        <v>3.0102452199262624</v>
      </c>
      <c r="AM73" s="93">
        <v>0</v>
      </c>
      <c r="AN73" s="94">
        <f t="shared" si="57"/>
        <v>30.3201</v>
      </c>
      <c r="AO73" s="95">
        <f t="shared" si="58"/>
        <v>-434.01034521992631</v>
      </c>
      <c r="AP73" s="96"/>
      <c r="AQ73" s="97">
        <f t="shared" si="7"/>
        <v>807</v>
      </c>
      <c r="AR73" s="98">
        <f t="shared" si="36"/>
        <v>123.09</v>
      </c>
      <c r="AS73" s="98">
        <f t="shared" si="9"/>
        <v>305.7</v>
      </c>
      <c r="AT73" s="98">
        <f t="shared" si="10"/>
        <v>389.44499999999999</v>
      </c>
      <c r="AU73" s="98">
        <f t="shared" si="59"/>
        <v>0</v>
      </c>
      <c r="AV73" s="98">
        <f t="array" ref="AV73">_xlfn.IFS(U73=0,AO73,U73&lt;0,AO73/-U73,U73&gt;0,AO73/U73)</f>
        <v>-434.01034521992631</v>
      </c>
      <c r="AW73" s="234">
        <f t="shared" si="44"/>
        <v>-0.53780711923163116</v>
      </c>
      <c r="AX73" s="234">
        <f t="shared" si="45"/>
        <v>-3.5259594217233432</v>
      </c>
      <c r="AY73" s="99"/>
      <c r="AZ73" s="94">
        <f t="shared" si="13"/>
        <v>-3038.072416539484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269.58</v>
      </c>
      <c r="M74" s="89">
        <v>1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110.9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-110.9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110.9</v>
      </c>
      <c r="AU74" s="98">
        <f t="shared" si="59"/>
        <v>0</v>
      </c>
      <c r="AV74" s="98">
        <f t="array" ref="AV74">_xlfn.IFS(U74=0,AO74,U74&lt;0,AO74/-U74,U74&gt;0,AO74/U74)</f>
        <v>-110.9</v>
      </c>
      <c r="AW74" s="234">
        <f t="shared" si="44"/>
        <v>0</v>
      </c>
      <c r="AX74" s="234">
        <f t="shared" si="45"/>
        <v>-0.82276133244305971</v>
      </c>
      <c r="AY74" s="99"/>
      <c r="AZ74" s="94">
        <f t="shared" si="13"/>
        <v>-221.8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32</v>
      </c>
      <c r="F75" s="93">
        <v>13</v>
      </c>
      <c r="G75" s="93">
        <v>1</v>
      </c>
      <c r="H75" s="93">
        <v>17</v>
      </c>
      <c r="I75" s="93">
        <v>0</v>
      </c>
      <c r="J75" s="93">
        <v>1</v>
      </c>
      <c r="K75" s="93">
        <v>134.79</v>
      </c>
      <c r="L75" s="92">
        <f t="shared" si="43"/>
        <v>4313.28</v>
      </c>
      <c r="M75" s="89">
        <v>22</v>
      </c>
      <c r="N75" s="89">
        <v>13</v>
      </c>
      <c r="O75" s="89">
        <v>763</v>
      </c>
      <c r="P75" s="89">
        <v>50</v>
      </c>
      <c r="Q75" s="233">
        <f t="shared" si="47"/>
        <v>1.8571428571428572</v>
      </c>
      <c r="R75" s="92">
        <f t="shared" si="48"/>
        <v>0.14285714285714285</v>
      </c>
      <c r="S75" s="93">
        <v>1</v>
      </c>
      <c r="T75" s="93">
        <v>0</v>
      </c>
      <c r="U75" s="92">
        <f t="shared" si="49"/>
        <v>1</v>
      </c>
      <c r="V75" s="93">
        <v>491</v>
      </c>
      <c r="W75" s="93">
        <v>0</v>
      </c>
      <c r="X75" s="92">
        <f t="shared" si="50"/>
        <v>491</v>
      </c>
      <c r="Y75" s="93">
        <v>763</v>
      </c>
      <c r="Z75" s="93">
        <v>0</v>
      </c>
      <c r="AA75" s="92">
        <f t="shared" si="51"/>
        <v>763</v>
      </c>
      <c r="AB75" s="92">
        <f t="shared" si="52"/>
        <v>4959.5</v>
      </c>
      <c r="AC75" s="234">
        <f t="shared" si="53"/>
        <v>2.9432208870457311E-4</v>
      </c>
      <c r="AD75" s="92">
        <f t="shared" si="54"/>
        <v>134.79</v>
      </c>
      <c r="AE75" s="93">
        <v>288.58999999999997</v>
      </c>
      <c r="AF75" s="234">
        <f t="shared" si="55"/>
        <v>0.37823066841415465</v>
      </c>
      <c r="AG75" s="93">
        <v>339.28</v>
      </c>
      <c r="AH75" s="93"/>
      <c r="AI75" s="93"/>
      <c r="AJ75" s="93"/>
      <c r="AK75" s="93"/>
      <c r="AL75" s="122">
        <f t="shared" si="56"/>
        <v>17.058056246248821</v>
      </c>
      <c r="AM75" s="93">
        <v>0</v>
      </c>
      <c r="AN75" s="94">
        <f t="shared" si="57"/>
        <v>28.036099999999998</v>
      </c>
      <c r="AO75" s="95">
        <f t="shared" si="58"/>
        <v>-44.754156246248726</v>
      </c>
      <c r="AP75" s="96"/>
      <c r="AQ75" s="97">
        <f t="shared" si="7"/>
        <v>763</v>
      </c>
      <c r="AR75" s="98">
        <f t="shared" si="36"/>
        <v>134.79</v>
      </c>
      <c r="AS75" s="98">
        <f t="shared" si="9"/>
        <v>288.58999999999997</v>
      </c>
      <c r="AT75" s="98">
        <f t="shared" si="10"/>
        <v>339.28</v>
      </c>
      <c r="AU75" s="98">
        <f t="shared" si="59"/>
        <v>0</v>
      </c>
      <c r="AV75" s="98">
        <f t="array" ref="AV75">_xlfn.IFS(U75=0,AO75,U75&lt;0,AO75/-U75,U75&gt;0,AO75/U75)</f>
        <v>-44.754156246248726</v>
      </c>
      <c r="AW75" s="234">
        <f t="shared" si="44"/>
        <v>-5.8655512773589422E-2</v>
      </c>
      <c r="AX75" s="234">
        <f t="shared" si="45"/>
        <v>-0.33202875766932805</v>
      </c>
      <c r="AY75" s="99"/>
      <c r="AZ75" s="94">
        <f t="shared" si="13"/>
        <v>-1432.1329998799592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48</v>
      </c>
      <c r="F76" s="93">
        <v>1</v>
      </c>
      <c r="G76" s="93" t="s">
        <v>100</v>
      </c>
      <c r="H76" s="93">
        <v>46</v>
      </c>
      <c r="I76" s="93">
        <v>0</v>
      </c>
      <c r="J76" s="93">
        <v>1</v>
      </c>
      <c r="K76" s="93">
        <v>123.09</v>
      </c>
      <c r="L76" s="92">
        <f t="shared" si="43"/>
        <v>5908.32</v>
      </c>
      <c r="M76" s="89">
        <v>692</v>
      </c>
      <c r="N76" s="89">
        <v>2</v>
      </c>
      <c r="O76" s="89">
        <v>1050</v>
      </c>
      <c r="P76" s="89">
        <v>100</v>
      </c>
      <c r="Q76" s="233">
        <f t="shared" si="47"/>
        <v>0.2857142857142857</v>
      </c>
      <c r="R76" s="92">
        <f t="shared" si="48"/>
        <v>0.2857142857142857</v>
      </c>
      <c r="S76" s="93">
        <v>2</v>
      </c>
      <c r="T76" s="93">
        <v>0</v>
      </c>
      <c r="U76" s="92">
        <f t="shared" si="49"/>
        <v>2</v>
      </c>
      <c r="V76" s="93">
        <v>1312</v>
      </c>
      <c r="W76" s="93">
        <v>0</v>
      </c>
      <c r="X76" s="92">
        <f t="shared" si="50"/>
        <v>1312</v>
      </c>
      <c r="Y76" s="93">
        <v>2100</v>
      </c>
      <c r="Z76" s="93">
        <v>0</v>
      </c>
      <c r="AA76" s="92">
        <f t="shared" si="51"/>
        <v>2100</v>
      </c>
      <c r="AB76" s="92">
        <f t="shared" si="52"/>
        <v>2100</v>
      </c>
      <c r="AC76" s="234">
        <f t="shared" si="53"/>
        <v>8.1006079459974248E-4</v>
      </c>
      <c r="AD76" s="92">
        <f t="shared" si="54"/>
        <v>246.18</v>
      </c>
      <c r="AE76" s="93">
        <v>774.88999999999987</v>
      </c>
      <c r="AF76" s="234">
        <f t="shared" si="55"/>
        <v>0.36899523809523804</v>
      </c>
      <c r="AG76" s="93">
        <v>94.64</v>
      </c>
      <c r="AH76" s="93"/>
      <c r="AI76" s="93"/>
      <c r="AJ76" s="93"/>
      <c r="AK76" s="93"/>
      <c r="AL76" s="122">
        <f t="shared" si="56"/>
        <v>46.157093372202695</v>
      </c>
      <c r="AM76" s="93">
        <v>0</v>
      </c>
      <c r="AN76" s="94">
        <f t="shared" si="57"/>
        <v>74.915199999999999</v>
      </c>
      <c r="AO76" s="95">
        <f t="shared" si="58"/>
        <v>863.21770662779738</v>
      </c>
      <c r="AP76" s="96"/>
      <c r="AQ76" s="97">
        <f t="shared" si="7"/>
        <v>1050</v>
      </c>
      <c r="AR76" s="98">
        <f t="shared" si="36"/>
        <v>123.09</v>
      </c>
      <c r="AS76" s="98">
        <f t="shared" si="9"/>
        <v>387.44499999999994</v>
      </c>
      <c r="AT76" s="98">
        <f t="shared" si="10"/>
        <v>47.32</v>
      </c>
      <c r="AU76" s="98">
        <f t="shared" si="59"/>
        <v>0</v>
      </c>
      <c r="AV76" s="98">
        <f t="array" ref="AV76">_xlfn.IFS(U76=0,AO76,U76&lt;0,AO76/-U76,U76&gt;0,AO76/U76)</f>
        <v>431.60885331389869</v>
      </c>
      <c r="AW76" s="234">
        <f t="shared" si="44"/>
        <v>0.41105605077514162</v>
      </c>
      <c r="AX76" s="234">
        <f t="shared" si="45"/>
        <v>3.5064493729295529</v>
      </c>
      <c r="AY76" s="99"/>
      <c r="AZ76" s="94">
        <f t="shared" si="13"/>
        <v>20717.224959067138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42</v>
      </c>
      <c r="F77" s="93">
        <v>2</v>
      </c>
      <c r="G77" s="93" t="s">
        <v>100</v>
      </c>
      <c r="H77" s="93">
        <v>36</v>
      </c>
      <c r="I77" s="93">
        <v>0</v>
      </c>
      <c r="J77" s="93">
        <v>4</v>
      </c>
      <c r="K77" s="93">
        <v>123.09</v>
      </c>
      <c r="L77" s="92">
        <f t="shared" si="43"/>
        <v>5169.78</v>
      </c>
      <c r="M77" s="89">
        <v>383</v>
      </c>
      <c r="N77" s="89">
        <v>2</v>
      </c>
      <c r="O77" s="89">
        <v>1150</v>
      </c>
      <c r="P77" s="89">
        <v>0</v>
      </c>
      <c r="Q77" s="233">
        <f t="shared" si="47"/>
        <v>0.2857142857142857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696</v>
      </c>
      <c r="W77" s="93">
        <v>0</v>
      </c>
      <c r="X77" s="92">
        <f t="shared" si="50"/>
        <v>696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0</v>
      </c>
      <c r="AC77" s="234">
        <f t="shared" si="53"/>
        <v>4.4360472085223994E-4</v>
      </c>
      <c r="AD77" s="92">
        <f t="shared" si="54"/>
        <v>123.09</v>
      </c>
      <c r="AE77" s="93">
        <v>433.22</v>
      </c>
      <c r="AF77" s="234">
        <f t="shared" si="55"/>
        <v>0.3767130434782609</v>
      </c>
      <c r="AG77" s="93">
        <v>59.16</v>
      </c>
      <c r="AH77" s="93"/>
      <c r="AI77" s="93"/>
      <c r="AJ77" s="93"/>
      <c r="AK77" s="93"/>
      <c r="AL77" s="122">
        <f t="shared" si="56"/>
        <v>36.122942639115152</v>
      </c>
      <c r="AM77" s="93">
        <v>0</v>
      </c>
      <c r="AN77" s="94">
        <f t="shared" si="57"/>
        <v>39.741599999999998</v>
      </c>
      <c r="AO77" s="95">
        <f t="shared" si="58"/>
        <v>458.66545736088494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433.22</v>
      </c>
      <c r="AT77" s="98">
        <f t="shared" si="10"/>
        <v>59.16</v>
      </c>
      <c r="AU77" s="98">
        <f t="shared" si="59"/>
        <v>0</v>
      </c>
      <c r="AV77" s="98">
        <f t="array" ref="AV77">_xlfn.IFS(U77=0,AO77,U77&lt;0,AO77/-U77,U77&gt;0,AO77/U77)</f>
        <v>458.66545736088494</v>
      </c>
      <c r="AW77" s="234">
        <f t="shared" si="44"/>
        <v>0.39883952813989992</v>
      </c>
      <c r="AX77" s="234">
        <f t="shared" si="45"/>
        <v>3.7262609258338202</v>
      </c>
      <c r="AY77" s="99"/>
      <c r="AZ77" s="94">
        <f t="shared" si="13"/>
        <v>19263.949209157166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25</v>
      </c>
      <c r="F78" s="93">
        <v>7</v>
      </c>
      <c r="G78" s="93">
        <v>1</v>
      </c>
      <c r="H78" s="93">
        <v>16</v>
      </c>
      <c r="I78" s="93">
        <v>0</v>
      </c>
      <c r="J78" s="93">
        <v>1</v>
      </c>
      <c r="K78" s="93">
        <v>123.09</v>
      </c>
      <c r="L78" s="92">
        <f t="shared" si="43"/>
        <v>3077.25</v>
      </c>
      <c r="M78" s="89">
        <v>83</v>
      </c>
      <c r="N78" s="89">
        <v>3</v>
      </c>
      <c r="O78" s="89">
        <v>1000</v>
      </c>
      <c r="P78" s="89">
        <v>0</v>
      </c>
      <c r="Q78" s="233">
        <f t="shared" si="47"/>
        <v>0.42857142857142855</v>
      </c>
      <c r="R78" s="92">
        <f t="shared" si="48"/>
        <v>0.14285714285714285</v>
      </c>
      <c r="S78" s="93">
        <v>1</v>
      </c>
      <c r="T78" s="93">
        <v>0</v>
      </c>
      <c r="U78" s="92">
        <f t="shared" si="49"/>
        <v>1</v>
      </c>
      <c r="V78" s="93">
        <v>606</v>
      </c>
      <c r="W78" s="93">
        <v>0</v>
      </c>
      <c r="X78" s="92">
        <f t="shared" si="50"/>
        <v>606</v>
      </c>
      <c r="Y78" s="93">
        <v>1000</v>
      </c>
      <c r="Z78" s="93">
        <v>0</v>
      </c>
      <c r="AA78" s="92">
        <f t="shared" si="51"/>
        <v>1000</v>
      </c>
      <c r="AB78" s="92">
        <f t="shared" si="52"/>
        <v>0</v>
      </c>
      <c r="AC78" s="234">
        <f t="shared" si="53"/>
        <v>3.8574323552368689E-4</v>
      </c>
      <c r="AD78" s="92">
        <f t="shared" si="54"/>
        <v>123.09</v>
      </c>
      <c r="AE78" s="93">
        <v>376.74</v>
      </c>
      <c r="AF78" s="234">
        <f t="shared" si="55"/>
        <v>0.37674000000000002</v>
      </c>
      <c r="AG78" s="93">
        <v>265.64</v>
      </c>
      <c r="AH78" s="93"/>
      <c r="AI78" s="93">
        <v>910</v>
      </c>
      <c r="AJ78" s="93"/>
      <c r="AK78" s="93"/>
      <c r="AL78" s="122">
        <f t="shared" si="56"/>
        <v>16.054641172940066</v>
      </c>
      <c r="AM78" s="93">
        <v>0</v>
      </c>
      <c r="AN78" s="94">
        <f t="shared" si="57"/>
        <v>34.602599999999995</v>
      </c>
      <c r="AO78" s="95">
        <f t="shared" si="58"/>
        <v>-726.1272411729401</v>
      </c>
      <c r="AP78" s="96"/>
      <c r="AQ78" s="97">
        <f t="shared" si="7"/>
        <v>1000</v>
      </c>
      <c r="AR78" s="98">
        <f t="shared" si="36"/>
        <v>123.09</v>
      </c>
      <c r="AS78" s="98">
        <f t="shared" si="9"/>
        <v>376.74</v>
      </c>
      <c r="AT78" s="98">
        <f t="shared" si="10"/>
        <v>265.64</v>
      </c>
      <c r="AU78" s="98">
        <f t="shared" si="59"/>
        <v>910</v>
      </c>
      <c r="AV78" s="98">
        <f t="array" ref="AV78">_xlfn.IFS(U78=0,AO78,U78&lt;0,AO78/-U78,U78&gt;0,AO78/U78)</f>
        <v>-726.1272411729401</v>
      </c>
      <c r="AW78" s="234">
        <f t="shared" si="44"/>
        <v>-0.72612724117294014</v>
      </c>
      <c r="AX78" s="234">
        <f t="shared" si="45"/>
        <v>-5.899157049093672</v>
      </c>
      <c r="AY78" s="99"/>
      <c r="AZ78" s="94">
        <f t="shared" si="13"/>
        <v>-18153.181029323503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50</v>
      </c>
      <c r="F79" s="93">
        <v>1</v>
      </c>
      <c r="G79" s="93">
        <v>1</v>
      </c>
      <c r="H79" s="93">
        <v>47</v>
      </c>
      <c r="I79" s="93">
        <v>0</v>
      </c>
      <c r="J79" s="93">
        <v>1</v>
      </c>
      <c r="K79" s="93">
        <v>164.04</v>
      </c>
      <c r="L79" s="92">
        <f t="shared" si="43"/>
        <v>8202</v>
      </c>
      <c r="M79" s="89">
        <v>999</v>
      </c>
      <c r="N79" s="89">
        <v>2</v>
      </c>
      <c r="O79" s="89">
        <v>1500</v>
      </c>
      <c r="P79" s="89">
        <v>0</v>
      </c>
      <c r="Q79" s="233">
        <f t="shared" si="47"/>
        <v>0.2857142857142857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315.64</v>
      </c>
      <c r="AH79" s="93"/>
      <c r="AI79" s="93"/>
      <c r="AJ79" s="93"/>
      <c r="AK79" s="93"/>
      <c r="AL79" s="122">
        <f t="shared" si="56"/>
        <v>47.160508445511446</v>
      </c>
      <c r="AM79" s="93">
        <v>0</v>
      </c>
      <c r="AN79" s="94">
        <f t="shared" si="57"/>
        <v>0</v>
      </c>
      <c r="AO79" s="95">
        <f t="shared" si="58"/>
        <v>-362.80050844551141</v>
      </c>
      <c r="AP79" s="96"/>
      <c r="AQ79" s="97">
        <f t="shared" si="7"/>
        <v>0</v>
      </c>
      <c r="AR79" s="98">
        <f t="shared" si="36"/>
        <v>164.04</v>
      </c>
      <c r="AS79" s="98">
        <f t="shared" si="9"/>
        <v>0</v>
      </c>
      <c r="AT79" s="98">
        <f t="shared" si="10"/>
        <v>315.64</v>
      </c>
      <c r="AU79" s="98">
        <f t="shared" si="59"/>
        <v>0</v>
      </c>
      <c r="AV79" s="98">
        <f t="array" ref="AV79">_xlfn.IFS(U79=0,AO79,U79&lt;0,AO79/-U79,U79&gt;0,AO79/U79)</f>
        <v>-362.80050844551141</v>
      </c>
      <c r="AW79" s="234">
        <f t="shared" si="44"/>
        <v>0</v>
      </c>
      <c r="AX79" s="234">
        <f t="shared" si="45"/>
        <v>-2.2116587932547636</v>
      </c>
      <c r="AY79" s="99"/>
      <c r="AZ79" s="94">
        <f t="shared" si="13"/>
        <v>-18140.025422275572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42</v>
      </c>
      <c r="F80" s="93">
        <v>8</v>
      </c>
      <c r="G80" s="93">
        <v>1</v>
      </c>
      <c r="H80" s="93">
        <v>32</v>
      </c>
      <c r="I80" s="93">
        <v>0</v>
      </c>
      <c r="J80" s="93">
        <v>1</v>
      </c>
      <c r="K80" s="93">
        <v>164.04</v>
      </c>
      <c r="L80" s="92">
        <f t="shared" si="43"/>
        <v>6889.6799999999994</v>
      </c>
      <c r="M80" s="89">
        <v>75</v>
      </c>
      <c r="N80" s="89">
        <v>12</v>
      </c>
      <c r="O80" s="89">
        <v>987</v>
      </c>
      <c r="P80" s="89">
        <v>17</v>
      </c>
      <c r="Q80" s="233">
        <f t="shared" si="47"/>
        <v>1.7142857142857142</v>
      </c>
      <c r="R80" s="92">
        <f t="shared" si="48"/>
        <v>0.2857142857142857</v>
      </c>
      <c r="S80" s="93">
        <v>2</v>
      </c>
      <c r="T80" s="93">
        <v>0</v>
      </c>
      <c r="U80" s="92">
        <f t="shared" si="49"/>
        <v>2</v>
      </c>
      <c r="V80" s="93">
        <v>1462.78</v>
      </c>
      <c r="W80" s="93">
        <v>0</v>
      </c>
      <c r="X80" s="92">
        <f t="shared" si="50"/>
        <v>1462.78</v>
      </c>
      <c r="Y80" s="93">
        <v>1986.25</v>
      </c>
      <c r="Z80" s="93">
        <v>0</v>
      </c>
      <c r="AA80" s="92">
        <f t="shared" si="51"/>
        <v>1986.25</v>
      </c>
      <c r="AB80" s="92">
        <f t="shared" si="52"/>
        <v>2013.48</v>
      </c>
      <c r="AC80" s="234">
        <f t="shared" si="53"/>
        <v>7.661825015589231E-4</v>
      </c>
      <c r="AD80" s="92">
        <f t="shared" si="54"/>
        <v>328.08</v>
      </c>
      <c r="AE80" s="93">
        <v>738.57999999999993</v>
      </c>
      <c r="AF80" s="234">
        <f t="shared" si="55"/>
        <v>0.37184644430459407</v>
      </c>
      <c r="AG80" s="93">
        <v>873.55999999999983</v>
      </c>
      <c r="AH80" s="93"/>
      <c r="AI80" s="93"/>
      <c r="AJ80" s="93"/>
      <c r="AK80" s="93"/>
      <c r="AL80" s="122">
        <f t="shared" si="56"/>
        <v>32.109282345880132</v>
      </c>
      <c r="AM80" s="93">
        <v>0</v>
      </c>
      <c r="AN80" s="94">
        <f t="shared" si="57"/>
        <v>83.524737999999999</v>
      </c>
      <c r="AO80" s="95">
        <f t="shared" si="58"/>
        <v>-69.604020345879817</v>
      </c>
      <c r="AP80" s="96"/>
      <c r="AQ80" s="97">
        <f t="shared" si="7"/>
        <v>993.125</v>
      </c>
      <c r="AR80" s="98">
        <f t="shared" si="36"/>
        <v>164.04</v>
      </c>
      <c r="AS80" s="98">
        <f t="shared" si="9"/>
        <v>369.28999999999996</v>
      </c>
      <c r="AT80" s="98">
        <f t="shared" si="10"/>
        <v>436.77999999999992</v>
      </c>
      <c r="AU80" s="98">
        <f t="shared" si="59"/>
        <v>0</v>
      </c>
      <c r="AV80" s="98">
        <f t="array" ref="AV80">_xlfn.IFS(U80=0,AO80,U80&lt;0,AO80/-U80,U80&gt;0,AO80/U80)</f>
        <v>-34.802010172939909</v>
      </c>
      <c r="AW80" s="234">
        <f t="shared" si="44"/>
        <v>-3.5042930318882226E-2</v>
      </c>
      <c r="AX80" s="234">
        <f t="shared" si="45"/>
        <v>-0.21215563382674904</v>
      </c>
      <c r="AY80" s="99"/>
      <c r="AZ80" s="94">
        <f t="shared" si="13"/>
        <v>-1461.6844272634762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29</v>
      </c>
      <c r="F81" s="93">
        <v>5</v>
      </c>
      <c r="G81" s="93">
        <v>4</v>
      </c>
      <c r="H81" s="93">
        <v>19</v>
      </c>
      <c r="I81" s="93">
        <v>0</v>
      </c>
      <c r="J81" s="93">
        <v>1</v>
      </c>
      <c r="K81" s="93">
        <v>128.94</v>
      </c>
      <c r="L81" s="92">
        <f t="shared" si="43"/>
        <v>3739.2599999999998</v>
      </c>
      <c r="M81" s="89">
        <v>31</v>
      </c>
      <c r="N81" s="89">
        <v>7</v>
      </c>
      <c r="O81" s="89">
        <v>1167</v>
      </c>
      <c r="P81" s="89">
        <v>0</v>
      </c>
      <c r="Q81" s="233">
        <f t="shared" si="47"/>
        <v>1</v>
      </c>
      <c r="R81" s="92">
        <f t="shared" si="48"/>
        <v>0.5714285714285714</v>
      </c>
      <c r="S81" s="93">
        <v>4</v>
      </c>
      <c r="T81" s="93">
        <v>0</v>
      </c>
      <c r="U81" s="92">
        <f t="shared" si="49"/>
        <v>4</v>
      </c>
      <c r="V81" s="93">
        <v>3014</v>
      </c>
      <c r="W81" s="93">
        <v>0</v>
      </c>
      <c r="X81" s="92">
        <f t="shared" si="50"/>
        <v>3014</v>
      </c>
      <c r="Y81" s="93">
        <v>4668</v>
      </c>
      <c r="Z81" s="93">
        <v>0</v>
      </c>
      <c r="AA81" s="92">
        <f t="shared" si="51"/>
        <v>4668</v>
      </c>
      <c r="AB81" s="92">
        <f t="shared" si="52"/>
        <v>0</v>
      </c>
      <c r="AC81" s="234">
        <f t="shared" si="53"/>
        <v>1.8006494234245704E-3</v>
      </c>
      <c r="AD81" s="92">
        <f t="shared" si="54"/>
        <v>515.76</v>
      </c>
      <c r="AE81" s="93">
        <v>1779.3999999999996</v>
      </c>
      <c r="AF81" s="234">
        <f t="shared" si="55"/>
        <v>0.38119108826049691</v>
      </c>
      <c r="AG81" s="93">
        <v>829.44999999999993</v>
      </c>
      <c r="AH81" s="93">
        <v>655</v>
      </c>
      <c r="AI81" s="93">
        <v>1169</v>
      </c>
      <c r="AJ81" s="93"/>
      <c r="AK81" s="93"/>
      <c r="AL81" s="122">
        <f t="shared" si="56"/>
        <v>19.064886392866327</v>
      </c>
      <c r="AM81" s="93">
        <v>0</v>
      </c>
      <c r="AN81" s="94">
        <f t="shared" si="57"/>
        <v>172.0994</v>
      </c>
      <c r="AO81" s="95">
        <f t="shared" si="58"/>
        <v>-471.77428639286603</v>
      </c>
      <c r="AP81" s="96"/>
      <c r="AQ81" s="97">
        <f t="shared" si="7"/>
        <v>1167</v>
      </c>
      <c r="AR81" s="98">
        <f t="shared" si="36"/>
        <v>128.94</v>
      </c>
      <c r="AS81" s="98">
        <f t="shared" si="9"/>
        <v>444.84999999999991</v>
      </c>
      <c r="AT81" s="98">
        <f t="shared" si="10"/>
        <v>207.36249999999998</v>
      </c>
      <c r="AU81" s="98">
        <f t="shared" si="59"/>
        <v>456</v>
      </c>
      <c r="AV81" s="98">
        <f t="array" ref="AV81">_xlfn.IFS(U81=0,AO81,U81&lt;0,AO81/-U81,U81&gt;0,AO81/U81)</f>
        <v>-117.94357159821651</v>
      </c>
      <c r="AW81" s="234">
        <f t="shared" si="44"/>
        <v>-0.1010656140515994</v>
      </c>
      <c r="AX81" s="234">
        <f t="shared" si="45"/>
        <v>-0.91471670232834268</v>
      </c>
      <c r="AY81" s="99"/>
      <c r="AZ81" s="94">
        <f t="shared" si="13"/>
        <v>-3420.3635763482789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48</v>
      </c>
      <c r="F82" s="93" t="s">
        <v>100</v>
      </c>
      <c r="G82" s="93">
        <v>1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3"/>
        <v>6189.12</v>
      </c>
      <c r="M82" s="89">
        <v>713</v>
      </c>
      <c r="N82" s="89">
        <v>2</v>
      </c>
      <c r="O82" s="89">
        <v>1174</v>
      </c>
      <c r="P82" s="89">
        <v>50</v>
      </c>
      <c r="Q82" s="233">
        <f t="shared" si="47"/>
        <v>0.2857142857142857</v>
      </c>
      <c r="R82" s="92">
        <f t="shared" si="48"/>
        <v>0.14285714285714285</v>
      </c>
      <c r="S82" s="93">
        <v>1</v>
      </c>
      <c r="T82" s="93">
        <v>0</v>
      </c>
      <c r="U82" s="92">
        <f t="shared" si="49"/>
        <v>1</v>
      </c>
      <c r="V82" s="93">
        <v>739</v>
      </c>
      <c r="W82" s="93">
        <v>0</v>
      </c>
      <c r="X82" s="92">
        <f t="shared" si="50"/>
        <v>739</v>
      </c>
      <c r="Y82" s="93">
        <v>1151</v>
      </c>
      <c r="Z82" s="93">
        <v>0</v>
      </c>
      <c r="AA82" s="92">
        <f t="shared" si="51"/>
        <v>1151</v>
      </c>
      <c r="AB82" s="92">
        <f t="shared" si="52"/>
        <v>1174</v>
      </c>
      <c r="AC82" s="234">
        <f t="shared" si="53"/>
        <v>4.4399046408776367E-4</v>
      </c>
      <c r="AD82" s="92">
        <f t="shared" si="54"/>
        <v>128.94</v>
      </c>
      <c r="AE82" s="93">
        <v>408.67999999999995</v>
      </c>
      <c r="AF82" s="234">
        <f t="shared" si="55"/>
        <v>0.35506516072980016</v>
      </c>
      <c r="AG82" s="93">
        <v>59.16</v>
      </c>
      <c r="AH82" s="93"/>
      <c r="AI82" s="93"/>
      <c r="AJ82" s="93"/>
      <c r="AK82" s="93"/>
      <c r="AL82" s="122">
        <f t="shared" si="56"/>
        <v>46.157093372202695</v>
      </c>
      <c r="AM82" s="93">
        <v>0</v>
      </c>
      <c r="AN82" s="94">
        <f t="shared" si="57"/>
        <v>42.196899999999999</v>
      </c>
      <c r="AO82" s="95">
        <f t="shared" si="58"/>
        <v>465.86600662779733</v>
      </c>
      <c r="AP82" s="96"/>
      <c r="AQ82" s="97">
        <f t="shared" si="7"/>
        <v>1151</v>
      </c>
      <c r="AR82" s="98">
        <f t="shared" si="36"/>
        <v>128.94</v>
      </c>
      <c r="AS82" s="98">
        <f t="shared" si="9"/>
        <v>408.67999999999995</v>
      </c>
      <c r="AT82" s="98">
        <f t="shared" si="10"/>
        <v>59.16</v>
      </c>
      <c r="AU82" s="98">
        <f t="shared" si="59"/>
        <v>0</v>
      </c>
      <c r="AV82" s="98">
        <f t="array" ref="AV82">_xlfn.IFS(U82=0,AO82,U82&lt;0,AO82/-U82,U82&gt;0,AO82/U82)</f>
        <v>465.86600662779733</v>
      </c>
      <c r="AW82" s="234">
        <f t="shared" si="44"/>
        <v>0.40474891974613147</v>
      </c>
      <c r="AX82" s="234">
        <f t="shared" si="45"/>
        <v>3.6130448784535236</v>
      </c>
      <c r="AY82" s="99"/>
      <c r="AZ82" s="94">
        <f t="shared" si="13"/>
        <v>22361.568318134272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 t="s">
        <v>100</v>
      </c>
      <c r="G83" s="93">
        <v>1</v>
      </c>
      <c r="H83" s="93">
        <v>46</v>
      </c>
      <c r="I83" s="93">
        <v>0</v>
      </c>
      <c r="J83" s="93">
        <v>1</v>
      </c>
      <c r="K83" s="93">
        <v>123.09</v>
      </c>
      <c r="L83" s="92">
        <f t="shared" si="43"/>
        <v>5908.32</v>
      </c>
      <c r="M83" s="89">
        <v>226</v>
      </c>
      <c r="N83" s="89">
        <v>1</v>
      </c>
      <c r="O83" s="89">
        <v>1375</v>
      </c>
      <c r="P83" s="89">
        <v>0</v>
      </c>
      <c r="Q83" s="233">
        <f t="shared" si="47"/>
        <v>0.14285714285714285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492.54999999999995</v>
      </c>
      <c r="AH83" s="93"/>
      <c r="AI83" s="93"/>
      <c r="AJ83" s="93"/>
      <c r="AK83" s="93"/>
      <c r="AL83" s="122">
        <f t="shared" si="56"/>
        <v>46.157093372202695</v>
      </c>
      <c r="AM83" s="93">
        <v>0</v>
      </c>
      <c r="AN83" s="94">
        <f t="shared" si="57"/>
        <v>0</v>
      </c>
      <c r="AO83" s="95">
        <f t="shared" si="58"/>
        <v>-538.70709337220262</v>
      </c>
      <c r="AP83" s="96"/>
      <c r="AQ83" s="97">
        <f t="shared" si="7"/>
        <v>0</v>
      </c>
      <c r="AR83" s="98">
        <f t="shared" si="36"/>
        <v>123.09</v>
      </c>
      <c r="AS83" s="98">
        <f t="shared" si="9"/>
        <v>0</v>
      </c>
      <c r="AT83" s="98">
        <f t="shared" si="10"/>
        <v>492.54999999999995</v>
      </c>
      <c r="AU83" s="98">
        <f t="shared" si="59"/>
        <v>0</v>
      </c>
      <c r="AV83" s="98">
        <f t="array" ref="AV83">_xlfn.IFS(U83=0,AO83,U83&lt;0,AO83/-U83,U83&gt;0,AO83/U83)</f>
        <v>-538.70709337220262</v>
      </c>
      <c r="AW83" s="234">
        <f t="shared" si="44"/>
        <v>0</v>
      </c>
      <c r="AX83" s="234">
        <f t="shared" si="45"/>
        <v>-4.3765301273231181</v>
      </c>
      <c r="AY83" s="99"/>
      <c r="AZ83" s="94">
        <f t="shared" si="13"/>
        <v>-25857.940481865728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3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7"/>
        <v>0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0</v>
      </c>
      <c r="AH84" s="93"/>
      <c r="AI84" s="93"/>
      <c r="AJ84" s="93"/>
      <c r="AK84" s="93"/>
      <c r="AL84" s="122">
        <f t="shared" si="56"/>
        <v>48.163923518820198</v>
      </c>
      <c r="AM84" s="93">
        <v>0</v>
      </c>
      <c r="AN84" s="94">
        <f t="shared" si="57"/>
        <v>0</v>
      </c>
      <c r="AO84" s="95">
        <f t="shared" si="58"/>
        <v>-48.163923518820198</v>
      </c>
      <c r="AP84" s="96"/>
      <c r="AQ84" s="97">
        <f t="shared" si="7"/>
        <v>0</v>
      </c>
      <c r="AR84" s="98">
        <f t="shared" si="36"/>
        <v>146.49</v>
      </c>
      <c r="AS84" s="98">
        <f t="shared" si="9"/>
        <v>0</v>
      </c>
      <c r="AT84" s="98">
        <f t="shared" si="10"/>
        <v>0</v>
      </c>
      <c r="AU84" s="98">
        <f t="shared" si="59"/>
        <v>0</v>
      </c>
      <c r="AV84" s="98">
        <f t="array" ref="AV84">_xlfn.IFS(U84=0,AO84,U84&lt;0,AO84/-U84,U84&gt;0,AO84/U84)</f>
        <v>-48.163923518820198</v>
      </c>
      <c r="AW84" s="234">
        <f t="shared" si="44"/>
        <v>0</v>
      </c>
      <c r="AX84" s="234">
        <f t="shared" si="45"/>
        <v>-0.32878642582306095</v>
      </c>
      <c r="AY84" s="99"/>
      <c r="AZ84" s="94">
        <f t="shared" si="13"/>
        <v>-2360.0322524221897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43</v>
      </c>
      <c r="F85" s="93">
        <v>7</v>
      </c>
      <c r="G85" s="93">
        <v>2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3"/>
        <v>4437.6000000000004</v>
      </c>
      <c r="M85" s="89">
        <v>999</v>
      </c>
      <c r="N85" s="89">
        <v>7</v>
      </c>
      <c r="O85" s="89">
        <v>1008</v>
      </c>
      <c r="P85" s="89">
        <v>100</v>
      </c>
      <c r="Q85" s="233">
        <f t="shared" si="47"/>
        <v>1</v>
      </c>
      <c r="R85" s="92">
        <f t="shared" si="48"/>
        <v>0.14285714285714285</v>
      </c>
      <c r="S85" s="93">
        <v>1</v>
      </c>
      <c r="T85" s="93">
        <v>0</v>
      </c>
      <c r="U85" s="92">
        <f t="shared" si="49"/>
        <v>1</v>
      </c>
      <c r="V85" s="93">
        <v>639</v>
      </c>
      <c r="W85" s="93">
        <v>0</v>
      </c>
      <c r="X85" s="92">
        <f t="shared" si="50"/>
        <v>639</v>
      </c>
      <c r="Y85" s="93">
        <v>1008</v>
      </c>
      <c r="Z85" s="93">
        <v>0</v>
      </c>
      <c r="AA85" s="92">
        <f t="shared" si="51"/>
        <v>1008</v>
      </c>
      <c r="AB85" s="92">
        <f t="shared" si="52"/>
        <v>7056</v>
      </c>
      <c r="AC85" s="234">
        <f t="shared" si="53"/>
        <v>3.8882918140787639E-4</v>
      </c>
      <c r="AD85" s="92">
        <f t="shared" si="54"/>
        <v>103.2</v>
      </c>
      <c r="AE85" s="93">
        <v>386.5</v>
      </c>
      <c r="AF85" s="234">
        <f t="shared" si="55"/>
        <v>0.38343253968253971</v>
      </c>
      <c r="AG85" s="93">
        <v>263.58</v>
      </c>
      <c r="AH85" s="93"/>
      <c r="AI85" s="93"/>
      <c r="AJ85" s="93"/>
      <c r="AK85" s="93"/>
      <c r="AL85" s="122">
        <f t="shared" si="56"/>
        <v>33.112697419188891</v>
      </c>
      <c r="AM85" s="93">
        <v>0</v>
      </c>
      <c r="AN85" s="94">
        <f t="shared" si="57"/>
        <v>36.486899999999999</v>
      </c>
      <c r="AO85" s="95">
        <f t="shared" si="58"/>
        <v>185.12040258081109</v>
      </c>
      <c r="AP85" s="96"/>
      <c r="AQ85" s="97">
        <f t="shared" si="7"/>
        <v>1008</v>
      </c>
      <c r="AR85" s="98">
        <f t="shared" si="36"/>
        <v>103.2</v>
      </c>
      <c r="AS85" s="98">
        <f t="shared" si="9"/>
        <v>386.5</v>
      </c>
      <c r="AT85" s="98">
        <f t="shared" si="10"/>
        <v>263.58</v>
      </c>
      <c r="AU85" s="98">
        <f t="shared" si="59"/>
        <v>0</v>
      </c>
      <c r="AV85" s="98">
        <f t="array" ref="AV85">_xlfn.IFS(U85=0,AO85,U85&lt;0,AO85/-U85,U85&gt;0,AO85/U85)</f>
        <v>185.12040258081109</v>
      </c>
      <c r="AW85" s="234">
        <f t="shared" si="44"/>
        <v>0.18365119303651894</v>
      </c>
      <c r="AX85" s="234">
        <f t="shared" si="45"/>
        <v>1.7938023505892546</v>
      </c>
      <c r="AY85" s="99"/>
      <c r="AZ85" s="94">
        <f t="shared" si="13"/>
        <v>7960.1773109748765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47</v>
      </c>
      <c r="F86" s="93">
        <v>2</v>
      </c>
      <c r="G86" s="93" t="s">
        <v>100</v>
      </c>
      <c r="H86" s="93">
        <v>44</v>
      </c>
      <c r="I86" s="93">
        <v>0</v>
      </c>
      <c r="J86" s="93">
        <v>1</v>
      </c>
      <c r="K86" s="93">
        <v>150</v>
      </c>
      <c r="L86" s="92">
        <f t="shared" si="43"/>
        <v>7050</v>
      </c>
      <c r="M86" s="89">
        <v>348</v>
      </c>
      <c r="N86" s="89">
        <v>1</v>
      </c>
      <c r="O86" s="89">
        <v>1392</v>
      </c>
      <c r="P86" s="89">
        <v>0</v>
      </c>
      <c r="Q86" s="233">
        <f t="shared" si="47"/>
        <v>0.14285714285714285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0</v>
      </c>
      <c r="AH86" s="93"/>
      <c r="AI86" s="93"/>
      <c r="AJ86" s="93"/>
      <c r="AK86" s="93"/>
      <c r="AL86" s="122">
        <f t="shared" si="56"/>
        <v>44.150263225585185</v>
      </c>
      <c r="AM86" s="93">
        <v>0</v>
      </c>
      <c r="AN86" s="94">
        <f t="shared" si="57"/>
        <v>0</v>
      </c>
      <c r="AO86" s="95">
        <f t="shared" si="58"/>
        <v>-44.150263225585185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0</v>
      </c>
      <c r="AU86" s="98">
        <f t="shared" si="59"/>
        <v>0</v>
      </c>
      <c r="AV86" s="98">
        <f t="array" ref="AV86">_xlfn.IFS(U86=0,AO86,U86&lt;0,AO86/-U86,U86&gt;0,AO86/U86)</f>
        <v>-44.150263225585185</v>
      </c>
      <c r="AW86" s="234">
        <f t="shared" si="44"/>
        <v>0</v>
      </c>
      <c r="AX86" s="234">
        <f t="shared" si="45"/>
        <v>-0.29433508817056792</v>
      </c>
      <c r="AY86" s="99"/>
      <c r="AZ86" s="94">
        <f t="shared" si="13"/>
        <v>-2075.0623716025038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35</v>
      </c>
      <c r="F87" s="93">
        <v>32</v>
      </c>
      <c r="G87" s="93">
        <v>1</v>
      </c>
      <c r="H87" s="93">
        <v>1</v>
      </c>
      <c r="I87" s="93">
        <v>0</v>
      </c>
      <c r="J87" s="93">
        <v>1</v>
      </c>
      <c r="K87" s="93">
        <v>150</v>
      </c>
      <c r="L87" s="92">
        <f t="shared" si="43"/>
        <v>5250</v>
      </c>
      <c r="M87" s="89">
        <v>24</v>
      </c>
      <c r="N87" s="89">
        <v>42</v>
      </c>
      <c r="O87" s="89">
        <v>1056</v>
      </c>
      <c r="P87" s="89">
        <v>39</v>
      </c>
      <c r="Q87" s="233">
        <f t="shared" si="47"/>
        <v>6</v>
      </c>
      <c r="R87" s="92">
        <f t="shared" si="48"/>
        <v>1.1428571428571428</v>
      </c>
      <c r="S87" s="93">
        <v>8</v>
      </c>
      <c r="T87" s="93">
        <v>0</v>
      </c>
      <c r="U87" s="92">
        <f t="shared" si="49"/>
        <v>8</v>
      </c>
      <c r="V87" s="93">
        <v>6084.2900000000009</v>
      </c>
      <c r="W87" s="93">
        <v>0</v>
      </c>
      <c r="X87" s="92">
        <f t="shared" si="50"/>
        <v>6084.2900000000009</v>
      </c>
      <c r="Y87" s="93">
        <v>8416.23</v>
      </c>
      <c r="Z87" s="93">
        <v>0</v>
      </c>
      <c r="AA87" s="92">
        <f t="shared" si="51"/>
        <v>8416.23</v>
      </c>
      <c r="AB87" s="92">
        <f t="shared" si="52"/>
        <v>17297.28</v>
      </c>
      <c r="AC87" s="234">
        <f t="shared" si="53"/>
        <v>3.2465037911115196E-3</v>
      </c>
      <c r="AD87" s="92">
        <f t="shared" si="54"/>
        <v>1200</v>
      </c>
      <c r="AE87" s="93">
        <v>3192.66</v>
      </c>
      <c r="AF87" s="234">
        <f t="shared" si="55"/>
        <v>0.3793456214956103</v>
      </c>
      <c r="AG87" s="93">
        <v>2257.9900000000002</v>
      </c>
      <c r="AH87" s="93">
        <v>60</v>
      </c>
      <c r="AI87" s="93">
        <v>6000</v>
      </c>
      <c r="AJ87" s="93"/>
      <c r="AK87" s="93"/>
      <c r="AL87" s="122">
        <f t="shared" si="56"/>
        <v>1.0034150733087541</v>
      </c>
      <c r="AM87" s="93">
        <v>0</v>
      </c>
      <c r="AN87" s="94">
        <f t="shared" si="57"/>
        <v>347.41295900000006</v>
      </c>
      <c r="AO87" s="95">
        <f t="shared" si="58"/>
        <v>-4642.8363740733093</v>
      </c>
      <c r="AP87" s="96"/>
      <c r="AQ87" s="97">
        <f t="shared" si="7"/>
        <v>1052.0287499999999</v>
      </c>
      <c r="AR87" s="98">
        <f t="shared" si="36"/>
        <v>150</v>
      </c>
      <c r="AS87" s="98">
        <f t="shared" si="9"/>
        <v>399.08249999999998</v>
      </c>
      <c r="AT87" s="98">
        <f t="shared" si="10"/>
        <v>282.24875000000003</v>
      </c>
      <c r="AU87" s="98">
        <f t="shared" si="59"/>
        <v>757.5</v>
      </c>
      <c r="AV87" s="98">
        <f t="array" ref="AV87">_xlfn.IFS(U87=0,AO87,U87&lt;0,AO87/-U87,U87&gt;0,AO87/U87)</f>
        <v>-580.35454675916367</v>
      </c>
      <c r="AW87" s="234">
        <f t="shared" si="44"/>
        <v>-0.55165274405206488</v>
      </c>
      <c r="AX87" s="234">
        <f t="shared" si="45"/>
        <v>-3.8690303117277578</v>
      </c>
      <c r="AY87" s="99"/>
      <c r="AZ87" s="94">
        <f t="shared" si="13"/>
        <v>-20312.409136570728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11</v>
      </c>
      <c r="F88" s="93">
        <v>9</v>
      </c>
      <c r="G88" s="93">
        <v>1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3"/>
        <v>1650</v>
      </c>
      <c r="M88" s="89">
        <v>40</v>
      </c>
      <c r="N88" s="89">
        <v>9</v>
      </c>
      <c r="O88" s="89">
        <v>1257</v>
      </c>
      <c r="P88" s="89">
        <v>67</v>
      </c>
      <c r="Q88" s="233">
        <f t="shared" si="47"/>
        <v>1.2857142857142858</v>
      </c>
      <c r="R88" s="92">
        <f t="shared" si="48"/>
        <v>0.2857142857142857</v>
      </c>
      <c r="S88" s="93">
        <v>3</v>
      </c>
      <c r="T88" s="93">
        <v>-1</v>
      </c>
      <c r="U88" s="92">
        <f t="shared" si="49"/>
        <v>2</v>
      </c>
      <c r="V88" s="93">
        <v>2264</v>
      </c>
      <c r="W88" s="93">
        <v>-693</v>
      </c>
      <c r="X88" s="92">
        <f t="shared" si="50"/>
        <v>1571</v>
      </c>
      <c r="Y88" s="93">
        <v>3771</v>
      </c>
      <c r="Z88" s="93">
        <v>-1257</v>
      </c>
      <c r="AA88" s="92">
        <f t="shared" si="51"/>
        <v>2514</v>
      </c>
      <c r="AB88" s="92">
        <f t="shared" si="52"/>
        <v>7579.71</v>
      </c>
      <c r="AC88" s="234">
        <f t="shared" si="53"/>
        <v>9.697584941065489E-4</v>
      </c>
      <c r="AD88" s="92">
        <f t="shared" si="54"/>
        <v>300</v>
      </c>
      <c r="AE88" s="93">
        <v>956.14999999999975</v>
      </c>
      <c r="AF88" s="234">
        <f t="shared" si="55"/>
        <v>0.38033015115354007</v>
      </c>
      <c r="AG88" s="93">
        <v>760.48</v>
      </c>
      <c r="AH88" s="93"/>
      <c r="AI88" s="93"/>
      <c r="AJ88" s="93"/>
      <c r="AK88" s="93"/>
      <c r="AL88" s="122">
        <f t="shared" si="56"/>
        <v>0</v>
      </c>
      <c r="AM88" s="93">
        <v>0</v>
      </c>
      <c r="AN88" s="94">
        <f t="shared" si="57"/>
        <v>89.704099999999997</v>
      </c>
      <c r="AO88" s="95">
        <f t="shared" si="58"/>
        <v>407.66590000000036</v>
      </c>
      <c r="AP88" s="96"/>
      <c r="AQ88" s="97">
        <f t="shared" si="7"/>
        <v>1257</v>
      </c>
      <c r="AR88" s="98">
        <f t="shared" si="36"/>
        <v>150</v>
      </c>
      <c r="AS88" s="98">
        <f t="shared" si="9"/>
        <v>478.07499999999987</v>
      </c>
      <c r="AT88" s="98">
        <f t="shared" si="10"/>
        <v>253.49333333333334</v>
      </c>
      <c r="AU88" s="98">
        <f t="shared" si="59"/>
        <v>0</v>
      </c>
      <c r="AV88" s="98">
        <f t="array" ref="AV88">_xlfn.IFS(U88=0,AO88,U88&lt;0,AO88/-U88,U88&gt;0,AO88/U88)</f>
        <v>203.83295000000018</v>
      </c>
      <c r="AW88" s="234">
        <f t="shared" si="44"/>
        <v>0.16215827366746235</v>
      </c>
      <c r="AX88" s="234">
        <f t="shared" si="45"/>
        <v>1.3588863333333345</v>
      </c>
      <c r="AY88" s="99"/>
      <c r="AZ88" s="94">
        <f t="shared" si="13"/>
        <v>2242.1624500000021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39</v>
      </c>
      <c r="F89" s="93">
        <v>2</v>
      </c>
      <c r="G89" s="93">
        <v>1</v>
      </c>
      <c r="H89" s="93">
        <v>35</v>
      </c>
      <c r="I89" s="93">
        <v>0</v>
      </c>
      <c r="J89" s="93">
        <v>1</v>
      </c>
      <c r="K89" s="93">
        <v>169.89</v>
      </c>
      <c r="L89" s="92">
        <f t="shared" si="43"/>
        <v>6625.7099999999991</v>
      </c>
      <c r="M89" s="89">
        <v>130</v>
      </c>
      <c r="N89" s="89">
        <v>3</v>
      </c>
      <c r="O89" s="89">
        <v>1504</v>
      </c>
      <c r="P89" s="89">
        <v>0</v>
      </c>
      <c r="Q89" s="233">
        <f t="shared" si="47"/>
        <v>0.42857142857142855</v>
      </c>
      <c r="R89" s="92">
        <f t="shared" si="48"/>
        <v>0</v>
      </c>
      <c r="S89" s="93">
        <v>0</v>
      </c>
      <c r="T89" s="93">
        <v>0</v>
      </c>
      <c r="U89" s="92">
        <f t="shared" si="49"/>
        <v>0</v>
      </c>
      <c r="V89" s="93">
        <v>0</v>
      </c>
      <c r="W89" s="93">
        <v>0</v>
      </c>
      <c r="X89" s="92">
        <f t="shared" si="50"/>
        <v>0</v>
      </c>
      <c r="Y89" s="93">
        <v>0</v>
      </c>
      <c r="Z89" s="93">
        <v>0</v>
      </c>
      <c r="AA89" s="92">
        <f t="shared" si="51"/>
        <v>0</v>
      </c>
      <c r="AB89" s="92">
        <f t="shared" si="52"/>
        <v>0</v>
      </c>
      <c r="AC89" s="234">
        <f t="shared" si="53"/>
        <v>0</v>
      </c>
      <c r="AD89" s="92">
        <f t="shared" si="54"/>
        <v>0</v>
      </c>
      <c r="AE89" s="93">
        <v>0</v>
      </c>
      <c r="AF89" s="234">
        <f t="shared" si="55"/>
        <v>0</v>
      </c>
      <c r="AG89" s="93">
        <v>0</v>
      </c>
      <c r="AH89" s="93"/>
      <c r="AI89" s="93"/>
      <c r="AJ89" s="93"/>
      <c r="AK89" s="93"/>
      <c r="AL89" s="122">
        <f t="shared" si="56"/>
        <v>35.119527565806393</v>
      </c>
      <c r="AM89" s="93">
        <v>0</v>
      </c>
      <c r="AN89" s="94">
        <f t="shared" si="57"/>
        <v>0</v>
      </c>
      <c r="AO89" s="95">
        <f t="shared" si="58"/>
        <v>-35.119527565806393</v>
      </c>
      <c r="AP89" s="96"/>
      <c r="AQ89" s="97">
        <f t="shared" si="7"/>
        <v>0</v>
      </c>
      <c r="AR89" s="98">
        <f t="shared" si="36"/>
        <v>169.89</v>
      </c>
      <c r="AS89" s="98">
        <f t="shared" si="9"/>
        <v>0</v>
      </c>
      <c r="AT89" s="98">
        <f t="shared" si="10"/>
        <v>0</v>
      </c>
      <c r="AU89" s="98">
        <f t="shared" si="59"/>
        <v>0</v>
      </c>
      <c r="AV89" s="98">
        <f t="array" ref="AV89">_xlfn.IFS(U89=0,AO89,U89&lt;0,AO89/-U89,U89&gt;0,AO89/U89)</f>
        <v>-35.119527565806393</v>
      </c>
      <c r="AW89" s="234">
        <f t="shared" si="44"/>
        <v>0</v>
      </c>
      <c r="AX89" s="234">
        <f t="shared" si="45"/>
        <v>-0.20671921576200128</v>
      </c>
      <c r="AY89" s="99"/>
      <c r="AZ89" s="94">
        <f t="shared" si="13"/>
        <v>-1369.6615750664494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50.170753665437708</v>
      </c>
      <c r="AM90" s="93">
        <v>0</v>
      </c>
      <c r="AN90" s="94">
        <f t="shared" si="57"/>
        <v>0</v>
      </c>
      <c r="AO90" s="95">
        <f t="shared" si="58"/>
        <v>-50.170753665437708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-50.170753665437708</v>
      </c>
      <c r="AW90" s="234">
        <f t="shared" si="44"/>
        <v>0</v>
      </c>
      <c r="AX90" s="234">
        <f t="shared" si="45"/>
        <v>-0.46506074958692722</v>
      </c>
      <c r="AY90" s="99"/>
      <c r="AZ90" s="94">
        <f t="shared" si="13"/>
        <v>-2558.7084369373233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41</v>
      </c>
      <c r="F91" s="93">
        <v>1</v>
      </c>
      <c r="G91" s="93">
        <v>4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3"/>
        <v>3847.44</v>
      </c>
      <c r="M91" s="89">
        <v>288</v>
      </c>
      <c r="N91" s="89">
        <v>3</v>
      </c>
      <c r="O91" s="89">
        <v>1075</v>
      </c>
      <c r="P91" s="89">
        <v>0</v>
      </c>
      <c r="Q91" s="233">
        <f t="shared" si="47"/>
        <v>0.42857142857142855</v>
      </c>
      <c r="R91" s="92">
        <f t="shared" si="48"/>
        <v>0</v>
      </c>
      <c r="S91" s="93">
        <v>0</v>
      </c>
      <c r="T91" s="93">
        <v>0</v>
      </c>
      <c r="U91" s="92">
        <f t="shared" si="49"/>
        <v>0</v>
      </c>
      <c r="V91" s="93">
        <v>0</v>
      </c>
      <c r="W91" s="93">
        <v>0</v>
      </c>
      <c r="X91" s="92">
        <f t="shared" si="50"/>
        <v>0</v>
      </c>
      <c r="Y91" s="93">
        <v>0</v>
      </c>
      <c r="Z91" s="93">
        <v>0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465.93</v>
      </c>
      <c r="AH91" s="93"/>
      <c r="AI91" s="93"/>
      <c r="AJ91" s="93"/>
      <c r="AK91" s="93"/>
      <c r="AL91" s="122">
        <f t="shared" si="56"/>
        <v>30.102452199262629</v>
      </c>
      <c r="AM91" s="93">
        <v>0</v>
      </c>
      <c r="AN91" s="94">
        <f t="shared" si="57"/>
        <v>0</v>
      </c>
      <c r="AO91" s="95">
        <f t="shared" si="58"/>
        <v>-496.03245219926265</v>
      </c>
      <c r="AP91" s="96"/>
      <c r="AQ91" s="97">
        <f t="shared" si="7"/>
        <v>0</v>
      </c>
      <c r="AR91" s="98">
        <f t="shared" si="36"/>
        <v>93.84</v>
      </c>
      <c r="AS91" s="98">
        <f t="shared" si="9"/>
        <v>0</v>
      </c>
      <c r="AT91" s="98">
        <f t="shared" si="10"/>
        <v>465.93</v>
      </c>
      <c r="AU91" s="98">
        <f t="shared" si="59"/>
        <v>0</v>
      </c>
      <c r="AV91" s="98">
        <f t="array" ref="AV91">_xlfn.IFS(U91=0,AO91,U91&lt;0,AO91/-U91,U91&gt;0,AO91/U91)</f>
        <v>-496.03245219926265</v>
      </c>
      <c r="AW91" s="234">
        <f t="shared" si="44"/>
        <v>0</v>
      </c>
      <c r="AX91" s="234">
        <f t="shared" si="45"/>
        <v>-5.2859383226690388</v>
      </c>
      <c r="AY91" s="99"/>
      <c r="AZ91" s="94">
        <f t="shared" si="13"/>
        <v>-20337.330540169769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47"/>
        <v>0.14285714285714285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212.39</v>
      </c>
      <c r="AH92" s="93"/>
      <c r="AI92" s="93"/>
      <c r="AJ92" s="93"/>
      <c r="AK92" s="93"/>
      <c r="AL92" s="122">
        <f t="shared" si="56"/>
        <v>49.167338592128957</v>
      </c>
      <c r="AM92" s="93">
        <v>0</v>
      </c>
      <c r="AN92" s="94">
        <f t="shared" si="57"/>
        <v>0</v>
      </c>
      <c r="AO92" s="95">
        <f t="shared" si="58"/>
        <v>-261.55733859212893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212.39</v>
      </c>
      <c r="AU92" s="98">
        <f t="shared" si="59"/>
        <v>0</v>
      </c>
      <c r="AV92" s="98">
        <f t="array" ref="AV92">_xlfn.IFS(U92=0,AO92,U92&lt;0,AO92/-U92,U92&gt;0,AO92/U92)</f>
        <v>-261.55733859212893</v>
      </c>
      <c r="AW92" s="234">
        <f t="shared" si="44"/>
        <v>0</v>
      </c>
      <c r="AX92" s="234">
        <f t="shared" si="45"/>
        <v>-1.8753663052421949</v>
      </c>
      <c r="AY92" s="99"/>
      <c r="AZ92" s="94">
        <f t="shared" si="13"/>
        <v>-13077.866929606447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48</v>
      </c>
      <c r="F93" s="93">
        <v>3</v>
      </c>
      <c r="G93" s="93" t="s">
        <v>100</v>
      </c>
      <c r="H93" s="93">
        <v>44</v>
      </c>
      <c r="I93" s="93">
        <v>0</v>
      </c>
      <c r="J93" s="93">
        <v>1</v>
      </c>
      <c r="K93" s="93">
        <v>139.47</v>
      </c>
      <c r="L93" s="92">
        <f t="shared" si="43"/>
        <v>6694.5599999999995</v>
      </c>
      <c r="M93" s="89">
        <v>471</v>
      </c>
      <c r="N93" s="89">
        <v>0</v>
      </c>
      <c r="O93" s="89">
        <v>0</v>
      </c>
      <c r="P93" s="89">
        <v>0</v>
      </c>
      <c r="Q93" s="233">
        <f t="shared" si="47"/>
        <v>0</v>
      </c>
      <c r="R93" s="92">
        <f t="shared" si="48"/>
        <v>0.14285714285714285</v>
      </c>
      <c r="S93" s="93">
        <v>1</v>
      </c>
      <c r="T93" s="93">
        <v>0</v>
      </c>
      <c r="U93" s="92">
        <f t="shared" si="49"/>
        <v>1</v>
      </c>
      <c r="V93" s="93">
        <v>829</v>
      </c>
      <c r="W93" s="93">
        <v>0</v>
      </c>
      <c r="X93" s="92">
        <f t="shared" si="50"/>
        <v>829</v>
      </c>
      <c r="Y93" s="93">
        <v>1296</v>
      </c>
      <c r="Z93" s="93">
        <v>0</v>
      </c>
      <c r="AA93" s="92">
        <f t="shared" si="51"/>
        <v>1296</v>
      </c>
      <c r="AB93" s="92">
        <f t="shared" si="52"/>
        <v>0</v>
      </c>
      <c r="AC93" s="234">
        <f t="shared" si="53"/>
        <v>4.999232332386982E-4</v>
      </c>
      <c r="AD93" s="92">
        <f t="shared" si="54"/>
        <v>139.47</v>
      </c>
      <c r="AE93" s="93">
        <v>497.29999999999995</v>
      </c>
      <c r="AF93" s="234">
        <f t="shared" si="55"/>
        <v>0.38371913580246908</v>
      </c>
      <c r="AG93" s="93">
        <v>59.16</v>
      </c>
      <c r="AH93" s="93"/>
      <c r="AI93" s="93"/>
      <c r="AJ93" s="93"/>
      <c r="AK93" s="93"/>
      <c r="AL93" s="122">
        <f t="shared" si="56"/>
        <v>44.150263225585185</v>
      </c>
      <c r="AM93" s="93">
        <v>0</v>
      </c>
      <c r="AN93" s="94">
        <f t="shared" si="57"/>
        <v>47.335899999999995</v>
      </c>
      <c r="AO93" s="95">
        <f t="shared" si="58"/>
        <v>508.58383677441492</v>
      </c>
      <c r="AP93" s="96"/>
      <c r="AQ93" s="97">
        <f t="shared" si="7"/>
        <v>1296</v>
      </c>
      <c r="AR93" s="98">
        <f t="shared" si="36"/>
        <v>139.47</v>
      </c>
      <c r="AS93" s="98">
        <f t="shared" si="9"/>
        <v>497.29999999999995</v>
      </c>
      <c r="AT93" s="98">
        <f t="shared" si="10"/>
        <v>59.16</v>
      </c>
      <c r="AU93" s="98">
        <f t="shared" si="59"/>
        <v>0</v>
      </c>
      <c r="AV93" s="98">
        <f t="array" ref="AV93">_xlfn.IFS(U93=0,AO93,U93&lt;0,AO93/-U93,U93&gt;0,AO93/U93)</f>
        <v>508.58383677441492</v>
      </c>
      <c r="AW93" s="234">
        <f t="shared" si="44"/>
        <v>0.39242579998025845</v>
      </c>
      <c r="AX93" s="234">
        <f t="shared" si="45"/>
        <v>3.6465464743272022</v>
      </c>
      <c r="AY93" s="99"/>
      <c r="AZ93" s="94">
        <f t="shared" si="13"/>
        <v>24412.024165171915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3"/>
        <v>400.08</v>
      </c>
      <c r="M94" s="89">
        <v>19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3"/>
        <v>1600.32</v>
      </c>
      <c r="M97" s="89">
        <v>106</v>
      </c>
      <c r="N97" s="89">
        <v>0</v>
      </c>
      <c r="O97" s="89">
        <v>0</v>
      </c>
      <c r="P97" s="89">
        <v>0</v>
      </c>
      <c r="Q97" s="233">
        <f t="shared" si="47"/>
        <v>0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0</v>
      </c>
      <c r="AH97" s="93"/>
      <c r="AI97" s="93"/>
      <c r="AJ97" s="93"/>
      <c r="AK97" s="93"/>
      <c r="AL97" s="122">
        <f t="shared" si="56"/>
        <v>3.0102452199262624</v>
      </c>
      <c r="AM97" s="93">
        <v>0</v>
      </c>
      <c r="AN97" s="94">
        <f t="shared" si="57"/>
        <v>0</v>
      </c>
      <c r="AO97" s="95">
        <f t="shared" si="58"/>
        <v>-3.0102452199262624</v>
      </c>
      <c r="AP97" s="96"/>
      <c r="AQ97" s="97">
        <f t="shared" si="7"/>
        <v>0</v>
      </c>
      <c r="AR97" s="98">
        <f t="shared" si="36"/>
        <v>400.08</v>
      </c>
      <c r="AS97" s="98">
        <f t="shared" si="9"/>
        <v>0</v>
      </c>
      <c r="AT97" s="98">
        <f t="shared" si="10"/>
        <v>0</v>
      </c>
      <c r="AU97" s="98">
        <f t="shared" si="59"/>
        <v>0</v>
      </c>
      <c r="AV97" s="98">
        <f t="array" ref="AV97">_xlfn.IFS(U97=0,AO97,U97&lt;0,AO97/-U97,U97&gt;0,AO97/U97)</f>
        <v>-3.0102452199262624</v>
      </c>
      <c r="AW97" s="234">
        <f t="shared" si="44"/>
        <v>0</v>
      </c>
      <c r="AX97" s="234">
        <f t="shared" si="45"/>
        <v>-7.5241082281700226E-3</v>
      </c>
      <c r="AY97" s="99"/>
      <c r="AZ97" s="94">
        <f t="shared" si="13"/>
        <v>-12.040980879705049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13</v>
      </c>
      <c r="F98" s="93">
        <v>1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3"/>
        <v>3901.04</v>
      </c>
      <c r="M98" s="89">
        <v>100</v>
      </c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115.07</v>
      </c>
      <c r="AH98" s="93"/>
      <c r="AI98" s="93"/>
      <c r="AJ98" s="93"/>
      <c r="AK98" s="93"/>
      <c r="AL98" s="122">
        <f t="shared" si="56"/>
        <v>12.040980879705049</v>
      </c>
      <c r="AM98" s="93">
        <v>0</v>
      </c>
      <c r="AN98" s="94">
        <f t="shared" si="57"/>
        <v>0</v>
      </c>
      <c r="AO98" s="95">
        <f t="shared" si="58"/>
        <v>-127.11098087970504</v>
      </c>
      <c r="AP98" s="96"/>
      <c r="AQ98" s="97">
        <f t="shared" ref="AQ98:AQ103" si="60">IF(U98=0,0,AA98/U98)</f>
        <v>0</v>
      </c>
      <c r="AR98" s="98">
        <f t="shared" si="36"/>
        <v>300.08</v>
      </c>
      <c r="AS98" s="98">
        <f t="shared" ref="AS98:AS103" si="61">IF(U98=0,0,AE98/U98)</f>
        <v>0</v>
      </c>
      <c r="AT98" s="98">
        <f t="shared" ref="AT98:AT103" si="62">IF(S98=0,AG98/1,AG98/S98)</f>
        <v>115.07</v>
      </c>
      <c r="AU98" s="98">
        <f t="shared" si="59"/>
        <v>0</v>
      </c>
      <c r="AV98" s="98">
        <f t="array" ref="AV98">_xlfn.IFS(U98=0,AO98,U98&lt;0,AO98/-U98,U98&gt;0,AO98/U98)</f>
        <v>-127.11098087970504</v>
      </c>
      <c r="AW98" s="234">
        <f t="shared" si="44"/>
        <v>0</v>
      </c>
      <c r="AX98" s="234">
        <f t="shared" si="45"/>
        <v>-0.42359031218243481</v>
      </c>
      <c r="AY98" s="99"/>
      <c r="AZ98" s="94">
        <f t="shared" ref="AZ98:AZ103" si="63">AV98*E98</f>
        <v>-1652.4427514361655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50</v>
      </c>
      <c r="F100" s="93">
        <v>5</v>
      </c>
      <c r="G100" s="93" t="s">
        <v>100</v>
      </c>
      <c r="H100" s="93">
        <v>45</v>
      </c>
      <c r="I100" s="93">
        <v>0</v>
      </c>
      <c r="J100" s="93">
        <v>0</v>
      </c>
      <c r="K100" s="93">
        <v>142.97999999999999</v>
      </c>
      <c r="L100" s="92">
        <f t="shared" si="64"/>
        <v>7148.9999999999991</v>
      </c>
      <c r="M100" s="89">
        <v>109</v>
      </c>
      <c r="N100" s="89">
        <v>4</v>
      </c>
      <c r="O100" s="89">
        <v>1700</v>
      </c>
      <c r="P100" s="89">
        <v>0</v>
      </c>
      <c r="Q100" s="233">
        <f t="shared" si="47"/>
        <v>0.5714285714285714</v>
      </c>
      <c r="R100" s="92">
        <f t="shared" si="48"/>
        <v>0</v>
      </c>
      <c r="S100" s="93">
        <v>0</v>
      </c>
      <c r="T100" s="93">
        <v>0</v>
      </c>
      <c r="U100" s="92">
        <f t="shared" si="49"/>
        <v>0</v>
      </c>
      <c r="V100" s="93">
        <v>0</v>
      </c>
      <c r="W100" s="93">
        <v>0</v>
      </c>
      <c r="X100" s="92">
        <f t="shared" si="50"/>
        <v>0</v>
      </c>
      <c r="Y100" s="93">
        <v>0</v>
      </c>
      <c r="Z100" s="93">
        <v>0</v>
      </c>
      <c r="AA100" s="92">
        <f t="shared" si="51"/>
        <v>0</v>
      </c>
      <c r="AB100" s="92">
        <f t="shared" si="52"/>
        <v>0</v>
      </c>
      <c r="AC100" s="234">
        <f t="shared" si="53"/>
        <v>0</v>
      </c>
      <c r="AD100" s="92">
        <f t="shared" si="54"/>
        <v>0</v>
      </c>
      <c r="AE100" s="93">
        <v>0</v>
      </c>
      <c r="AF100" s="234">
        <f t="shared" si="55"/>
        <v>0</v>
      </c>
      <c r="AG100" s="93">
        <v>0</v>
      </c>
      <c r="AH100" s="93">
        <v>1000</v>
      </c>
      <c r="AI100" s="93">
        <v>2322</v>
      </c>
      <c r="AJ100" s="93"/>
      <c r="AK100" s="93"/>
      <c r="AL100" s="122">
        <f t="shared" si="56"/>
        <v>45.153678298893936</v>
      </c>
      <c r="AM100" s="93">
        <v>0</v>
      </c>
      <c r="AN100" s="94">
        <f t="shared" si="57"/>
        <v>0</v>
      </c>
      <c r="AO100" s="95">
        <f t="shared" si="58"/>
        <v>-3367.1536782988937</v>
      </c>
      <c r="AP100" s="96"/>
      <c r="AQ100" s="97">
        <f t="shared" si="60"/>
        <v>0</v>
      </c>
      <c r="AR100" s="98">
        <f t="shared" si="65"/>
        <v>142.97999999999999</v>
      </c>
      <c r="AS100" s="98">
        <f t="shared" si="61"/>
        <v>0</v>
      </c>
      <c r="AT100" s="98">
        <f t="shared" si="62"/>
        <v>0</v>
      </c>
      <c r="AU100" s="98">
        <f t="shared" si="59"/>
        <v>0</v>
      </c>
      <c r="AV100" s="98">
        <f t="array" ref="AV100">_xlfn.IFS(U100=0,AO100,U100&lt;0,AO100/-U100,U100&gt;0,AO100/U100)</f>
        <v>-3367.1536782988937</v>
      </c>
      <c r="AW100" s="234">
        <f t="shared" si="66"/>
        <v>0</v>
      </c>
      <c r="AX100" s="234">
        <f t="shared" si="67"/>
        <v>-23.549822900397917</v>
      </c>
      <c r="AY100" s="99"/>
      <c r="AZ100" s="94">
        <f t="shared" si="63"/>
        <v>-168357.68391494468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45</v>
      </c>
      <c r="F102" s="93">
        <v>26</v>
      </c>
      <c r="G102" s="93">
        <v>2</v>
      </c>
      <c r="H102" s="93">
        <v>17</v>
      </c>
      <c r="I102" s="93">
        <v>0</v>
      </c>
      <c r="J102" s="93">
        <v>0</v>
      </c>
      <c r="K102" s="92">
        <v>123.09</v>
      </c>
      <c r="L102" s="92">
        <f t="shared" si="64"/>
        <v>5539.05</v>
      </c>
      <c r="M102" s="89">
        <v>15</v>
      </c>
      <c r="N102" s="89">
        <v>26</v>
      </c>
      <c r="O102" s="89">
        <v>1300</v>
      </c>
      <c r="P102" s="89">
        <v>71</v>
      </c>
      <c r="Q102" s="233">
        <f t="shared" si="47"/>
        <v>3.7142857142857144</v>
      </c>
      <c r="R102" s="92">
        <f t="shared" si="48"/>
        <v>0.5714285714285714</v>
      </c>
      <c r="S102" s="93">
        <v>4</v>
      </c>
      <c r="T102" s="93">
        <v>0</v>
      </c>
      <c r="U102" s="92">
        <f t="shared" si="49"/>
        <v>4</v>
      </c>
      <c r="V102" s="93">
        <v>3645.12</v>
      </c>
      <c r="W102" s="93">
        <v>0</v>
      </c>
      <c r="X102" s="92">
        <f t="shared" si="50"/>
        <v>3645.12</v>
      </c>
      <c r="Y102" s="93">
        <v>5199.9299999999994</v>
      </c>
      <c r="Z102" s="93">
        <v>0</v>
      </c>
      <c r="AA102" s="92">
        <f t="shared" si="51"/>
        <v>5199.9299999999994</v>
      </c>
      <c r="AB102" s="92">
        <f t="shared" si="52"/>
        <v>23998</v>
      </c>
      <c r="AC102" s="234">
        <f t="shared" si="53"/>
        <v>2.005837822696685E-3</v>
      </c>
      <c r="AD102" s="92">
        <f t="shared" si="54"/>
        <v>492.36</v>
      </c>
      <c r="AE102" s="93">
        <v>1949.4499999999994</v>
      </c>
      <c r="AF102" s="234">
        <f t="shared" si="55"/>
        <v>0.37489927749027385</v>
      </c>
      <c r="AG102" s="93">
        <v>383.91999999999996</v>
      </c>
      <c r="AH102" s="93">
        <v>4000</v>
      </c>
      <c r="AI102" s="93">
        <v>2500</v>
      </c>
      <c r="AJ102" s="93"/>
      <c r="AK102" s="93"/>
      <c r="AL102" s="122">
        <f t="shared" si="56"/>
        <v>17.058056246248821</v>
      </c>
      <c r="AM102" s="93">
        <v>0</v>
      </c>
      <c r="AN102" s="94">
        <f t="shared" si="57"/>
        <v>208.13635199999999</v>
      </c>
      <c r="AO102" s="95">
        <f t="shared" si="58"/>
        <v>-4350.994408246248</v>
      </c>
      <c r="AP102" s="96"/>
      <c r="AQ102" s="97">
        <f t="shared" si="60"/>
        <v>1299.9824999999998</v>
      </c>
      <c r="AR102" s="98">
        <f t="shared" si="65"/>
        <v>123.09</v>
      </c>
      <c r="AS102" s="98">
        <f t="shared" si="61"/>
        <v>487.36249999999984</v>
      </c>
      <c r="AT102" s="98">
        <f t="shared" si="62"/>
        <v>95.97999999999999</v>
      </c>
      <c r="AU102" s="98">
        <f t="shared" si="59"/>
        <v>1625</v>
      </c>
      <c r="AV102" s="98">
        <f t="array" ref="AV102">_xlfn.IFS(U102=0,AO102,U102&lt;0,AO102/-U102,U102&gt;0,AO102/U102)</f>
        <v>-1087.748602061562</v>
      </c>
      <c r="AW102" s="234">
        <f t="shared" si="66"/>
        <v>-0.83674095771409396</v>
      </c>
      <c r="AX102" s="234">
        <f t="shared" si="67"/>
        <v>-8.8370184585389708</v>
      </c>
      <c r="AY102" s="99"/>
      <c r="AZ102" s="94">
        <f t="shared" si="63"/>
        <v>-48948.687092770291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573.13847644355781</v>
      </c>
      <c r="AR104" s="111">
        <f t="shared" si="68"/>
        <v>141.22217391304349</v>
      </c>
      <c r="AS104" s="111">
        <f t="shared" si="68"/>
        <v>214.72872195664777</v>
      </c>
      <c r="AT104" s="111">
        <f t="shared" si="68"/>
        <v>123.80420785246017</v>
      </c>
      <c r="AU104" s="111">
        <f t="shared" si="68"/>
        <v>91.588588673244445</v>
      </c>
      <c r="AV104" s="111">
        <f t="shared" si="68"/>
        <v>29.744087996419772</v>
      </c>
      <c r="AW104" s="112">
        <f t="shared" si="68"/>
        <v>5.9593706361673555E-2</v>
      </c>
      <c r="AX104" s="112">
        <f t="shared" si="68"/>
        <v>0.25271450483153579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88063</v>
      </c>
      <c r="F105" s="116">
        <f t="shared" si="69"/>
        <v>2978</v>
      </c>
      <c r="G105" s="116">
        <f t="shared" si="69"/>
        <v>760</v>
      </c>
      <c r="H105" s="116">
        <f t="shared" si="69"/>
        <v>11663</v>
      </c>
      <c r="I105" s="116">
        <f t="shared" si="69"/>
        <v>1456</v>
      </c>
      <c r="J105" s="116">
        <f t="shared" si="69"/>
        <v>71206</v>
      </c>
      <c r="K105" s="116"/>
      <c r="L105" s="116">
        <f>SUM(L3:L103)</f>
        <v>10864398.260000007</v>
      </c>
      <c r="M105" s="116"/>
      <c r="N105" s="116">
        <f>SUM(N3:N103)</f>
        <v>3795</v>
      </c>
      <c r="O105" s="116"/>
      <c r="P105" s="116"/>
      <c r="Q105" s="212"/>
      <c r="R105" s="116"/>
      <c r="S105" s="116">
        <f t="shared" ref="S105:AE105" si="70">SUM(S3:S103)</f>
        <v>2096</v>
      </c>
      <c r="T105" s="116">
        <f t="shared" si="70"/>
        <v>-53</v>
      </c>
      <c r="U105" s="116">
        <f t="shared" si="70"/>
        <v>2043</v>
      </c>
      <c r="V105" s="116">
        <f t="shared" si="70"/>
        <v>1702514.8200000003</v>
      </c>
      <c r="W105" s="116">
        <f t="shared" si="70"/>
        <v>-41251</v>
      </c>
      <c r="X105" s="116">
        <f t="shared" si="70"/>
        <v>1661263.8200000003</v>
      </c>
      <c r="Y105" s="116">
        <f t="shared" si="70"/>
        <v>2657773.4200000004</v>
      </c>
      <c r="Z105" s="116">
        <f t="shared" si="70"/>
        <v>-65375.4</v>
      </c>
      <c r="AA105" s="116">
        <f t="shared" si="70"/>
        <v>2592398.0200000009</v>
      </c>
      <c r="AB105" s="116">
        <f t="shared" si="70"/>
        <v>2970422.7899999996</v>
      </c>
      <c r="AC105" s="239">
        <f t="shared" si="70"/>
        <v>0.99999999999999967</v>
      </c>
      <c r="AD105" s="117">
        <f t="shared" si="70"/>
        <v>254974.67999999991</v>
      </c>
      <c r="AE105" s="116">
        <f t="shared" si="70"/>
        <v>972977.24999999977</v>
      </c>
      <c r="AF105" s="239">
        <f>AE105/AA105</f>
        <v>0.3753193925059391</v>
      </c>
      <c r="AG105" s="116">
        <f t="shared" ref="AG105:AO105" si="71">SUM(AG3:AG103)</f>
        <v>270558.83999999985</v>
      </c>
      <c r="AH105" s="117">
        <f t="shared" si="71"/>
        <v>74484</v>
      </c>
      <c r="AI105" s="117">
        <f t="shared" si="71"/>
        <v>252853</v>
      </c>
      <c r="AJ105" s="117">
        <f t="shared" si="71"/>
        <v>0</v>
      </c>
      <c r="AK105" s="117">
        <f t="shared" si="71"/>
        <v>0</v>
      </c>
      <c r="AL105" s="117">
        <f t="shared" si="71"/>
        <v>11702.830000000002</v>
      </c>
      <c r="AM105" s="116">
        <f t="shared" si="71"/>
        <v>0</v>
      </c>
      <c r="AN105" s="117">
        <f t="shared" si="71"/>
        <v>94858.164121999958</v>
      </c>
      <c r="AO105" s="117">
        <f t="shared" si="71"/>
        <v>659989.25587800099</v>
      </c>
      <c r="AP105" s="118"/>
      <c r="AQ105" s="116"/>
      <c r="AR105" s="116"/>
      <c r="AS105" s="116"/>
      <c r="AT105" s="116"/>
      <c r="AU105" s="240">
        <f>(AH105+AI105+AJ105)/S105</f>
        <v>156.17223282442748</v>
      </c>
      <c r="AV105" s="116"/>
      <c r="AW105" s="116"/>
      <c r="AX105" s="116"/>
      <c r="AY105" s="119"/>
      <c r="AZ105" s="116">
        <f>SUM(AZ3:AZ103)</f>
        <v>27411560.409218922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45"/>
      <c r="AI106" s="545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46"/>
      <c r="AI114" s="547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548"/>
      <c r="AI125" s="54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88063</v>
      </c>
      <c r="F126" s="267">
        <f t="shared" si="80"/>
        <v>2978</v>
      </c>
      <c r="G126" s="267">
        <f t="shared" si="80"/>
        <v>760</v>
      </c>
      <c r="H126" s="267">
        <f t="shared" si="80"/>
        <v>11663</v>
      </c>
      <c r="I126" s="267">
        <f t="shared" si="80"/>
        <v>1456</v>
      </c>
      <c r="J126" s="267">
        <f t="shared" si="80"/>
        <v>71206</v>
      </c>
      <c r="K126" s="267">
        <f t="shared" si="80"/>
        <v>0</v>
      </c>
      <c r="L126" s="267">
        <f t="shared" si="80"/>
        <v>10864398.260000007</v>
      </c>
      <c r="M126" s="267">
        <f t="shared" si="80"/>
        <v>0</v>
      </c>
      <c r="N126" s="267">
        <f t="shared" si="80"/>
        <v>3795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2096</v>
      </c>
      <c r="T126" s="267">
        <f t="shared" si="80"/>
        <v>-53</v>
      </c>
      <c r="U126" s="267">
        <f t="shared" si="80"/>
        <v>2043</v>
      </c>
      <c r="V126" s="267">
        <f t="shared" si="80"/>
        <v>1702514.8200000003</v>
      </c>
      <c r="W126" s="267">
        <f t="shared" si="80"/>
        <v>-41251</v>
      </c>
      <c r="X126" s="267">
        <f t="shared" si="80"/>
        <v>1661263.8200000003</v>
      </c>
      <c r="Y126" s="267">
        <f t="shared" si="80"/>
        <v>2657773.4200000004</v>
      </c>
      <c r="Z126" s="267">
        <f t="shared" si="80"/>
        <v>-65375.4</v>
      </c>
      <c r="AA126" s="267">
        <f t="shared" si="80"/>
        <v>2592398.0200000009</v>
      </c>
      <c r="AB126" s="267">
        <f t="shared" si="80"/>
        <v>2970422.7899999996</v>
      </c>
      <c r="AC126" s="267">
        <f t="shared" si="80"/>
        <v>0.99999999999999967</v>
      </c>
      <c r="AD126" s="267">
        <f t="shared" si="80"/>
        <v>254974.67999999991</v>
      </c>
      <c r="AE126" s="267">
        <f t="shared" si="80"/>
        <v>972977.24999999977</v>
      </c>
      <c r="AF126" s="268">
        <f>AE126/AA126</f>
        <v>0.3753193925059391</v>
      </c>
      <c r="AG126" s="267">
        <f>AG105+AG113+AG124+AG125</f>
        <v>270728.83999999985</v>
      </c>
      <c r="AH126" s="267">
        <f>AH105+AH113+AH124</f>
        <v>74484</v>
      </c>
      <c r="AI126" s="267">
        <f>AI105+AI113+AI124</f>
        <v>252853</v>
      </c>
      <c r="AJ126" s="267">
        <f>AJ105+AJ113+AJ124</f>
        <v>0</v>
      </c>
      <c r="AK126" s="267">
        <f>AK105+AK113+AK124</f>
        <v>0</v>
      </c>
      <c r="AL126" s="156">
        <v>11702.83</v>
      </c>
      <c r="AM126" s="267">
        <f>AM105+AM113+AM124</f>
        <v>0</v>
      </c>
      <c r="AN126" s="267">
        <f>AN105+AN113+AN124</f>
        <v>94858.164121999958</v>
      </c>
      <c r="AO126" s="267">
        <f>AO105+AO113+AO124</f>
        <v>659989.25587800099</v>
      </c>
      <c r="AP126" s="155"/>
      <c r="AQ126" s="155"/>
      <c r="AR126" s="155"/>
      <c r="AS126" s="155"/>
      <c r="AT126" s="155"/>
      <c r="AU126" s="155">
        <f>(AH126+AI126)/S126</f>
        <v>156.17223282442748</v>
      </c>
      <c r="AV126" s="155"/>
      <c r="AW126" s="155"/>
      <c r="AX126" s="155"/>
      <c r="AY126" s="157"/>
      <c r="AZ126" s="155">
        <f>AZ105+AZ124</f>
        <v>27411560.409218922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48">
        <f>AH106+AH114+AH125</f>
        <v>0</v>
      </c>
      <c r="AI127" s="54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58" priority="15" operator="greaterThan">
      <formula>0.23</formula>
    </cfRule>
  </conditionalFormatting>
  <conditionalFormatting sqref="M123:O123 M106:M112 M3:M104">
    <cfRule type="cellIs" dxfId="57" priority="26" operator="greaterThan">
      <formula>120</formula>
    </cfRule>
  </conditionalFormatting>
  <conditionalFormatting sqref="AC125 AC127">
    <cfRule type="cellIs" dxfId="56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{B0D6EF22-6930-49E6-865F-4738CC2FD301}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{37AEC7A2-CFB2-430F-8162-EF76D397C067}</x14:id>
        </ext>
      </extLst>
    </cfRule>
  </conditionalFormatting>
  <conditionalFormatting sqref="AC1">
    <cfRule type="cellIs" dxfId="55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{5588B307-EF2B-48C2-8CC2-CB00038ED76D}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{C4D642B4-2AAB-4AF1-AC4D-BD63B8EB69B1}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{7E61850C-980C-4337-BE3E-686183F064A4}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{9BE783D0-408C-42B6-A363-8DFC53DF73A5}</x14:id>
        </ext>
      </extLst>
    </cfRule>
  </conditionalFormatting>
  <conditionalFormatting sqref="Q123">
    <cfRule type="cellIs" dxfId="54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{E3A32383-D611-4C4D-82B1-647246A259B4}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{FA882823-A82C-40F8-A881-93CD65A8CAC9}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{148EFC58-6701-4491-9461-26E491EA4C00}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{AA2B0B1E-FF2C-4DA3-9803-AF2349703CFE}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{A07A1B09-2324-4359-851F-B3DE228EF33E}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{14A35737-3FEA-43FE-A940-801CB0F0EACB}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{5C37ABEA-24BD-442C-A188-0BFF3482967D}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{98915537-349A-437A-A02A-B548A832937A}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{F856931B-ABD6-4FA2-AEE5-9661D0C84327}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{689DD536-F2E6-4D58-9E86-DE974D0D8E7E}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{E1C8B297-F9FE-4175-8617-98F28D7C0712}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{234559C1-0824-4E37-A81C-AD1ECCDCAC7D}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{AE1689F7-0BF4-46EB-878D-9B31E30509A2}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{A2EE9192-C96B-4559-ABC1-4CC10E1F5EA8}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{BF45961A-DA78-4F8B-9A57-16E0AB5D2E87}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{2500971B-234F-4BAD-8393-8BC4D1FF42A7}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{3C17AFA6-49E3-4351-92CA-47A2D50B93D1}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{91C6DE7F-7EA4-46B7-BF21-C56159324680}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{593C899F-AD2A-4BF7-8987-51D84188FBBE}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{1A5BF673-E989-45F8-A3CE-4F81A110DFF1}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{0865270C-2A1F-4ABA-9CCE-18AD2E50394F}</x14:id>
        </ext>
      </extLst>
    </cfRule>
  </conditionalFormatting>
  <conditionalFormatting sqref="M115:M122">
    <cfRule type="cellIs" dxfId="53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{6EBA30C8-E897-4A06-92AF-2C0FB4E07272}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{26271341-0D69-48B8-83A5-3069CAA87938}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{C169DB09-06A1-4D3F-950F-5A1FAE75B5D4}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{9CC1D1C8-8BC2-49E1-8E1D-FBB4080A853B}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{EDF2CBBD-79F4-4AB7-85FD-D59EC9138A12}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{950A1EB0-0328-456D-9C21-E898D0E32F1A}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D6EF22-6930-49E6-865F-4738CC2FD3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37AEC7A2-CFB2-430F-8162-EF76D397C0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5588B307-EF2B-48C2-8CC2-CB00038ED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C4D642B4-2AAB-4AF1-AC4D-BD63B8EB69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7E61850C-980C-4337-BE3E-686183F064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E783D0-408C-42B6-A363-8DFC53DF73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A32383-D611-4C4D-82B1-647246A259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A882823-A82C-40F8-A881-93CD65A8CA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48EFC58-6701-4491-9461-26E491EA4C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AA2B0B1E-FF2C-4DA3-9803-AF2349703C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07A1B09-2324-4359-851F-B3DE228EF3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4A35737-3FEA-43FE-A940-801CB0F0EA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C37ABEA-24BD-442C-A188-0BFF348296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98915537-349A-437A-A02A-B548A83293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F856931B-ABD6-4FA2-AEE5-9661D0C84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689DD536-F2E6-4D58-9E86-DE974D0D8E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1C8B297-F9FE-4175-8617-98F28D7C07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234559C1-0824-4E37-A81C-AD1ECCDCA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AE1689F7-0BF4-46EB-878D-9B31E30509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A2EE9192-C96B-4559-ABC1-4CC10E1F5E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BF45961A-DA78-4F8B-9A57-16E0AB5D2E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500971B-234F-4BAD-8393-8BC4D1FF42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3C17AFA6-49E3-4351-92CA-47A2D50B9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1C6DE7F-7EA4-46B7-BF21-C56159324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93C899F-AD2A-4BF7-8987-51D84188F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1A5BF673-E989-45F8-A3CE-4F81A110DF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865270C-2A1F-4ABA-9CCE-18AD2E5039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EBA30C8-E897-4A06-92AF-2C0FB4E072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26271341-0D69-48B8-83A5-3069CAA879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C169DB09-06A1-4D3F-950F-5A1FAE75B5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CC1D1C8-8BC2-49E1-8E1D-FBB4080A8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EDF2CBBD-79F4-4AB7-85FD-D59EC9138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50A1EB0-0328-456D-9C21-E898D0E32F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F5DC-F982-4F43-8BB7-B2918C49CE58}">
  <dimension ref="A1:AZ129"/>
  <sheetViews>
    <sheetView zoomScale="70" zoomScaleNormal="70" workbookViewId="0">
      <pane xSplit="3" ySplit="2" topLeftCell="AD3" activePane="bottomRight" state="frozen"/>
      <selection pane="topRight" activeCell="D1" sqref="D1"/>
      <selection pane="bottomLeft" activeCell="A3" sqref="A3"/>
      <selection pane="bottomRight" activeCell="AN4" sqref="AN4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266</v>
      </c>
      <c r="B1" s="73"/>
      <c r="C1" s="72"/>
      <c r="D1" s="72"/>
      <c r="E1" s="222"/>
      <c r="F1" s="539" t="s">
        <v>42</v>
      </c>
      <c r="G1" s="539"/>
      <c r="H1" s="539"/>
      <c r="I1" s="540" t="s">
        <v>115</v>
      </c>
      <c r="J1" s="541"/>
      <c r="M1" s="299" t="s">
        <v>43</v>
      </c>
      <c r="N1" s="539" t="s">
        <v>116</v>
      </c>
      <c r="O1" s="539"/>
      <c r="P1" s="539"/>
      <c r="R1" s="224"/>
      <c r="S1" s="542"/>
      <c r="T1" s="542"/>
      <c r="U1" s="224"/>
      <c r="V1" s="543"/>
      <c r="W1" s="544"/>
      <c r="X1" s="224"/>
      <c r="Y1" s="542"/>
      <c r="Z1" s="542"/>
      <c r="AA1" s="301"/>
      <c r="AB1" s="224"/>
      <c r="AC1" s="224"/>
      <c r="AD1" s="224"/>
      <c r="AE1" s="225"/>
      <c r="AF1" s="224"/>
      <c r="AG1" s="225"/>
      <c r="AH1" s="535"/>
      <c r="AI1" s="535"/>
      <c r="AJ1" s="283" t="s">
        <v>248</v>
      </c>
      <c r="AK1" s="295"/>
      <c r="AL1" s="300" t="s">
        <v>44</v>
      </c>
      <c r="AM1" s="225"/>
      <c r="AQ1" s="536" t="s">
        <v>45</v>
      </c>
      <c r="AR1" s="537"/>
      <c r="AS1" s="537"/>
      <c r="AT1" s="537"/>
      <c r="AU1" s="537"/>
      <c r="AV1" s="537"/>
      <c r="AW1" s="537"/>
      <c r="AX1" s="538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285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93">
        <f>'Юнит 6'!N3+'Юнит 7'!N3+'Юнит 8'!N3+'Юнит 9'!N3</f>
        <v>555</v>
      </c>
      <c r="O3" s="89">
        <v>1386</v>
      </c>
      <c r="P3" s="89">
        <v>62</v>
      </c>
      <c r="Q3" s="233">
        <f>N3/32</f>
        <v>17.34375</v>
      </c>
      <c r="R3" s="92">
        <f>U3/32</f>
        <v>10.0625</v>
      </c>
      <c r="S3" s="93">
        <f>'Юнит 6'!S3+'Юнит 7'!S3+'Юнит 8'!S3+'Юнит 9'!S3</f>
        <v>330</v>
      </c>
      <c r="T3" s="93">
        <f>'Юнит 6'!T3+'Юнит 7'!T3+'Юнит 8'!T3+'Юнит 9'!T3</f>
        <v>-8</v>
      </c>
      <c r="U3" s="92">
        <f t="shared" ref="U3:U66" si="1">S3+T3</f>
        <v>322</v>
      </c>
      <c r="V3" s="93">
        <f>'Юнит 6'!V3+'Юнит 7'!V3+'Юнит 8'!V3+'Юнит 9'!V3</f>
        <v>282890.19000000006</v>
      </c>
      <c r="W3" s="93">
        <f>'Юнит 6'!W3+'Юнит 7'!W3+'Юнит 8'!W3+'Юнит 9'!W3</f>
        <v>-6727</v>
      </c>
      <c r="X3" s="92">
        <f t="shared" ref="X3:X66" si="2">V3+W3</f>
        <v>276163.19000000006</v>
      </c>
      <c r="Y3" s="93">
        <f>'Юнит 6'!Y3+'Юнит 7'!Y3+'Юнит 8'!Y3+'Юнит 9'!Y3</f>
        <v>447198.35</v>
      </c>
      <c r="Z3" s="93">
        <f>'Юнит 6'!Z3+'Юнит 7'!Z3+'Юнит 8'!Z3+'Юнит 9'!Z3</f>
        <v>-10849.34</v>
      </c>
      <c r="AA3" s="232">
        <f t="shared" ref="AA3:AA66" si="3">Y3+Z3</f>
        <v>436349.00999999995</v>
      </c>
      <c r="AB3" s="92">
        <f>N3*O3*P3/100</f>
        <v>476922.6</v>
      </c>
      <c r="AC3" s="234">
        <f t="shared" ref="AC3:AC34" si="4">AA3/$AA$126</f>
        <v>5.1495569200121806E-2</v>
      </c>
      <c r="AD3" s="92">
        <f t="shared" ref="AD3:AD66" si="5">U3*K3</f>
        <v>46039.56</v>
      </c>
      <c r="AE3" s="93">
        <f>'Юнит 6'!AE3+'Юнит 7'!AE3+'Юнит 8'!AE3+'Юнит 9'!AE3</f>
        <v>162479.29999999999</v>
      </c>
      <c r="AF3" s="234">
        <f t="shared" ref="AF3:AF66" si="6">IF(AA3=0,0,AE3/AA3)</f>
        <v>0.37236087690447611</v>
      </c>
      <c r="AG3" s="93">
        <f>'Юнит 6'!AG3+'Юнит 7'!AG3+'Юнит 8'!AG3+'Юнит 9'!AG3</f>
        <v>37227.539999999994</v>
      </c>
      <c r="AH3" s="93">
        <f>'Юнит 6'!AH3+'Юнит 7'!AH3+'Юнит 8'!AH3+'Юнит 9'!AH3</f>
        <v>59900</v>
      </c>
      <c r="AI3" s="93">
        <f>'Юнит 6'!AI3+'Юнит 7'!AI3+'Юнит 8'!AI3+'Юнит 9'!AI3</f>
        <v>61048</v>
      </c>
      <c r="AJ3" s="93">
        <f>'Юнит 6'!AJ3+'Юнит 7'!AJ3+'Юнит 8'!AJ3+'Юнит 9'!AJ3</f>
        <v>0</v>
      </c>
      <c r="AK3" s="93">
        <f>'Юнит 6'!AK3+'Юнит 7'!AK3+'Юнит 8'!AK3+'Юнит 9'!AK3</f>
        <v>0</v>
      </c>
      <c r="AL3" s="122">
        <f t="shared" ref="AL3:AL34" si="7">IFERROR($AL$126*H3/$H$126,0)</f>
        <v>0</v>
      </c>
      <c r="AM3" s="93">
        <f>'Юнит 6'!AM3+'Юнит 7'!AM3+'Юнит 8'!AM3+'Юнит 9'!AM3</f>
        <v>0</v>
      </c>
      <c r="AN3" s="325">
        <f t="shared" ref="AN3:AN34" si="8">304652.46*X3/$X$126</f>
        <v>15505.985721481266</v>
      </c>
      <c r="AO3" s="95">
        <f>AA3-AD3-AE3-AG3-AH3-AI3-AK3-AL3-AN3-AM3</f>
        <v>54148.624278518721</v>
      </c>
      <c r="AP3" s="96"/>
      <c r="AQ3" s="97">
        <f t="shared" ref="AQ3:AQ97" si="9">IF(U3=0,0,AA3/U3)</f>
        <v>1355.1211490683229</v>
      </c>
      <c r="AR3" s="98">
        <f t="shared" ref="AR3:AR19" si="10">K3</f>
        <v>142.97999999999999</v>
      </c>
      <c r="AS3" s="98">
        <f t="shared" ref="AS3:AS97" si="11">IF(U3=0,0,AE3/U3)</f>
        <v>504.59409937888194</v>
      </c>
      <c r="AT3" s="98">
        <f t="shared" ref="AT3:AT97" si="12">IF(S3=0,AG3/1,AG3/S3)</f>
        <v>112.81072727272725</v>
      </c>
      <c r="AU3" s="98">
        <f>IF(S3=0,0,(AH3+AI3+AJ3)/S3)</f>
        <v>366.5090909090909</v>
      </c>
      <c r="AV3" s="98">
        <f>_xlfn.IFS(U3=0,AO3,U3&lt;0,AO3/-U3,U3&gt;0,AO3/U3)</f>
        <v>168.16342943639353</v>
      </c>
      <c r="AW3" s="234">
        <f t="shared" ref="AW3" si="13">IF(AQ3=0,0,AV3/AQ3)</f>
        <v>0.12409475680606842</v>
      </c>
      <c r="AX3" s="234">
        <f t="shared" ref="AX3" si="14">IF(AR3=0,0,AV3/AR3)</f>
        <v>1.1761325320771685</v>
      </c>
      <c r="AY3" s="99"/>
      <c r="AZ3" s="94">
        <f t="shared" ref="AZ3:AZ97" si="15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93">
        <f>'Юнит 6'!N4+'Юнит 7'!N4+'Юнит 8'!N4+'Юнит 9'!N4</f>
        <v>2922</v>
      </c>
      <c r="O4" s="89">
        <v>988</v>
      </c>
      <c r="P4" s="89">
        <v>72</v>
      </c>
      <c r="Q4" s="233">
        <f t="shared" ref="Q4:Q67" si="16">N4/32</f>
        <v>91.3125</v>
      </c>
      <c r="R4" s="92">
        <f t="shared" ref="R4:R67" si="17">U4/32</f>
        <v>60.59375</v>
      </c>
      <c r="S4" s="93">
        <f>'Юнит 6'!S4+'Юнит 7'!S4+'Юнит 8'!S4+'Юнит 9'!S4</f>
        <v>1966</v>
      </c>
      <c r="T4" s="93">
        <f>'Юнит 6'!T4+'Юнит 7'!T4+'Юнит 8'!T4+'Юнит 9'!T4</f>
        <v>-27</v>
      </c>
      <c r="U4" s="92">
        <f t="shared" si="1"/>
        <v>1939</v>
      </c>
      <c r="V4" s="93">
        <f>'Юнит 6'!V4+'Юнит 7'!V4+'Юнит 8'!V4+'Юнит 9'!V4</f>
        <v>1208099.8700000001</v>
      </c>
      <c r="W4" s="93">
        <f>'Юнит 6'!W4+'Юнит 7'!W4+'Юнит 8'!W4+'Юнит 9'!W4</f>
        <v>-16674.170000000002</v>
      </c>
      <c r="X4" s="92">
        <f t="shared" si="2"/>
        <v>1191425.7000000002</v>
      </c>
      <c r="Y4" s="93">
        <f>'Юнит 6'!Y4+'Юнит 7'!Y4+'Юнит 8'!Y4+'Юнит 9'!Y4</f>
        <v>1843087.9400000004</v>
      </c>
      <c r="Z4" s="93">
        <f>'Юнит 6'!Z4+'Юнит 7'!Z4+'Юнит 8'!Z4+'Юнит 9'!Z4</f>
        <v>-24705.9</v>
      </c>
      <c r="AA4" s="232">
        <f t="shared" si="3"/>
        <v>1818382.0400000005</v>
      </c>
      <c r="AB4" s="92">
        <f t="shared" ref="AB4:AB67" si="18">N4*O4*P4/100</f>
        <v>2078593.92</v>
      </c>
      <c r="AC4" s="234">
        <f t="shared" si="4"/>
        <v>0.21459569295935538</v>
      </c>
      <c r="AD4" s="92">
        <f t="shared" si="5"/>
        <v>238671.51</v>
      </c>
      <c r="AE4" s="93">
        <f>'Юнит 6'!AE4+'Юнит 7'!AE4+'Юнит 8'!AE4+'Юнит 9'!AE4</f>
        <v>679793.99000000057</v>
      </c>
      <c r="AF4" s="234">
        <f t="shared" si="6"/>
        <v>0.37384552588299891</v>
      </c>
      <c r="AG4" s="93">
        <f>'Юнит 6'!AG4+'Юнит 7'!AG4+'Юнит 8'!AG4+'Юнит 9'!AG4</f>
        <v>172971.17000000045</v>
      </c>
      <c r="AH4" s="93">
        <f>'Юнит 6'!AH4+'Юнит 7'!AH4+'Юнит 8'!AH4+'Юнит 9'!AH4</f>
        <v>8016</v>
      </c>
      <c r="AI4" s="93">
        <f>'Юнит 6'!AI4+'Юнит 7'!AI4+'Юнит 8'!AI4+'Юнит 9'!AI4</f>
        <v>8500</v>
      </c>
      <c r="AJ4" s="93">
        <f>'Юнит 6'!AJ4+'Юнит 7'!AJ4+'Юнит 8'!AJ4+'Юнит 9'!AJ4</f>
        <v>0</v>
      </c>
      <c r="AK4" s="93">
        <f>'Юнит 6'!AK4+'Юнит 7'!AK4+'Юнит 8'!AK4+'Юнит 9'!AK4</f>
        <v>0</v>
      </c>
      <c r="AL4" s="122">
        <f t="shared" si="7"/>
        <v>0</v>
      </c>
      <c r="AM4" s="93">
        <f>'Юнит 6'!AM4+'Юнит 7'!AM4+'Юнит 8'!AM4+'Юнит 9'!AM4</f>
        <v>30</v>
      </c>
      <c r="AN4" s="325">
        <f t="shared" si="8"/>
        <v>66896.062043626545</v>
      </c>
      <c r="AO4" s="95">
        <f>AA4-AD4-AE4-AG4-AH4-AI4-AK4-AL4-AN4-AM4</f>
        <v>643503.30795637285</v>
      </c>
      <c r="AP4" s="96"/>
      <c r="AQ4" s="97">
        <f t="shared" si="9"/>
        <v>937.79372872614772</v>
      </c>
      <c r="AR4" s="98">
        <f t="shared" si="10"/>
        <v>123.09</v>
      </c>
      <c r="AS4" s="98">
        <f t="shared" si="11"/>
        <v>350.58998968540516</v>
      </c>
      <c r="AT4" s="98">
        <f t="shared" si="12"/>
        <v>87.9812665310277</v>
      </c>
      <c r="AU4" s="98">
        <f t="shared" ref="AU4:AU70" si="19">IF(S4=0,0,(AH4+AI4+AJ4)/S4)</f>
        <v>8.4008138351983721</v>
      </c>
      <c r="AV4" s="98">
        <f t="array" ref="AV4">_xlfn.IFS(U4=0,AO4,U4&lt;0,AO4/-U4,U4&gt;0,AO4/U4)</f>
        <v>331.87380503165178</v>
      </c>
      <c r="AW4" s="234">
        <f>IF(AQ4=0,0,AV4/AQ4)</f>
        <v>0.3538878485383482</v>
      </c>
      <c r="AX4" s="234">
        <f>IF(AR4=0,0,AV4/AR4)</f>
        <v>2.6961881958863576</v>
      </c>
      <c r="AY4" s="99"/>
      <c r="AZ4" s="94">
        <f t="shared" si="15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93">
        <f>'Юнит 6'!N5+'Юнит 7'!N5+'Юнит 8'!N5+'Юнит 9'!N5</f>
        <v>760</v>
      </c>
      <c r="O5" s="89">
        <v>1104</v>
      </c>
      <c r="P5" s="89">
        <v>75</v>
      </c>
      <c r="Q5" s="233">
        <f t="shared" si="16"/>
        <v>23.75</v>
      </c>
      <c r="R5" s="92">
        <f t="shared" si="17"/>
        <v>16.1875</v>
      </c>
      <c r="S5" s="93">
        <f>'Юнит 6'!S5+'Юнит 7'!S5+'Юнит 8'!S5+'Юнит 9'!S5</f>
        <v>524</v>
      </c>
      <c r="T5" s="93">
        <f>'Юнит 6'!T5+'Юнит 7'!T5+'Юнит 8'!T5+'Юнит 9'!T5</f>
        <v>-6</v>
      </c>
      <c r="U5" s="92">
        <f t="shared" si="1"/>
        <v>518</v>
      </c>
      <c r="V5" s="93">
        <f>'Юнит 6'!V5+'Юнит 7'!V5+'Юнит 8'!V5+'Юнит 9'!V5</f>
        <v>355749.4</v>
      </c>
      <c r="W5" s="93">
        <f>'Юнит 6'!W5+'Юнит 7'!W5+'Юнит 8'!W5+'Юнит 9'!W5</f>
        <v>-3287</v>
      </c>
      <c r="X5" s="92">
        <f t="shared" si="2"/>
        <v>352462.4</v>
      </c>
      <c r="Y5" s="93">
        <f>'Юнит 6'!Y5+'Юнит 7'!Y5+'Юнит 8'!Y5+'Юнит 9'!Y5</f>
        <v>565463.94000000006</v>
      </c>
      <c r="Z5" s="93">
        <f>'Юнит 6'!Z5+'Юнит 7'!Z5+'Юнит 8'!Z5+'Юнит 9'!Z5</f>
        <v>-5456.92</v>
      </c>
      <c r="AA5" s="232">
        <f t="shared" si="3"/>
        <v>560007.02</v>
      </c>
      <c r="AB5" s="92">
        <f t="shared" si="18"/>
        <v>629280</v>
      </c>
      <c r="AC5" s="234">
        <f t="shared" si="4"/>
        <v>6.6089024129936724E-2</v>
      </c>
      <c r="AD5" s="92">
        <f t="shared" si="5"/>
        <v>63760.62</v>
      </c>
      <c r="AE5" s="93">
        <f>'Юнит 6'!AE5+'Юнит 7'!AE5+'Юнит 8'!AE5+'Юнит 9'!AE5</f>
        <v>208461.44000000003</v>
      </c>
      <c r="AF5" s="234">
        <f t="shared" si="6"/>
        <v>0.37224790503519051</v>
      </c>
      <c r="AG5" s="93">
        <f>'Юнит 6'!AG5+'Юнит 7'!AG5+'Юнит 8'!AG5+'Юнит 9'!AG5</f>
        <v>45510.839999999953</v>
      </c>
      <c r="AH5" s="93">
        <f>'Юнит 6'!AH5+'Юнит 7'!AH5+'Юнит 8'!AH5+'Юнит 9'!AH5</f>
        <v>24241</v>
      </c>
      <c r="AI5" s="93">
        <f>'Юнит 6'!AI5+'Юнит 7'!AI5+'Юнит 8'!AI5+'Юнит 9'!AI5</f>
        <v>38331</v>
      </c>
      <c r="AJ5" s="93">
        <f>'Юнит 6'!AJ5+'Юнит 7'!AJ5+'Юнит 8'!AJ5+'Юнит 9'!AJ5</f>
        <v>0</v>
      </c>
      <c r="AK5" s="93">
        <f>'Юнит 6'!AK5+'Юнит 7'!AK5+'Юнит 8'!AK5+'Юнит 9'!AK5</f>
        <v>0</v>
      </c>
      <c r="AL5" s="122">
        <f t="shared" si="7"/>
        <v>0</v>
      </c>
      <c r="AM5" s="93">
        <f>'Юнит 6'!AM5+'Юнит 7'!AM5+'Юнит 8'!AM5+'Юнит 9'!AM5</f>
        <v>50</v>
      </c>
      <c r="AN5" s="325">
        <f t="shared" si="8"/>
        <v>19790.026837968588</v>
      </c>
      <c r="AO5" s="95">
        <f t="shared" ref="AO5:AO68" si="20">AA5-AD5-AE5-AG5-AH5-AI5-AK5-AL5-AN5-AM5</f>
        <v>159862.09316203141</v>
      </c>
      <c r="AP5" s="96"/>
      <c r="AQ5" s="97">
        <f t="shared" si="9"/>
        <v>1081.0946332046333</v>
      </c>
      <c r="AR5" s="98">
        <f t="shared" si="10"/>
        <v>123.09</v>
      </c>
      <c r="AS5" s="98">
        <f t="shared" si="11"/>
        <v>402.4352123552124</v>
      </c>
      <c r="AT5" s="98">
        <f t="shared" si="12"/>
        <v>86.852748091602962</v>
      </c>
      <c r="AU5" s="98">
        <f t="shared" si="19"/>
        <v>119.41221374045801</v>
      </c>
      <c r="AV5" s="98">
        <f t="array" ref="AV5">_xlfn.IFS(U5=0,AO5,U5&lt;0,AO5/-U5,U5&gt;0,AO5/U5)</f>
        <v>308.61407946338107</v>
      </c>
      <c r="AW5" s="234">
        <f>IF(AQ5=0,0,AV5/AQ5)</f>
        <v>0.28546444500290619</v>
      </c>
      <c r="AX5" s="234">
        <f>IF(AR5=0,0,AV5/AR5)</f>
        <v>2.5072230031958815</v>
      </c>
      <c r="AY5" s="99"/>
      <c r="AZ5" s="94">
        <f t="shared" si="15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1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2">E6*K6</f>
        <v>0</v>
      </c>
      <c r="M6" s="89"/>
      <c r="N6" s="93">
        <f>'Юнит 6'!N6+'Юнит 7'!N6+'Юнит 8'!N6+'Юнит 9'!N6</f>
        <v>612</v>
      </c>
      <c r="O6" s="89">
        <v>1012</v>
      </c>
      <c r="P6" s="89">
        <v>76</v>
      </c>
      <c r="Q6" s="233">
        <f t="shared" si="16"/>
        <v>19.125</v>
      </c>
      <c r="R6" s="92">
        <f t="shared" si="17"/>
        <v>13.78125</v>
      </c>
      <c r="S6" s="93">
        <f>'Юнит 6'!S6+'Юнит 7'!S6+'Юнит 8'!S6+'Юнит 9'!S6</f>
        <v>452</v>
      </c>
      <c r="T6" s="93">
        <f>'Юнит 6'!T6+'Юнит 7'!T6+'Юнит 8'!T6+'Юнит 9'!T6</f>
        <v>-11</v>
      </c>
      <c r="U6" s="92">
        <f t="shared" si="1"/>
        <v>441</v>
      </c>
      <c r="V6" s="93">
        <f>'Юнит 6'!V6+'Юнит 7'!V6+'Юнит 8'!V6+'Юнит 9'!V6</f>
        <v>289450.68</v>
      </c>
      <c r="W6" s="93">
        <f>'Юнит 6'!W6+'Юнит 7'!W6+'Юнит 8'!W6+'Юнит 9'!W6</f>
        <v>-6951</v>
      </c>
      <c r="X6" s="92">
        <f t="shared" si="2"/>
        <v>282499.68</v>
      </c>
      <c r="Y6" s="93">
        <f>'Юнит 6'!Y6+'Юнит 7'!Y6+'Юнит 8'!Y6+'Юнит 9'!Y6</f>
        <v>445827.14</v>
      </c>
      <c r="Z6" s="93">
        <f>'Юнит 6'!Z6+'Юнит 7'!Z6+'Юнит 8'!Z6+'Юнит 9'!Z6</f>
        <v>-10877</v>
      </c>
      <c r="AA6" s="232">
        <f t="shared" si="3"/>
        <v>434950.14</v>
      </c>
      <c r="AB6" s="92">
        <f t="shared" si="18"/>
        <v>470701.44</v>
      </c>
      <c r="AC6" s="234">
        <f t="shared" si="4"/>
        <v>5.1330482067491502E-2</v>
      </c>
      <c r="AD6" s="92">
        <f t="shared" si="5"/>
        <v>54282.69</v>
      </c>
      <c r="AE6" s="93">
        <f>'Юнит 6'!AE6+'Юнит 7'!AE6+'Юнит 8'!AE6+'Юнит 9'!AE6</f>
        <v>162636.58999999997</v>
      </c>
      <c r="AF6" s="234">
        <f t="shared" si="6"/>
        <v>0.37392007736794836</v>
      </c>
      <c r="AG6" s="93">
        <f>'Юнит 6'!AG6+'Юнит 7'!AG6+'Юнит 8'!AG6+'Юнит 9'!AG6</f>
        <v>39585.979999999974</v>
      </c>
      <c r="AH6" s="93">
        <f>'Юнит 6'!AH6+'Юнит 7'!AH6+'Юнит 8'!AH6+'Юнит 9'!AH6</f>
        <v>19893</v>
      </c>
      <c r="AI6" s="93">
        <f>'Юнит 6'!AI6+'Юнит 7'!AI6+'Юнит 8'!AI6+'Юнит 9'!AI6</f>
        <v>23625</v>
      </c>
      <c r="AJ6" s="93">
        <f>'Юнит 6'!AJ6+'Юнит 7'!AJ6+'Юнит 8'!AJ6+'Юнит 9'!AJ6</f>
        <v>0</v>
      </c>
      <c r="AK6" s="93">
        <f>'Юнит 6'!AK6+'Юнит 7'!AK6+'Юнит 8'!AK6+'Юнит 9'!AK6</f>
        <v>0</v>
      </c>
      <c r="AL6" s="122">
        <f t="shared" si="7"/>
        <v>0</v>
      </c>
      <c r="AM6" s="93">
        <f>'Юнит 6'!AM6+'Юнит 7'!AM6+'Юнит 8'!AM6+'Юнит 9'!AM6</f>
        <v>20</v>
      </c>
      <c r="AN6" s="325">
        <f t="shared" si="8"/>
        <v>15861.76638676221</v>
      </c>
      <c r="AO6" s="95">
        <f t="shared" si="20"/>
        <v>119045.11361323786</v>
      </c>
      <c r="AP6" s="96"/>
      <c r="AQ6" s="97">
        <f t="shared" si="9"/>
        <v>986.28149659863948</v>
      </c>
      <c r="AR6" s="98">
        <f t="shared" si="10"/>
        <v>123.09</v>
      </c>
      <c r="AS6" s="98">
        <f t="shared" si="11"/>
        <v>368.79045351473917</v>
      </c>
      <c r="AT6" s="98">
        <f t="shared" si="12"/>
        <v>87.579601769911449</v>
      </c>
      <c r="AU6" s="98">
        <f t="shared" si="19"/>
        <v>96.278761061946909</v>
      </c>
      <c r="AV6" s="98">
        <f t="array" ref="AV6">_xlfn.IFS(U6=0,AO6,U6&lt;0,AO6/-U6,U6&gt;0,AO6/U6)</f>
        <v>269.94356828398605</v>
      </c>
      <c r="AW6" s="234">
        <f t="shared" ref="AW6" si="23">IF(AQ6=0,0,AV6/AQ6)</f>
        <v>0.27369829933435091</v>
      </c>
      <c r="AX6" s="234">
        <f t="shared" ref="AX6" si="24">IF(AR6=0,0,AV6/AR6)</f>
        <v>2.193058479843903</v>
      </c>
      <c r="AY6" s="99"/>
      <c r="AZ6" s="94">
        <f t="shared" si="15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93">
        <f>'Юнит 6'!N7+'Юнит 7'!N7+'Юнит 8'!N7+'Юнит 9'!N7</f>
        <v>1009</v>
      </c>
      <c r="O7" s="89">
        <v>1165</v>
      </c>
      <c r="P7" s="89">
        <v>68</v>
      </c>
      <c r="Q7" s="233">
        <f t="shared" si="16"/>
        <v>31.53125</v>
      </c>
      <c r="R7" s="92">
        <f t="shared" si="17"/>
        <v>19.5</v>
      </c>
      <c r="S7" s="93">
        <f>'Юнит 6'!S7+'Юнит 7'!S7+'Юнит 8'!S7+'Юнит 9'!S7</f>
        <v>640</v>
      </c>
      <c r="T7" s="93">
        <f>'Юнит 6'!T7+'Юнит 7'!T7+'Юнит 8'!T7+'Юнит 9'!T7</f>
        <v>-16</v>
      </c>
      <c r="U7" s="92">
        <f t="shared" si="1"/>
        <v>624</v>
      </c>
      <c r="V7" s="93">
        <f>'Юнит 6'!V7+'Юнит 7'!V7+'Юнит 8'!V7+'Юнит 9'!V7</f>
        <v>456099.30000000005</v>
      </c>
      <c r="W7" s="93">
        <f>'Юнит 6'!W7+'Юнит 7'!W7+'Юнит 8'!W7+'Юнит 9'!W7</f>
        <v>-10710</v>
      </c>
      <c r="X7" s="92">
        <f t="shared" si="2"/>
        <v>445389.30000000005</v>
      </c>
      <c r="Y7" s="93">
        <f>'Юнит 6'!Y7+'Юнит 7'!Y7+'Юнит 8'!Y7+'Юнит 9'!Y7</f>
        <v>714452.75</v>
      </c>
      <c r="Z7" s="93">
        <f>'Юнит 6'!Z7+'Юнит 7'!Z7+'Юнит 8'!Z7+'Юнит 9'!Z7</f>
        <v>-16909.509999999998</v>
      </c>
      <c r="AA7" s="232">
        <f t="shared" si="3"/>
        <v>697543.24</v>
      </c>
      <c r="AB7" s="92">
        <f t="shared" si="18"/>
        <v>799329.8</v>
      </c>
      <c r="AC7" s="234">
        <f t="shared" si="4"/>
        <v>8.2320310949020314E-2</v>
      </c>
      <c r="AD7" s="92">
        <f t="shared" si="5"/>
        <v>73157.759999999995</v>
      </c>
      <c r="AE7" s="93">
        <f>'Юнит 6'!AE7+'Юнит 7'!AE7+'Юнит 8'!AE7+'Юнит 9'!AE7</f>
        <v>260031.88</v>
      </c>
      <c r="AF7" s="234">
        <f t="shared" si="6"/>
        <v>0.37278245288421119</v>
      </c>
      <c r="AG7" s="93">
        <f>'Юнит 6'!AG7+'Юнит 7'!AG7+'Юнит 8'!AG7+'Юнит 9'!AG7</f>
        <v>61348.589999999967</v>
      </c>
      <c r="AH7" s="93">
        <f>'Юнит 6'!AH7+'Юнит 7'!AH7+'Юнит 8'!AH7+'Юнит 9'!AH7</f>
        <v>36500</v>
      </c>
      <c r="AI7" s="93">
        <f>'Юнит 6'!AI7+'Юнит 7'!AI7+'Юнит 8'!AI7+'Юнит 9'!AI7</f>
        <v>50440</v>
      </c>
      <c r="AJ7" s="93">
        <f>'Юнит 6'!AJ7+'Юнит 7'!AJ7+'Юнит 8'!AJ7+'Юнит 9'!AJ7</f>
        <v>0</v>
      </c>
      <c r="AK7" s="93">
        <f>'Юнит 6'!AK7+'Юнит 7'!AK7+'Юнит 8'!AK7+'Юнит 9'!AK7</f>
        <v>0</v>
      </c>
      <c r="AL7" s="122">
        <f t="shared" si="7"/>
        <v>0</v>
      </c>
      <c r="AM7" s="93">
        <f>'Юнит 6'!AM7+'Юнит 7'!AM7+'Юнит 8'!AM7+'Юнит 9'!AM7</f>
        <v>0</v>
      </c>
      <c r="AN7" s="325">
        <f t="shared" si="8"/>
        <v>25007.677983081438</v>
      </c>
      <c r="AO7" s="95">
        <f t="shared" si="20"/>
        <v>191057.33201691858</v>
      </c>
      <c r="AP7" s="96"/>
      <c r="AQ7" s="97">
        <f t="shared" si="9"/>
        <v>1117.8577564102563</v>
      </c>
      <c r="AR7" s="98">
        <f t="shared" si="10"/>
        <v>117.24</v>
      </c>
      <c r="AS7" s="98">
        <f t="shared" si="11"/>
        <v>416.71775641025641</v>
      </c>
      <c r="AT7" s="98">
        <f t="shared" si="12"/>
        <v>95.857171874999949</v>
      </c>
      <c r="AU7" s="98">
        <f t="shared" si="19"/>
        <v>135.84375</v>
      </c>
      <c r="AV7" s="98">
        <f t="array" ref="AV7">_xlfn.IFS(U7=0,AO7,U7&lt;0,AO7/-U7,U7&gt;0,AO7/U7)</f>
        <v>306.18162182198489</v>
      </c>
      <c r="AW7" s="234">
        <f>IF(AQ7=0,0,AV7/AQ7)</f>
        <v>0.27390034203029273</v>
      </c>
      <c r="AX7" s="234">
        <f>IF(AR7=0,0,AV7/AR7)</f>
        <v>2.6115798517740099</v>
      </c>
      <c r="AY7" s="99"/>
      <c r="AZ7" s="94">
        <f t="shared" si="15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93">
        <f>'Юнит 6'!N8+'Юнит 7'!N8+'Юнит 8'!N8+'Юнит 9'!N8</f>
        <v>466</v>
      </c>
      <c r="O8" s="89">
        <v>1325</v>
      </c>
      <c r="P8" s="89">
        <v>53</v>
      </c>
      <c r="Q8" s="233">
        <f t="shared" si="16"/>
        <v>14.5625</v>
      </c>
      <c r="R8" s="92">
        <f t="shared" si="17"/>
        <v>7.46875</v>
      </c>
      <c r="S8" s="93">
        <f>'Юнит 6'!S8+'Юнит 7'!S8+'Юнит 8'!S8+'Юнит 9'!S8</f>
        <v>243</v>
      </c>
      <c r="T8" s="93">
        <f>'Юнит 6'!T8+'Юнит 7'!T8+'Юнит 8'!T8+'Юнит 9'!T8</f>
        <v>-4</v>
      </c>
      <c r="U8" s="92">
        <f t="shared" si="1"/>
        <v>239</v>
      </c>
      <c r="V8" s="93">
        <f>'Юнит 6'!V8+'Юнит 7'!V8+'Юнит 8'!V8+'Юнит 9'!V8</f>
        <v>199773.21000000002</v>
      </c>
      <c r="W8" s="93">
        <f>'Юнит 6'!W8+'Юнит 7'!W8+'Юнит 8'!W8+'Юнит 9'!W8</f>
        <v>-3176</v>
      </c>
      <c r="X8" s="92">
        <f t="shared" si="2"/>
        <v>196597.21000000002</v>
      </c>
      <c r="Y8" s="93">
        <f>'Юнит 6'!Y8+'Юнит 7'!Y8+'Юнит 8'!Y8+'Юнит 9'!Y8</f>
        <v>316450.57999999996</v>
      </c>
      <c r="Z8" s="93">
        <f>'Юнит 6'!Z8+'Юнит 7'!Z8+'Юнит 8'!Z8+'Юнит 9'!Z8</f>
        <v>-5174</v>
      </c>
      <c r="AA8" s="232">
        <f t="shared" si="3"/>
        <v>311276.57999999996</v>
      </c>
      <c r="AB8" s="92">
        <f t="shared" si="18"/>
        <v>327248.5</v>
      </c>
      <c r="AC8" s="234">
        <f t="shared" si="4"/>
        <v>3.6735192010100469E-2</v>
      </c>
      <c r="AD8" s="92">
        <f t="shared" si="5"/>
        <v>40603.71</v>
      </c>
      <c r="AE8" s="93">
        <f>'Юнит 6'!AE8+'Юнит 7'!AE8+'Юнит 8'!AE8+'Юнит 9'!AE8</f>
        <v>115901.58</v>
      </c>
      <c r="AF8" s="234">
        <f t="shared" si="6"/>
        <v>0.37234275704262754</v>
      </c>
      <c r="AG8" s="93">
        <f>'Юнит 6'!AG8+'Юнит 7'!AG8+'Юнит 8'!AG8+'Юнит 9'!AG8</f>
        <v>35348.049999999988</v>
      </c>
      <c r="AH8" s="93">
        <f>'Юнит 6'!AH8+'Юнит 7'!AH8+'Юнит 8'!AH8+'Юнит 9'!AH8</f>
        <v>28010</v>
      </c>
      <c r="AI8" s="93">
        <f>'Юнит 6'!AI8+'Юнит 7'!AI8+'Юнит 8'!AI8+'Юнит 9'!AI8</f>
        <v>24579</v>
      </c>
      <c r="AJ8" s="93">
        <f>'Юнит 6'!AJ8+'Юнит 7'!AJ8+'Юнит 8'!AJ8+'Юнит 9'!AJ8</f>
        <v>0</v>
      </c>
      <c r="AK8" s="93">
        <f>'Юнит 6'!AK8+'Юнит 7'!AK8+'Юнит 8'!AK8+'Юнит 9'!AK8</f>
        <v>0</v>
      </c>
      <c r="AL8" s="122">
        <f t="shared" si="7"/>
        <v>0</v>
      </c>
      <c r="AM8" s="93">
        <f>'Юнит 6'!AM8+'Юнит 7'!AM8+'Юнит 8'!AM8+'Юнит 9'!AM8</f>
        <v>0</v>
      </c>
      <c r="AN8" s="325">
        <f t="shared" si="8"/>
        <v>11038.522299597764</v>
      </c>
      <c r="AO8" s="95">
        <f t="shared" si="20"/>
        <v>55795.717700402165</v>
      </c>
      <c r="AP8" s="96"/>
      <c r="AQ8" s="97">
        <f t="shared" si="9"/>
        <v>1302.4124686192467</v>
      </c>
      <c r="AR8" s="98">
        <f t="shared" si="10"/>
        <v>169.89</v>
      </c>
      <c r="AS8" s="98">
        <f t="shared" si="11"/>
        <v>484.94384937238493</v>
      </c>
      <c r="AT8" s="98">
        <f t="shared" si="12"/>
        <v>145.46522633744851</v>
      </c>
      <c r="AU8" s="98">
        <f t="shared" si="19"/>
        <v>216.41563786008231</v>
      </c>
      <c r="AV8" s="98">
        <f t="array" ref="AV8">_xlfn.IFS(U8=0,AO8,U8&lt;0,AO8/-U8,U8&gt;0,AO8/U8)</f>
        <v>233.45488577574127</v>
      </c>
      <c r="AW8" s="234">
        <f>IF(AQ8=0,0,AV8/AQ8)</f>
        <v>0.17924804269052999</v>
      </c>
      <c r="AX8" s="234">
        <f>IF(AR8=0,0,AV8/AR8)</f>
        <v>1.3741531919226635</v>
      </c>
      <c r="AY8" s="99"/>
      <c r="AZ8" s="94">
        <f t="shared" si="15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93">
        <f>'Юнит 6'!N9+'Юнит 7'!N9+'Юнит 8'!N9+'Юнит 9'!N9</f>
        <v>993</v>
      </c>
      <c r="O9" s="89">
        <v>1387</v>
      </c>
      <c r="P9" s="89">
        <v>55</v>
      </c>
      <c r="Q9" s="233">
        <f t="shared" si="16"/>
        <v>31.03125</v>
      </c>
      <c r="R9" s="92">
        <f t="shared" si="17"/>
        <v>15.125</v>
      </c>
      <c r="S9" s="93">
        <f>'Юнит 6'!S9+'Юнит 7'!S9+'Юнит 8'!S9+'Юнит 9'!S9</f>
        <v>497</v>
      </c>
      <c r="T9" s="93">
        <f>'Юнит 6'!T9+'Юнит 7'!T9+'Юнит 8'!T9+'Юнит 9'!T9</f>
        <v>-13</v>
      </c>
      <c r="U9" s="92">
        <f t="shared" si="1"/>
        <v>484</v>
      </c>
      <c r="V9" s="93">
        <f>'Юнит 6'!V9+'Юнит 7'!V9+'Юнит 8'!V9+'Юнит 9'!V9</f>
        <v>427349.54</v>
      </c>
      <c r="W9" s="93">
        <f>'Юнит 6'!W9+'Юнит 7'!W9+'Юнит 8'!W9+'Юнит 9'!W9</f>
        <v>-11059</v>
      </c>
      <c r="X9" s="92">
        <f t="shared" si="2"/>
        <v>416290.54</v>
      </c>
      <c r="Y9" s="93">
        <f>'Юнит 6'!Y9+'Юнит 7'!Y9+'Юнит 8'!Y9+'Юнит 9'!Y9</f>
        <v>676411.87000000011</v>
      </c>
      <c r="Z9" s="93">
        <f>'Юнит 6'!Z9+'Юнит 7'!Z9+'Юнит 8'!Z9+'Юнит 9'!Z9</f>
        <v>-17635</v>
      </c>
      <c r="AA9" s="232">
        <f t="shared" si="3"/>
        <v>658776.87000000011</v>
      </c>
      <c r="AB9" s="92">
        <f t="shared" si="18"/>
        <v>757510.05</v>
      </c>
      <c r="AC9" s="234">
        <f t="shared" si="4"/>
        <v>7.7745311938543546E-2</v>
      </c>
      <c r="AD9" s="92">
        <f t="shared" si="5"/>
        <v>59575.560000000005</v>
      </c>
      <c r="AE9" s="93">
        <f>'Юнит 6'!AE9+'Юнит 7'!AE9+'Юнит 8'!AE9+'Юнит 9'!AE9</f>
        <v>245178.38000000006</v>
      </c>
      <c r="AF9" s="234">
        <f t="shared" si="6"/>
        <v>0.37217211345018841</v>
      </c>
      <c r="AG9" s="93">
        <f>'Юнит 6'!AG9+'Юнит 7'!AG9+'Юнит 8'!AG9+'Юнит 9'!AG9</f>
        <v>67948.749999999942</v>
      </c>
      <c r="AH9" s="93">
        <f>'Юнит 6'!AH9+'Юнит 7'!AH9+'Юнит 8'!AH9+'Юнит 9'!AH9</f>
        <v>53000</v>
      </c>
      <c r="AI9" s="93">
        <f>'Юнит 6'!AI9+'Юнит 7'!AI9+'Юнит 8'!AI9+'Юнит 9'!AI9</f>
        <v>56500</v>
      </c>
      <c r="AJ9" s="93">
        <f>'Юнит 6'!AJ9+'Юнит 7'!AJ9+'Юнит 8'!AJ9+'Юнит 9'!AJ9</f>
        <v>0</v>
      </c>
      <c r="AK9" s="93">
        <f>'Юнит 6'!AK9+'Юнит 7'!AK9+'Юнит 8'!AK9+'Юнит 9'!AK9</f>
        <v>0</v>
      </c>
      <c r="AL9" s="122">
        <f t="shared" si="7"/>
        <v>0</v>
      </c>
      <c r="AM9" s="93">
        <f>'Юнит 6'!AM9+'Юнит 7'!AM9+'Юнит 8'!AM9+'Юнит 9'!AM9</f>
        <v>10</v>
      </c>
      <c r="AN9" s="325">
        <f t="shared" si="8"/>
        <v>23373.843448244224</v>
      </c>
      <c r="AO9" s="95">
        <f t="shared" si="20"/>
        <v>153190.33655175584</v>
      </c>
      <c r="AP9" s="96"/>
      <c r="AQ9" s="97">
        <f t="shared" si="9"/>
        <v>1361.1092355371902</v>
      </c>
      <c r="AR9" s="98">
        <f t="shared" si="10"/>
        <v>123.09</v>
      </c>
      <c r="AS9" s="98">
        <f t="shared" si="11"/>
        <v>506.56690082644639</v>
      </c>
      <c r="AT9" s="98">
        <f t="shared" si="12"/>
        <v>136.71780684104615</v>
      </c>
      <c r="AU9" s="98">
        <f t="shared" si="19"/>
        <v>220.32193158953723</v>
      </c>
      <c r="AV9" s="98">
        <f t="array" ref="AV9">_xlfn.IFS(U9=0,AO9,U9&lt;0,AO9/-U9,U9&gt;0,AO9/U9)</f>
        <v>316.50895981767735</v>
      </c>
      <c r="AW9" s="234">
        <f>IF(AQ9=0,0,AV9/AQ9)</f>
        <v>0.23253751539843198</v>
      </c>
      <c r="AX9" s="234">
        <f>IF(AR9=0,0,AV9/AR9)</f>
        <v>2.5713620912964283</v>
      </c>
      <c r="AY9" s="99"/>
      <c r="AZ9" s="94">
        <f t="shared" si="15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93">
        <f>'Юнит 6'!N10+'Юнит 7'!N10+'Юнит 8'!N10+'Юнит 9'!N10</f>
        <v>942</v>
      </c>
      <c r="O10" s="89">
        <v>1003</v>
      </c>
      <c r="P10" s="89">
        <v>67</v>
      </c>
      <c r="Q10" s="233">
        <f t="shared" si="16"/>
        <v>29.4375</v>
      </c>
      <c r="R10" s="92">
        <f t="shared" si="17"/>
        <v>17.53125</v>
      </c>
      <c r="S10" s="93">
        <f>'Юнит 6'!S10+'Юнит 7'!S10+'Юнит 8'!S10+'Юнит 9'!S10</f>
        <v>567</v>
      </c>
      <c r="T10" s="93">
        <f>'Юнит 6'!T10+'Юнит 7'!T10+'Юнит 8'!T10+'Юнит 9'!T10</f>
        <v>-6</v>
      </c>
      <c r="U10" s="92">
        <f t="shared" si="1"/>
        <v>561</v>
      </c>
      <c r="V10" s="93">
        <f>'Юнит 6'!V10+'Юнит 7'!V10+'Юнит 8'!V10+'Юнит 9'!V10</f>
        <v>357306.26999999996</v>
      </c>
      <c r="W10" s="93">
        <f>'Юнит 6'!W10+'Юнит 7'!W10+'Юнит 8'!W10+'Юнит 9'!W10</f>
        <v>-3690</v>
      </c>
      <c r="X10" s="92">
        <f t="shared" si="2"/>
        <v>353616.26999999996</v>
      </c>
      <c r="Y10" s="93">
        <f>'Юнит 6'!Y10+'Юнит 7'!Y10+'Юнит 8'!Y10+'Юнит 9'!Y10</f>
        <v>552818.33000000007</v>
      </c>
      <c r="Z10" s="93">
        <f>'Юнит 6'!Z10+'Юнит 7'!Z10+'Юнит 8'!Z10+'Юнит 9'!Z10</f>
        <v>-5775.52</v>
      </c>
      <c r="AA10" s="232">
        <f t="shared" si="3"/>
        <v>547042.81000000006</v>
      </c>
      <c r="AB10" s="92">
        <f t="shared" si="18"/>
        <v>633033.42000000004</v>
      </c>
      <c r="AC10" s="234">
        <f t="shared" si="4"/>
        <v>6.4559057617167709E-2</v>
      </c>
      <c r="AD10" s="92">
        <f t="shared" si="5"/>
        <v>69053.490000000005</v>
      </c>
      <c r="AE10" s="93">
        <f>'Юнит 6'!AE10+'Юнит 7'!AE10+'Юнит 8'!AE10+'Юнит 9'!AE10</f>
        <v>204877.51000000004</v>
      </c>
      <c r="AF10" s="234">
        <f t="shared" si="6"/>
        <v>0.37451823925809391</v>
      </c>
      <c r="AG10" s="93">
        <f>'Юнит 6'!AG10+'Юнит 7'!AG10+'Юнит 8'!AG10+'Юнит 9'!AG10</f>
        <v>58106.499999999927</v>
      </c>
      <c r="AH10" s="93">
        <f>'Юнит 6'!AH10+'Юнит 7'!AH10+'Юнит 8'!AH10+'Юнит 9'!AH10</f>
        <v>44500</v>
      </c>
      <c r="AI10" s="93">
        <f>'Юнит 6'!AI10+'Юнит 7'!AI10+'Юнит 8'!AI10+'Юнит 9'!AI10</f>
        <v>45000</v>
      </c>
      <c r="AJ10" s="93">
        <f>'Юнит 6'!AJ10+'Юнит 7'!AJ10+'Юнит 8'!AJ10+'Юнит 9'!AJ10</f>
        <v>0</v>
      </c>
      <c r="AK10" s="93">
        <f>'Юнит 6'!AK10+'Юнит 7'!AK10+'Юнит 8'!AK10+'Юнит 9'!AK10</f>
        <v>0</v>
      </c>
      <c r="AL10" s="122">
        <f t="shared" si="7"/>
        <v>0</v>
      </c>
      <c r="AM10" s="93">
        <f>'Юнит 6'!AM10+'Юнит 7'!AM10+'Юнит 8'!AM10+'Юнит 9'!AM10</f>
        <v>90</v>
      </c>
      <c r="AN10" s="325">
        <f t="shared" si="8"/>
        <v>19854.814225977992</v>
      </c>
      <c r="AO10" s="95">
        <f t="shared" si="20"/>
        <v>105560.49577402213</v>
      </c>
      <c r="AP10" s="96"/>
      <c r="AQ10" s="97">
        <f t="shared" si="9"/>
        <v>975.12087344028532</v>
      </c>
      <c r="AR10" s="98">
        <f t="shared" si="10"/>
        <v>123.09</v>
      </c>
      <c r="AS10" s="98">
        <f t="shared" si="11"/>
        <v>365.20055258467028</v>
      </c>
      <c r="AT10" s="98">
        <f t="shared" si="12"/>
        <v>102.48059964726619</v>
      </c>
      <c r="AU10" s="98">
        <f t="shared" si="19"/>
        <v>157.84832451499119</v>
      </c>
      <c r="AV10" s="98">
        <f t="array" ref="AV10">_xlfn.IFS(U10=0,AO10,U10&lt;0,AO10/-U10,U10&gt;0,AO10/U10)</f>
        <v>188.164876602535</v>
      </c>
      <c r="AW10" s="234">
        <f>IF(AQ10=0,0,AV10/AQ10)</f>
        <v>0.1929656945386452</v>
      </c>
      <c r="AX10" s="234">
        <f>IF(AR10=0,0,AV10/AR10)</f>
        <v>1.5286772004430498</v>
      </c>
      <c r="AY10" s="99"/>
      <c r="AZ10" s="94">
        <f t="shared" si="15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5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6">E11*K11</f>
        <v>0</v>
      </c>
      <c r="M11" s="89"/>
      <c r="N11" s="93">
        <f>'Юнит 6'!N11+'Юнит 7'!N11+'Юнит 8'!N11+'Юнит 9'!N11</f>
        <v>351</v>
      </c>
      <c r="O11" s="89">
        <v>1213</v>
      </c>
      <c r="P11" s="89">
        <v>66</v>
      </c>
      <c r="Q11" s="233">
        <f t="shared" si="16"/>
        <v>10.96875</v>
      </c>
      <c r="R11" s="92">
        <f t="shared" si="17"/>
        <v>6.21875</v>
      </c>
      <c r="S11" s="93">
        <f>'Юнит 6'!S11+'Юнит 7'!S11+'Юнит 8'!S11+'Юнит 9'!S11</f>
        <v>201</v>
      </c>
      <c r="T11" s="93">
        <f>'Юнит 6'!T11+'Юнит 7'!T11+'Юнит 8'!T11+'Юнит 9'!T11</f>
        <v>-2</v>
      </c>
      <c r="U11" s="92">
        <f t="shared" si="1"/>
        <v>199</v>
      </c>
      <c r="V11" s="93">
        <f>'Юнит 6'!V11+'Юнит 7'!V11+'Юнит 8'!V11+'Юнит 9'!V11</f>
        <v>151683.79</v>
      </c>
      <c r="W11" s="93">
        <f>'Юнит 6'!W11+'Юнит 7'!W11+'Юнит 8'!W11+'Юнит 9'!W11</f>
        <v>-1461</v>
      </c>
      <c r="X11" s="92">
        <f t="shared" si="2"/>
        <v>150222.79</v>
      </c>
      <c r="Y11" s="93">
        <f>'Юнит 6'!Y11+'Юнит 7'!Y11+'Юнит 8'!Y11+'Юнит 9'!Y11</f>
        <v>241550.71000000002</v>
      </c>
      <c r="Z11" s="93">
        <f>'Юнит 6'!Z11+'Юнит 7'!Z11+'Юнит 8'!Z11+'Юнит 9'!Z11</f>
        <v>-2410</v>
      </c>
      <c r="AA11" s="232">
        <f t="shared" si="3"/>
        <v>239140.71000000002</v>
      </c>
      <c r="AB11" s="92">
        <f t="shared" si="18"/>
        <v>281003.58</v>
      </c>
      <c r="AC11" s="234">
        <f t="shared" si="4"/>
        <v>2.822210363298696E-2</v>
      </c>
      <c r="AD11" s="92">
        <f t="shared" si="5"/>
        <v>24494.91</v>
      </c>
      <c r="AE11" s="93">
        <f>'Юнит 6'!AE11+'Юнит 7'!AE11+'Юнит 8'!AE11+'Юнит 9'!AE11</f>
        <v>88820.020000000019</v>
      </c>
      <c r="AF11" s="234">
        <f t="shared" si="6"/>
        <v>0.37141321525724336</v>
      </c>
      <c r="AG11" s="93">
        <f>'Юнит 6'!AG11+'Юнит 7'!AG11+'Юнит 8'!AG11+'Юнит 9'!AG11</f>
        <v>21284.889999999992</v>
      </c>
      <c r="AH11" s="93">
        <f>'Юнит 6'!AH11+'Юнит 7'!AH11+'Юнит 8'!AH11+'Юнит 9'!AH11</f>
        <v>13816</v>
      </c>
      <c r="AI11" s="93">
        <f>'Юнит 6'!AI11+'Юнит 7'!AI11+'Юнит 8'!AI11+'Юнит 9'!AI11</f>
        <v>15919</v>
      </c>
      <c r="AJ11" s="93">
        <f>'Юнит 6'!AJ11+'Юнит 7'!AJ11+'Юнит 8'!AJ11+'Юнит 9'!AJ11</f>
        <v>0</v>
      </c>
      <c r="AK11" s="93">
        <f>'Юнит 6'!AK11+'Юнит 7'!AK11+'Юнит 8'!AK11+'Юнит 9'!AK11</f>
        <v>0</v>
      </c>
      <c r="AL11" s="122">
        <f t="shared" si="7"/>
        <v>0</v>
      </c>
      <c r="AM11" s="93">
        <f>'Юнит 6'!AM11+'Юнит 7'!AM11+'Юнит 8'!AM11+'Юнит 9'!AM11</f>
        <v>0</v>
      </c>
      <c r="AN11" s="325">
        <f t="shared" si="8"/>
        <v>8434.6955753990187</v>
      </c>
      <c r="AO11" s="95">
        <f t="shared" si="20"/>
        <v>66371.194424600995</v>
      </c>
      <c r="AP11" s="96"/>
      <c r="AQ11" s="97">
        <f t="shared" si="9"/>
        <v>1201.712110552764</v>
      </c>
      <c r="AR11" s="98">
        <f t="shared" si="10"/>
        <v>123.09</v>
      </c>
      <c r="AS11" s="98">
        <f t="shared" si="11"/>
        <v>446.33175879396993</v>
      </c>
      <c r="AT11" s="98">
        <f t="shared" si="12"/>
        <v>105.89497512437806</v>
      </c>
      <c r="AU11" s="98">
        <f t="shared" si="19"/>
        <v>147.93532338308458</v>
      </c>
      <c r="AV11" s="98">
        <f t="array" ref="AV11">_xlfn.IFS(U11=0,AO11,U11&lt;0,AO11/-U11,U11&gt;0,AO11/U11)</f>
        <v>333.52359007337185</v>
      </c>
      <c r="AW11" s="234">
        <f t="shared" ref="AW11:AW28" si="27">IF(AQ11=0,0,AV11/AQ11)</f>
        <v>0.2775403419376023</v>
      </c>
      <c r="AX11" s="234">
        <f t="shared" ref="AX11:AX28" si="28">IF(AR11=0,0,AV11/AR11)</f>
        <v>2.7095912752731484</v>
      </c>
      <c r="AY11" s="99"/>
      <c r="AZ11" s="94">
        <f t="shared" si="15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5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93">
        <f>'Юнит 6'!N12+'Юнит 7'!N12+'Юнит 8'!N12+'Юнит 9'!N12</f>
        <v>549</v>
      </c>
      <c r="O12" s="89">
        <v>1223</v>
      </c>
      <c r="P12" s="89">
        <v>55</v>
      </c>
      <c r="Q12" s="233">
        <f t="shared" si="16"/>
        <v>17.15625</v>
      </c>
      <c r="R12" s="92">
        <f t="shared" si="17"/>
        <v>8.03125</v>
      </c>
      <c r="S12" s="93">
        <f>'Юнит 6'!S12+'Юнит 7'!S12+'Юнит 8'!S12+'Юнит 9'!S12</f>
        <v>258</v>
      </c>
      <c r="T12" s="93">
        <f>'Юнит 6'!T12+'Юнит 7'!T12+'Юнит 8'!T12+'Юнит 9'!T12</f>
        <v>-1</v>
      </c>
      <c r="U12" s="92">
        <f t="shared" si="1"/>
        <v>257</v>
      </c>
      <c r="V12" s="93">
        <f>'Юнит 6'!V12+'Юнит 7'!V12+'Юнит 8'!V12+'Юнит 9'!V12</f>
        <v>192956.46999999997</v>
      </c>
      <c r="W12" s="93">
        <f>'Юнит 6'!W12+'Юнит 7'!W12+'Юнит 8'!W12+'Юнит 9'!W12</f>
        <v>-734</v>
      </c>
      <c r="X12" s="92">
        <f t="shared" si="2"/>
        <v>192222.46999999997</v>
      </c>
      <c r="Y12" s="93">
        <f>'Юнит 6'!Y12+'Юнит 7'!Y12+'Юнит 8'!Y12+'Юнит 9'!Y12</f>
        <v>307497.48</v>
      </c>
      <c r="Z12" s="93">
        <f>'Юнит 6'!Z12+'Юнит 7'!Z12+'Юнит 8'!Z12+'Юнит 9'!Z12</f>
        <v>-1170</v>
      </c>
      <c r="AA12" s="232">
        <f t="shared" si="3"/>
        <v>306327.48</v>
      </c>
      <c r="AB12" s="92">
        <f t="shared" si="18"/>
        <v>369284.85</v>
      </c>
      <c r="AC12" s="234">
        <f t="shared" si="4"/>
        <v>3.6151125779428098E-2</v>
      </c>
      <c r="AD12" s="92">
        <f t="shared" si="5"/>
        <v>30130.68</v>
      </c>
      <c r="AE12" s="93">
        <f>'Юнит 6'!AE12+'Юнит 7'!AE12+'Юнит 8'!AE12+'Юнит 9'!AE12</f>
        <v>114494.12999999998</v>
      </c>
      <c r="AF12" s="234">
        <f t="shared" si="6"/>
        <v>0.37376382295182914</v>
      </c>
      <c r="AG12" s="93">
        <f>'Юнит 6'!AG12+'Юнит 7'!AG12+'Юнит 8'!AG12+'Юнит 9'!AG12</f>
        <v>35167.819999999992</v>
      </c>
      <c r="AH12" s="93">
        <f>'Юнит 6'!AH12+'Юнит 7'!AH12+'Юнит 8'!AH12+'Юнит 9'!AH12</f>
        <v>17697</v>
      </c>
      <c r="AI12" s="93">
        <f>'Юнит 6'!AI12+'Юнит 7'!AI12+'Юнит 8'!AI12+'Юнит 9'!AI12</f>
        <v>29456</v>
      </c>
      <c r="AJ12" s="93">
        <f>'Юнит 6'!AJ12+'Юнит 7'!AJ12+'Юнит 8'!AJ12+'Юнит 9'!AJ12</f>
        <v>0</v>
      </c>
      <c r="AK12" s="93">
        <f>'Юнит 6'!AK12+'Юнит 7'!AK12+'Юнит 8'!AK12+'Юнит 9'!AK12</f>
        <v>0</v>
      </c>
      <c r="AL12" s="122">
        <f t="shared" si="7"/>
        <v>0</v>
      </c>
      <c r="AM12" s="93">
        <f>'Юнит 6'!AM12+'Юнит 7'!AM12+'Юнит 8'!AM12+'Юнит 9'!AM12</f>
        <v>10</v>
      </c>
      <c r="AN12" s="325">
        <f t="shared" si="8"/>
        <v>10792.889795225279</v>
      </c>
      <c r="AO12" s="95">
        <f t="shared" si="20"/>
        <v>68578.960204774747</v>
      </c>
      <c r="AP12" s="96"/>
      <c r="AQ12" s="97">
        <f t="shared" si="9"/>
        <v>1191.9357198443579</v>
      </c>
      <c r="AR12" s="98">
        <f t="shared" si="10"/>
        <v>117.24</v>
      </c>
      <c r="AS12" s="98">
        <f t="shared" si="11"/>
        <v>445.5024513618676</v>
      </c>
      <c r="AT12" s="98">
        <f t="shared" si="12"/>
        <v>136.3093798449612</v>
      </c>
      <c r="AU12" s="98">
        <f t="shared" si="19"/>
        <v>182.76356589147287</v>
      </c>
      <c r="AV12" s="98">
        <f t="array" ref="AV12">_xlfn.IFS(U12=0,AO12,U12&lt;0,AO12/-U12,U12&gt;0,AO12/U12)</f>
        <v>266.84420313141925</v>
      </c>
      <c r="AW12" s="234">
        <f t="shared" si="27"/>
        <v>0.22387465925281907</v>
      </c>
      <c r="AX12" s="234">
        <f t="shared" si="28"/>
        <v>2.2760508626016653</v>
      </c>
      <c r="AY12" s="99"/>
      <c r="AZ12" s="94">
        <f t="shared" si="15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5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9">E13*K13</f>
        <v>0</v>
      </c>
      <c r="M13" s="89"/>
      <c r="N13" s="93">
        <f>'Юнит 6'!N13+'Юнит 7'!N13+'Юнит 8'!N13+'Юнит 9'!N13</f>
        <v>663</v>
      </c>
      <c r="O13" s="89">
        <v>1402</v>
      </c>
      <c r="P13" s="89">
        <v>55</v>
      </c>
      <c r="Q13" s="233">
        <f t="shared" si="16"/>
        <v>20.71875</v>
      </c>
      <c r="R13" s="92">
        <f t="shared" si="17"/>
        <v>9.09375</v>
      </c>
      <c r="S13" s="93">
        <f>'Юнит 6'!S13+'Юнит 7'!S13+'Юнит 8'!S13+'Юнит 9'!S13</f>
        <v>297</v>
      </c>
      <c r="T13" s="93">
        <f>'Юнит 6'!T13+'Юнит 7'!T13+'Юнит 8'!T13+'Юнит 9'!T13</f>
        <v>-6</v>
      </c>
      <c r="U13" s="92">
        <f t="shared" si="1"/>
        <v>291</v>
      </c>
      <c r="V13" s="93">
        <f>'Юнит 6'!V13+'Юнит 7'!V13+'Юнит 8'!V13+'Юнит 9'!V13</f>
        <v>257030.59000000003</v>
      </c>
      <c r="W13" s="93">
        <f>'Юнит 6'!W13+'Юнит 7'!W13+'Юнит 8'!W13+'Юнит 9'!W13</f>
        <v>-5375</v>
      </c>
      <c r="X13" s="92">
        <f t="shared" si="2"/>
        <v>251655.59000000003</v>
      </c>
      <c r="Y13" s="93">
        <f>'Юнит 6'!Y13+'Юнит 7'!Y13+'Юнит 8'!Y13+'Юнит 9'!Y13</f>
        <v>408192.39</v>
      </c>
      <c r="Z13" s="93">
        <f>'Юнит 6'!Z13+'Юнит 7'!Z13+'Юнит 8'!Z13+'Юнит 9'!Z13</f>
        <v>-8330.31</v>
      </c>
      <c r="AA13" s="232">
        <f t="shared" si="3"/>
        <v>399862.08</v>
      </c>
      <c r="AB13" s="92">
        <f t="shared" si="18"/>
        <v>511239.3</v>
      </c>
      <c r="AC13" s="234">
        <f t="shared" si="4"/>
        <v>4.7189577469522952E-2</v>
      </c>
      <c r="AD13" s="92">
        <f t="shared" si="5"/>
        <v>35819.19</v>
      </c>
      <c r="AE13" s="93">
        <f>'Юнит 6'!AE13+'Юнит 7'!AE13+'Юнит 8'!AE13+'Юнит 9'!AE13</f>
        <v>149308.72999999998</v>
      </c>
      <c r="AF13" s="234">
        <f t="shared" si="6"/>
        <v>0.37340057351774886</v>
      </c>
      <c r="AG13" s="93">
        <f>'Юнит 6'!AG13+'Юнит 7'!AG13+'Юнит 8'!AG13+'Юнит 9'!AG13</f>
        <v>40008.889999999978</v>
      </c>
      <c r="AH13" s="93">
        <f>'Юнит 6'!AH13+'Юнит 7'!AH13+'Юнит 8'!AH13+'Юнит 9'!AH13</f>
        <v>38000</v>
      </c>
      <c r="AI13" s="93">
        <f>'Юнит 6'!AI13+'Юнит 7'!AI13+'Юнит 8'!AI13+'Юнит 9'!AI13</f>
        <v>45389</v>
      </c>
      <c r="AJ13" s="93">
        <f>'Юнит 6'!AJ13+'Юнит 7'!AJ13+'Юнит 8'!AJ13+'Юнит 9'!AJ13</f>
        <v>0</v>
      </c>
      <c r="AK13" s="93">
        <f>'Юнит 6'!AK13+'Юнит 7'!AK13+'Юнит 8'!AK13+'Юнит 9'!AK13</f>
        <v>0</v>
      </c>
      <c r="AL13" s="122">
        <f t="shared" si="7"/>
        <v>0</v>
      </c>
      <c r="AM13" s="93">
        <f>'Юнит 6'!AM13+'Юнит 7'!AM13+'Юнит 8'!AM13+'Юнит 9'!AM13</f>
        <v>1322.11</v>
      </c>
      <c r="AN13" s="325">
        <f t="shared" si="8"/>
        <v>14129.935221529502</v>
      </c>
      <c r="AO13" s="95">
        <f t="shared" si="20"/>
        <v>75884.22477847054</v>
      </c>
      <c r="AP13" s="96"/>
      <c r="AQ13" s="97">
        <f t="shared" si="9"/>
        <v>1374.0964948453609</v>
      </c>
      <c r="AR13" s="98">
        <f t="shared" si="10"/>
        <v>123.09</v>
      </c>
      <c r="AS13" s="98">
        <f t="shared" si="11"/>
        <v>513.08841924398621</v>
      </c>
      <c r="AT13" s="98">
        <f t="shared" si="12"/>
        <v>134.71006734006727</v>
      </c>
      <c r="AU13" s="98">
        <f t="shared" si="19"/>
        <v>280.77104377104376</v>
      </c>
      <c r="AV13" s="98">
        <f t="array" ref="AV13">_xlfn.IFS(U13=0,AO13,U13&lt;0,AO13/-U13,U13&gt;0,AO13/U13)</f>
        <v>260.77053188477851</v>
      </c>
      <c r="AW13" s="234">
        <f t="shared" si="27"/>
        <v>0.18977599670984191</v>
      </c>
      <c r="AX13" s="234">
        <f t="shared" si="28"/>
        <v>2.1185354771693761</v>
      </c>
      <c r="AY13" s="99"/>
      <c r="AZ13" s="94">
        <f t="shared" si="15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5"/>
        <v>0</v>
      </c>
      <c r="F14" s="93"/>
      <c r="G14" s="93"/>
      <c r="H14" s="93"/>
      <c r="I14" s="93"/>
      <c r="J14" s="93"/>
      <c r="K14" s="92">
        <v>123.09</v>
      </c>
      <c r="L14" s="92">
        <f t="shared" si="29"/>
        <v>0</v>
      </c>
      <c r="M14" s="89"/>
      <c r="N14" s="93">
        <f>'Юнит 6'!N14+'Юнит 7'!N14+'Юнит 8'!N14+'Юнит 9'!N14</f>
        <v>224</v>
      </c>
      <c r="O14" s="89">
        <v>1055</v>
      </c>
      <c r="P14" s="89">
        <v>66</v>
      </c>
      <c r="Q14" s="233">
        <f t="shared" si="16"/>
        <v>7</v>
      </c>
      <c r="R14" s="92">
        <f t="shared" si="17"/>
        <v>4.03125</v>
      </c>
      <c r="S14" s="93">
        <f>'Юнит 6'!S14+'Юнит 7'!S14+'Юнит 8'!S14+'Юнит 9'!S14</f>
        <v>129</v>
      </c>
      <c r="T14" s="93">
        <f>'Юнит 6'!T14+'Юнит 7'!T14+'Юнит 8'!T14+'Юнит 9'!T14</f>
        <v>0</v>
      </c>
      <c r="U14" s="92">
        <f t="shared" si="1"/>
        <v>129</v>
      </c>
      <c r="V14" s="93">
        <f>'Юнит 6'!V14+'Юнит 7'!V14+'Юнит 8'!V14+'Юнит 9'!V14</f>
        <v>86073.3</v>
      </c>
      <c r="W14" s="93">
        <f>'Юнит 6'!W14+'Юнит 7'!W14+'Юнит 8'!W14+'Юнит 9'!W14</f>
        <v>0</v>
      </c>
      <c r="X14" s="92">
        <f t="shared" si="2"/>
        <v>86073.3</v>
      </c>
      <c r="Y14" s="93">
        <f>'Юнит 6'!Y14+'Юнит 7'!Y14+'Юнит 8'!Y14+'Юнит 9'!Y14</f>
        <v>133038.13</v>
      </c>
      <c r="Z14" s="93">
        <f>'Юнит 6'!Z14+'Юнит 7'!Z14+'Юнит 8'!Z14+'Юнит 9'!Z14</f>
        <v>0</v>
      </c>
      <c r="AA14" s="232">
        <f t="shared" si="3"/>
        <v>133038.13</v>
      </c>
      <c r="AB14" s="92">
        <f t="shared" si="18"/>
        <v>155971.20000000001</v>
      </c>
      <c r="AC14" s="234">
        <f t="shared" si="4"/>
        <v>1.5700446368996694E-2</v>
      </c>
      <c r="AD14" s="92">
        <f t="shared" si="5"/>
        <v>15878.61</v>
      </c>
      <c r="AE14" s="93">
        <f>'Юнит 6'!AE14+'Юнит 7'!AE14+'Юнит 8'!AE14+'Юнит 9'!AE14</f>
        <v>49861.86</v>
      </c>
      <c r="AF14" s="234">
        <f t="shared" si="6"/>
        <v>0.37479375273840665</v>
      </c>
      <c r="AG14" s="93">
        <f>'Юнит 6'!AG14+'Юнит 7'!AG14+'Юнит 8'!AG14+'Юнит 9'!AG14</f>
        <v>13468.689999999997</v>
      </c>
      <c r="AH14" s="93">
        <f>'Юнит 6'!AH14+'Юнит 7'!AH14+'Юнит 8'!AH14+'Юнит 9'!AH14</f>
        <v>9598</v>
      </c>
      <c r="AI14" s="93">
        <f>'Юнит 6'!AI14+'Юнит 7'!AI14+'Юнит 8'!AI14+'Юнит 9'!AI14</f>
        <v>12300</v>
      </c>
      <c r="AJ14" s="93">
        <f>'Юнит 6'!AJ14+'Юнит 7'!AJ14+'Юнит 8'!AJ14+'Юнит 9'!AJ14</f>
        <v>0</v>
      </c>
      <c r="AK14" s="93">
        <f>'Юнит 6'!AK14+'Юнит 7'!AK14+'Юнит 8'!AK14+'Юнит 9'!AK14</f>
        <v>0</v>
      </c>
      <c r="AL14" s="122">
        <f t="shared" si="7"/>
        <v>0</v>
      </c>
      <c r="AM14" s="93">
        <f>'Юнит 6'!AM14+'Юнит 7'!AM14+'Юнит 8'!AM14+'Юнит 9'!AM14</f>
        <v>0</v>
      </c>
      <c r="AN14" s="325">
        <f t="shared" si="8"/>
        <v>4832.8358344961662</v>
      </c>
      <c r="AO14" s="95">
        <f t="shared" si="20"/>
        <v>27098.134165503841</v>
      </c>
      <c r="AP14" s="96"/>
      <c r="AQ14" s="97">
        <f t="shared" si="9"/>
        <v>1031.3033333333333</v>
      </c>
      <c r="AR14" s="98">
        <f t="shared" si="10"/>
        <v>123.09</v>
      </c>
      <c r="AS14" s="98">
        <f t="shared" si="11"/>
        <v>386.5260465116279</v>
      </c>
      <c r="AT14" s="98">
        <f t="shared" si="12"/>
        <v>104.40844961240307</v>
      </c>
      <c r="AU14" s="98">
        <f t="shared" si="19"/>
        <v>169.75193798449612</v>
      </c>
      <c r="AV14" s="98">
        <f t="array" ref="AV14">_xlfn.IFS(U14=0,AO14,U14&lt;0,AO14/-U14,U14&gt;0,AO14/U14)</f>
        <v>210.06305554654139</v>
      </c>
      <c r="AW14" s="234">
        <f t="shared" si="27"/>
        <v>0.20368697429454127</v>
      </c>
      <c r="AX14" s="234">
        <f t="shared" si="28"/>
        <v>1.7065810020841774</v>
      </c>
      <c r="AY14" s="99"/>
      <c r="AZ14" s="94">
        <f t="shared" si="15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5"/>
        <v>0</v>
      </c>
      <c r="F15" s="93"/>
      <c r="G15" s="93"/>
      <c r="H15" s="93"/>
      <c r="I15" s="93"/>
      <c r="J15" s="93"/>
      <c r="K15" s="92">
        <v>123.09</v>
      </c>
      <c r="L15" s="92">
        <f t="shared" si="29"/>
        <v>0</v>
      </c>
      <c r="M15" s="89"/>
      <c r="N15" s="93">
        <f>'Юнит 6'!N15+'Юнит 7'!N15+'Юнит 8'!N15+'Юнит 9'!N15</f>
        <v>153</v>
      </c>
      <c r="O15" s="89">
        <v>1018</v>
      </c>
      <c r="P15" s="89">
        <v>71</v>
      </c>
      <c r="Q15" s="233">
        <f t="shared" si="16"/>
        <v>4.78125</v>
      </c>
      <c r="R15" s="92">
        <f t="shared" si="17"/>
        <v>3.3125</v>
      </c>
      <c r="S15" s="93">
        <f>'Юнит 6'!S15+'Юнит 7'!S15+'Юнит 8'!S15+'Юнит 9'!S15</f>
        <v>106</v>
      </c>
      <c r="T15" s="93">
        <f>'Юнит 6'!T15+'Юнит 7'!T15+'Юнит 8'!T15+'Юнит 9'!T15</f>
        <v>0</v>
      </c>
      <c r="U15" s="92">
        <f t="shared" si="1"/>
        <v>106</v>
      </c>
      <c r="V15" s="93">
        <f>'Юнит 6'!V15+'Юнит 7'!V15+'Юнит 8'!V15+'Юнит 9'!V15</f>
        <v>68179.73</v>
      </c>
      <c r="W15" s="93">
        <f>'Юнит 6'!W15+'Юнит 7'!W15+'Юнит 8'!W15+'Юнит 9'!W15</f>
        <v>0</v>
      </c>
      <c r="X15" s="92">
        <f t="shared" si="2"/>
        <v>68179.73</v>
      </c>
      <c r="Y15" s="93">
        <f>'Юнит 6'!Y15+'Юнит 7'!Y15+'Юнит 8'!Y15+'Юнит 9'!Y15</f>
        <v>105297.92000000001</v>
      </c>
      <c r="Z15" s="93">
        <f>'Юнит 6'!Z15+'Юнит 7'!Z15+'Юнит 8'!Z15+'Юнит 9'!Z15</f>
        <v>0</v>
      </c>
      <c r="AA15" s="232">
        <f t="shared" si="3"/>
        <v>105297.92000000001</v>
      </c>
      <c r="AB15" s="92">
        <f t="shared" si="18"/>
        <v>110585.34</v>
      </c>
      <c r="AC15" s="234">
        <f t="shared" si="4"/>
        <v>1.242669560769461E-2</v>
      </c>
      <c r="AD15" s="92">
        <f t="shared" si="5"/>
        <v>13047.54</v>
      </c>
      <c r="AE15" s="93">
        <f>'Юнит 6'!AE15+'Юнит 7'!AE15+'Юнит 8'!AE15+'Юнит 9'!AE15</f>
        <v>39405.58</v>
      </c>
      <c r="AF15" s="234">
        <f t="shared" si="6"/>
        <v>0.37422942447486141</v>
      </c>
      <c r="AG15" s="93">
        <f>'Юнит 6'!AG15+'Юнит 7'!AG15+'Юнит 8'!AG15+'Юнит 9'!AG15</f>
        <v>10583.739999999998</v>
      </c>
      <c r="AH15" s="93">
        <f>'Юнит 6'!AH15+'Юнит 7'!AH15+'Юнит 8'!AH15+'Юнит 9'!AH15</f>
        <v>5287</v>
      </c>
      <c r="AI15" s="93">
        <f>'Юнит 6'!AI15+'Юнит 7'!AI15+'Юнит 8'!AI15+'Юнит 9'!AI15</f>
        <v>9130</v>
      </c>
      <c r="AJ15" s="93">
        <f>'Юнит 6'!AJ15+'Юнит 7'!AJ15+'Юнит 8'!AJ15+'Юнит 9'!AJ15</f>
        <v>0</v>
      </c>
      <c r="AK15" s="93">
        <f>'Юнит 6'!AK15+'Юнит 7'!AK15+'Юнит 8'!AK15+'Юнит 9'!AK15</f>
        <v>0</v>
      </c>
      <c r="AL15" s="122">
        <f t="shared" si="7"/>
        <v>0</v>
      </c>
      <c r="AM15" s="93">
        <f>'Юнит 6'!AM15+'Юнит 7'!AM15+'Юнит 8'!AM15+'Юнит 9'!AM15</f>
        <v>0</v>
      </c>
      <c r="AN15" s="325">
        <f t="shared" si="8"/>
        <v>3828.1492905497207</v>
      </c>
      <c r="AO15" s="95">
        <f t="shared" si="20"/>
        <v>24015.910709450283</v>
      </c>
      <c r="AP15" s="96"/>
      <c r="AQ15" s="97">
        <f t="shared" si="9"/>
        <v>993.37660377358497</v>
      </c>
      <c r="AR15" s="98">
        <f t="shared" si="10"/>
        <v>123.09</v>
      </c>
      <c r="AS15" s="98">
        <f t="shared" si="11"/>
        <v>371.75075471698113</v>
      </c>
      <c r="AT15" s="98">
        <f t="shared" si="12"/>
        <v>99.846603773584889</v>
      </c>
      <c r="AU15" s="98">
        <f t="shared" si="19"/>
        <v>136.00943396226415</v>
      </c>
      <c r="AV15" s="98">
        <f t="array" ref="AV15">_xlfn.IFS(U15=0,AO15,U15&lt;0,AO15/-U15,U15&gt;0,AO15/U15)</f>
        <v>226.5651953721725</v>
      </c>
      <c r="AW15" s="234">
        <f t="shared" si="27"/>
        <v>0.22807583197702561</v>
      </c>
      <c r="AX15" s="234">
        <f t="shared" si="28"/>
        <v>1.8406466436930091</v>
      </c>
      <c r="AY15" s="99"/>
      <c r="AZ15" s="94">
        <f t="shared" si="15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5"/>
        <v>0</v>
      </c>
      <c r="F16" s="93"/>
      <c r="G16" s="93"/>
      <c r="H16" s="93"/>
      <c r="I16" s="93"/>
      <c r="J16" s="93"/>
      <c r="K16" s="92">
        <v>117.24</v>
      </c>
      <c r="L16" s="92">
        <f t="shared" si="29"/>
        <v>0</v>
      </c>
      <c r="M16" s="89"/>
      <c r="N16" s="93">
        <f>'Юнит 6'!N16+'Юнит 7'!N16+'Юнит 8'!N16+'Юнит 9'!N16</f>
        <v>560</v>
      </c>
      <c r="O16" s="89">
        <v>999</v>
      </c>
      <c r="P16" s="89">
        <v>66</v>
      </c>
      <c r="Q16" s="233">
        <f t="shared" si="16"/>
        <v>17.5</v>
      </c>
      <c r="R16" s="92">
        <f t="shared" si="17"/>
        <v>9.40625</v>
      </c>
      <c r="S16" s="93">
        <f>'Юнит 6'!S16+'Юнит 7'!S16+'Юнит 8'!S16+'Юнит 9'!S16</f>
        <v>306</v>
      </c>
      <c r="T16" s="93">
        <f>'Юнит 6'!T16+'Юнит 7'!T16+'Юнит 8'!T16+'Юнит 9'!T16</f>
        <v>-5</v>
      </c>
      <c r="U16" s="92">
        <f t="shared" si="1"/>
        <v>301</v>
      </c>
      <c r="V16" s="93">
        <f>'Юнит 6'!V16+'Юнит 7'!V16+'Юнит 8'!V16+'Юнит 9'!V16</f>
        <v>193618.31</v>
      </c>
      <c r="W16" s="93">
        <f>'Юнит 6'!W16+'Юнит 7'!W16+'Юнит 8'!W16+'Юнит 9'!W16</f>
        <v>-3100</v>
      </c>
      <c r="X16" s="92">
        <f t="shared" si="2"/>
        <v>190518.31</v>
      </c>
      <c r="Y16" s="93">
        <f>'Юнит 6'!Y16+'Юнит 7'!Y16+'Юнит 8'!Y16+'Юнит 9'!Y16</f>
        <v>297116.65999999997</v>
      </c>
      <c r="Z16" s="93">
        <f>'Юнит 6'!Z16+'Юнит 7'!Z16+'Юнит 8'!Z16+'Юнит 9'!Z16</f>
        <v>-4564</v>
      </c>
      <c r="AA16" s="232">
        <f t="shared" si="3"/>
        <v>292552.65999999997</v>
      </c>
      <c r="AB16" s="92">
        <f t="shared" si="18"/>
        <v>369230.4</v>
      </c>
      <c r="AC16" s="234">
        <f t="shared" si="4"/>
        <v>3.4525495423284466E-2</v>
      </c>
      <c r="AD16" s="92">
        <f t="shared" si="5"/>
        <v>35289.24</v>
      </c>
      <c r="AE16" s="93">
        <f>'Юнит 6'!AE16+'Юнит 7'!AE16+'Юнит 8'!AE16+'Юнит 9'!AE16</f>
        <v>108633.93999999997</v>
      </c>
      <c r="AF16" s="234">
        <f t="shared" si="6"/>
        <v>0.37133123315303296</v>
      </c>
      <c r="AG16" s="93">
        <f>'Юнит 6'!AG16+'Юнит 7'!AG16+'Юнит 8'!AG16+'Юнит 9'!AG16</f>
        <v>30593.699999999983</v>
      </c>
      <c r="AH16" s="93">
        <f>'Юнит 6'!AH16+'Юнит 7'!AH16+'Юнит 8'!AH16+'Юнит 9'!AH16</f>
        <v>15254</v>
      </c>
      <c r="AI16" s="93">
        <f>'Юнит 6'!AI16+'Юнит 7'!AI16+'Юнит 8'!AI16+'Юнит 9'!AI16</f>
        <v>15984</v>
      </c>
      <c r="AJ16" s="93">
        <f>'Юнит 6'!AJ16+'Юнит 7'!AJ16+'Юнит 8'!AJ16+'Юнит 9'!AJ16</f>
        <v>0</v>
      </c>
      <c r="AK16" s="93">
        <f>'Юнит 6'!AK16+'Юнит 7'!AK16+'Юнит 8'!AK16+'Юнит 9'!AK16</f>
        <v>0</v>
      </c>
      <c r="AL16" s="122">
        <f t="shared" si="7"/>
        <v>0</v>
      </c>
      <c r="AM16" s="93">
        <f>'Юнит 6'!AM16+'Юнит 7'!AM16+'Юнит 8'!AM16+'Юнит 9'!AM16</f>
        <v>10</v>
      </c>
      <c r="AN16" s="325">
        <f t="shared" si="8"/>
        <v>10697.204774252286</v>
      </c>
      <c r="AO16" s="95">
        <f t="shared" si="20"/>
        <v>76090.575225747743</v>
      </c>
      <c r="AP16" s="96"/>
      <c r="AQ16" s="97">
        <f t="shared" si="9"/>
        <v>971.93574750830555</v>
      </c>
      <c r="AR16" s="98">
        <f t="shared" si="10"/>
        <v>117.24</v>
      </c>
      <c r="AS16" s="98">
        <f t="shared" si="11"/>
        <v>360.91009966777398</v>
      </c>
      <c r="AT16" s="98">
        <f t="shared" si="12"/>
        <v>99.97941176470583</v>
      </c>
      <c r="AU16" s="98">
        <f t="shared" si="19"/>
        <v>102.08496732026144</v>
      </c>
      <c r="AV16" s="98">
        <f t="array" ref="AV16">_xlfn.IFS(U16=0,AO16,U16&lt;0,AO16/-U16,U16&gt;0,AO16/U16)</f>
        <v>252.79260872341442</v>
      </c>
      <c r="AW16" s="234">
        <f t="shared" si="27"/>
        <v>0.26009189328768278</v>
      </c>
      <c r="AX16" s="234">
        <f t="shared" si="28"/>
        <v>2.1561976179069808</v>
      </c>
      <c r="AY16" s="99"/>
      <c r="AZ16" s="94">
        <f t="shared" si="15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5"/>
        <v>0</v>
      </c>
      <c r="F17" s="93"/>
      <c r="G17" s="93"/>
      <c r="H17" s="93"/>
      <c r="I17" s="93"/>
      <c r="J17" s="93"/>
      <c r="K17" s="93">
        <v>123.09</v>
      </c>
      <c r="L17" s="92">
        <f t="shared" si="29"/>
        <v>0</v>
      </c>
      <c r="M17" s="89"/>
      <c r="N17" s="93">
        <f>'Юнит 6'!N17+'Юнит 7'!N17+'Юнит 8'!N17+'Юнит 9'!N17</f>
        <v>184</v>
      </c>
      <c r="O17" s="89">
        <v>1315</v>
      </c>
      <c r="P17" s="89">
        <v>49</v>
      </c>
      <c r="Q17" s="233">
        <f t="shared" si="16"/>
        <v>5.75</v>
      </c>
      <c r="R17" s="92">
        <f t="shared" si="17"/>
        <v>2.5625</v>
      </c>
      <c r="S17" s="93">
        <f>'Юнит 6'!S17+'Юнит 7'!S17+'Юнит 8'!S17+'Юнит 9'!S17</f>
        <v>86</v>
      </c>
      <c r="T17" s="93">
        <f>'Юнит 6'!T17+'Юнит 7'!T17+'Юнит 8'!T17+'Юнит 9'!T17</f>
        <v>-4</v>
      </c>
      <c r="U17" s="92">
        <f t="shared" si="1"/>
        <v>82</v>
      </c>
      <c r="V17" s="93">
        <f>'Юнит 6'!V17+'Юнит 7'!V17+'Юнит 8'!V17+'Юнит 9'!V17</f>
        <v>71272.179999999993</v>
      </c>
      <c r="W17" s="93">
        <f>'Юнит 6'!W17+'Юнит 7'!W17+'Юнит 8'!W17+'Юнит 9'!W17</f>
        <v>-3306</v>
      </c>
      <c r="X17" s="92">
        <f t="shared" si="2"/>
        <v>67966.179999999993</v>
      </c>
      <c r="Y17" s="93">
        <f>'Юнит 6'!Y17+'Юнит 7'!Y17+'Юнит 8'!Y17+'Юнит 9'!Y17</f>
        <v>110867.82999999999</v>
      </c>
      <c r="Z17" s="93">
        <f>'Юнит 6'!Z17+'Юнит 7'!Z17+'Юнит 8'!Z17+'Юнит 9'!Z17</f>
        <v>-4910.84</v>
      </c>
      <c r="AA17" s="232">
        <f t="shared" si="3"/>
        <v>105956.98999999999</v>
      </c>
      <c r="AB17" s="92">
        <f t="shared" si="18"/>
        <v>118560.4</v>
      </c>
      <c r="AC17" s="234">
        <f t="shared" si="4"/>
        <v>1.2504475513263143E-2</v>
      </c>
      <c r="AD17" s="92">
        <f t="shared" si="5"/>
        <v>10093.380000000001</v>
      </c>
      <c r="AE17" s="93">
        <f>'Юнит 6'!AE17+'Юнит 7'!AE17+'Юнит 8'!AE17+'Юнит 9'!AE17</f>
        <v>39576.039999999979</v>
      </c>
      <c r="AF17" s="234">
        <f t="shared" si="6"/>
        <v>0.37351042153990954</v>
      </c>
      <c r="AG17" s="93">
        <f>'Юнит 6'!AG17+'Юнит 7'!AG17+'Юнит 8'!AG17+'Юнит 9'!AG17</f>
        <v>14113.81</v>
      </c>
      <c r="AH17" s="93">
        <f>'Юнит 6'!AH17+'Юнит 7'!AH17+'Юнит 8'!AH17+'Юнит 9'!AH17</f>
        <v>7617</v>
      </c>
      <c r="AI17" s="93">
        <f>'Юнит 6'!AI17+'Юнит 7'!AI17+'Юнит 8'!AI17+'Юнит 9'!AI17</f>
        <v>9099</v>
      </c>
      <c r="AJ17" s="93">
        <f>'Юнит 6'!AJ17+'Юнит 7'!AJ17+'Юнит 8'!AJ17+'Юнит 9'!AJ17</f>
        <v>0</v>
      </c>
      <c r="AK17" s="93">
        <f>'Юнит 6'!AK17+'Юнит 7'!AK17+'Юнит 8'!AK17+'Юнит 9'!AK17</f>
        <v>0</v>
      </c>
      <c r="AL17" s="122">
        <f t="shared" si="7"/>
        <v>0</v>
      </c>
      <c r="AM17" s="93">
        <f>'Юнит 6'!AM17+'Юнит 7'!AM17+'Юнит 8'!AM17+'Юнит 9'!AM17</f>
        <v>0</v>
      </c>
      <c r="AN17" s="325">
        <f t="shared" si="8"/>
        <v>3816.1589045362102</v>
      </c>
      <c r="AO17" s="95">
        <f t="shared" si="20"/>
        <v>21641.6010954638</v>
      </c>
      <c r="AP17" s="96"/>
      <c r="AQ17" s="97">
        <f t="shared" si="9"/>
        <v>1292.1584146341463</v>
      </c>
      <c r="AR17" s="98">
        <f t="shared" si="10"/>
        <v>123.09</v>
      </c>
      <c r="AS17" s="98">
        <f t="shared" si="11"/>
        <v>482.63463414634123</v>
      </c>
      <c r="AT17" s="98">
        <f t="shared" si="12"/>
        <v>164.11406976744186</v>
      </c>
      <c r="AU17" s="98">
        <f t="shared" si="19"/>
        <v>194.37209302325581</v>
      </c>
      <c r="AV17" s="98">
        <f t="array" ref="AV17">_xlfn.IFS(U17=0,AO17,U17&lt;0,AO17/-U17,U17&gt;0,AO17/U17)</f>
        <v>263.92196457882682</v>
      </c>
      <c r="AW17" s="234">
        <f t="shared" si="27"/>
        <v>0.20424892303437273</v>
      </c>
      <c r="AX17" s="234">
        <f t="shared" si="28"/>
        <v>2.1441381475247931</v>
      </c>
      <c r="AY17" s="99"/>
      <c r="AZ17" s="94">
        <f t="shared" si="15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5"/>
        <v>0</v>
      </c>
      <c r="F18" s="93"/>
      <c r="G18" s="93"/>
      <c r="H18" s="93"/>
      <c r="I18" s="93"/>
      <c r="J18" s="93"/>
      <c r="K18" s="93">
        <v>123.09</v>
      </c>
      <c r="L18" s="92">
        <f t="shared" si="29"/>
        <v>0</v>
      </c>
      <c r="M18" s="89"/>
      <c r="N18" s="93">
        <f>'Юнит 6'!N18+'Юнит 7'!N18+'Юнит 8'!N18+'Юнит 9'!N18</f>
        <v>335</v>
      </c>
      <c r="O18" s="89">
        <v>1329</v>
      </c>
      <c r="P18" s="89">
        <v>51</v>
      </c>
      <c r="Q18" s="233">
        <f t="shared" si="16"/>
        <v>10.46875</v>
      </c>
      <c r="R18" s="92">
        <f t="shared" si="17"/>
        <v>4.3125</v>
      </c>
      <c r="S18" s="93">
        <f>'Юнит 6'!S18+'Юнит 7'!S18+'Юнит 8'!S18+'Юнит 9'!S18</f>
        <v>144</v>
      </c>
      <c r="T18" s="93">
        <f>'Юнит 6'!T18+'Юнит 7'!T18+'Юнит 8'!T18+'Юнит 9'!T18</f>
        <v>-6</v>
      </c>
      <c r="U18" s="92">
        <f t="shared" si="1"/>
        <v>138</v>
      </c>
      <c r="V18" s="93">
        <f>'Юнит 6'!V18+'Юнит 7'!V18+'Юнит 8'!V18+'Юнит 9'!V18</f>
        <v>117019.53</v>
      </c>
      <c r="W18" s="93">
        <f>'Юнит 6'!W18+'Юнит 7'!W18+'Юнит 8'!W18+'Юнит 9'!W18</f>
        <v>-4793</v>
      </c>
      <c r="X18" s="92">
        <f t="shared" si="2"/>
        <v>112226.53</v>
      </c>
      <c r="Y18" s="93">
        <f>'Юнит 6'!Y18+'Юнит 7'!Y18+'Юнит 8'!Y18+'Юнит 9'!Y18</f>
        <v>186681.39</v>
      </c>
      <c r="Z18" s="93">
        <f>'Юнит 6'!Z18+'Юнит 7'!Z18+'Юнит 8'!Z18+'Юнит 9'!Z18</f>
        <v>-7834</v>
      </c>
      <c r="AA18" s="232">
        <f t="shared" si="3"/>
        <v>178847.39</v>
      </c>
      <c r="AB18" s="92">
        <f t="shared" si="18"/>
        <v>227059.65</v>
      </c>
      <c r="AC18" s="234">
        <f t="shared" si="4"/>
        <v>2.1106609473013755E-2</v>
      </c>
      <c r="AD18" s="92">
        <f t="shared" si="5"/>
        <v>16986.420000000002</v>
      </c>
      <c r="AE18" s="93">
        <f>'Юнит 6'!AE18+'Юнит 7'!AE18+'Юнит 8'!AE18+'Юнит 9'!AE18</f>
        <v>66950.390000000014</v>
      </c>
      <c r="AF18" s="234">
        <f t="shared" si="6"/>
        <v>0.37434367926755885</v>
      </c>
      <c r="AG18" s="93">
        <f>'Юнит 6'!AG18+'Юнит 7'!AG18+'Юнит 8'!AG18+'Юнит 9'!AG18</f>
        <v>21449.799999999992</v>
      </c>
      <c r="AH18" s="93">
        <f>'Юнит 6'!AH18+'Юнит 7'!AH18+'Юнит 8'!AH18+'Юнит 9'!AH18</f>
        <v>18238</v>
      </c>
      <c r="AI18" s="93">
        <f>'Юнит 6'!AI18+'Юнит 7'!AI18+'Юнит 8'!AI18+'Юнит 9'!AI18</f>
        <v>11273</v>
      </c>
      <c r="AJ18" s="93">
        <f>'Юнит 6'!AJ18+'Юнит 7'!AJ18+'Юнит 8'!AJ18+'Юнит 9'!AJ18</f>
        <v>0</v>
      </c>
      <c r="AK18" s="93">
        <f>'Юнит 6'!AK18+'Юнит 7'!AK18+'Юнит 8'!AK18+'Юнит 9'!AK18</f>
        <v>0</v>
      </c>
      <c r="AL18" s="122">
        <f t="shared" si="7"/>
        <v>0</v>
      </c>
      <c r="AM18" s="93">
        <f>'Юнит 6'!AM18+'Юнит 7'!AM18+'Юнит 8'!AM18+'Юнит 9'!AM18</f>
        <v>40</v>
      </c>
      <c r="AN18" s="325">
        <f t="shared" si="8"/>
        <v>6301.2850182943957</v>
      </c>
      <c r="AO18" s="95">
        <f t="shared" si="20"/>
        <v>37608.494981705604</v>
      </c>
      <c r="AP18" s="96"/>
      <c r="AQ18" s="97">
        <f t="shared" si="9"/>
        <v>1295.995579710145</v>
      </c>
      <c r="AR18" s="98">
        <f t="shared" si="10"/>
        <v>123.09</v>
      </c>
      <c r="AS18" s="98">
        <f t="shared" si="11"/>
        <v>485.14775362318852</v>
      </c>
      <c r="AT18" s="98">
        <f t="shared" si="12"/>
        <v>148.95694444444439</v>
      </c>
      <c r="AU18" s="98">
        <f t="shared" si="19"/>
        <v>204.9375</v>
      </c>
      <c r="AV18" s="98">
        <f t="array" ref="AV18">_xlfn.IFS(U18=0,AO18,U18&lt;0,AO18/-U18,U18&gt;0,AO18/U18)</f>
        <v>272.52532595438845</v>
      </c>
      <c r="AW18" s="234">
        <f t="shared" si="27"/>
        <v>0.21028260452504005</v>
      </c>
      <c r="AX18" s="234">
        <f t="shared" si="28"/>
        <v>2.2140330323697168</v>
      </c>
      <c r="AY18" s="99"/>
      <c r="AZ18" s="94">
        <f t="shared" si="15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5"/>
        <v>0</v>
      </c>
      <c r="F19" s="93"/>
      <c r="G19" s="93"/>
      <c r="H19" s="93"/>
      <c r="I19" s="93"/>
      <c r="J19" s="93"/>
      <c r="K19" s="93">
        <v>123.09</v>
      </c>
      <c r="L19" s="92">
        <f t="shared" si="29"/>
        <v>0</v>
      </c>
      <c r="M19" s="89"/>
      <c r="N19" s="93">
        <f>'Юнит 6'!N19+'Юнит 7'!N19+'Юнит 8'!N19+'Юнит 9'!N19</f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f>'Юнит 6'!S19+'Юнит 7'!S19+'Юнит 8'!S19+'Юнит 9'!S19</f>
        <v>0</v>
      </c>
      <c r="T19" s="93">
        <f>'Юнит 6'!T19+'Юнит 7'!T19+'Юнит 8'!T19+'Юнит 9'!T19</f>
        <v>0</v>
      </c>
      <c r="U19" s="92">
        <f t="shared" si="1"/>
        <v>0</v>
      </c>
      <c r="V19" s="93">
        <f>'Юнит 6'!V19+'Юнит 7'!V19+'Юнит 8'!V19+'Юнит 9'!V19</f>
        <v>0</v>
      </c>
      <c r="W19" s="93">
        <f>'Юнит 6'!W19+'Юнит 7'!W19+'Юнит 8'!W19+'Юнит 9'!W19</f>
        <v>0</v>
      </c>
      <c r="X19" s="92">
        <f t="shared" si="2"/>
        <v>0</v>
      </c>
      <c r="Y19" s="93">
        <f>'Юнит 6'!Y19+'Юнит 7'!Y19+'Юнит 8'!Y19+'Юнит 9'!Y19</f>
        <v>0</v>
      </c>
      <c r="Z19" s="93">
        <f>'Юнит 6'!Z19+'Юнит 7'!Z19+'Юнит 8'!Z19+'Юнит 9'!Z19</f>
        <v>0</v>
      </c>
      <c r="AA19" s="232">
        <f t="shared" si="3"/>
        <v>0</v>
      </c>
      <c r="AB19" s="92">
        <f t="shared" si="18"/>
        <v>0</v>
      </c>
      <c r="AC19" s="234">
        <f t="shared" si="4"/>
        <v>0</v>
      </c>
      <c r="AD19" s="92">
        <f t="shared" si="5"/>
        <v>0</v>
      </c>
      <c r="AE19" s="93">
        <f>'Юнит 6'!AE19+'Юнит 7'!AE19+'Юнит 8'!AE19+'Юнит 9'!AE19</f>
        <v>0</v>
      </c>
      <c r="AF19" s="234">
        <f t="shared" si="6"/>
        <v>0</v>
      </c>
      <c r="AG19" s="93">
        <f>'Юнит 6'!AG19+'Юнит 7'!AG19+'Юнит 8'!AG19+'Юнит 9'!AG19</f>
        <v>0</v>
      </c>
      <c r="AH19" s="93">
        <f>'Юнит 6'!AH19+'Юнит 7'!AH19+'Юнит 8'!AH19+'Юнит 9'!AH19</f>
        <v>0</v>
      </c>
      <c r="AI19" s="93">
        <f>'Юнит 6'!AI19+'Юнит 7'!AI19+'Юнит 8'!AI19+'Юнит 9'!AI19</f>
        <v>0</v>
      </c>
      <c r="AJ19" s="93">
        <f>'Юнит 6'!AJ19+'Юнит 7'!AJ19+'Юнит 8'!AJ19+'Юнит 9'!AJ19</f>
        <v>0</v>
      </c>
      <c r="AK19" s="93">
        <f>'Юнит 6'!AK19+'Юнит 7'!AK19+'Юнит 8'!AK19+'Юнит 9'!AK19</f>
        <v>0</v>
      </c>
      <c r="AL19" s="122">
        <f t="shared" si="7"/>
        <v>0</v>
      </c>
      <c r="AM19" s="93">
        <f>'Юнит 6'!AM19+'Юнит 7'!AM19+'Юнит 8'!AM19+'Юнит 9'!AM19</f>
        <v>0</v>
      </c>
      <c r="AN19" s="325">
        <f t="shared" si="8"/>
        <v>0</v>
      </c>
      <c r="AO19" s="95">
        <f t="shared" si="20"/>
        <v>0</v>
      </c>
      <c r="AP19" s="96"/>
      <c r="AQ19" s="97">
        <f t="shared" si="9"/>
        <v>0</v>
      </c>
      <c r="AR19" s="98">
        <f t="shared" si="10"/>
        <v>123.09</v>
      </c>
      <c r="AS19" s="98">
        <f t="shared" si="11"/>
        <v>0</v>
      </c>
      <c r="AT19" s="98">
        <f t="shared" si="12"/>
        <v>0</v>
      </c>
      <c r="AU19" s="98">
        <f t="shared" si="19"/>
        <v>0</v>
      </c>
      <c r="AV19" s="98">
        <f t="array" ref="AV19">_xlfn.IFS(U19=0,AO19,U19&lt;0,AO19/-U19,U19&gt;0,AO19/U19)</f>
        <v>0</v>
      </c>
      <c r="AW19" s="234">
        <f t="shared" si="27"/>
        <v>0</v>
      </c>
      <c r="AX19" s="234">
        <f t="shared" si="28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5"/>
        <v>0</v>
      </c>
      <c r="F20" s="93"/>
      <c r="G20" s="93"/>
      <c r="H20" s="93"/>
      <c r="I20" s="93"/>
      <c r="J20" s="93"/>
      <c r="K20" s="93">
        <v>117.24</v>
      </c>
      <c r="L20" s="92">
        <f t="shared" si="29"/>
        <v>0</v>
      </c>
      <c r="M20" s="89"/>
      <c r="N20" s="93">
        <f>'Юнит 6'!N20+'Юнит 7'!N20+'Юнит 8'!N20+'Юнит 9'!N20</f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</v>
      </c>
      <c r="S20" s="93">
        <f>'Юнит 6'!S20+'Юнит 7'!S20+'Юнит 8'!S20+'Юнит 9'!S20</f>
        <v>0</v>
      </c>
      <c r="T20" s="93">
        <f>'Юнит 6'!T20+'Юнит 7'!T20+'Юнит 8'!T20+'Юнит 9'!T20</f>
        <v>0</v>
      </c>
      <c r="U20" s="92">
        <f t="shared" si="1"/>
        <v>0</v>
      </c>
      <c r="V20" s="93">
        <f>'Юнит 6'!V20+'Юнит 7'!V20+'Юнит 8'!V20+'Юнит 9'!V20</f>
        <v>0</v>
      </c>
      <c r="W20" s="93">
        <f>'Юнит 6'!W20+'Юнит 7'!W20+'Юнит 8'!W20+'Юнит 9'!W20</f>
        <v>0</v>
      </c>
      <c r="X20" s="92">
        <f t="shared" si="2"/>
        <v>0</v>
      </c>
      <c r="Y20" s="93">
        <f>'Юнит 6'!Y20+'Юнит 7'!Y20+'Юнит 8'!Y20+'Юнит 9'!Y20</f>
        <v>0</v>
      </c>
      <c r="Z20" s="93">
        <f>'Юнит 6'!Z20+'Юнит 7'!Z20+'Юнит 8'!Z20+'Юнит 9'!Z20</f>
        <v>0</v>
      </c>
      <c r="AA20" s="232">
        <f t="shared" si="3"/>
        <v>0</v>
      </c>
      <c r="AB20" s="92">
        <f t="shared" si="18"/>
        <v>0</v>
      </c>
      <c r="AC20" s="234">
        <f t="shared" si="4"/>
        <v>0</v>
      </c>
      <c r="AD20" s="92">
        <f t="shared" si="5"/>
        <v>0</v>
      </c>
      <c r="AE20" s="93">
        <f>'Юнит 6'!AE20+'Юнит 7'!AE20+'Юнит 8'!AE20+'Юнит 9'!AE20</f>
        <v>0</v>
      </c>
      <c r="AF20" s="234">
        <f t="shared" si="6"/>
        <v>0</v>
      </c>
      <c r="AG20" s="93">
        <f>'Юнит 6'!AG20+'Юнит 7'!AG20+'Юнит 8'!AG20+'Юнит 9'!AG20</f>
        <v>0</v>
      </c>
      <c r="AH20" s="93">
        <f>'Юнит 6'!AH20+'Юнит 7'!AH20+'Юнит 8'!AH20+'Юнит 9'!AH20</f>
        <v>0</v>
      </c>
      <c r="AI20" s="93">
        <f>'Юнит 6'!AI20+'Юнит 7'!AI20+'Юнит 8'!AI20+'Юнит 9'!AI20</f>
        <v>0</v>
      </c>
      <c r="AJ20" s="93">
        <f>'Юнит 6'!AJ20+'Юнит 7'!AJ20+'Юнит 8'!AJ20+'Юнит 9'!AJ20</f>
        <v>0</v>
      </c>
      <c r="AK20" s="93">
        <f>'Юнит 6'!AK20+'Юнит 7'!AK20+'Юнит 8'!AK20+'Юнит 9'!AK20</f>
        <v>0</v>
      </c>
      <c r="AL20" s="122">
        <f t="shared" si="7"/>
        <v>0</v>
      </c>
      <c r="AM20" s="93">
        <f>'Юнит 6'!AM20+'Юнит 7'!AM20+'Юнит 8'!AM20+'Юнит 9'!AM20</f>
        <v>0</v>
      </c>
      <c r="AN20" s="325">
        <f t="shared" si="8"/>
        <v>0</v>
      </c>
      <c r="AO20" s="95">
        <f t="shared" si="20"/>
        <v>0</v>
      </c>
      <c r="AP20" s="96"/>
      <c r="AQ20" s="97">
        <f t="shared" si="9"/>
        <v>0</v>
      </c>
      <c r="AR20" s="98">
        <f>K20</f>
        <v>117.24</v>
      </c>
      <c r="AS20" s="98">
        <f t="shared" si="11"/>
        <v>0</v>
      </c>
      <c r="AT20" s="98">
        <f t="shared" si="12"/>
        <v>0</v>
      </c>
      <c r="AU20" s="98">
        <f t="shared" si="19"/>
        <v>0</v>
      </c>
      <c r="AV20" s="98">
        <f t="array" ref="AV20">_xlfn.IFS(U20=0,AO20,U20&lt;0,AO20/-U20,U20&gt;0,AO20/U20)</f>
        <v>0</v>
      </c>
      <c r="AW20" s="234">
        <f t="shared" si="27"/>
        <v>0</v>
      </c>
      <c r="AX20" s="234">
        <f t="shared" si="28"/>
        <v>0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5"/>
        <v>0</v>
      </c>
      <c r="F21" s="93"/>
      <c r="G21" s="93"/>
      <c r="H21" s="93"/>
      <c r="I21" s="93"/>
      <c r="J21" s="93"/>
      <c r="K21" s="93">
        <v>117.24</v>
      </c>
      <c r="L21" s="92">
        <f t="shared" si="29"/>
        <v>0</v>
      </c>
      <c r="M21" s="89"/>
      <c r="N21" s="93">
        <f>'Юнит 6'!N21+'Юнит 7'!N21+'Юнит 8'!N21+'Юнит 9'!N21</f>
        <v>1</v>
      </c>
      <c r="O21" s="89">
        <v>838</v>
      </c>
      <c r="P21" s="89">
        <v>0</v>
      </c>
      <c r="Q21" s="233">
        <f t="shared" si="16"/>
        <v>3.125E-2</v>
      </c>
      <c r="R21" s="92">
        <f t="shared" si="17"/>
        <v>0</v>
      </c>
      <c r="S21" s="93">
        <f>'Юнит 6'!S21+'Юнит 7'!S21+'Юнит 8'!S21+'Юнит 9'!S21</f>
        <v>0</v>
      </c>
      <c r="T21" s="93">
        <f>'Юнит 6'!T21+'Юнит 7'!T21+'Юнит 8'!T21+'Юнит 9'!T21</f>
        <v>0</v>
      </c>
      <c r="U21" s="92">
        <f t="shared" si="1"/>
        <v>0</v>
      </c>
      <c r="V21" s="93">
        <f>'Юнит 6'!V21+'Юнит 7'!V21+'Юнит 8'!V21+'Юнит 9'!V21</f>
        <v>0</v>
      </c>
      <c r="W21" s="93">
        <f>'Юнит 6'!W21+'Юнит 7'!W21+'Юнит 8'!W21+'Юнит 9'!W21</f>
        <v>0</v>
      </c>
      <c r="X21" s="92">
        <f t="shared" si="2"/>
        <v>0</v>
      </c>
      <c r="Y21" s="93">
        <f>'Юнит 6'!Y21+'Юнит 7'!Y21+'Юнит 8'!Y21+'Юнит 9'!Y21</f>
        <v>0</v>
      </c>
      <c r="Z21" s="93">
        <f>'Юнит 6'!Z21+'Юнит 7'!Z21+'Юнит 8'!Z21+'Юнит 9'!Z21</f>
        <v>0</v>
      </c>
      <c r="AA21" s="232">
        <f t="shared" si="3"/>
        <v>0</v>
      </c>
      <c r="AB21" s="92">
        <f t="shared" si="18"/>
        <v>0</v>
      </c>
      <c r="AC21" s="234">
        <f t="shared" si="4"/>
        <v>0</v>
      </c>
      <c r="AD21" s="92">
        <f t="shared" si="5"/>
        <v>0</v>
      </c>
      <c r="AE21" s="93">
        <f>'Юнит 6'!AE21+'Юнит 7'!AE21+'Юнит 8'!AE21+'Юнит 9'!AE21</f>
        <v>0</v>
      </c>
      <c r="AF21" s="234">
        <f t="shared" si="6"/>
        <v>0</v>
      </c>
      <c r="AG21" s="93">
        <f>'Юнит 6'!AG21+'Юнит 7'!AG21+'Юнит 8'!AG21+'Юнит 9'!AG21</f>
        <v>79.58</v>
      </c>
      <c r="AH21" s="93">
        <f>'Юнит 6'!AH21+'Юнит 7'!AH21+'Юнит 8'!AH21+'Юнит 9'!AH21</f>
        <v>0</v>
      </c>
      <c r="AI21" s="93">
        <f>'Юнит 6'!AI21+'Юнит 7'!AI21+'Юнит 8'!AI21+'Юнит 9'!AI21</f>
        <v>0</v>
      </c>
      <c r="AJ21" s="93">
        <f>'Юнит 6'!AJ21+'Юнит 7'!AJ21+'Юнит 8'!AJ21+'Юнит 9'!AJ21</f>
        <v>0</v>
      </c>
      <c r="AK21" s="93">
        <f>'Юнит 6'!AK21+'Юнит 7'!AK21+'Юнит 8'!AK21+'Юнит 9'!AK21</f>
        <v>0</v>
      </c>
      <c r="AL21" s="122">
        <f t="shared" si="7"/>
        <v>0</v>
      </c>
      <c r="AM21" s="93">
        <f>'Юнит 6'!AM21+'Юнит 7'!AM21+'Юнит 8'!AM21+'Юнит 9'!AM21</f>
        <v>0</v>
      </c>
      <c r="AN21" s="325">
        <f t="shared" si="8"/>
        <v>0</v>
      </c>
      <c r="AO21" s="95">
        <f t="shared" si="20"/>
        <v>-79.58</v>
      </c>
      <c r="AP21" s="96"/>
      <c r="AQ21" s="97">
        <f t="shared" si="9"/>
        <v>0</v>
      </c>
      <c r="AR21" s="98">
        <f t="shared" ref="AR21:AR98" si="30">K21</f>
        <v>117.24</v>
      </c>
      <c r="AS21" s="98">
        <f t="shared" si="11"/>
        <v>0</v>
      </c>
      <c r="AT21" s="98">
        <f t="shared" si="12"/>
        <v>79.58</v>
      </c>
      <c r="AU21" s="98">
        <f t="shared" si="19"/>
        <v>0</v>
      </c>
      <c r="AV21" s="98">
        <f t="array" ref="AV21">_xlfn.IFS(U21=0,AO21,U21&lt;0,AO21/-U21,U21&gt;0,AO21/U21)</f>
        <v>-79.58</v>
      </c>
      <c r="AW21" s="234">
        <f t="shared" si="27"/>
        <v>0</v>
      </c>
      <c r="AX21" s="234">
        <f t="shared" si="28"/>
        <v>-0.67877857386557494</v>
      </c>
      <c r="AY21" s="99"/>
      <c r="AZ21" s="94">
        <f t="shared" si="15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5"/>
        <v>0</v>
      </c>
      <c r="F22" s="93"/>
      <c r="G22" s="93"/>
      <c r="H22" s="93"/>
      <c r="I22" s="93"/>
      <c r="J22" s="93"/>
      <c r="K22" s="93">
        <v>117.24</v>
      </c>
      <c r="L22" s="92">
        <f t="shared" si="29"/>
        <v>0</v>
      </c>
      <c r="M22" s="89"/>
      <c r="N22" s="93">
        <f>'Юнит 6'!N22+'Юнит 7'!N22+'Юнит 8'!N22+'Юнит 9'!N22</f>
        <v>5</v>
      </c>
      <c r="O22" s="89">
        <v>838</v>
      </c>
      <c r="P22" s="89">
        <v>50</v>
      </c>
      <c r="Q22" s="233">
        <f t="shared" si="16"/>
        <v>0.15625</v>
      </c>
      <c r="R22" s="92">
        <f t="shared" si="17"/>
        <v>6.25E-2</v>
      </c>
      <c r="S22" s="93">
        <f>'Юнит 6'!S22+'Юнит 7'!S22+'Юнит 8'!S22+'Юнит 9'!S22</f>
        <v>2</v>
      </c>
      <c r="T22" s="93">
        <f>'Юнит 6'!T22+'Юнит 7'!T22+'Юнит 8'!T22+'Юнит 9'!T22</f>
        <v>0</v>
      </c>
      <c r="U22" s="92">
        <f t="shared" si="1"/>
        <v>2</v>
      </c>
      <c r="V22" s="93">
        <f>'Юнит 6'!V22+'Юнит 7'!V22+'Юнит 8'!V22+'Юнит 9'!V22</f>
        <v>1058</v>
      </c>
      <c r="W22" s="93">
        <f>'Юнит 6'!W22+'Юнит 7'!W22+'Юнит 8'!W22+'Юнит 9'!W22</f>
        <v>0</v>
      </c>
      <c r="X22" s="92">
        <f t="shared" si="2"/>
        <v>1058</v>
      </c>
      <c r="Y22" s="93">
        <f>'Юнит 6'!Y22+'Юнит 7'!Y22+'Юнит 8'!Y22+'Юнит 9'!Y22</f>
        <v>1676</v>
      </c>
      <c r="Z22" s="93">
        <f>'Юнит 6'!Z22+'Юнит 7'!Z22+'Юнит 8'!Z22+'Юнит 9'!Z22</f>
        <v>0</v>
      </c>
      <c r="AA22" s="232">
        <f t="shared" si="3"/>
        <v>1676</v>
      </c>
      <c r="AB22" s="92">
        <f t="shared" si="18"/>
        <v>2095</v>
      </c>
      <c r="AC22" s="234">
        <f t="shared" si="4"/>
        <v>1.9779252846111454E-4</v>
      </c>
      <c r="AD22" s="92">
        <f t="shared" si="5"/>
        <v>234.48</v>
      </c>
      <c r="AE22" s="93">
        <f>'Юнит 6'!AE22+'Юнит 7'!AE22+'Юнит 8'!AE22+'Юнит 9'!AE22</f>
        <v>625.17999999999995</v>
      </c>
      <c r="AF22" s="234">
        <f t="shared" si="6"/>
        <v>0.37301909307875891</v>
      </c>
      <c r="AG22" s="93">
        <f>'Юнит 6'!AG22+'Юнит 7'!AG22+'Юнит 8'!AG22+'Юнит 9'!AG22</f>
        <v>400.85</v>
      </c>
      <c r="AH22" s="93">
        <f>'Юнит 6'!AH22+'Юнит 7'!AH22+'Юнит 8'!AH22+'Юнит 9'!AH22</f>
        <v>0</v>
      </c>
      <c r="AI22" s="93">
        <f>'Юнит 6'!AI22+'Юнит 7'!AI22+'Юнит 8'!AI22+'Юнит 9'!AI22</f>
        <v>0</v>
      </c>
      <c r="AJ22" s="93">
        <f>'Юнит 6'!AJ22+'Юнит 7'!AJ22+'Юнит 8'!AJ22+'Юнит 9'!AJ22</f>
        <v>0</v>
      </c>
      <c r="AK22" s="93">
        <f>'Юнит 6'!AK22+'Юнит 7'!AK22+'Юнит 8'!AK22+'Юнит 9'!AK22</f>
        <v>0</v>
      </c>
      <c r="AL22" s="122">
        <f t="shared" si="7"/>
        <v>0</v>
      </c>
      <c r="AM22" s="93">
        <f>'Юнит 6'!AM22+'Юнит 7'!AM22+'Юнит 8'!AM22+'Юнит 9'!AM22</f>
        <v>0</v>
      </c>
      <c r="AN22" s="325">
        <f t="shared" si="8"/>
        <v>59.404487952674565</v>
      </c>
      <c r="AO22" s="95">
        <f t="shared" si="20"/>
        <v>356.08551204732544</v>
      </c>
      <c r="AP22" s="96"/>
      <c r="AQ22" s="97">
        <f t="shared" si="9"/>
        <v>838</v>
      </c>
      <c r="AR22" s="98">
        <f t="shared" si="30"/>
        <v>117.24</v>
      </c>
      <c r="AS22" s="98">
        <f t="shared" si="11"/>
        <v>312.58999999999997</v>
      </c>
      <c r="AT22" s="98">
        <f t="shared" si="12"/>
        <v>200.42500000000001</v>
      </c>
      <c r="AU22" s="98">
        <f t="shared" si="19"/>
        <v>0</v>
      </c>
      <c r="AV22" s="98">
        <f t="array" ref="AV22">_xlfn.IFS(U22=0,AO22,U22&lt;0,AO22/-U22,U22&gt;0,AO22/U22)</f>
        <v>178.04275602366272</v>
      </c>
      <c r="AW22" s="234">
        <f t="shared" si="27"/>
        <v>0.21246152270126817</v>
      </c>
      <c r="AX22" s="234">
        <f t="shared" si="28"/>
        <v>1.5186178439411697</v>
      </c>
      <c r="AY22" s="99"/>
      <c r="AZ22" s="94">
        <f t="shared" si="15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5"/>
        <v>0</v>
      </c>
      <c r="F23" s="93"/>
      <c r="G23" s="93"/>
      <c r="H23" s="93"/>
      <c r="I23" s="93"/>
      <c r="J23" s="93"/>
      <c r="K23" s="93">
        <v>117.24</v>
      </c>
      <c r="L23" s="92">
        <f t="shared" si="29"/>
        <v>0</v>
      </c>
      <c r="M23" s="89"/>
      <c r="N23" s="93">
        <f>'Юнит 6'!N23+'Юнит 7'!N23+'Юнит 8'!N23+'Юнит 9'!N23</f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f>'Юнит 6'!S23+'Юнит 7'!S23+'Юнит 8'!S23+'Юнит 9'!S23</f>
        <v>0</v>
      </c>
      <c r="T23" s="93">
        <f>'Юнит 6'!T23+'Юнит 7'!T23+'Юнит 8'!T23+'Юнит 9'!T23</f>
        <v>0</v>
      </c>
      <c r="U23" s="92">
        <f t="shared" si="1"/>
        <v>0</v>
      </c>
      <c r="V23" s="93">
        <f>'Юнит 6'!V23+'Юнит 7'!V23+'Юнит 8'!V23+'Юнит 9'!V23</f>
        <v>0</v>
      </c>
      <c r="W23" s="93">
        <f>'Юнит 6'!W23+'Юнит 7'!W23+'Юнит 8'!W23+'Юнит 9'!W23</f>
        <v>0</v>
      </c>
      <c r="X23" s="92">
        <f t="shared" si="2"/>
        <v>0</v>
      </c>
      <c r="Y23" s="93">
        <f>'Юнит 6'!Y23+'Юнит 7'!Y23+'Юнит 8'!Y23+'Юнит 9'!Y23</f>
        <v>0</v>
      </c>
      <c r="Z23" s="93">
        <f>'Юнит 6'!Z23+'Юнит 7'!Z23+'Юнит 8'!Z23+'Юнит 9'!Z23</f>
        <v>0</v>
      </c>
      <c r="AA23" s="232">
        <f t="shared" si="3"/>
        <v>0</v>
      </c>
      <c r="AB23" s="92">
        <f t="shared" si="18"/>
        <v>0</v>
      </c>
      <c r="AC23" s="234">
        <f t="shared" si="4"/>
        <v>0</v>
      </c>
      <c r="AD23" s="92">
        <f t="shared" si="5"/>
        <v>0</v>
      </c>
      <c r="AE23" s="93">
        <f>'Юнит 6'!AE23+'Юнит 7'!AE23+'Юнит 8'!AE23+'Юнит 9'!AE23</f>
        <v>0</v>
      </c>
      <c r="AF23" s="234">
        <f t="shared" si="6"/>
        <v>0</v>
      </c>
      <c r="AG23" s="93">
        <f>'Юнит 6'!AG23+'Юнит 7'!AG23+'Юнит 8'!AG23+'Юнит 9'!AG23</f>
        <v>0</v>
      </c>
      <c r="AH23" s="93">
        <f>'Юнит 6'!AH23+'Юнит 7'!AH23+'Юнит 8'!AH23+'Юнит 9'!AH23</f>
        <v>0</v>
      </c>
      <c r="AI23" s="93">
        <f>'Юнит 6'!AI23+'Юнит 7'!AI23+'Юнит 8'!AI23+'Юнит 9'!AI23</f>
        <v>0</v>
      </c>
      <c r="AJ23" s="93">
        <f>'Юнит 6'!AJ23+'Юнит 7'!AJ23+'Юнит 8'!AJ23+'Юнит 9'!AJ23</f>
        <v>0</v>
      </c>
      <c r="AK23" s="93">
        <f>'Юнит 6'!AK23+'Юнит 7'!AK23+'Юнит 8'!AK23+'Юнит 9'!AK23</f>
        <v>0</v>
      </c>
      <c r="AL23" s="122">
        <f t="shared" si="7"/>
        <v>0</v>
      </c>
      <c r="AM23" s="93">
        <f>'Юнит 6'!AM23+'Юнит 7'!AM23+'Юнит 8'!AM23+'Юнит 9'!AM23</f>
        <v>0</v>
      </c>
      <c r="AN23" s="325">
        <f t="shared" si="8"/>
        <v>0</v>
      </c>
      <c r="AO23" s="95">
        <f t="shared" si="20"/>
        <v>0</v>
      </c>
      <c r="AP23" s="96"/>
      <c r="AQ23" s="97">
        <f t="shared" si="9"/>
        <v>0</v>
      </c>
      <c r="AR23" s="98">
        <f t="shared" si="30"/>
        <v>117.24</v>
      </c>
      <c r="AS23" s="98">
        <f t="shared" si="11"/>
        <v>0</v>
      </c>
      <c r="AT23" s="98">
        <f t="shared" si="12"/>
        <v>0</v>
      </c>
      <c r="AU23" s="98">
        <f t="shared" si="19"/>
        <v>0</v>
      </c>
      <c r="AV23" s="98">
        <f t="array" ref="AV23">_xlfn.IFS(U23=0,AO23,U23&lt;0,AO23/-U23,U23&gt;0,AO23/U23)</f>
        <v>0</v>
      </c>
      <c r="AW23" s="234">
        <f t="shared" si="27"/>
        <v>0</v>
      </c>
      <c r="AX23" s="234">
        <f t="shared" si="28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5"/>
        <v>0</v>
      </c>
      <c r="F24" s="93"/>
      <c r="G24" s="93"/>
      <c r="H24" s="93"/>
      <c r="I24" s="93"/>
      <c r="J24" s="93"/>
      <c r="K24" s="93">
        <v>117.24</v>
      </c>
      <c r="L24" s="92">
        <f t="shared" si="29"/>
        <v>0</v>
      </c>
      <c r="M24" s="89"/>
      <c r="N24" s="93">
        <f>'Юнит 6'!N24+'Юнит 7'!N24+'Юнит 8'!N24+'Юнит 9'!N24</f>
        <v>0</v>
      </c>
      <c r="O24" s="89">
        <v>0</v>
      </c>
      <c r="P24" s="89">
        <v>0</v>
      </c>
      <c r="Q24" s="233">
        <f t="shared" si="16"/>
        <v>0</v>
      </c>
      <c r="R24" s="92">
        <f t="shared" si="17"/>
        <v>0</v>
      </c>
      <c r="S24" s="93">
        <f>'Юнит 6'!S24+'Юнит 7'!S24+'Юнит 8'!S24+'Юнит 9'!S24</f>
        <v>0</v>
      </c>
      <c r="T24" s="93">
        <f>'Юнит 6'!T24+'Юнит 7'!T24+'Юнит 8'!T24+'Юнит 9'!T24</f>
        <v>0</v>
      </c>
      <c r="U24" s="92">
        <f t="shared" si="1"/>
        <v>0</v>
      </c>
      <c r="V24" s="93">
        <f>'Юнит 6'!V24+'Юнит 7'!V24+'Юнит 8'!V24+'Юнит 9'!V24</f>
        <v>0</v>
      </c>
      <c r="W24" s="93">
        <f>'Юнит 6'!W24+'Юнит 7'!W24+'Юнит 8'!W24+'Юнит 9'!W24</f>
        <v>0</v>
      </c>
      <c r="X24" s="92">
        <f t="shared" si="2"/>
        <v>0</v>
      </c>
      <c r="Y24" s="93">
        <f>'Юнит 6'!Y24+'Юнит 7'!Y24+'Юнит 8'!Y24+'Юнит 9'!Y24</f>
        <v>0</v>
      </c>
      <c r="Z24" s="93">
        <f>'Юнит 6'!Z24+'Юнит 7'!Z24+'Юнит 8'!Z24+'Юнит 9'!Z24</f>
        <v>0</v>
      </c>
      <c r="AA24" s="232">
        <f t="shared" si="3"/>
        <v>0</v>
      </c>
      <c r="AB24" s="92">
        <f t="shared" si="18"/>
        <v>0</v>
      </c>
      <c r="AC24" s="234">
        <f t="shared" si="4"/>
        <v>0</v>
      </c>
      <c r="AD24" s="92">
        <f t="shared" si="5"/>
        <v>0</v>
      </c>
      <c r="AE24" s="93">
        <f>'Юнит 6'!AE24+'Юнит 7'!AE24+'Юнит 8'!AE24+'Юнит 9'!AE24</f>
        <v>0</v>
      </c>
      <c r="AF24" s="234">
        <f t="shared" si="6"/>
        <v>0</v>
      </c>
      <c r="AG24" s="93">
        <f>'Юнит 6'!AG24+'Юнит 7'!AG24+'Юнит 8'!AG24+'Юнит 9'!AG24</f>
        <v>0</v>
      </c>
      <c r="AH24" s="93">
        <f>'Юнит 6'!AH24+'Юнит 7'!AH24+'Юнит 8'!AH24+'Юнит 9'!AH24</f>
        <v>0</v>
      </c>
      <c r="AI24" s="93">
        <f>'Юнит 6'!AI24+'Юнит 7'!AI24+'Юнит 8'!AI24+'Юнит 9'!AI24</f>
        <v>0</v>
      </c>
      <c r="AJ24" s="93">
        <f>'Юнит 6'!AJ24+'Юнит 7'!AJ24+'Юнит 8'!AJ24+'Юнит 9'!AJ24</f>
        <v>0</v>
      </c>
      <c r="AK24" s="93">
        <f>'Юнит 6'!AK24+'Юнит 7'!AK24+'Юнит 8'!AK24+'Юнит 9'!AK24</f>
        <v>0</v>
      </c>
      <c r="AL24" s="122">
        <f t="shared" si="7"/>
        <v>0</v>
      </c>
      <c r="AM24" s="93">
        <f>'Юнит 6'!AM24+'Юнит 7'!AM24+'Юнит 8'!AM24+'Юнит 9'!AM24</f>
        <v>0</v>
      </c>
      <c r="AN24" s="325">
        <f t="shared" si="8"/>
        <v>0</v>
      </c>
      <c r="AO24" s="95">
        <f t="shared" si="20"/>
        <v>0</v>
      </c>
      <c r="AP24" s="96"/>
      <c r="AQ24" s="97">
        <f t="shared" si="9"/>
        <v>0</v>
      </c>
      <c r="AR24" s="98">
        <f t="shared" si="30"/>
        <v>117.24</v>
      </c>
      <c r="AS24" s="98">
        <f t="shared" si="11"/>
        <v>0</v>
      </c>
      <c r="AT24" s="98">
        <f t="shared" si="12"/>
        <v>0</v>
      </c>
      <c r="AU24" s="98">
        <f t="shared" si="19"/>
        <v>0</v>
      </c>
      <c r="AV24" s="98">
        <f t="array" ref="AV24">_xlfn.IFS(U24=0,AO24,U24&lt;0,AO24/-U24,U24&gt;0,AO24/U24)</f>
        <v>0</v>
      </c>
      <c r="AW24" s="234">
        <f t="shared" si="27"/>
        <v>0</v>
      </c>
      <c r="AX24" s="234">
        <f t="shared" si="28"/>
        <v>0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5"/>
        <v>0</v>
      </c>
      <c r="F25" s="93"/>
      <c r="G25" s="93"/>
      <c r="H25" s="93"/>
      <c r="I25" s="93"/>
      <c r="J25" s="93"/>
      <c r="K25" s="93">
        <v>117.24</v>
      </c>
      <c r="L25" s="92">
        <f t="shared" si="29"/>
        <v>0</v>
      </c>
      <c r="M25" s="89"/>
      <c r="N25" s="93">
        <f>'Юнит 6'!N25+'Юнит 7'!N25+'Юнит 8'!N25+'Юнит 9'!N25</f>
        <v>7</v>
      </c>
      <c r="O25" s="89">
        <v>918</v>
      </c>
      <c r="P25" s="89">
        <v>57</v>
      </c>
      <c r="Q25" s="233">
        <f t="shared" si="16"/>
        <v>0.21875</v>
      </c>
      <c r="R25" s="92">
        <f t="shared" si="17"/>
        <v>0.21875</v>
      </c>
      <c r="S25" s="93">
        <f>'Юнит 6'!S25+'Юнит 7'!S25+'Юнит 8'!S25+'Юнит 9'!S25</f>
        <v>7</v>
      </c>
      <c r="T25" s="93">
        <f>'Юнит 6'!T25+'Юнит 7'!T25+'Юнит 8'!T25+'Юнит 9'!T25</f>
        <v>0</v>
      </c>
      <c r="U25" s="92">
        <f t="shared" si="1"/>
        <v>7</v>
      </c>
      <c r="V25" s="93">
        <f>'Юнит 6'!V25+'Юнит 7'!V25+'Юнит 8'!V25+'Юнит 9'!V25</f>
        <v>4207</v>
      </c>
      <c r="W25" s="93">
        <f>'Юнит 6'!W25+'Юнит 7'!W25+'Юнит 8'!W25+'Юнит 9'!W25</f>
        <v>0</v>
      </c>
      <c r="X25" s="92">
        <f t="shared" si="2"/>
        <v>4207</v>
      </c>
      <c r="Y25" s="93">
        <f>'Юнит 6'!Y25+'Юнит 7'!Y25+'Юнит 8'!Y25+'Юнит 9'!Y25</f>
        <v>6370.92</v>
      </c>
      <c r="Z25" s="93">
        <f>'Юнит 6'!Z25+'Юнит 7'!Z25+'Юнит 8'!Z25+'Юнит 9'!Z25</f>
        <v>0</v>
      </c>
      <c r="AA25" s="232">
        <f t="shared" si="3"/>
        <v>6370.92</v>
      </c>
      <c r="AB25" s="92">
        <f t="shared" si="18"/>
        <v>3662.82</v>
      </c>
      <c r="AC25" s="234">
        <f t="shared" si="4"/>
        <v>7.5186179917868963E-4</v>
      </c>
      <c r="AD25" s="92">
        <f t="shared" si="5"/>
        <v>820.68</v>
      </c>
      <c r="AE25" s="93">
        <f>'Юнит 6'!AE25+'Юнит 7'!AE25+'Юнит 8'!AE25+'Юнит 9'!AE25</f>
        <v>2366.6000000000004</v>
      </c>
      <c r="AF25" s="234">
        <f t="shared" si="6"/>
        <v>0.37146911278119965</v>
      </c>
      <c r="AG25" s="93">
        <f>'Юнит 6'!AG25+'Юнит 7'!AG25+'Юнит 8'!AG25+'Юнит 9'!AG25</f>
        <v>637.06999999999994</v>
      </c>
      <c r="AH25" s="93">
        <f>'Юнит 6'!AH25+'Юнит 7'!AH25+'Юнит 8'!AH25+'Юнит 9'!AH25</f>
        <v>0</v>
      </c>
      <c r="AI25" s="93">
        <f>'Юнит 6'!AI25+'Юнит 7'!AI25+'Юнит 8'!AI25+'Юнит 9'!AI25</f>
        <v>0</v>
      </c>
      <c r="AJ25" s="93">
        <f>'Юнит 6'!AJ25+'Юнит 7'!AJ25+'Юнит 8'!AJ25+'Юнит 9'!AJ25</f>
        <v>0</v>
      </c>
      <c r="AK25" s="93">
        <f>'Юнит 6'!AK25+'Юнит 7'!AK25+'Юнит 8'!AK25+'Юнит 9'!AK25</f>
        <v>0</v>
      </c>
      <c r="AL25" s="122">
        <f t="shared" si="7"/>
        <v>0</v>
      </c>
      <c r="AM25" s="93">
        <f>'Юнит 6'!AM25+'Юнит 7'!AM25+'Юнит 8'!AM25+'Юнит 9'!AM25</f>
        <v>0</v>
      </c>
      <c r="AN25" s="325">
        <f t="shared" si="8"/>
        <v>236.21425408024754</v>
      </c>
      <c r="AO25" s="95">
        <f t="shared" si="20"/>
        <v>2310.3557459197523</v>
      </c>
      <c r="AP25" s="96"/>
      <c r="AQ25" s="97">
        <f t="shared" si="9"/>
        <v>910.13142857142861</v>
      </c>
      <c r="AR25" s="98">
        <f t="shared" si="30"/>
        <v>117.24</v>
      </c>
      <c r="AS25" s="98">
        <f t="shared" si="11"/>
        <v>338.08571428571435</v>
      </c>
      <c r="AT25" s="98">
        <f t="shared" si="12"/>
        <v>91.009999999999991</v>
      </c>
      <c r="AU25" s="98">
        <f t="shared" si="19"/>
        <v>0</v>
      </c>
      <c r="AV25" s="98">
        <f t="array" ref="AV25">_xlfn.IFS(U25=0,AO25,U25&lt;0,AO25/-U25,U25&gt;0,AO25/U25)</f>
        <v>330.05082084567891</v>
      </c>
      <c r="AW25" s="234">
        <f t="shared" si="27"/>
        <v>0.36264083459213931</v>
      </c>
      <c r="AX25" s="234">
        <f t="shared" si="28"/>
        <v>2.8151724739481314</v>
      </c>
      <c r="AY25" s="99"/>
      <c r="AZ25" s="94">
        <f t="shared" si="15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5"/>
        <v>0</v>
      </c>
      <c r="F26" s="93"/>
      <c r="G26" s="93"/>
      <c r="H26" s="93"/>
      <c r="I26" s="93"/>
      <c r="J26" s="93"/>
      <c r="K26" s="93">
        <v>123.09</v>
      </c>
      <c r="L26" s="92">
        <f t="shared" si="29"/>
        <v>0</v>
      </c>
      <c r="M26" s="89"/>
      <c r="N26" s="93">
        <f>'Юнит 6'!N26+'Юнит 7'!N26+'Юнит 8'!N26+'Юнит 9'!N26</f>
        <v>433</v>
      </c>
      <c r="O26" s="89">
        <v>699</v>
      </c>
      <c r="P26" s="89">
        <v>32</v>
      </c>
      <c r="Q26" s="233">
        <f t="shared" si="16"/>
        <v>13.53125</v>
      </c>
      <c r="R26" s="92">
        <f t="shared" si="17"/>
        <v>3.53125</v>
      </c>
      <c r="S26" s="93">
        <f>'Юнит 6'!S26+'Юнит 7'!S26+'Юнит 8'!S26+'Юнит 9'!S26</f>
        <v>116</v>
      </c>
      <c r="T26" s="93">
        <f>'Юнит 6'!T26+'Юнит 7'!T26+'Юнит 8'!T26+'Юнит 9'!T26</f>
        <v>-3</v>
      </c>
      <c r="U26" s="92">
        <f t="shared" si="1"/>
        <v>113</v>
      </c>
      <c r="V26" s="93">
        <f>'Юнит 6'!V26+'Юнит 7'!V26+'Юнит 8'!V26+'Юнит 9'!V26</f>
        <v>53548.62</v>
      </c>
      <c r="W26" s="93">
        <f>'Юнит 6'!W26+'Юнит 7'!W26+'Юнит 8'!W26+'Юнит 9'!W26</f>
        <v>-1407</v>
      </c>
      <c r="X26" s="92">
        <f t="shared" si="2"/>
        <v>52141.62</v>
      </c>
      <c r="Y26" s="93">
        <f>'Юнит 6'!Y26+'Юнит 7'!Y26+'Юнит 8'!Y26+'Юнит 9'!Y26</f>
        <v>81182.14</v>
      </c>
      <c r="Z26" s="93">
        <f>'Юнит 6'!Z26+'Юнит 7'!Z26+'Юнит 8'!Z26+'Юнит 9'!Z26</f>
        <v>-2097</v>
      </c>
      <c r="AA26" s="232">
        <f t="shared" si="3"/>
        <v>79085.14</v>
      </c>
      <c r="AB26" s="92">
        <f t="shared" si="18"/>
        <v>96853.440000000002</v>
      </c>
      <c r="AC26" s="234">
        <f t="shared" si="4"/>
        <v>9.3332039405138595E-3</v>
      </c>
      <c r="AD26" s="92">
        <f t="shared" si="5"/>
        <v>13909.17</v>
      </c>
      <c r="AE26" s="93">
        <f>'Юнит 6'!AE26+'Юнит 7'!AE26+'Юнит 8'!AE26+'Юнит 9'!AE26</f>
        <v>29622.429999999993</v>
      </c>
      <c r="AF26" s="234">
        <f t="shared" si="6"/>
        <v>0.37456379289459429</v>
      </c>
      <c r="AG26" s="93">
        <f>'Юнит 6'!AG26+'Юнит 7'!AG26+'Юнит 8'!AG26+'Юнит 9'!AG26</f>
        <v>30184.689999999984</v>
      </c>
      <c r="AH26" s="93">
        <f>'Юнит 6'!AH26+'Юнит 7'!AH26+'Юнит 8'!AH26+'Юнит 9'!AH26</f>
        <v>13500</v>
      </c>
      <c r="AI26" s="93">
        <f>'Юнит 6'!AI26+'Юнит 7'!AI26+'Юнит 8'!AI26+'Юнит 9'!AI26</f>
        <v>16500</v>
      </c>
      <c r="AJ26" s="93">
        <f>'Юнит 6'!AJ26+'Юнит 7'!AJ26+'Юнит 8'!AJ26+'Юнит 9'!AJ26</f>
        <v>0</v>
      </c>
      <c r="AK26" s="93">
        <f>'Юнит 6'!AK26+'Юнит 7'!AK26+'Юнит 8'!AK26+'Юнит 9'!AK26</f>
        <v>0</v>
      </c>
      <c r="AL26" s="122">
        <f t="shared" si="7"/>
        <v>0</v>
      </c>
      <c r="AM26" s="93">
        <f>'Юнит 6'!AM26+'Юнит 7'!AM26+'Юнит 8'!AM26+'Юнит 9'!AM26</f>
        <v>10</v>
      </c>
      <c r="AN26" s="325">
        <f t="shared" si="8"/>
        <v>2927.6429462409596</v>
      </c>
      <c r="AO26" s="95">
        <f t="shared" si="20"/>
        <v>-27568.792946240937</v>
      </c>
      <c r="AP26" s="96"/>
      <c r="AQ26" s="97">
        <f t="shared" si="9"/>
        <v>699.86849557522123</v>
      </c>
      <c r="AR26" s="98">
        <f t="shared" si="30"/>
        <v>123.09</v>
      </c>
      <c r="AS26" s="98">
        <f t="shared" si="11"/>
        <v>262.14539823008846</v>
      </c>
      <c r="AT26" s="98">
        <f t="shared" si="12"/>
        <v>260.21284482758608</v>
      </c>
      <c r="AU26" s="98">
        <f t="shared" si="19"/>
        <v>258.62068965517244</v>
      </c>
      <c r="AV26" s="98">
        <f t="array" ref="AV26">_xlfn.IFS(U26=0,AO26,U26&lt;0,AO26/-U26,U26&gt;0,AO26/U26)</f>
        <v>-243.97161899328262</v>
      </c>
      <c r="AW26" s="234">
        <f t="shared" si="27"/>
        <v>-0.34859637279823918</v>
      </c>
      <c r="AX26" s="234">
        <f t="shared" si="28"/>
        <v>-1.982058810571798</v>
      </c>
      <c r="AY26" s="99"/>
      <c r="AZ26" s="94">
        <f t="shared" si="15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5"/>
        <v>0</v>
      </c>
      <c r="F27" s="93"/>
      <c r="G27" s="93"/>
      <c r="H27" s="93"/>
      <c r="I27" s="93"/>
      <c r="J27" s="93"/>
      <c r="K27" s="93">
        <v>181.59</v>
      </c>
      <c r="L27" s="92">
        <f t="shared" si="29"/>
        <v>0</v>
      </c>
      <c r="M27" s="89"/>
      <c r="N27" s="93">
        <f>'Юнит 6'!N27+'Юнит 7'!N27+'Юнит 8'!N27+'Юнит 9'!N27</f>
        <v>61</v>
      </c>
      <c r="O27" s="89">
        <v>478</v>
      </c>
      <c r="P27" s="89">
        <v>60</v>
      </c>
      <c r="Q27" s="233">
        <f t="shared" si="16"/>
        <v>1.90625</v>
      </c>
      <c r="R27" s="92">
        <f t="shared" si="17"/>
        <v>0.875</v>
      </c>
      <c r="S27" s="93">
        <f>'Юнит 6'!S27+'Юнит 7'!S27+'Юнит 8'!S27+'Юнит 9'!S27</f>
        <v>28</v>
      </c>
      <c r="T27" s="93">
        <f>'Юнит 6'!T27+'Юнит 7'!T27+'Юнит 8'!T27+'Юнит 9'!T27</f>
        <v>0</v>
      </c>
      <c r="U27" s="92">
        <f t="shared" si="1"/>
        <v>28</v>
      </c>
      <c r="V27" s="93">
        <f>'Юнит 6'!V27+'Юнит 7'!V27+'Юнит 8'!V27+'Юнит 9'!V27</f>
        <v>8221.31</v>
      </c>
      <c r="W27" s="93">
        <f>'Юнит 6'!W27+'Юнит 7'!W27+'Юнит 8'!W27+'Юнит 9'!W27</f>
        <v>0</v>
      </c>
      <c r="X27" s="92">
        <f t="shared" si="2"/>
        <v>8221.31</v>
      </c>
      <c r="Y27" s="93">
        <f>'Юнит 6'!Y27+'Юнит 7'!Y27+'Юнит 8'!Y27+'Юнит 9'!Y27</f>
        <v>13386.189999999999</v>
      </c>
      <c r="Z27" s="93">
        <f>'Юнит 6'!Z27+'Юнит 7'!Z27+'Юнит 8'!Z27+'Юнит 9'!Z27</f>
        <v>0</v>
      </c>
      <c r="AA27" s="232">
        <f t="shared" si="3"/>
        <v>13386.189999999999</v>
      </c>
      <c r="AB27" s="92">
        <f t="shared" si="18"/>
        <v>17494.8</v>
      </c>
      <c r="AC27" s="234">
        <f t="shared" si="4"/>
        <v>1.5797663284969491E-3</v>
      </c>
      <c r="AD27" s="92">
        <f t="shared" si="5"/>
        <v>5084.5200000000004</v>
      </c>
      <c r="AE27" s="93">
        <f>'Юнит 6'!AE27+'Юнит 7'!AE27+'Юнит 8'!AE27+'Юнит 9'!AE27</f>
        <v>4986.7299999999996</v>
      </c>
      <c r="AF27" s="234">
        <f t="shared" si="6"/>
        <v>0.37252795605022787</v>
      </c>
      <c r="AG27" s="93">
        <f>'Юнит 6'!AG27+'Юнит 7'!AG27+'Юнит 8'!AG27+'Юнит 9'!AG27</f>
        <v>3275.02</v>
      </c>
      <c r="AH27" s="93">
        <f>'Юнит 6'!AH27+'Юнит 7'!AH27+'Юнит 8'!AH27+'Юнит 9'!AH27</f>
        <v>2000</v>
      </c>
      <c r="AI27" s="93">
        <f>'Юнит 6'!AI27+'Юнит 7'!AI27+'Юнит 8'!AI27+'Юнит 9'!AI27</f>
        <v>2260</v>
      </c>
      <c r="AJ27" s="93">
        <f>'Юнит 6'!AJ27+'Юнит 7'!AJ27+'Юнит 8'!AJ27+'Юнит 9'!AJ27</f>
        <v>0</v>
      </c>
      <c r="AK27" s="93">
        <f>'Юнит 6'!AK27+'Юнит 7'!AK27+'Юнит 8'!AK27+'Юнит 9'!AK27</f>
        <v>0</v>
      </c>
      <c r="AL27" s="122">
        <f t="shared" si="7"/>
        <v>0</v>
      </c>
      <c r="AM27" s="93">
        <f>'Юнит 6'!AM27+'Юнит 7'!AM27+'Юнит 8'!AM27+'Юнит 9'!AM27</f>
        <v>0</v>
      </c>
      <c r="AN27" s="325">
        <f t="shared" si="8"/>
        <v>461.60936753327303</v>
      </c>
      <c r="AO27" s="95">
        <f t="shared" si="20"/>
        <v>-4681.6893675332749</v>
      </c>
      <c r="AP27" s="96"/>
      <c r="AQ27" s="97">
        <f t="shared" si="9"/>
        <v>478.07821428571424</v>
      </c>
      <c r="AR27" s="98">
        <f t="shared" si="30"/>
        <v>181.59</v>
      </c>
      <c r="AS27" s="98">
        <f t="shared" si="11"/>
        <v>178.0975</v>
      </c>
      <c r="AT27" s="98">
        <f t="shared" si="12"/>
        <v>116.965</v>
      </c>
      <c r="AU27" s="98">
        <f t="shared" si="19"/>
        <v>152.14285714285714</v>
      </c>
      <c r="AV27" s="98">
        <f t="array" ref="AV27">_xlfn.IFS(U27=0,AO27,U27&lt;0,AO27/-U27,U27&gt;0,AO27/U27)</f>
        <v>-167.20319169761697</v>
      </c>
      <c r="AW27" s="234">
        <f t="shared" si="27"/>
        <v>-0.34974024479954907</v>
      </c>
      <c r="AX27" s="234">
        <f t="shared" si="28"/>
        <v>-0.92077312460827676</v>
      </c>
      <c r="AY27" s="99"/>
      <c r="AZ27" s="94">
        <f t="shared" si="15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1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9"/>
        <v>0</v>
      </c>
      <c r="M28" s="89"/>
      <c r="N28" s="93">
        <f>'Юнит 6'!N28+'Юнит 7'!N28+'Юнит 8'!N28+'Юнит 9'!N28</f>
        <v>849</v>
      </c>
      <c r="O28" s="89">
        <v>1172</v>
      </c>
      <c r="P28" s="89">
        <v>44</v>
      </c>
      <c r="Q28" s="233">
        <f t="shared" si="16"/>
        <v>26.53125</v>
      </c>
      <c r="R28" s="92">
        <f t="shared" si="17"/>
        <v>9.90625</v>
      </c>
      <c r="S28" s="93">
        <f>'Юнит 6'!S28+'Юнит 7'!S28+'Юнит 8'!S28+'Юнит 9'!S28</f>
        <v>327</v>
      </c>
      <c r="T28" s="93">
        <f>'Юнит 6'!T28+'Юнит 7'!T28+'Юнит 8'!T28+'Юнит 9'!T28</f>
        <v>-10</v>
      </c>
      <c r="U28" s="92">
        <f t="shared" si="1"/>
        <v>317</v>
      </c>
      <c r="V28" s="93">
        <f>'Юнит 6'!V28+'Юнит 7'!V28+'Юнит 8'!V28+'Юнит 9'!V28</f>
        <v>230509.47999999998</v>
      </c>
      <c r="W28" s="93">
        <f>'Юнит 6'!W28+'Юнит 7'!W28+'Юнит 8'!W28+'Юнит 9'!W28</f>
        <v>-6903</v>
      </c>
      <c r="X28" s="92">
        <f t="shared" si="2"/>
        <v>223606.47999999998</v>
      </c>
      <c r="Y28" s="93">
        <f>'Юнит 6'!Y28+'Юнит 7'!Y28+'Юнит 8'!Y28+'Юнит 9'!Y28</f>
        <v>369537.31999999995</v>
      </c>
      <c r="Z28" s="93">
        <f>'Юнит 6'!Z28+'Юнит 7'!Z28+'Юнит 8'!Z28+'Юнит 9'!Z28</f>
        <v>-11340</v>
      </c>
      <c r="AA28" s="232">
        <f t="shared" si="3"/>
        <v>358197.31999999995</v>
      </c>
      <c r="AB28" s="92">
        <f t="shared" si="18"/>
        <v>437812.32</v>
      </c>
      <c r="AC28" s="234">
        <f t="shared" si="4"/>
        <v>4.2272526020760703E-2</v>
      </c>
      <c r="AD28" s="92">
        <f t="shared" si="5"/>
        <v>42357.54</v>
      </c>
      <c r="AE28" s="93">
        <f>'Юнит 6'!AE28+'Юнит 7'!AE28+'Юнит 8'!AE28+'Юнит 9'!AE28</f>
        <v>133028.35000000003</v>
      </c>
      <c r="AF28" s="234">
        <f t="shared" si="6"/>
        <v>0.37138287355137123</v>
      </c>
      <c r="AG28" s="93">
        <f>'Юнит 6'!AG28+'Юнит 7'!AG28+'Юнит 8'!AG28+'Юнит 9'!AG28</f>
        <v>60512.919999999955</v>
      </c>
      <c r="AH28" s="93">
        <f>'Юнит 6'!AH28+'Юнит 7'!AH28+'Юнит 8'!AH28+'Юнит 9'!AH28</f>
        <v>26200</v>
      </c>
      <c r="AI28" s="93">
        <f>'Юнит 6'!AI28+'Юнит 7'!AI28+'Юнит 8'!AI28+'Юнит 9'!AI28</f>
        <v>29618</v>
      </c>
      <c r="AJ28" s="93">
        <f>'Юнит 6'!AJ28+'Юнит 7'!AJ28+'Юнит 8'!AJ28+'Юнит 9'!AJ28</f>
        <v>0</v>
      </c>
      <c r="AK28" s="93">
        <f>'Юнит 6'!AK28+'Юнит 7'!AK28+'Юнит 8'!AK28+'Юнит 9'!AK28</f>
        <v>0</v>
      </c>
      <c r="AL28" s="122">
        <f t="shared" si="7"/>
        <v>0</v>
      </c>
      <c r="AM28" s="93">
        <f>'Юнит 6'!AM28+'Юнит 7'!AM28+'Юнит 8'!AM28+'Юнит 9'!AM28</f>
        <v>130</v>
      </c>
      <c r="AN28" s="325">
        <f t="shared" si="8"/>
        <v>12555.036339602992</v>
      </c>
      <c r="AO28" s="95">
        <f t="shared" si="20"/>
        <v>53795.473660396987</v>
      </c>
      <c r="AP28" s="96"/>
      <c r="AQ28" s="97">
        <f t="shared" si="9"/>
        <v>1129.9599999999998</v>
      </c>
      <c r="AR28" s="98">
        <f t="shared" si="30"/>
        <v>133.62</v>
      </c>
      <c r="AS28" s="98">
        <f t="shared" si="11"/>
        <v>419.64779179810739</v>
      </c>
      <c r="AT28" s="98">
        <f t="shared" si="12"/>
        <v>185.05480122324144</v>
      </c>
      <c r="AU28" s="98">
        <f t="shared" si="19"/>
        <v>170.69724770642202</v>
      </c>
      <c r="AV28" s="98">
        <f>_xlfn.IFS(U28=0,AO28,U28&lt;0,AO28/-U28,U28&gt;0,AO28/U28)</f>
        <v>169.70180965424916</v>
      </c>
      <c r="AW28" s="234">
        <f t="shared" si="27"/>
        <v>0.1501839088589412</v>
      </c>
      <c r="AX28" s="234">
        <f t="shared" si="28"/>
        <v>1.2700330014537431</v>
      </c>
      <c r="AY28" s="99"/>
      <c r="AZ28" s="94">
        <f t="shared" si="15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93">
        <f>'Юнит 6'!N29+'Юнит 7'!N29+'Юнит 8'!N29+'Юнит 9'!N29</f>
        <v>2</v>
      </c>
      <c r="O29" s="89">
        <v>478</v>
      </c>
      <c r="P29" s="89">
        <v>100</v>
      </c>
      <c r="Q29" s="233">
        <f t="shared" si="16"/>
        <v>6.25E-2</v>
      </c>
      <c r="R29" s="92">
        <f t="shared" si="17"/>
        <v>9.375E-2</v>
      </c>
      <c r="S29" s="93">
        <f>'Юнит 6'!S29+'Юнит 7'!S29+'Юнит 8'!S29+'Юнит 9'!S29</f>
        <v>3</v>
      </c>
      <c r="T29" s="93">
        <f>'Юнит 6'!T29+'Юнит 7'!T29+'Юнит 8'!T29+'Юнит 9'!T29</f>
        <v>0</v>
      </c>
      <c r="U29" s="92">
        <f t="shared" si="1"/>
        <v>3</v>
      </c>
      <c r="V29" s="93">
        <f>'Юнит 6'!V29+'Юнит 7'!V29+'Юнит 8'!V29+'Юнит 9'!V29</f>
        <v>873</v>
      </c>
      <c r="W29" s="93">
        <f>'Юнит 6'!W29+'Юнит 7'!W29+'Юнит 8'!W29+'Юнит 9'!W29</f>
        <v>0</v>
      </c>
      <c r="X29" s="92">
        <f t="shared" si="2"/>
        <v>873</v>
      </c>
      <c r="Y29" s="93">
        <f>'Юнит 6'!Y29+'Юнит 7'!Y29+'Юнит 8'!Y29+'Юнит 9'!Y29</f>
        <v>1434</v>
      </c>
      <c r="Z29" s="93">
        <f>'Юнит 6'!Z29+'Юнит 7'!Z29+'Юнит 8'!Z29+'Юнит 9'!Z29</f>
        <v>0</v>
      </c>
      <c r="AA29" s="232">
        <f t="shared" si="3"/>
        <v>1434</v>
      </c>
      <c r="AB29" s="92">
        <f t="shared" si="18"/>
        <v>956</v>
      </c>
      <c r="AC29" s="234">
        <f t="shared" si="4"/>
        <v>1.6923298676207532E-4</v>
      </c>
      <c r="AD29" s="92">
        <f t="shared" si="5"/>
        <v>334.17</v>
      </c>
      <c r="AE29" s="93">
        <f>'Юнит 6'!AE29+'Юнит 7'!AE29+'Юнит 8'!AE29+'Юнит 9'!AE29</f>
        <v>536.03</v>
      </c>
      <c r="AF29" s="234">
        <f t="shared" si="6"/>
        <v>0.37380055788005578</v>
      </c>
      <c r="AG29" s="93">
        <f>'Юнит 6'!AG29+'Юнит 7'!AG29+'Юнит 8'!AG29+'Юнит 9'!AG29</f>
        <v>176.37</v>
      </c>
      <c r="AH29" s="93">
        <f>'Юнит 6'!AH29+'Юнит 7'!AH29+'Юнит 8'!AH29+'Юнит 9'!AH29</f>
        <v>0</v>
      </c>
      <c r="AI29" s="93">
        <f>'Юнит 6'!AI29+'Юнит 7'!AI29+'Юнит 8'!AI29+'Юнит 9'!AI29</f>
        <v>0</v>
      </c>
      <c r="AJ29" s="93">
        <f>'Юнит 6'!AJ29+'Юнит 7'!AJ29+'Юнит 8'!AJ29+'Юнит 9'!AJ29</f>
        <v>0</v>
      </c>
      <c r="AK29" s="93">
        <f>'Юнит 6'!AK29+'Юнит 7'!AK29+'Юнит 8'!AK29+'Юнит 9'!AK29</f>
        <v>0</v>
      </c>
      <c r="AL29" s="122">
        <f t="shared" si="7"/>
        <v>0</v>
      </c>
      <c r="AM29" s="93">
        <f>'Юнит 6'!AM29+'Юнит 7'!AM29+'Юнит 8'!AM29+'Юнит 9'!AM29</f>
        <v>0</v>
      </c>
      <c r="AN29" s="325">
        <f t="shared" si="8"/>
        <v>49.017124747339217</v>
      </c>
      <c r="AO29" s="95">
        <f t="shared" si="20"/>
        <v>338.41287525266074</v>
      </c>
      <c r="AP29" s="96"/>
      <c r="AQ29" s="97">
        <f t="shared" si="9"/>
        <v>478</v>
      </c>
      <c r="AR29" s="98">
        <f t="shared" si="30"/>
        <v>111.39</v>
      </c>
      <c r="AS29" s="98">
        <f t="shared" si="11"/>
        <v>178.67666666666665</v>
      </c>
      <c r="AT29" s="98">
        <f t="shared" si="12"/>
        <v>58.79</v>
      </c>
      <c r="AU29" s="98">
        <f t="shared" si="19"/>
        <v>0</v>
      </c>
      <c r="AV29" s="98">
        <f t="array" ref="AV29">_xlfn.IFS(U29=0,AO29,U29&lt;0,AO29/-U29,U29&gt;0,AO29/U29)</f>
        <v>112.80429175088692</v>
      </c>
      <c r="AW29" s="234">
        <f>IF(AQ29=0,0,AV29/AQ29)</f>
        <v>0.2359922421566672</v>
      </c>
      <c r="AX29" s="234">
        <f>IF(AR29=0,0,AV29/AR29)</f>
        <v>1.012696756898168</v>
      </c>
      <c r="AY29" s="99"/>
      <c r="AZ29" s="94">
        <f t="shared" si="15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93">
        <f>'Юнит 6'!N30+'Юнит 7'!N30+'Юнит 8'!N30+'Юнит 9'!N30</f>
        <v>5</v>
      </c>
      <c r="O30" s="89">
        <v>558</v>
      </c>
      <c r="P30" s="89">
        <v>25</v>
      </c>
      <c r="Q30" s="233">
        <f t="shared" si="16"/>
        <v>0.15625</v>
      </c>
      <c r="R30" s="92">
        <f t="shared" si="17"/>
        <v>9.375E-2</v>
      </c>
      <c r="S30" s="93">
        <f>'Юнит 6'!S30+'Юнит 7'!S30+'Юнит 8'!S30+'Юнит 9'!S30</f>
        <v>3</v>
      </c>
      <c r="T30" s="93">
        <f>'Юнит 6'!T30+'Юнит 7'!T30+'Юнит 8'!T30+'Юнит 9'!T30</f>
        <v>0</v>
      </c>
      <c r="U30" s="92">
        <f t="shared" si="1"/>
        <v>3</v>
      </c>
      <c r="V30" s="93">
        <f>'Юнит 6'!V30+'Юнит 7'!V30+'Юнит 8'!V30+'Юнит 9'!V30</f>
        <v>1121</v>
      </c>
      <c r="W30" s="93">
        <f>'Юнит 6'!W30+'Юнит 7'!W30+'Юнит 8'!W30+'Юнит 9'!W30</f>
        <v>0</v>
      </c>
      <c r="X30" s="92">
        <f t="shared" si="2"/>
        <v>1121</v>
      </c>
      <c r="Y30" s="93">
        <f>'Юнит 6'!Y30+'Юнит 7'!Y30+'Юнит 8'!Y30+'Юнит 9'!Y30</f>
        <v>1674</v>
      </c>
      <c r="Z30" s="93">
        <f>'Юнит 6'!Z30+'Юнит 7'!Z30+'Юнит 8'!Z30+'Юнит 9'!Z30</f>
        <v>0</v>
      </c>
      <c r="AA30" s="232">
        <f t="shared" si="3"/>
        <v>1674</v>
      </c>
      <c r="AB30" s="92">
        <f t="shared" si="18"/>
        <v>697.5</v>
      </c>
      <c r="AC30" s="234">
        <f t="shared" si="4"/>
        <v>1.9755649919087455E-4</v>
      </c>
      <c r="AD30" s="92">
        <f t="shared" si="5"/>
        <v>334.17</v>
      </c>
      <c r="AE30" s="93">
        <f>'Юнит 6'!AE30+'Юнит 7'!AE30+'Юнит 8'!AE30+'Юнит 9'!AE30</f>
        <v>629.28</v>
      </c>
      <c r="AF30" s="234">
        <f t="shared" si="6"/>
        <v>0.37591397849462366</v>
      </c>
      <c r="AG30" s="93">
        <f>'Юнит 6'!AG30+'Юнит 7'!AG30+'Юнит 8'!AG30+'Юнит 9'!AG30</f>
        <v>575.01</v>
      </c>
      <c r="AH30" s="93">
        <f>'Юнит 6'!AH30+'Юнит 7'!AH30+'Юнит 8'!AH30+'Юнит 9'!AH30</f>
        <v>0</v>
      </c>
      <c r="AI30" s="93">
        <f>'Юнит 6'!AI30+'Юнит 7'!AI30+'Юнит 8'!AI30+'Юнит 9'!AI30</f>
        <v>83</v>
      </c>
      <c r="AJ30" s="93">
        <f>'Юнит 6'!AJ30+'Юнит 7'!AJ30+'Юнит 8'!AJ30+'Юнит 9'!AJ30</f>
        <v>97</v>
      </c>
      <c r="AK30" s="93">
        <f>'Юнит 6'!AK30+'Юнит 7'!AK30+'Юнит 8'!AK30+'Юнит 9'!AK30</f>
        <v>0</v>
      </c>
      <c r="AL30" s="122">
        <f t="shared" si="7"/>
        <v>0</v>
      </c>
      <c r="AM30" s="93">
        <f>'Юнит 6'!AM30+'Юнит 7'!AM30+'Юнит 8'!AM30+'Юнит 9'!AM30</f>
        <v>0</v>
      </c>
      <c r="AN30" s="325">
        <f t="shared" si="8"/>
        <v>62.941806233410389</v>
      </c>
      <c r="AO30" s="95">
        <f t="shared" si="20"/>
        <v>-10.401806233410426</v>
      </c>
      <c r="AP30" s="96"/>
      <c r="AQ30" s="97">
        <f t="shared" si="9"/>
        <v>558</v>
      </c>
      <c r="AR30" s="98">
        <f t="shared" si="30"/>
        <v>111.39</v>
      </c>
      <c r="AS30" s="98">
        <f t="shared" si="11"/>
        <v>209.76</v>
      </c>
      <c r="AT30" s="98">
        <f t="shared" si="12"/>
        <v>191.67</v>
      </c>
      <c r="AU30" s="98">
        <f t="shared" si="19"/>
        <v>60</v>
      </c>
      <c r="AV30" s="98">
        <f t="array" ref="AV30">_xlfn.IFS(U30=0,AO30,U30&lt;0,AO30/-U30,U30&gt;0,AO30/U30)</f>
        <v>-3.4672687444701418</v>
      </c>
      <c r="AW30" s="234">
        <f>IF(AQ30=0,0,AV30/AQ30)</f>
        <v>-6.2137432696597519E-3</v>
      </c>
      <c r="AX30" s="234">
        <f>IF(AR30=0,0,AV30/AR30)</f>
        <v>-3.1127289204328411E-2</v>
      </c>
      <c r="AY30" s="99"/>
      <c r="AZ30" s="94">
        <f t="shared" si="15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93">
        <f>'Юнит 6'!N31+'Юнит 7'!N31+'Юнит 8'!N31+'Юнит 9'!N31</f>
        <v>4</v>
      </c>
      <c r="O31" s="89">
        <v>499</v>
      </c>
      <c r="P31" s="89">
        <v>67</v>
      </c>
      <c r="Q31" s="233">
        <f t="shared" si="16"/>
        <v>0.125</v>
      </c>
      <c r="R31" s="92">
        <f t="shared" si="17"/>
        <v>6.25E-2</v>
      </c>
      <c r="S31" s="93">
        <f>'Юнит 6'!S31+'Юнит 7'!S31+'Юнит 8'!S31+'Юнит 9'!S31</f>
        <v>3</v>
      </c>
      <c r="T31" s="93">
        <f>'Юнит 6'!T31+'Юнит 7'!T31+'Юнит 8'!T31+'Юнит 9'!T31</f>
        <v>-1</v>
      </c>
      <c r="U31" s="92">
        <f t="shared" si="1"/>
        <v>2</v>
      </c>
      <c r="V31" s="93">
        <f>'Юнит 6'!V31+'Юнит 7'!V31+'Юнит 8'!V31+'Юнит 9'!V31</f>
        <v>935</v>
      </c>
      <c r="W31" s="93">
        <f>'Юнит 6'!W31+'Юнит 7'!W31+'Юнит 8'!W31+'Юнит 9'!W31</f>
        <v>-342</v>
      </c>
      <c r="X31" s="92">
        <f t="shared" si="2"/>
        <v>593</v>
      </c>
      <c r="Y31" s="93">
        <f>'Юнит 6'!Y31+'Юнит 7'!Y31+'Юнит 8'!Y31+'Юнит 9'!Y31</f>
        <v>1497</v>
      </c>
      <c r="Z31" s="93">
        <f>'Юнит 6'!Z31+'Юнит 7'!Z31+'Юнит 8'!Z31+'Юнит 9'!Z31</f>
        <v>-499</v>
      </c>
      <c r="AA31" s="232">
        <f t="shared" si="3"/>
        <v>998</v>
      </c>
      <c r="AB31" s="92">
        <f t="shared" si="18"/>
        <v>1337.32</v>
      </c>
      <c r="AC31" s="234">
        <f t="shared" si="4"/>
        <v>1.1777860584975675E-4</v>
      </c>
      <c r="AD31" s="92">
        <f t="shared" si="5"/>
        <v>211.08</v>
      </c>
      <c r="AE31" s="93">
        <f>'Юнит 6'!AE31+'Юнит 7'!AE31+'Юнит 8'!AE31+'Юнит 9'!AE31</f>
        <v>375.40000000000009</v>
      </c>
      <c r="AF31" s="234">
        <f t="shared" si="6"/>
        <v>0.3761523046092185</v>
      </c>
      <c r="AG31" s="93">
        <f>'Юнит 6'!AG31+'Юнит 7'!AG31+'Юнит 8'!AG31+'Юнит 9'!AG31</f>
        <v>501.53000000000003</v>
      </c>
      <c r="AH31" s="93">
        <f>'Юнит 6'!AH31+'Юнит 7'!AH31+'Юнит 8'!AH31+'Юнит 9'!AH31</f>
        <v>0</v>
      </c>
      <c r="AI31" s="93">
        <f>'Юнит 6'!AI31+'Юнит 7'!AI31+'Юнит 8'!AI31+'Юнит 9'!AI31</f>
        <v>76</v>
      </c>
      <c r="AJ31" s="93">
        <f>'Юнит 6'!AJ31+'Юнит 7'!AJ31+'Юнит 8'!AJ31+'Юнит 9'!AJ31</f>
        <v>0</v>
      </c>
      <c r="AK31" s="93">
        <f>'Юнит 6'!AK31+'Юнит 7'!AK31+'Юнит 8'!AK31+'Юнит 9'!AK31</f>
        <v>0</v>
      </c>
      <c r="AL31" s="122">
        <f t="shared" si="7"/>
        <v>0</v>
      </c>
      <c r="AM31" s="93">
        <f>'Юнит 6'!AM31+'Юнит 7'!AM31+'Юнит 8'!AM31+'Юнит 9'!AM31</f>
        <v>0</v>
      </c>
      <c r="AN31" s="325">
        <f t="shared" si="8"/>
        <v>33.29571016629113</v>
      </c>
      <c r="AO31" s="95">
        <f t="shared" si="20"/>
        <v>-199.30571016629131</v>
      </c>
      <c r="AP31" s="96"/>
      <c r="AQ31" s="97">
        <f t="shared" si="9"/>
        <v>499</v>
      </c>
      <c r="AR31" s="98">
        <f t="shared" si="30"/>
        <v>105.54</v>
      </c>
      <c r="AS31" s="98">
        <f t="shared" si="11"/>
        <v>187.70000000000005</v>
      </c>
      <c r="AT31" s="98">
        <f t="shared" si="12"/>
        <v>167.17666666666668</v>
      </c>
      <c r="AU31" s="98">
        <f t="shared" si="19"/>
        <v>25.333333333333332</v>
      </c>
      <c r="AV31" s="98">
        <f t="array" ref="AV31">_xlfn.IFS(U31=0,AO31,U31&lt;0,AO31/-U31,U31&gt;0,AO31/U31)</f>
        <v>-99.652855083145653</v>
      </c>
      <c r="AW31" s="234">
        <f>IF(AQ31=0,0,AV31/AQ31)</f>
        <v>-0.19970512040710553</v>
      </c>
      <c r="AX31" s="234">
        <f>IF(AR31=0,0,AV31/AR31)</f>
        <v>-0.94421882777284105</v>
      </c>
      <c r="AY31" s="99"/>
      <c r="AZ31" s="94">
        <f t="shared" si="15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2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3">E32*K32</f>
        <v>0</v>
      </c>
      <c r="M32" s="89"/>
      <c r="N32" s="93">
        <f>'Юнит 6'!N32+'Юнит 7'!N32+'Юнит 8'!N32+'Юнит 9'!N32</f>
        <v>1</v>
      </c>
      <c r="O32" s="89">
        <v>539</v>
      </c>
      <c r="P32" s="89">
        <v>100</v>
      </c>
      <c r="Q32" s="233">
        <f t="shared" si="16"/>
        <v>3.125E-2</v>
      </c>
      <c r="R32" s="92">
        <f t="shared" si="17"/>
        <v>3.125E-2</v>
      </c>
      <c r="S32" s="93">
        <f>'Юнит 6'!S32+'Юнит 7'!S32+'Юнит 8'!S32+'Юнит 9'!S32</f>
        <v>1</v>
      </c>
      <c r="T32" s="93">
        <f>'Юнит 6'!T32+'Юнит 7'!T32+'Юнит 8'!T32+'Юнит 9'!T32</f>
        <v>0</v>
      </c>
      <c r="U32" s="92">
        <f t="shared" si="1"/>
        <v>1</v>
      </c>
      <c r="V32" s="93">
        <f>'Юнит 6'!V32+'Юнит 7'!V32+'Юнит 8'!V32+'Юнит 9'!V32</f>
        <v>349</v>
      </c>
      <c r="W32" s="93">
        <f>'Юнит 6'!W32+'Юнит 7'!W32+'Юнит 8'!W32+'Юнит 9'!W32</f>
        <v>0</v>
      </c>
      <c r="X32" s="92">
        <f t="shared" si="2"/>
        <v>349</v>
      </c>
      <c r="Y32" s="93">
        <f>'Юнит 6'!Y32+'Юнит 7'!Y32+'Юнит 8'!Y32+'Юнит 9'!Y32</f>
        <v>539</v>
      </c>
      <c r="Z32" s="93">
        <f>'Юнит 6'!Z32+'Юнит 7'!Z32+'Юнит 8'!Z32+'Юнит 9'!Z32</f>
        <v>0</v>
      </c>
      <c r="AA32" s="232">
        <f t="shared" si="3"/>
        <v>539</v>
      </c>
      <c r="AB32" s="92">
        <f t="shared" si="18"/>
        <v>539</v>
      </c>
      <c r="AC32" s="234">
        <f t="shared" si="4"/>
        <v>6.3609888329678243E-5</v>
      </c>
      <c r="AD32" s="92">
        <f t="shared" si="5"/>
        <v>140.63999999999999</v>
      </c>
      <c r="AE32" s="93">
        <f>'Юнит 6'!AE32+'Юнит 7'!AE32+'Юнит 8'!AE32+'Юнит 9'!AE32</f>
        <v>201.32999999999998</v>
      </c>
      <c r="AF32" s="234">
        <f t="shared" si="6"/>
        <v>0.3735250463821892</v>
      </c>
      <c r="AG32" s="93">
        <f>'Юнит 6'!AG32+'Юнит 7'!AG32+'Юнит 8'!AG32+'Юнит 9'!AG32</f>
        <v>164.55</v>
      </c>
      <c r="AH32" s="93">
        <f>'Юнит 6'!AH32+'Юнит 7'!AH32+'Юнит 8'!AH32+'Юнит 9'!AH32</f>
        <v>0</v>
      </c>
      <c r="AI32" s="93">
        <f>'Юнит 6'!AI32+'Юнит 7'!AI32+'Юнит 8'!AI32+'Юнит 9'!AI32</f>
        <v>0</v>
      </c>
      <c r="AJ32" s="93">
        <f>'Юнит 6'!AJ32+'Юнит 7'!AJ32+'Юнит 8'!AJ32+'Юнит 9'!AJ32</f>
        <v>0</v>
      </c>
      <c r="AK32" s="93">
        <f>'Юнит 6'!AK32+'Юнит 7'!AK32+'Юнит 8'!AK32+'Юнит 9'!AK32</f>
        <v>0</v>
      </c>
      <c r="AL32" s="122">
        <f t="shared" si="7"/>
        <v>0</v>
      </c>
      <c r="AM32" s="93">
        <f>'Юнит 6'!AM32+'Юнит 7'!AM32+'Юнит 8'!AM32+'Юнит 9'!AM32</f>
        <v>0</v>
      </c>
      <c r="AN32" s="325">
        <f t="shared" si="8"/>
        <v>19.595620317092081</v>
      </c>
      <c r="AO32" s="95">
        <f t="shared" si="20"/>
        <v>12.884379682907937</v>
      </c>
      <c r="AP32" s="96"/>
      <c r="AQ32" s="97">
        <f t="shared" si="9"/>
        <v>539</v>
      </c>
      <c r="AR32" s="98">
        <f t="shared" si="30"/>
        <v>140.63999999999999</v>
      </c>
      <c r="AS32" s="98">
        <f t="shared" si="11"/>
        <v>201.32999999999998</v>
      </c>
      <c r="AT32" s="98">
        <f t="shared" si="12"/>
        <v>164.55</v>
      </c>
      <c r="AU32" s="98">
        <f t="shared" si="19"/>
        <v>0</v>
      </c>
      <c r="AV32" s="98">
        <f t="array" ref="AV32">_xlfn.IFS(U32=0,AO32,U32&lt;0,AO32/-U32,U32&gt;0,AO32/U32)</f>
        <v>12.884379682907937</v>
      </c>
      <c r="AW32" s="234">
        <f t="shared" ref="AW32" si="34">IF(AQ32=0,0,AV32/AQ32)</f>
        <v>2.3904229467361666E-2</v>
      </c>
      <c r="AX32" s="234">
        <f t="shared" ref="AX32" si="35">IF(AR32=0,0,AV32/AR32)</f>
        <v>9.161248352465827E-2</v>
      </c>
      <c r="AY32" s="99"/>
      <c r="AZ32" s="94">
        <f t="shared" si="15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93">
        <f>'Юнит 6'!N33+'Юнит 7'!N33+'Юнит 8'!N33+'Юнит 9'!N33</f>
        <v>25</v>
      </c>
      <c r="O33" s="89">
        <v>821</v>
      </c>
      <c r="P33" s="89">
        <v>77</v>
      </c>
      <c r="Q33" s="233">
        <f t="shared" si="16"/>
        <v>0.78125</v>
      </c>
      <c r="R33" s="92">
        <f t="shared" si="17"/>
        <v>0.53125</v>
      </c>
      <c r="S33" s="93">
        <f>'Юнит 6'!S33+'Юнит 7'!S33+'Юнит 8'!S33+'Юнит 9'!S33</f>
        <v>19</v>
      </c>
      <c r="T33" s="93">
        <f>'Юнит 6'!T33+'Юнит 7'!T33+'Юнит 8'!T33+'Юнит 9'!T33</f>
        <v>-2</v>
      </c>
      <c r="U33" s="92">
        <f t="shared" si="1"/>
        <v>17</v>
      </c>
      <c r="V33" s="93">
        <f>'Юнит 6'!V33+'Юнит 7'!V33+'Юнит 8'!V33+'Юнит 9'!V33</f>
        <v>7223.6900000000005</v>
      </c>
      <c r="W33" s="93">
        <f>'Юнит 6'!W33+'Юнит 7'!W33+'Юнит 8'!W33+'Юнит 9'!W33</f>
        <v>-492</v>
      </c>
      <c r="X33" s="92">
        <f t="shared" si="2"/>
        <v>6731.6900000000005</v>
      </c>
      <c r="Y33" s="93">
        <f>'Юнит 6'!Y33+'Юнит 7'!Y33+'Юнит 8'!Y33+'Юнит 9'!Y33</f>
        <v>11805.369999999999</v>
      </c>
      <c r="Z33" s="93">
        <f>'Юнит 6'!Z33+'Юнит 7'!Z33+'Юнит 8'!Z33+'Юнит 9'!Z33</f>
        <v>-834</v>
      </c>
      <c r="AA33" s="232">
        <f t="shared" si="3"/>
        <v>10971.369999999999</v>
      </c>
      <c r="AB33" s="92">
        <f t="shared" si="18"/>
        <v>15804.25</v>
      </c>
      <c r="AC33" s="234">
        <f t="shared" si="4"/>
        <v>1.2947822273164785E-3</v>
      </c>
      <c r="AD33" s="92">
        <f t="shared" si="5"/>
        <v>2092.5300000000002</v>
      </c>
      <c r="AE33" s="93">
        <f>'Юнит 6'!AE33+'Юнит 7'!AE33+'Юнит 8'!AE33+'Юнит 9'!AE33</f>
        <v>4108.4699999999993</v>
      </c>
      <c r="AF33" s="234">
        <f t="shared" si="6"/>
        <v>0.37447192100895327</v>
      </c>
      <c r="AG33" s="93">
        <f>'Юнит 6'!AG33+'Юнит 7'!AG33+'Юнит 8'!AG33+'Юнит 9'!AG33</f>
        <v>1398.52</v>
      </c>
      <c r="AH33" s="93">
        <f>'Юнит 6'!AH33+'Юнит 7'!AH33+'Юнит 8'!AH33+'Юнит 9'!AH33</f>
        <v>2894</v>
      </c>
      <c r="AI33" s="93">
        <f>'Юнит 6'!AI33+'Юнит 7'!AI33+'Юнит 8'!AI33+'Юнит 9'!AI33</f>
        <v>3750</v>
      </c>
      <c r="AJ33" s="93">
        <f>'Юнит 6'!AJ33+'Юнит 7'!AJ33+'Юнит 8'!AJ33+'Юнит 9'!AJ33</f>
        <v>0</v>
      </c>
      <c r="AK33" s="93">
        <f>'Юнит 6'!AK33+'Юнит 7'!AK33+'Юнит 8'!AK33+'Юнит 9'!AK33</f>
        <v>0</v>
      </c>
      <c r="AL33" s="122">
        <f t="shared" si="7"/>
        <v>0</v>
      </c>
      <c r="AM33" s="93">
        <f>'Юнит 6'!AM33+'Юнит 7'!AM33+'Юнит 8'!AM33+'Юнит 9'!AM33</f>
        <v>0</v>
      </c>
      <c r="AN33" s="325">
        <f t="shared" si="8"/>
        <v>377.97031900391295</v>
      </c>
      <c r="AO33" s="95">
        <f t="shared" si="20"/>
        <v>-3650.1203190039141</v>
      </c>
      <c r="AP33" s="96"/>
      <c r="AQ33" s="97">
        <f t="shared" si="9"/>
        <v>645.37470588235283</v>
      </c>
      <c r="AR33" s="98">
        <f t="shared" si="30"/>
        <v>123.09</v>
      </c>
      <c r="AS33" s="98">
        <f t="shared" si="11"/>
        <v>241.6747058823529</v>
      </c>
      <c r="AT33" s="98">
        <f t="shared" si="12"/>
        <v>73.606315789473683</v>
      </c>
      <c r="AU33" s="98">
        <f t="shared" si="19"/>
        <v>349.68421052631578</v>
      </c>
      <c r="AV33" s="98">
        <f t="array" ref="AV33">_xlfn.IFS(U33=0,AO33,U33&lt;0,AO33/-U33,U33&gt;0,AO33/U33)</f>
        <v>-214.71295994140672</v>
      </c>
      <c r="AW33" s="234">
        <f>IF(AQ33=0,0,AV33/AQ33)</f>
        <v>-0.33269503434884751</v>
      </c>
      <c r="AX33" s="234">
        <f>IF(AR33=0,0,AV33/AR33)</f>
        <v>-1.7443574615436406</v>
      </c>
      <c r="AY33" s="99"/>
      <c r="AZ33" s="94">
        <f t="shared" si="15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93">
        <f>'Юнит 6'!N34+'Юнит 7'!N34+'Юнит 8'!N34+'Юнит 9'!N34</f>
        <v>28</v>
      </c>
      <c r="O34" s="89">
        <v>439</v>
      </c>
      <c r="P34" s="89">
        <v>81</v>
      </c>
      <c r="Q34" s="233">
        <f t="shared" si="16"/>
        <v>0.875</v>
      </c>
      <c r="R34" s="92">
        <f t="shared" si="17"/>
        <v>0.65625</v>
      </c>
      <c r="S34" s="93">
        <f>'Юнит 6'!S34+'Юнит 7'!S34+'Юнит 8'!S34+'Юнит 9'!S34</f>
        <v>21</v>
      </c>
      <c r="T34" s="93">
        <f>'Юнит 6'!T34+'Юнит 7'!T34+'Юнит 8'!T34+'Юнит 9'!T34</f>
        <v>0</v>
      </c>
      <c r="U34" s="92">
        <f t="shared" si="1"/>
        <v>21</v>
      </c>
      <c r="V34" s="93">
        <f>'Юнит 6'!V34+'Юнит 7'!V34+'Юнит 8'!V34+'Юнит 9'!V34</f>
        <v>5639.64</v>
      </c>
      <c r="W34" s="93">
        <f>'Юнит 6'!W34+'Юнит 7'!W34+'Юнит 8'!W34+'Юнит 9'!W34</f>
        <v>0</v>
      </c>
      <c r="X34" s="92">
        <f t="shared" si="2"/>
        <v>5639.64</v>
      </c>
      <c r="Y34" s="93">
        <f>'Юнит 6'!Y34+'Юнит 7'!Y34+'Юнит 8'!Y34+'Юнит 9'!Y34</f>
        <v>9218.4</v>
      </c>
      <c r="Z34" s="93">
        <f>'Юнит 6'!Z34+'Юнит 7'!Z34+'Юнит 8'!Z34+'Юнит 9'!Z34</f>
        <v>0</v>
      </c>
      <c r="AA34" s="232">
        <f t="shared" si="3"/>
        <v>9218.4</v>
      </c>
      <c r="AB34" s="92">
        <f t="shared" si="18"/>
        <v>9956.52</v>
      </c>
      <c r="AC34" s="234">
        <f t="shared" si="4"/>
        <v>1.0879061123901779E-3</v>
      </c>
      <c r="AD34" s="92">
        <f t="shared" si="5"/>
        <v>2462.04</v>
      </c>
      <c r="AE34" s="93">
        <f>'Юнит 6'!AE34+'Юнит 7'!AE34+'Юнит 8'!AE34+'Юнит 9'!AE34</f>
        <v>3425.8799999999992</v>
      </c>
      <c r="AF34" s="234">
        <f t="shared" si="6"/>
        <v>0.37163499088778956</v>
      </c>
      <c r="AG34" s="93">
        <f>'Юнит 6'!AG34+'Юнит 7'!AG34+'Юнит 8'!AG34+'Юнит 9'!AG34</f>
        <v>1944.31</v>
      </c>
      <c r="AH34" s="93">
        <f>'Юнит 6'!AH34+'Юнит 7'!AH34+'Юнит 8'!AH34+'Юнит 9'!AH34</f>
        <v>0</v>
      </c>
      <c r="AI34" s="93">
        <f>'Юнит 6'!AI34+'Юнит 7'!AI34+'Юнит 8'!AI34+'Юнит 9'!AI34</f>
        <v>0</v>
      </c>
      <c r="AJ34" s="93">
        <f>'Юнит 6'!AJ34+'Юнит 7'!AJ34+'Юнит 8'!AJ34+'Юнит 9'!AJ34</f>
        <v>0</v>
      </c>
      <c r="AK34" s="93">
        <f>'Юнит 6'!AK34+'Юнит 7'!AK34+'Юнит 8'!AK34+'Юнит 9'!AK34</f>
        <v>0</v>
      </c>
      <c r="AL34" s="122">
        <f t="shared" si="7"/>
        <v>0</v>
      </c>
      <c r="AM34" s="93">
        <f>'Юнит 6'!AM34+'Юнит 7'!AM34+'Юнит 8'!AM34+'Юнит 9'!AM34</f>
        <v>0</v>
      </c>
      <c r="AN34" s="325">
        <f t="shared" si="8"/>
        <v>316.65399474236449</v>
      </c>
      <c r="AO34" s="95">
        <f t="shared" si="20"/>
        <v>1069.5160052576362</v>
      </c>
      <c r="AP34" s="96"/>
      <c r="AQ34" s="97">
        <f t="shared" si="9"/>
        <v>438.97142857142853</v>
      </c>
      <c r="AR34" s="98">
        <f t="shared" si="30"/>
        <v>117.24</v>
      </c>
      <c r="AS34" s="98">
        <f t="shared" si="11"/>
        <v>163.13714285714281</v>
      </c>
      <c r="AT34" s="98">
        <f t="shared" si="12"/>
        <v>92.586190476190467</v>
      </c>
      <c r="AU34" s="98">
        <f t="shared" si="19"/>
        <v>0</v>
      </c>
      <c r="AV34" s="98">
        <f t="array" ref="AV34">_xlfn.IFS(U34=0,AO34,U34&lt;0,AO34/-U34,U34&gt;0,AO34/U34)</f>
        <v>50.929333583696959</v>
      </c>
      <c r="AW34" s="234">
        <f>IF(AQ34=0,0,AV34/AQ34)</f>
        <v>0.11601970030131435</v>
      </c>
      <c r="AX34" s="234">
        <f>IF(AR34=0,0,AV34/AR34)</f>
        <v>0.43440236765350532</v>
      </c>
      <c r="AY34" s="99"/>
      <c r="AZ34" s="94">
        <f t="shared" si="15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6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7">E35*K35</f>
        <v>0</v>
      </c>
      <c r="M35" s="89"/>
      <c r="N35" s="93">
        <f>'Юнит 6'!N35+'Юнит 7'!N35+'Юнит 8'!N35+'Юнит 9'!N35</f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f>'Юнит 6'!S35+'Юнит 7'!S35+'Юнит 8'!S35+'Юнит 9'!S35</f>
        <v>0</v>
      </c>
      <c r="T35" s="93">
        <f>'Юнит 6'!T35+'Юнит 7'!T35+'Юнит 8'!T35+'Юнит 9'!T35</f>
        <v>0</v>
      </c>
      <c r="U35" s="92">
        <f t="shared" si="1"/>
        <v>0</v>
      </c>
      <c r="V35" s="93">
        <f>'Юнит 6'!V35+'Юнит 7'!V35+'Юнит 8'!V35+'Юнит 9'!V35</f>
        <v>0</v>
      </c>
      <c r="W35" s="93">
        <f>'Юнит 6'!W35+'Юнит 7'!W35+'Юнит 8'!W35+'Юнит 9'!W35</f>
        <v>0</v>
      </c>
      <c r="X35" s="92">
        <f t="shared" si="2"/>
        <v>0</v>
      </c>
      <c r="Y35" s="93">
        <f>'Юнит 6'!Y35+'Юнит 7'!Y35+'Юнит 8'!Y35+'Юнит 9'!Y35</f>
        <v>0</v>
      </c>
      <c r="Z35" s="93">
        <f>'Юнит 6'!Z35+'Юнит 7'!Z35+'Юнит 8'!Z35+'Юнит 9'!Z35</f>
        <v>0</v>
      </c>
      <c r="AA35" s="232">
        <f t="shared" si="3"/>
        <v>0</v>
      </c>
      <c r="AB35" s="92">
        <f t="shared" si="18"/>
        <v>0</v>
      </c>
      <c r="AC35" s="234">
        <f t="shared" ref="AC35:AC66" si="38">AA35/$AA$126</f>
        <v>0</v>
      </c>
      <c r="AD35" s="92">
        <f t="shared" si="5"/>
        <v>0</v>
      </c>
      <c r="AE35" s="93">
        <f>'Юнит 6'!AE35+'Юнит 7'!AE35+'Юнит 8'!AE35+'Юнит 9'!AE35</f>
        <v>0</v>
      </c>
      <c r="AF35" s="234">
        <f t="shared" si="6"/>
        <v>0</v>
      </c>
      <c r="AG35" s="93">
        <f>'Юнит 6'!AG35+'Юнит 7'!AG35+'Юнит 8'!AG35+'Юнит 9'!AG35</f>
        <v>0</v>
      </c>
      <c r="AH35" s="93">
        <f>'Юнит 6'!AH35+'Юнит 7'!AH35+'Юнит 8'!AH35+'Юнит 9'!AH35</f>
        <v>0</v>
      </c>
      <c r="AI35" s="93">
        <f>'Юнит 6'!AI35+'Юнит 7'!AI35+'Юнит 8'!AI35+'Юнит 9'!AI35</f>
        <v>0</v>
      </c>
      <c r="AJ35" s="93">
        <f>'Юнит 6'!AJ35+'Юнит 7'!AJ35+'Юнит 8'!AJ35+'Юнит 9'!AJ35</f>
        <v>0</v>
      </c>
      <c r="AK35" s="93">
        <f>'Юнит 6'!AK35+'Юнит 7'!AK35+'Юнит 8'!AK35+'Юнит 9'!AK35</f>
        <v>0</v>
      </c>
      <c r="AL35" s="122">
        <f t="shared" ref="AL35:AL66" si="39">IFERROR($AL$126*H35/$H$126,0)</f>
        <v>0</v>
      </c>
      <c r="AM35" s="93">
        <f>'Юнит 6'!AM35+'Юнит 7'!AM35+'Юнит 8'!AM35+'Юнит 9'!AM35</f>
        <v>0</v>
      </c>
      <c r="AN35" s="325">
        <f t="shared" ref="AN35:AN66" si="40">304652.46*X35/$X$126</f>
        <v>0</v>
      </c>
      <c r="AO35" s="95">
        <f t="shared" si="20"/>
        <v>0</v>
      </c>
      <c r="AP35" s="96"/>
      <c r="AQ35" s="97">
        <f t="shared" si="9"/>
        <v>0</v>
      </c>
      <c r="AR35" s="98">
        <f t="shared" si="30"/>
        <v>128.94</v>
      </c>
      <c r="AS35" s="98">
        <f t="shared" si="11"/>
        <v>0</v>
      </c>
      <c r="AT35" s="98">
        <f t="shared" si="12"/>
        <v>0</v>
      </c>
      <c r="AU35" s="98">
        <f t="shared" si="19"/>
        <v>0</v>
      </c>
      <c r="AV35" s="98">
        <f t="array" ref="AV35">_xlfn.IFS(U35=0,AO35,U35&lt;0,AO35/-U35,U35&gt;0,AO35/U35)</f>
        <v>0</v>
      </c>
      <c r="AW35" s="234">
        <f t="shared" ref="AW35:AW98" si="41">IF(AQ35=0,0,AV35/AQ35)</f>
        <v>0</v>
      </c>
      <c r="AX35" s="234">
        <f t="shared" ref="AX35:AX98" si="42">IF(AR35=0,0,AV35/AR35)</f>
        <v>0</v>
      </c>
      <c r="AY35" s="99"/>
      <c r="AZ35" s="94">
        <f t="shared" si="15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6"/>
        <v>0</v>
      </c>
      <c r="F36" s="93"/>
      <c r="G36" s="93"/>
      <c r="H36" s="93"/>
      <c r="I36" s="93"/>
      <c r="J36" s="93"/>
      <c r="K36" s="93">
        <v>169.89</v>
      </c>
      <c r="L36" s="92">
        <f t="shared" si="37"/>
        <v>0</v>
      </c>
      <c r="M36" s="89"/>
      <c r="N36" s="93">
        <f>'Юнит 6'!N36+'Юнит 7'!N36+'Юнит 8'!N36+'Юнит 9'!N36</f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f>'Юнит 6'!S36+'Юнит 7'!S36+'Юнит 8'!S36+'Юнит 9'!S36</f>
        <v>0</v>
      </c>
      <c r="T36" s="93">
        <f>'Юнит 6'!T36+'Юнит 7'!T36+'Юнит 8'!T36+'Юнит 9'!T36</f>
        <v>0</v>
      </c>
      <c r="U36" s="92">
        <f t="shared" si="1"/>
        <v>0</v>
      </c>
      <c r="V36" s="93">
        <f>'Юнит 6'!V36+'Юнит 7'!V36+'Юнит 8'!V36+'Юнит 9'!V36</f>
        <v>0</v>
      </c>
      <c r="W36" s="93">
        <f>'Юнит 6'!W36+'Юнит 7'!W36+'Юнит 8'!W36+'Юнит 9'!W36</f>
        <v>0</v>
      </c>
      <c r="X36" s="92">
        <f t="shared" si="2"/>
        <v>0</v>
      </c>
      <c r="Y36" s="93">
        <f>'Юнит 6'!Y36+'Юнит 7'!Y36+'Юнит 8'!Y36+'Юнит 9'!Y36</f>
        <v>0</v>
      </c>
      <c r="Z36" s="93">
        <f>'Юнит 6'!Z36+'Юнит 7'!Z36+'Юнит 8'!Z36+'Юнит 9'!Z36</f>
        <v>0</v>
      </c>
      <c r="AA36" s="232">
        <f t="shared" si="3"/>
        <v>0</v>
      </c>
      <c r="AB36" s="92">
        <f t="shared" si="18"/>
        <v>0</v>
      </c>
      <c r="AC36" s="234">
        <f t="shared" si="38"/>
        <v>0</v>
      </c>
      <c r="AD36" s="92">
        <f t="shared" si="5"/>
        <v>0</v>
      </c>
      <c r="AE36" s="93">
        <f>'Юнит 6'!AE36+'Юнит 7'!AE36+'Юнит 8'!AE36+'Юнит 9'!AE36</f>
        <v>0</v>
      </c>
      <c r="AF36" s="234">
        <f t="shared" si="6"/>
        <v>0</v>
      </c>
      <c r="AG36" s="93">
        <f>'Юнит 6'!AG36+'Юнит 7'!AG36+'Юнит 8'!AG36+'Юнит 9'!AG36</f>
        <v>0</v>
      </c>
      <c r="AH36" s="93">
        <f>'Юнит 6'!AH36+'Юнит 7'!AH36+'Юнит 8'!AH36+'Юнит 9'!AH36</f>
        <v>0</v>
      </c>
      <c r="AI36" s="93">
        <f>'Юнит 6'!AI36+'Юнит 7'!AI36+'Юнит 8'!AI36+'Юнит 9'!AI36</f>
        <v>0</v>
      </c>
      <c r="AJ36" s="93">
        <f>'Юнит 6'!AJ36+'Юнит 7'!AJ36+'Юнит 8'!AJ36+'Юнит 9'!AJ36</f>
        <v>0</v>
      </c>
      <c r="AK36" s="93">
        <f>'Юнит 6'!AK36+'Юнит 7'!AK36+'Юнит 8'!AK36+'Юнит 9'!AK36</f>
        <v>0</v>
      </c>
      <c r="AL36" s="122">
        <f t="shared" si="39"/>
        <v>0</v>
      </c>
      <c r="AM36" s="93">
        <f>'Юнит 6'!AM36+'Юнит 7'!AM36+'Юнит 8'!AM36+'Юнит 9'!AM36</f>
        <v>0</v>
      </c>
      <c r="AN36" s="325">
        <f t="shared" si="40"/>
        <v>0</v>
      </c>
      <c r="AO36" s="95">
        <f t="shared" si="20"/>
        <v>0</v>
      </c>
      <c r="AP36" s="96"/>
      <c r="AQ36" s="97">
        <f t="shared" si="9"/>
        <v>0</v>
      </c>
      <c r="AR36" s="98">
        <f t="shared" si="30"/>
        <v>169.89</v>
      </c>
      <c r="AS36" s="98">
        <f t="shared" si="11"/>
        <v>0</v>
      </c>
      <c r="AT36" s="98">
        <f t="shared" si="12"/>
        <v>0</v>
      </c>
      <c r="AU36" s="98">
        <f t="shared" si="19"/>
        <v>0</v>
      </c>
      <c r="AV36" s="98">
        <f t="array" ref="AV36">_xlfn.IFS(U36=0,AO36,U36&lt;0,AO36/-U36,U36&gt;0,AO36/U36)</f>
        <v>0</v>
      </c>
      <c r="AW36" s="234">
        <f t="shared" si="41"/>
        <v>0</v>
      </c>
      <c r="AX36" s="234">
        <f t="shared" si="42"/>
        <v>0</v>
      </c>
      <c r="AY36" s="99"/>
      <c r="AZ36" s="94">
        <f t="shared" si="15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6"/>
        <v>0</v>
      </c>
      <c r="F37" s="93"/>
      <c r="G37" s="93"/>
      <c r="H37" s="93"/>
      <c r="I37" s="93"/>
      <c r="J37" s="93"/>
      <c r="K37" s="93">
        <v>169.89</v>
      </c>
      <c r="L37" s="92">
        <f t="shared" si="37"/>
        <v>0</v>
      </c>
      <c r="M37" s="89"/>
      <c r="N37" s="93">
        <f>'Юнит 6'!N37+'Юнит 7'!N37+'Юнит 8'!N37+'Юнит 9'!N37</f>
        <v>22</v>
      </c>
      <c r="O37" s="89">
        <v>998</v>
      </c>
      <c r="P37" s="89">
        <v>44</v>
      </c>
      <c r="Q37" s="233">
        <f t="shared" si="16"/>
        <v>0.6875</v>
      </c>
      <c r="R37" s="92">
        <f t="shared" si="17"/>
        <v>0.25</v>
      </c>
      <c r="S37" s="93">
        <f>'Юнит 6'!S37+'Юнит 7'!S37+'Юнит 8'!S37+'Юнит 9'!S37</f>
        <v>8</v>
      </c>
      <c r="T37" s="93">
        <f>'Юнит 6'!T37+'Юнит 7'!T37+'Юнит 8'!T37+'Юнит 9'!T37</f>
        <v>0</v>
      </c>
      <c r="U37" s="92">
        <f t="shared" si="1"/>
        <v>8</v>
      </c>
      <c r="V37" s="93">
        <f>'Юнит 6'!V37+'Юнит 7'!V37+'Юнит 8'!V37+'Юнит 9'!V37</f>
        <v>5232</v>
      </c>
      <c r="W37" s="93">
        <f>'Юнит 6'!W37+'Юнит 7'!W37+'Юнит 8'!W37+'Юнит 9'!W37</f>
        <v>0</v>
      </c>
      <c r="X37" s="92">
        <f t="shared" si="2"/>
        <v>5232</v>
      </c>
      <c r="Y37" s="93">
        <f>'Юнит 6'!Y37+'Юнит 7'!Y37+'Юнит 8'!Y37+'Юнит 9'!Y37</f>
        <v>7954.0599999999995</v>
      </c>
      <c r="Z37" s="93">
        <f>'Юнит 6'!Z37+'Юнит 7'!Z37+'Юнит 8'!Z37+'Юнит 9'!Z37</f>
        <v>0</v>
      </c>
      <c r="AA37" s="232">
        <f t="shared" si="3"/>
        <v>7954.0599999999995</v>
      </c>
      <c r="AB37" s="92">
        <f t="shared" si="18"/>
        <v>9660.64</v>
      </c>
      <c r="AC37" s="234">
        <f t="shared" si="38"/>
        <v>9.3869548862256127E-4</v>
      </c>
      <c r="AD37" s="92">
        <f t="shared" si="5"/>
        <v>1359.12</v>
      </c>
      <c r="AE37" s="93">
        <f>'Юнит 6'!AE37+'Юнит 7'!AE37+'Юнит 8'!AE37+'Юнит 9'!AE37</f>
        <v>2975.32</v>
      </c>
      <c r="AF37" s="234">
        <f t="shared" si="6"/>
        <v>0.37406305710542798</v>
      </c>
      <c r="AG37" s="93">
        <f>'Юнит 6'!AG37+'Юнит 7'!AG37+'Юнит 8'!AG37+'Юнит 9'!AG37</f>
        <v>1464.55</v>
      </c>
      <c r="AH37" s="93">
        <f>'Юнит 6'!AH37+'Юнит 7'!AH37+'Юнит 8'!AH37+'Юнит 9'!AH37</f>
        <v>0</v>
      </c>
      <c r="AI37" s="93">
        <f>'Юнит 6'!AI37+'Юнит 7'!AI37+'Юнит 8'!AI37+'Юнит 9'!AI37</f>
        <v>0</v>
      </c>
      <c r="AJ37" s="93">
        <f>'Юнит 6'!AJ37+'Юнит 7'!AJ37+'Юнит 8'!AJ37+'Юнит 9'!AJ37</f>
        <v>0</v>
      </c>
      <c r="AK37" s="93">
        <f>'Юнит 6'!AK37+'Юнит 7'!AK37+'Юнит 8'!AK37+'Юнит 9'!AK37</f>
        <v>0</v>
      </c>
      <c r="AL37" s="122">
        <f t="shared" si="39"/>
        <v>0</v>
      </c>
      <c r="AM37" s="93">
        <f>'Юнит 6'!AM37+'Юнит 7'!AM37+'Юнит 8'!AM37+'Юнит 9'!AM37</f>
        <v>0</v>
      </c>
      <c r="AN37" s="325">
        <f t="shared" si="40"/>
        <v>293.76586102872716</v>
      </c>
      <c r="AO37" s="95">
        <f t="shared" si="20"/>
        <v>1861.3041389712726</v>
      </c>
      <c r="AP37" s="96"/>
      <c r="AQ37" s="97">
        <f t="shared" si="9"/>
        <v>994.25749999999994</v>
      </c>
      <c r="AR37" s="98">
        <f t="shared" si="30"/>
        <v>169.89</v>
      </c>
      <c r="AS37" s="98">
        <f t="shared" si="11"/>
        <v>371.91500000000002</v>
      </c>
      <c r="AT37" s="98">
        <f t="shared" si="12"/>
        <v>183.06874999999999</v>
      </c>
      <c r="AU37" s="98">
        <f t="shared" si="19"/>
        <v>0</v>
      </c>
      <c r="AV37" s="98">
        <f t="array" ref="AV37">_xlfn.IFS(U37=0,AO37,U37&lt;0,AO37/-U37,U37&gt;0,AO37/U37)</f>
        <v>232.66301737140907</v>
      </c>
      <c r="AW37" s="234">
        <f t="shared" si="41"/>
        <v>0.23400680142861288</v>
      </c>
      <c r="AX37" s="234">
        <f t="shared" si="42"/>
        <v>1.3694921265019075</v>
      </c>
      <c r="AY37" s="99"/>
      <c r="AZ37" s="94">
        <f t="shared" si="15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6"/>
        <v>0</v>
      </c>
      <c r="F38" s="93"/>
      <c r="G38" s="93"/>
      <c r="H38" s="93"/>
      <c r="I38" s="93"/>
      <c r="J38" s="93"/>
      <c r="K38" s="92">
        <v>105.54</v>
      </c>
      <c r="L38" s="92">
        <f t="shared" si="37"/>
        <v>0</v>
      </c>
      <c r="M38" s="89"/>
      <c r="N38" s="93">
        <f>'Юнит 6'!N38+'Юнит 7'!N38+'Юнит 8'!N38+'Юнит 9'!N38</f>
        <v>7</v>
      </c>
      <c r="O38" s="89">
        <v>1197</v>
      </c>
      <c r="P38" s="89">
        <v>0</v>
      </c>
      <c r="Q38" s="233">
        <f t="shared" si="16"/>
        <v>0.21875</v>
      </c>
      <c r="R38" s="92">
        <f t="shared" si="17"/>
        <v>0</v>
      </c>
      <c r="S38" s="93">
        <f>'Юнит 6'!S38+'Юнит 7'!S38+'Юнит 8'!S38+'Юнит 9'!S38</f>
        <v>0</v>
      </c>
      <c r="T38" s="93">
        <f>'Юнит 6'!T38+'Юнит 7'!T38+'Юнит 8'!T38+'Юнит 9'!T38</f>
        <v>0</v>
      </c>
      <c r="U38" s="92">
        <f t="shared" si="1"/>
        <v>0</v>
      </c>
      <c r="V38" s="93">
        <f>'Юнит 6'!V38+'Юнит 7'!V38+'Юнит 8'!V38+'Юнит 9'!V38</f>
        <v>0</v>
      </c>
      <c r="W38" s="93">
        <f>'Юнит 6'!W38+'Юнит 7'!W38+'Юнит 8'!W38+'Юнит 9'!W38</f>
        <v>0</v>
      </c>
      <c r="X38" s="92">
        <f t="shared" si="2"/>
        <v>0</v>
      </c>
      <c r="Y38" s="93">
        <f>'Юнит 6'!Y38+'Юнит 7'!Y38+'Юнит 8'!Y38+'Юнит 9'!Y38</f>
        <v>0</v>
      </c>
      <c r="Z38" s="93">
        <f>'Юнит 6'!Z38+'Юнит 7'!Z38+'Юнит 8'!Z38+'Юнит 9'!Z38</f>
        <v>0</v>
      </c>
      <c r="AA38" s="232">
        <f t="shared" si="3"/>
        <v>0</v>
      </c>
      <c r="AB38" s="92">
        <f t="shared" si="18"/>
        <v>0</v>
      </c>
      <c r="AC38" s="234">
        <f t="shared" si="38"/>
        <v>0</v>
      </c>
      <c r="AD38" s="92">
        <f t="shared" si="5"/>
        <v>0</v>
      </c>
      <c r="AE38" s="93">
        <f>'Юнит 6'!AE38+'Юнит 7'!AE38+'Юнит 8'!AE38+'Юнит 9'!AE38</f>
        <v>0</v>
      </c>
      <c r="AF38" s="234">
        <f t="shared" si="6"/>
        <v>0</v>
      </c>
      <c r="AG38" s="93">
        <f>'Юнит 6'!AG38+'Юнит 7'!AG38+'Юнит 8'!AG38+'Юнит 9'!AG38</f>
        <v>536.63</v>
      </c>
      <c r="AH38" s="93">
        <f>'Юнит 6'!AH38+'Юнит 7'!AH38+'Юнит 8'!AH38+'Юнит 9'!AH38</f>
        <v>0</v>
      </c>
      <c r="AI38" s="93">
        <f>'Юнит 6'!AI38+'Юнит 7'!AI38+'Юнит 8'!AI38+'Юнит 9'!AI38</f>
        <v>0</v>
      </c>
      <c r="AJ38" s="93">
        <f>'Юнит 6'!AJ38+'Юнит 7'!AJ38+'Юнит 8'!AJ38+'Юнит 9'!AJ38</f>
        <v>0</v>
      </c>
      <c r="AK38" s="93">
        <f>'Юнит 6'!AK38+'Юнит 7'!AK38+'Юнит 8'!AK38+'Юнит 9'!AK38</f>
        <v>0</v>
      </c>
      <c r="AL38" s="122">
        <f t="shared" si="39"/>
        <v>0</v>
      </c>
      <c r="AM38" s="93">
        <f>'Юнит 6'!AM38+'Юнит 7'!AM38+'Юнит 8'!AM38+'Юнит 9'!AM38</f>
        <v>0</v>
      </c>
      <c r="AN38" s="325">
        <f t="shared" si="40"/>
        <v>0</v>
      </c>
      <c r="AO38" s="95">
        <f t="shared" si="20"/>
        <v>-536.63</v>
      </c>
      <c r="AP38" s="96"/>
      <c r="AQ38" s="97">
        <f t="shared" si="9"/>
        <v>0</v>
      </c>
      <c r="AR38" s="98">
        <f t="shared" si="30"/>
        <v>105.54</v>
      </c>
      <c r="AS38" s="98">
        <f t="shared" si="11"/>
        <v>0</v>
      </c>
      <c r="AT38" s="98">
        <f t="shared" si="12"/>
        <v>536.63</v>
      </c>
      <c r="AU38" s="98">
        <f t="shared" si="19"/>
        <v>0</v>
      </c>
      <c r="AV38" s="98">
        <f t="array" ref="AV38">_xlfn.IFS(U38=0,AO38,U38&lt;0,AO38/-U38,U38&gt;0,AO38/U38)</f>
        <v>-536.63</v>
      </c>
      <c r="AW38" s="234">
        <f t="shared" si="41"/>
        <v>0</v>
      </c>
      <c r="AX38" s="234">
        <f t="shared" si="42"/>
        <v>-5.0846124692059878</v>
      </c>
      <c r="AY38" s="99"/>
      <c r="AZ38" s="94">
        <f t="shared" si="15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6"/>
        <v>0</v>
      </c>
      <c r="F39" s="93"/>
      <c r="G39" s="93"/>
      <c r="H39" s="93"/>
      <c r="I39" s="93"/>
      <c r="J39" s="93"/>
      <c r="K39" s="92">
        <v>105.54</v>
      </c>
      <c r="L39" s="92">
        <f t="shared" si="37"/>
        <v>0</v>
      </c>
      <c r="M39" s="89"/>
      <c r="N39" s="93">
        <f>'Юнит 6'!N39+'Юнит 7'!N39+'Юнит 8'!N39+'Юнит 9'!N39</f>
        <v>34</v>
      </c>
      <c r="O39" s="89">
        <v>1077</v>
      </c>
      <c r="P39" s="89">
        <v>38</v>
      </c>
      <c r="Q39" s="233">
        <f t="shared" si="16"/>
        <v>1.0625</v>
      </c>
      <c r="R39" s="92">
        <f t="shared" si="17"/>
        <v>0.34375</v>
      </c>
      <c r="S39" s="93">
        <f>'Юнит 6'!S39+'Юнит 7'!S39+'Юнит 8'!S39+'Юнит 9'!S39</f>
        <v>11</v>
      </c>
      <c r="T39" s="93">
        <f>'Юнит 6'!T39+'Юнит 7'!T39+'Юнит 8'!T39+'Юнит 9'!T39</f>
        <v>0</v>
      </c>
      <c r="U39" s="92">
        <f t="shared" si="1"/>
        <v>11</v>
      </c>
      <c r="V39" s="93">
        <f>'Юнит 6'!V39+'Юнит 7'!V39+'Юнит 8'!V39+'Юнит 9'!V39</f>
        <v>7442.84</v>
      </c>
      <c r="W39" s="93">
        <f>'Юнит 6'!W39+'Юнит 7'!W39+'Юнит 8'!W39+'Юнит 9'!W39</f>
        <v>0</v>
      </c>
      <c r="X39" s="92">
        <f t="shared" si="2"/>
        <v>7442.84</v>
      </c>
      <c r="Y39" s="93">
        <f>'Юнит 6'!Y39+'Юнит 7'!Y39+'Юнит 8'!Y39+'Юнит 9'!Y39</f>
        <v>11814.93</v>
      </c>
      <c r="Z39" s="93">
        <f>'Юнит 6'!Z39+'Юнит 7'!Z39+'Юнит 8'!Z39+'Юнит 9'!Z39</f>
        <v>0</v>
      </c>
      <c r="AA39" s="232">
        <f t="shared" si="3"/>
        <v>11814.93</v>
      </c>
      <c r="AB39" s="92">
        <f t="shared" si="18"/>
        <v>13914.84</v>
      </c>
      <c r="AC39" s="234">
        <f t="shared" si="38"/>
        <v>1.3943346529183031E-3</v>
      </c>
      <c r="AD39" s="92">
        <f t="shared" si="5"/>
        <v>1160.94</v>
      </c>
      <c r="AE39" s="93">
        <f>'Юнит 6'!AE39+'Юнит 7'!AE39+'Юнит 8'!AE39+'Юнит 9'!AE39</f>
        <v>4413.1100000000006</v>
      </c>
      <c r="AF39" s="234">
        <f t="shared" si="6"/>
        <v>0.37351977540281667</v>
      </c>
      <c r="AG39" s="93">
        <f>'Юнит 6'!AG39+'Юнит 7'!AG39+'Юнит 8'!AG39+'Юнит 9'!AG39</f>
        <v>2576.19</v>
      </c>
      <c r="AH39" s="93">
        <f>'Юнит 6'!AH39+'Юнит 7'!AH39+'Юнит 8'!AH39+'Юнит 9'!AH39</f>
        <v>3156</v>
      </c>
      <c r="AI39" s="93">
        <f>'Юнит 6'!AI39+'Юнит 7'!AI39+'Юнит 8'!AI39+'Юнит 9'!AI39</f>
        <v>4000</v>
      </c>
      <c r="AJ39" s="93">
        <f>'Юнит 6'!AJ39+'Юнит 7'!AJ39+'Юнит 8'!AJ39+'Юнит 9'!AJ39</f>
        <v>0</v>
      </c>
      <c r="AK39" s="93">
        <f>'Юнит 6'!AK39+'Юнит 7'!AK39+'Юнит 8'!AK39+'Юнит 9'!AK39</f>
        <v>0</v>
      </c>
      <c r="AL39" s="122">
        <f t="shared" si="39"/>
        <v>0</v>
      </c>
      <c r="AM39" s="93">
        <f>'Юнит 6'!AM39+'Юнит 7'!AM39+'Юнит 8'!AM39+'Юнит 9'!AM39</f>
        <v>0</v>
      </c>
      <c r="AN39" s="325">
        <f t="shared" si="40"/>
        <v>417.89990464431418</v>
      </c>
      <c r="AO39" s="95">
        <f t="shared" si="20"/>
        <v>-3909.209904644315</v>
      </c>
      <c r="AP39" s="96"/>
      <c r="AQ39" s="97">
        <f t="shared" si="9"/>
        <v>1074.0845454545454</v>
      </c>
      <c r="AR39" s="98">
        <f t="shared" si="30"/>
        <v>105.54</v>
      </c>
      <c r="AS39" s="98">
        <f t="shared" si="11"/>
        <v>401.19181818181823</v>
      </c>
      <c r="AT39" s="98">
        <f t="shared" si="12"/>
        <v>234.19909090909093</v>
      </c>
      <c r="AU39" s="98">
        <f t="shared" si="19"/>
        <v>650.5454545454545</v>
      </c>
      <c r="AV39" s="98">
        <f t="array" ref="AV39">_xlfn.IFS(U39=0,AO39,U39&lt;0,AO39/-U39,U39&gt;0,AO39/U39)</f>
        <v>-355.38271860402864</v>
      </c>
      <c r="AW39" s="234">
        <f t="shared" si="41"/>
        <v>-0.33087033987034331</v>
      </c>
      <c r="AX39" s="234">
        <f t="shared" si="42"/>
        <v>-3.3672798806521569</v>
      </c>
      <c r="AY39" s="99"/>
      <c r="AZ39" s="94">
        <f t="shared" si="15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6"/>
        <v>0</v>
      </c>
      <c r="F40" s="93"/>
      <c r="G40" s="93"/>
      <c r="H40" s="93"/>
      <c r="I40" s="93"/>
      <c r="J40" s="93"/>
      <c r="K40" s="92">
        <v>105.54</v>
      </c>
      <c r="L40" s="92">
        <f t="shared" si="37"/>
        <v>0</v>
      </c>
      <c r="M40" s="89"/>
      <c r="N40" s="93">
        <f>'Юнит 6'!N40+'Юнит 7'!N40+'Юнит 8'!N40+'Юнит 9'!N40</f>
        <v>9</v>
      </c>
      <c r="O40" s="89">
        <v>1197</v>
      </c>
      <c r="P40" s="89">
        <v>0</v>
      </c>
      <c r="Q40" s="233">
        <f t="shared" si="16"/>
        <v>0.28125</v>
      </c>
      <c r="R40" s="92">
        <f t="shared" si="17"/>
        <v>0</v>
      </c>
      <c r="S40" s="93">
        <f>'Юнит 6'!S40+'Юнит 7'!S40+'Юнит 8'!S40+'Юнит 9'!S40</f>
        <v>0</v>
      </c>
      <c r="T40" s="93">
        <f>'Юнит 6'!T40+'Юнит 7'!T40+'Юнит 8'!T40+'Юнит 9'!T40</f>
        <v>0</v>
      </c>
      <c r="U40" s="92">
        <f t="shared" si="1"/>
        <v>0</v>
      </c>
      <c r="V40" s="93">
        <f>'Юнит 6'!V40+'Юнит 7'!V40+'Юнит 8'!V40+'Юнит 9'!V40</f>
        <v>0</v>
      </c>
      <c r="W40" s="93">
        <f>'Юнит 6'!W40+'Юнит 7'!W40+'Юнит 8'!W40+'Юнит 9'!W40</f>
        <v>0</v>
      </c>
      <c r="X40" s="92">
        <f t="shared" si="2"/>
        <v>0</v>
      </c>
      <c r="Y40" s="93">
        <f>'Юнит 6'!Y40+'Юнит 7'!Y40+'Юнит 8'!Y40+'Юнит 9'!Y40</f>
        <v>0</v>
      </c>
      <c r="Z40" s="93">
        <f>'Юнит 6'!Z40+'Юнит 7'!Z40+'Юнит 8'!Z40+'Юнит 9'!Z40</f>
        <v>0</v>
      </c>
      <c r="AA40" s="232">
        <f t="shared" si="3"/>
        <v>0</v>
      </c>
      <c r="AB40" s="92">
        <f t="shared" si="18"/>
        <v>0</v>
      </c>
      <c r="AC40" s="234">
        <f t="shared" si="38"/>
        <v>0</v>
      </c>
      <c r="AD40" s="92">
        <f t="shared" si="5"/>
        <v>0</v>
      </c>
      <c r="AE40" s="93">
        <f>'Юнит 6'!AE40+'Юнит 7'!AE40+'Юнит 8'!AE40+'Юнит 9'!AE40</f>
        <v>0</v>
      </c>
      <c r="AF40" s="234">
        <f t="shared" si="6"/>
        <v>0</v>
      </c>
      <c r="AG40" s="93">
        <f>'Юнит 6'!AG40+'Юнит 7'!AG40+'Юнит 8'!AG40+'Юнит 9'!AG40</f>
        <v>843.03</v>
      </c>
      <c r="AH40" s="93">
        <f>'Юнит 6'!AH40+'Юнит 7'!AH40+'Юнит 8'!AH40+'Юнит 9'!AH40</f>
        <v>0</v>
      </c>
      <c r="AI40" s="93">
        <f>'Юнит 6'!AI40+'Юнит 7'!AI40+'Юнит 8'!AI40+'Юнит 9'!AI40</f>
        <v>0</v>
      </c>
      <c r="AJ40" s="93">
        <f>'Юнит 6'!AJ40+'Юнит 7'!AJ40+'Юнит 8'!AJ40+'Юнит 9'!AJ40</f>
        <v>0</v>
      </c>
      <c r="AK40" s="93">
        <f>'Юнит 6'!AK40+'Юнит 7'!AK40+'Юнит 8'!AK40+'Юнит 9'!AK40</f>
        <v>0</v>
      </c>
      <c r="AL40" s="122">
        <f t="shared" si="39"/>
        <v>0</v>
      </c>
      <c r="AM40" s="93">
        <f>'Юнит 6'!AM40+'Юнит 7'!AM40+'Юнит 8'!AM40+'Юнит 9'!AM40</f>
        <v>0</v>
      </c>
      <c r="AN40" s="325">
        <f t="shared" si="40"/>
        <v>0</v>
      </c>
      <c r="AO40" s="95">
        <f t="shared" si="20"/>
        <v>-843.03</v>
      </c>
      <c r="AP40" s="96"/>
      <c r="AQ40" s="97">
        <f t="shared" si="9"/>
        <v>0</v>
      </c>
      <c r="AR40" s="98">
        <f t="shared" si="30"/>
        <v>105.54</v>
      </c>
      <c r="AS40" s="98">
        <f t="shared" si="11"/>
        <v>0</v>
      </c>
      <c r="AT40" s="98">
        <f t="shared" si="12"/>
        <v>843.03</v>
      </c>
      <c r="AU40" s="98">
        <f t="shared" si="19"/>
        <v>0</v>
      </c>
      <c r="AV40" s="98">
        <f t="array" ref="AV40">_xlfn.IFS(U40=0,AO40,U40&lt;0,AO40/-U40,U40&gt;0,AO40/U40)</f>
        <v>-843.03</v>
      </c>
      <c r="AW40" s="234">
        <f t="shared" si="41"/>
        <v>0</v>
      </c>
      <c r="AX40" s="234">
        <f t="shared" si="42"/>
        <v>-7.9877771461057412</v>
      </c>
      <c r="AY40" s="99"/>
      <c r="AZ40" s="94">
        <f t="shared" si="15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6"/>
        <v>0</v>
      </c>
      <c r="F41" s="93"/>
      <c r="G41" s="93"/>
      <c r="H41" s="93"/>
      <c r="I41" s="93"/>
      <c r="J41" s="93"/>
      <c r="K41" s="92">
        <v>123.09</v>
      </c>
      <c r="L41" s="92">
        <f t="shared" si="37"/>
        <v>0</v>
      </c>
      <c r="M41" s="89"/>
      <c r="N41" s="93">
        <f>'Юнит 6'!N41+'Юнит 7'!N41+'Юнит 8'!N41+'Юнит 9'!N41</f>
        <v>3</v>
      </c>
      <c r="O41" s="89">
        <v>1218</v>
      </c>
      <c r="P41" s="89">
        <v>50</v>
      </c>
      <c r="Q41" s="233">
        <f t="shared" si="16"/>
        <v>9.375E-2</v>
      </c>
      <c r="R41" s="92">
        <f t="shared" si="17"/>
        <v>3.125E-2</v>
      </c>
      <c r="S41" s="93">
        <f>'Юнит 6'!S41+'Юнит 7'!S41+'Юнит 8'!S41+'Юнит 9'!S41</f>
        <v>1</v>
      </c>
      <c r="T41" s="93">
        <f>'Юнит 6'!T41+'Юнит 7'!T41+'Юнит 8'!T41+'Юнит 9'!T41</f>
        <v>0</v>
      </c>
      <c r="U41" s="92">
        <f t="shared" si="1"/>
        <v>1</v>
      </c>
      <c r="V41" s="93">
        <f>'Юнит 6'!V41+'Юнит 7'!V41+'Юнит 8'!V41+'Юнит 9'!V41</f>
        <v>725</v>
      </c>
      <c r="W41" s="93">
        <f>'Юнит 6'!W41+'Юнит 7'!W41+'Юнит 8'!W41+'Юнит 9'!W41</f>
        <v>0</v>
      </c>
      <c r="X41" s="92">
        <f t="shared" si="2"/>
        <v>725</v>
      </c>
      <c r="Y41" s="93">
        <f>'Юнит 6'!Y41+'Юнит 7'!Y41+'Юнит 8'!Y41+'Юнит 9'!Y41</f>
        <v>1181.46</v>
      </c>
      <c r="Z41" s="93">
        <f>'Юнит 6'!Z41+'Юнит 7'!Z41+'Юнит 8'!Z41+'Юнит 9'!Z41</f>
        <v>0</v>
      </c>
      <c r="AA41" s="232">
        <f t="shared" si="3"/>
        <v>1181.46</v>
      </c>
      <c r="AB41" s="92">
        <f t="shared" si="18"/>
        <v>1827</v>
      </c>
      <c r="AC41" s="234">
        <f t="shared" si="38"/>
        <v>1.3942957080887136E-4</v>
      </c>
      <c r="AD41" s="92">
        <f t="shared" si="5"/>
        <v>123.09</v>
      </c>
      <c r="AE41" s="93">
        <f>'Юнит 6'!AE41+'Юнит 7'!AE41+'Юнит 8'!AE41+'Юнит 9'!AE41</f>
        <v>451.84000000000003</v>
      </c>
      <c r="AF41" s="234">
        <f t="shared" si="6"/>
        <v>0.38244206320992674</v>
      </c>
      <c r="AG41" s="93">
        <f>'Юнит 6'!AG41+'Юнит 7'!AG41+'Юнит 8'!AG41+'Юнит 9'!AG41</f>
        <v>248.82</v>
      </c>
      <c r="AH41" s="93">
        <f>'Юнит 6'!AH41+'Юнит 7'!AH41+'Юнит 8'!AH41+'Юнит 9'!AH41</f>
        <v>0</v>
      </c>
      <c r="AI41" s="93">
        <f>'Юнит 6'!AI41+'Юнит 7'!AI41+'Юнит 8'!AI41+'Юнит 9'!AI41</f>
        <v>0</v>
      </c>
      <c r="AJ41" s="93">
        <f>'Юнит 6'!AJ41+'Юнит 7'!AJ41+'Юнит 8'!AJ41+'Юнит 9'!AJ41</f>
        <v>0</v>
      </c>
      <c r="AK41" s="93">
        <f>'Юнит 6'!AK41+'Юнит 7'!AK41+'Юнит 8'!AK41+'Юнит 9'!AK41</f>
        <v>0</v>
      </c>
      <c r="AL41" s="122">
        <f t="shared" si="39"/>
        <v>0</v>
      </c>
      <c r="AM41" s="93">
        <f>'Юнит 6'!AM41+'Юнит 7'!AM41+'Юнит 8'!AM41+'Юнит 9'!AM41</f>
        <v>0</v>
      </c>
      <c r="AN41" s="325">
        <f t="shared" si="40"/>
        <v>40.707234183070945</v>
      </c>
      <c r="AO41" s="95">
        <f t="shared" si="20"/>
        <v>317.00276581692913</v>
      </c>
      <c r="AP41" s="96"/>
      <c r="AQ41" s="97">
        <f t="shared" si="9"/>
        <v>1181.46</v>
      </c>
      <c r="AR41" s="98">
        <f t="shared" si="30"/>
        <v>123.09</v>
      </c>
      <c r="AS41" s="98">
        <f t="shared" si="11"/>
        <v>451.84000000000003</v>
      </c>
      <c r="AT41" s="98">
        <f t="shared" si="12"/>
        <v>248.82</v>
      </c>
      <c r="AU41" s="98">
        <f t="shared" si="19"/>
        <v>0</v>
      </c>
      <c r="AV41" s="98">
        <f t="array" ref="AV41">_xlfn.IFS(U41=0,AO41,U41&lt;0,AO41/-U41,U41&gt;0,AO41/U41)</f>
        <v>317.00276581692913</v>
      </c>
      <c r="AW41" s="234">
        <f t="shared" si="41"/>
        <v>0.26831442944909611</v>
      </c>
      <c r="AX41" s="234">
        <f t="shared" si="42"/>
        <v>2.5753738387921774</v>
      </c>
      <c r="AY41" s="99"/>
      <c r="AZ41" s="94">
        <f t="shared" si="15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6"/>
        <v>0</v>
      </c>
      <c r="F42" s="93"/>
      <c r="G42" s="93"/>
      <c r="H42" s="93"/>
      <c r="I42" s="93"/>
      <c r="J42" s="93"/>
      <c r="K42" s="92">
        <v>123.09</v>
      </c>
      <c r="L42" s="92">
        <f t="shared" si="37"/>
        <v>0</v>
      </c>
      <c r="M42" s="89"/>
      <c r="N42" s="93">
        <f>'Юнит 6'!N42+'Юнит 7'!N42+'Юнит 8'!N42+'Юнит 9'!N42</f>
        <v>10</v>
      </c>
      <c r="O42" s="89">
        <v>1176</v>
      </c>
      <c r="P42" s="89">
        <v>33</v>
      </c>
      <c r="Q42" s="233">
        <f t="shared" si="16"/>
        <v>0.3125</v>
      </c>
      <c r="R42" s="92">
        <f t="shared" si="17"/>
        <v>6.25E-2</v>
      </c>
      <c r="S42" s="93">
        <f>'Юнит 6'!S42+'Юнит 7'!S42+'Юнит 8'!S42+'Юнит 9'!S42</f>
        <v>2</v>
      </c>
      <c r="T42" s="93">
        <f>'Юнит 6'!T42+'Юнит 7'!T42+'Юнит 8'!T42+'Юнит 9'!T42</f>
        <v>0</v>
      </c>
      <c r="U42" s="92">
        <f t="shared" si="1"/>
        <v>2</v>
      </c>
      <c r="V42" s="93">
        <f>'Юнит 6'!V42+'Юнит 7'!V42+'Юнит 8'!V42+'Юнит 9'!V42</f>
        <v>1454</v>
      </c>
      <c r="W42" s="93">
        <f>'Юнит 6'!W42+'Юнит 7'!W42+'Юнит 8'!W42+'Юнит 9'!W42</f>
        <v>0</v>
      </c>
      <c r="X42" s="92">
        <f t="shared" si="2"/>
        <v>1454</v>
      </c>
      <c r="Y42" s="93">
        <f>'Юнит 6'!Y42+'Юнит 7'!Y42+'Юнит 8'!Y42+'Юнит 9'!Y42</f>
        <v>2352</v>
      </c>
      <c r="Z42" s="93">
        <f>'Юнит 6'!Z42+'Юнит 7'!Z42+'Юнит 8'!Z42+'Юнит 9'!Z42</f>
        <v>0</v>
      </c>
      <c r="AA42" s="232">
        <f t="shared" si="3"/>
        <v>2352</v>
      </c>
      <c r="AB42" s="92">
        <f t="shared" si="18"/>
        <v>3880.8</v>
      </c>
      <c r="AC42" s="234">
        <f t="shared" si="38"/>
        <v>2.7757042180223234E-4</v>
      </c>
      <c r="AD42" s="92">
        <f t="shared" si="5"/>
        <v>246.18</v>
      </c>
      <c r="AE42" s="93">
        <f>'Юнит 6'!AE42+'Юнит 7'!AE42+'Юнит 8'!AE42+'Юнит 9'!AE42</f>
        <v>876.33999999999992</v>
      </c>
      <c r="AF42" s="234">
        <f t="shared" si="6"/>
        <v>0.37259353741496593</v>
      </c>
      <c r="AG42" s="93">
        <f>'Юнит 6'!AG42+'Юнит 7'!AG42+'Юнит 8'!AG42+'Юнит 9'!AG42</f>
        <v>497.36</v>
      </c>
      <c r="AH42" s="93">
        <f>'Юнит 6'!AH42+'Юнит 7'!AH42+'Юнит 8'!AH42+'Юнит 9'!AH42</f>
        <v>0</v>
      </c>
      <c r="AI42" s="93">
        <f>'Юнит 6'!AI42+'Юнит 7'!AI42+'Юнит 8'!AI42+'Юнит 9'!AI42</f>
        <v>0</v>
      </c>
      <c r="AJ42" s="93">
        <f>'Юнит 6'!AJ42+'Юнит 7'!AJ42+'Юнит 8'!AJ42+'Юнит 9'!AJ42</f>
        <v>0</v>
      </c>
      <c r="AK42" s="93">
        <f>'Юнит 6'!AK42+'Юнит 7'!AK42+'Юнит 8'!AK42+'Юнит 9'!AK42</f>
        <v>0</v>
      </c>
      <c r="AL42" s="122">
        <f t="shared" si="39"/>
        <v>0</v>
      </c>
      <c r="AM42" s="93">
        <f>'Юнит 6'!AM42+'Юнит 7'!AM42+'Юнит 8'!AM42+'Юнит 9'!AM42</f>
        <v>0</v>
      </c>
      <c r="AN42" s="325">
        <f t="shared" si="40"/>
        <v>81.639060003014009</v>
      </c>
      <c r="AO42" s="95">
        <f t="shared" si="20"/>
        <v>650.48093999698619</v>
      </c>
      <c r="AP42" s="96"/>
      <c r="AQ42" s="97">
        <f t="shared" si="9"/>
        <v>1176</v>
      </c>
      <c r="AR42" s="98">
        <f t="shared" si="30"/>
        <v>123.09</v>
      </c>
      <c r="AS42" s="98">
        <f t="shared" si="11"/>
        <v>438.16999999999996</v>
      </c>
      <c r="AT42" s="98">
        <f t="shared" si="12"/>
        <v>248.68</v>
      </c>
      <c r="AU42" s="98">
        <f t="shared" si="19"/>
        <v>0</v>
      </c>
      <c r="AV42" s="98">
        <f t="array" ref="AV42">_xlfn.IFS(U42=0,AO42,U42&lt;0,AO42/-U42,U42&gt;0,AO42/U42)</f>
        <v>325.2404699984931</v>
      </c>
      <c r="AW42" s="234">
        <f t="shared" si="41"/>
        <v>0.2765650255089227</v>
      </c>
      <c r="AX42" s="234">
        <f t="shared" si="42"/>
        <v>2.6422980745673335</v>
      </c>
      <c r="AY42" s="99"/>
      <c r="AZ42" s="94">
        <f t="shared" si="15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6"/>
        <v>0</v>
      </c>
      <c r="F43" s="93"/>
      <c r="G43" s="93"/>
      <c r="H43" s="93"/>
      <c r="I43" s="93"/>
      <c r="J43" s="93"/>
      <c r="K43" s="92">
        <v>123.09</v>
      </c>
      <c r="L43" s="92">
        <f t="shared" si="37"/>
        <v>0</v>
      </c>
      <c r="M43" s="89"/>
      <c r="N43" s="93">
        <f>'Юнит 6'!N43+'Юнит 7'!N43+'Юнит 8'!N43+'Юнит 9'!N43</f>
        <v>47</v>
      </c>
      <c r="O43" s="89">
        <v>1118</v>
      </c>
      <c r="P43" s="89">
        <v>35</v>
      </c>
      <c r="Q43" s="233">
        <f t="shared" si="16"/>
        <v>1.46875</v>
      </c>
      <c r="R43" s="92">
        <f t="shared" si="17"/>
        <v>0.21875</v>
      </c>
      <c r="S43" s="93">
        <f>'Юнит 6'!S43+'Юнит 7'!S43+'Юнит 8'!S43+'Юнит 9'!S43</f>
        <v>7</v>
      </c>
      <c r="T43" s="93">
        <f>'Юнит 6'!T43+'Юнит 7'!T43+'Юнит 8'!T43+'Юнит 9'!T43</f>
        <v>0</v>
      </c>
      <c r="U43" s="92">
        <f t="shared" si="1"/>
        <v>7</v>
      </c>
      <c r="V43" s="93">
        <f>'Юнит 6'!V43+'Юнит 7'!V43+'Юнит 8'!V43+'Юнит 9'!V43</f>
        <v>4904.54</v>
      </c>
      <c r="W43" s="93">
        <f>'Юнит 6'!W43+'Юнит 7'!W43+'Юнит 8'!W43+'Юнит 9'!W43</f>
        <v>0</v>
      </c>
      <c r="X43" s="92">
        <f t="shared" si="2"/>
        <v>4904.54</v>
      </c>
      <c r="Y43" s="93">
        <f>'Юнит 6'!Y43+'Юнит 7'!Y43+'Юнит 8'!Y43+'Юнит 9'!Y43</f>
        <v>7738.2099999999991</v>
      </c>
      <c r="Z43" s="93">
        <f>'Юнит 6'!Z43+'Юнит 7'!Z43+'Юнит 8'!Z43+'Юнит 9'!Z43</f>
        <v>0</v>
      </c>
      <c r="AA43" s="232">
        <f t="shared" si="3"/>
        <v>7738.2099999999991</v>
      </c>
      <c r="AB43" s="92">
        <f t="shared" si="18"/>
        <v>18391.099999999999</v>
      </c>
      <c r="AC43" s="234">
        <f t="shared" si="38"/>
        <v>9.1322202963190987E-4</v>
      </c>
      <c r="AD43" s="92">
        <f t="shared" si="5"/>
        <v>861.63</v>
      </c>
      <c r="AE43" s="93">
        <f>'Юнит 6'!AE43+'Юнит 7'!AE43+'Юнит 8'!AE43+'Юнит 9'!AE43</f>
        <v>2890.65</v>
      </c>
      <c r="AF43" s="234">
        <f t="shared" si="6"/>
        <v>0.37355538296324348</v>
      </c>
      <c r="AG43" s="93">
        <f>'Юнит 6'!AG43+'Юнит 7'!AG43+'Юнит 8'!AG43+'Юнит 9'!AG43</f>
        <v>1871.1699999999998</v>
      </c>
      <c r="AH43" s="93">
        <f>'Юнит 6'!AH43+'Юнит 7'!AH43+'Юнит 8'!AH43+'Юнит 9'!AH43</f>
        <v>4000</v>
      </c>
      <c r="AI43" s="93">
        <f>'Юнит 6'!AI43+'Юнит 7'!AI43+'Юнит 8'!AI43+'Юнит 9'!AI43</f>
        <v>5000</v>
      </c>
      <c r="AJ43" s="93">
        <f>'Юнит 6'!AJ43+'Юнит 7'!AJ43+'Юнит 8'!AJ43+'Юнит 9'!AJ43</f>
        <v>0</v>
      </c>
      <c r="AK43" s="93">
        <f>'Юнит 6'!AK43+'Юнит 7'!AK43+'Юнит 8'!AK43+'Юнит 9'!AK43</f>
        <v>0</v>
      </c>
      <c r="AL43" s="122">
        <f t="shared" si="39"/>
        <v>0</v>
      </c>
      <c r="AM43" s="93">
        <f>'Юнит 6'!AM43+'Юнит 7'!AM43+'Юнит 8'!AM43+'Юнит 9'!AM43</f>
        <v>0</v>
      </c>
      <c r="AN43" s="325">
        <f t="shared" si="40"/>
        <v>275.37966667619139</v>
      </c>
      <c r="AO43" s="95">
        <f t="shared" si="20"/>
        <v>-7160.6196666761916</v>
      </c>
      <c r="AP43" s="96"/>
      <c r="AQ43" s="97">
        <f t="shared" si="9"/>
        <v>1105.4585714285713</v>
      </c>
      <c r="AR43" s="98">
        <f t="shared" si="30"/>
        <v>123.09</v>
      </c>
      <c r="AS43" s="98">
        <f t="shared" si="11"/>
        <v>412.95</v>
      </c>
      <c r="AT43" s="98">
        <f t="shared" si="12"/>
        <v>267.31</v>
      </c>
      <c r="AU43" s="98">
        <f t="shared" si="19"/>
        <v>1285.7142857142858</v>
      </c>
      <c r="AV43" s="98">
        <f t="array" ref="AV43">_xlfn.IFS(U43=0,AO43,U43&lt;0,AO43/-U43,U43&gt;0,AO43/U43)</f>
        <v>-1022.9456666680273</v>
      </c>
      <c r="AW43" s="234">
        <f t="shared" si="41"/>
        <v>-0.92535866391273847</v>
      </c>
      <c r="AX43" s="234">
        <f t="shared" si="42"/>
        <v>-8.3105505456822435</v>
      </c>
      <c r="AY43" s="99"/>
      <c r="AZ43" s="94">
        <f t="shared" si="15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6"/>
        <v>0</v>
      </c>
      <c r="F44" s="93"/>
      <c r="G44" s="93"/>
      <c r="H44" s="93"/>
      <c r="I44" s="93"/>
      <c r="J44" s="93"/>
      <c r="K44" s="92">
        <v>111.39</v>
      </c>
      <c r="L44" s="92">
        <f t="shared" si="37"/>
        <v>0</v>
      </c>
      <c r="M44" s="89"/>
      <c r="N44" s="93">
        <f>'Юнит 6'!N44+'Юнит 7'!N44+'Юнит 8'!N44+'Юнит 9'!N44</f>
        <v>93</v>
      </c>
      <c r="O44" s="89">
        <v>1011</v>
      </c>
      <c r="P44" s="89">
        <v>56</v>
      </c>
      <c r="Q44" s="233">
        <f t="shared" si="16"/>
        <v>2.90625</v>
      </c>
      <c r="R44" s="92">
        <f t="shared" si="17"/>
        <v>1.25</v>
      </c>
      <c r="S44" s="93">
        <f>'Юнит 6'!S44+'Юнит 7'!S44+'Юнит 8'!S44+'Юнит 9'!S44</f>
        <v>40</v>
      </c>
      <c r="T44" s="93">
        <f>'Юнит 6'!T44+'Юнит 7'!T44+'Юнит 8'!T44+'Юнит 9'!T44</f>
        <v>0</v>
      </c>
      <c r="U44" s="92">
        <f t="shared" si="1"/>
        <v>40</v>
      </c>
      <c r="V44" s="93">
        <f>'Юнит 6'!V44+'Юнит 7'!V44+'Юнит 8'!V44+'Юнит 9'!V44</f>
        <v>26622.800000000003</v>
      </c>
      <c r="W44" s="93">
        <f>'Юнит 6'!W44+'Юнит 7'!W44+'Юнит 8'!W44+'Юнит 9'!W44</f>
        <v>0</v>
      </c>
      <c r="X44" s="92">
        <f t="shared" si="2"/>
        <v>26622.800000000003</v>
      </c>
      <c r="Y44" s="93">
        <f>'Юнит 6'!Y44+'Юнит 7'!Y44+'Юнит 8'!Y44+'Юнит 9'!Y44</f>
        <v>40333.72</v>
      </c>
      <c r="Z44" s="93">
        <f>'Юнит 6'!Z44+'Юнит 7'!Z44+'Юнит 8'!Z44+'Юнит 9'!Z44</f>
        <v>0</v>
      </c>
      <c r="AA44" s="232">
        <f t="shared" si="3"/>
        <v>40333.72</v>
      </c>
      <c r="AB44" s="92">
        <f t="shared" si="18"/>
        <v>52652.88</v>
      </c>
      <c r="AC44" s="234">
        <f t="shared" si="38"/>
        <v>4.7599692488321148E-3</v>
      </c>
      <c r="AD44" s="92">
        <f t="shared" si="5"/>
        <v>4455.6000000000004</v>
      </c>
      <c r="AE44" s="93">
        <f>'Юнит 6'!AE44+'Юнит 7'!AE44+'Юнит 8'!AE44+'Юнит 9'!AE44</f>
        <v>15158.899999999998</v>
      </c>
      <c r="AF44" s="234">
        <f t="shared" si="6"/>
        <v>0.37583689280334165</v>
      </c>
      <c r="AG44" s="93">
        <f>'Юнит 6'!AG44+'Юнит 7'!AG44+'Юнит 8'!AG44+'Юнит 9'!AG44</f>
        <v>5254.6699999999983</v>
      </c>
      <c r="AH44" s="93">
        <f>'Юнит 6'!AH44+'Юнит 7'!AH44+'Юнит 8'!AH44+'Юнит 9'!AH44</f>
        <v>2359</v>
      </c>
      <c r="AI44" s="93">
        <f>'Юнит 6'!AI44+'Юнит 7'!AI44+'Юнит 8'!AI44+'Юнит 9'!AI44</f>
        <v>6303</v>
      </c>
      <c r="AJ44" s="93">
        <f>'Юнит 6'!AJ44+'Юнит 7'!AJ44+'Юнит 8'!AJ44+'Юнит 9'!AJ44</f>
        <v>3527</v>
      </c>
      <c r="AK44" s="93">
        <f>'Юнит 6'!AK44+'Юнит 7'!AK44+'Юнит 8'!AK44+'Юнит 9'!AK44</f>
        <v>0</v>
      </c>
      <c r="AL44" s="122">
        <f t="shared" si="39"/>
        <v>0</v>
      </c>
      <c r="AM44" s="93">
        <f>'Юнит 6'!AM44+'Юнит 7'!AM44+'Юнит 8'!AM44+'Юнит 9'!AM44</f>
        <v>0</v>
      </c>
      <c r="AN44" s="325">
        <f t="shared" si="40"/>
        <v>1494.8145575297397</v>
      </c>
      <c r="AO44" s="95">
        <f t="shared" si="20"/>
        <v>5307.7354424702671</v>
      </c>
      <c r="AP44" s="96"/>
      <c r="AQ44" s="97">
        <f t="shared" si="9"/>
        <v>1008.3430000000001</v>
      </c>
      <c r="AR44" s="98">
        <f t="shared" si="30"/>
        <v>111.39</v>
      </c>
      <c r="AS44" s="98">
        <f t="shared" si="11"/>
        <v>378.97249999999997</v>
      </c>
      <c r="AT44" s="98">
        <f t="shared" si="12"/>
        <v>131.36674999999997</v>
      </c>
      <c r="AU44" s="98">
        <f t="shared" si="19"/>
        <v>304.72500000000002</v>
      </c>
      <c r="AV44" s="98">
        <f t="array" ref="AV44">_xlfn.IFS(U44=0,AO44,U44&lt;0,AO44/-U44,U44&gt;0,AO44/U44)</f>
        <v>132.69338606175668</v>
      </c>
      <c r="AW44" s="234">
        <f t="shared" si="41"/>
        <v>0.13159548493097753</v>
      </c>
      <c r="AX44" s="234">
        <f t="shared" si="42"/>
        <v>1.1912504359615466</v>
      </c>
      <c r="AY44" s="99"/>
      <c r="AZ44" s="94">
        <f t="shared" si="15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6"/>
        <v>0</v>
      </c>
      <c r="F45" s="93"/>
      <c r="G45" s="93"/>
      <c r="H45" s="93"/>
      <c r="I45" s="93"/>
      <c r="J45" s="93"/>
      <c r="K45" s="92">
        <v>107.88</v>
      </c>
      <c r="L45" s="92">
        <f t="shared" si="37"/>
        <v>0</v>
      </c>
      <c r="M45" s="89"/>
      <c r="N45" s="93">
        <f>'Юнит 6'!N45+'Юнит 7'!N45+'Юнит 8'!N45+'Юнит 9'!N45</f>
        <v>427</v>
      </c>
      <c r="O45" s="89">
        <v>1239</v>
      </c>
      <c r="P45" s="89">
        <v>47</v>
      </c>
      <c r="Q45" s="233">
        <f t="shared" si="16"/>
        <v>13.34375</v>
      </c>
      <c r="R45" s="92">
        <f t="shared" si="17"/>
        <v>5.125</v>
      </c>
      <c r="S45" s="93">
        <f>'Юнит 6'!S45+'Юнит 7'!S45+'Юнит 8'!S45+'Юнит 9'!S45</f>
        <v>176</v>
      </c>
      <c r="T45" s="93">
        <f>'Юнит 6'!T45+'Юнит 7'!T45+'Юнит 8'!T45+'Юнит 9'!T45</f>
        <v>-12</v>
      </c>
      <c r="U45" s="92">
        <f t="shared" si="1"/>
        <v>164</v>
      </c>
      <c r="V45" s="93">
        <f>'Юнит 6'!V45+'Юнит 7'!V45+'Юнит 8'!V45+'Юнит 9'!V45</f>
        <v>131630.56999999998</v>
      </c>
      <c r="W45" s="93">
        <f>'Юнит 6'!W45+'Юнит 7'!W45+'Юнит 8'!W45+'Юнит 9'!W45</f>
        <v>-9058</v>
      </c>
      <c r="X45" s="92">
        <f t="shared" si="2"/>
        <v>122572.56999999998</v>
      </c>
      <c r="Y45" s="93">
        <f>'Юнит 6'!Y45+'Юнит 7'!Y45+'Юнит 8'!Y45+'Юнит 9'!Y45</f>
        <v>206068.2</v>
      </c>
      <c r="Z45" s="93">
        <f>'Юнит 6'!Z45+'Юнит 7'!Z45+'Юнит 8'!Z45+'Юнит 9'!Z45</f>
        <v>-14384</v>
      </c>
      <c r="AA45" s="232">
        <f t="shared" si="3"/>
        <v>191684.2</v>
      </c>
      <c r="AB45" s="92">
        <f t="shared" si="18"/>
        <v>248654.91</v>
      </c>
      <c r="AC45" s="234">
        <f t="shared" si="38"/>
        <v>2.2621540921268481E-2</v>
      </c>
      <c r="AD45" s="92">
        <f t="shared" si="5"/>
        <v>17692.32</v>
      </c>
      <c r="AE45" s="93">
        <f>'Юнит 6'!AE45+'Юнит 7'!AE45+'Юнит 8'!AE45+'Юнит 9'!AE45</f>
        <v>71699.53</v>
      </c>
      <c r="AF45" s="234">
        <f t="shared" si="6"/>
        <v>0.37405028687810471</v>
      </c>
      <c r="AG45" s="93">
        <f>'Юнит 6'!AG45+'Юнит 7'!AG45+'Юнит 8'!AG45+'Юнит 9'!AG45</f>
        <v>26520.989999999987</v>
      </c>
      <c r="AH45" s="93">
        <f>'Юнит 6'!AH45+'Юнит 7'!AH45+'Юнит 8'!AH45+'Юнит 9'!AH45</f>
        <v>38524</v>
      </c>
      <c r="AI45" s="93">
        <f>'Юнит 6'!AI45+'Юнит 7'!AI45+'Юнит 8'!AI45+'Юнит 9'!AI45</f>
        <v>21008</v>
      </c>
      <c r="AJ45" s="93">
        <f>'Юнит 6'!AJ45+'Юнит 7'!AJ45+'Юнит 8'!AJ45+'Юнит 9'!AJ45</f>
        <v>0</v>
      </c>
      <c r="AK45" s="93">
        <f>'Юнит 6'!AK45+'Юнит 7'!AK45+'Юнит 8'!AK45+'Юнит 9'!AK45</f>
        <v>0</v>
      </c>
      <c r="AL45" s="122">
        <f t="shared" si="39"/>
        <v>0</v>
      </c>
      <c r="AM45" s="93">
        <f>'Юнит 6'!AM45+'Юнит 7'!AM45+'Юнит 8'!AM45+'Юнит 9'!AM45</f>
        <v>0</v>
      </c>
      <c r="AN45" s="325">
        <f t="shared" si="40"/>
        <v>6882.1935329804901</v>
      </c>
      <c r="AO45" s="95">
        <f t="shared" si="20"/>
        <v>9357.1664670195241</v>
      </c>
      <c r="AP45" s="96"/>
      <c r="AQ45" s="97">
        <f t="shared" si="9"/>
        <v>1168.8060975609758</v>
      </c>
      <c r="AR45" s="98">
        <f t="shared" si="30"/>
        <v>107.88</v>
      </c>
      <c r="AS45" s="98">
        <f t="shared" si="11"/>
        <v>437.19225609756097</v>
      </c>
      <c r="AT45" s="98">
        <f t="shared" si="12"/>
        <v>150.68744318181811</v>
      </c>
      <c r="AU45" s="98">
        <f t="shared" si="19"/>
        <v>338.25</v>
      </c>
      <c r="AV45" s="98">
        <f t="array" ref="AV45">_xlfn.IFS(U45=0,AO45,U45&lt;0,AO45/-U45,U45&gt;0,AO45/U45)</f>
        <v>57.055893091582462</v>
      </c>
      <c r="AW45" s="234">
        <f t="shared" si="41"/>
        <v>4.8815533398264034E-2</v>
      </c>
      <c r="AX45" s="234">
        <f t="shared" si="42"/>
        <v>0.5288829541303528</v>
      </c>
      <c r="AY45" s="99"/>
      <c r="AZ45" s="94">
        <f t="shared" si="15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6"/>
        <v>0</v>
      </c>
      <c r="F46" s="93"/>
      <c r="G46" s="93"/>
      <c r="H46" s="93"/>
      <c r="I46" s="93"/>
      <c r="J46" s="93"/>
      <c r="K46" s="92">
        <v>107.88</v>
      </c>
      <c r="L46" s="92">
        <f t="shared" si="37"/>
        <v>0</v>
      </c>
      <c r="M46" s="89"/>
      <c r="N46" s="93">
        <f>'Юнит 6'!N46+'Юнит 7'!N46+'Юнит 8'!N46+'Юнит 9'!N46</f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f>'Юнит 6'!S46+'Юнит 7'!S46+'Юнит 8'!S46+'Юнит 9'!S46</f>
        <v>0</v>
      </c>
      <c r="T46" s="93">
        <f>'Юнит 6'!T46+'Юнит 7'!T46+'Юнит 8'!T46+'Юнит 9'!T46</f>
        <v>0</v>
      </c>
      <c r="U46" s="92">
        <f t="shared" si="1"/>
        <v>0</v>
      </c>
      <c r="V46" s="93">
        <f>'Юнит 6'!V46+'Юнит 7'!V46+'Юнит 8'!V46+'Юнит 9'!V46</f>
        <v>0</v>
      </c>
      <c r="W46" s="93">
        <f>'Юнит 6'!W46+'Юнит 7'!W46+'Юнит 8'!W46+'Юнит 9'!W46</f>
        <v>0</v>
      </c>
      <c r="X46" s="92">
        <f t="shared" si="2"/>
        <v>0</v>
      </c>
      <c r="Y46" s="93">
        <f>'Юнит 6'!Y46+'Юнит 7'!Y46+'Юнит 8'!Y46+'Юнит 9'!Y46</f>
        <v>0</v>
      </c>
      <c r="Z46" s="93">
        <f>'Юнит 6'!Z46+'Юнит 7'!Z46+'Юнит 8'!Z46+'Юнит 9'!Z46</f>
        <v>0</v>
      </c>
      <c r="AA46" s="232">
        <f t="shared" si="3"/>
        <v>0</v>
      </c>
      <c r="AB46" s="92">
        <f t="shared" si="18"/>
        <v>0</v>
      </c>
      <c r="AC46" s="234">
        <f t="shared" si="38"/>
        <v>0</v>
      </c>
      <c r="AD46" s="92">
        <f t="shared" si="5"/>
        <v>0</v>
      </c>
      <c r="AE46" s="93">
        <f>'Юнит 6'!AE46+'Юнит 7'!AE46+'Юнит 8'!AE46+'Юнит 9'!AE46</f>
        <v>0</v>
      </c>
      <c r="AF46" s="234">
        <f t="shared" si="6"/>
        <v>0</v>
      </c>
      <c r="AG46" s="93">
        <f>'Юнит 6'!AG46+'Юнит 7'!AG46+'Юнит 8'!AG46+'Юнит 9'!AG46</f>
        <v>0</v>
      </c>
      <c r="AH46" s="93">
        <f>'Юнит 6'!AH46+'Юнит 7'!AH46+'Юнит 8'!AH46+'Юнит 9'!AH46</f>
        <v>0</v>
      </c>
      <c r="AI46" s="93">
        <f>'Юнит 6'!AI46+'Юнит 7'!AI46+'Юнит 8'!AI46+'Юнит 9'!AI46</f>
        <v>0</v>
      </c>
      <c r="AJ46" s="93">
        <f>'Юнит 6'!AJ46+'Юнит 7'!AJ46+'Юнит 8'!AJ46+'Юнит 9'!AJ46</f>
        <v>0</v>
      </c>
      <c r="AK46" s="93">
        <f>'Юнит 6'!AK46+'Юнит 7'!AK46+'Юнит 8'!AK46+'Юнит 9'!AK46</f>
        <v>0</v>
      </c>
      <c r="AL46" s="122">
        <f t="shared" si="39"/>
        <v>0</v>
      </c>
      <c r="AM46" s="93">
        <f>'Юнит 6'!AM46+'Юнит 7'!AM46+'Юнит 8'!AM46+'Юнит 9'!AM46</f>
        <v>0</v>
      </c>
      <c r="AN46" s="325">
        <f t="shared" si="40"/>
        <v>0</v>
      </c>
      <c r="AO46" s="95">
        <f t="shared" si="20"/>
        <v>0</v>
      </c>
      <c r="AP46" s="96"/>
      <c r="AQ46" s="97">
        <f t="shared" si="9"/>
        <v>0</v>
      </c>
      <c r="AR46" s="98">
        <f t="shared" si="30"/>
        <v>107.88</v>
      </c>
      <c r="AS46" s="98">
        <f t="shared" si="11"/>
        <v>0</v>
      </c>
      <c r="AT46" s="98">
        <f t="shared" si="12"/>
        <v>0</v>
      </c>
      <c r="AU46" s="98">
        <f t="shared" si="19"/>
        <v>0</v>
      </c>
      <c r="AV46" s="98">
        <f t="array" ref="AV46">_xlfn.IFS(U46=0,AO46,U46&lt;0,AO46/-U46,U46&gt;0,AO46/U46)</f>
        <v>0</v>
      </c>
      <c r="AW46" s="234">
        <f t="shared" si="41"/>
        <v>0</v>
      </c>
      <c r="AX46" s="234">
        <f t="shared" si="42"/>
        <v>0</v>
      </c>
      <c r="AY46" s="99"/>
      <c r="AZ46" s="94">
        <f t="shared" si="15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6"/>
        <v>0</v>
      </c>
      <c r="F47" s="93"/>
      <c r="G47" s="93"/>
      <c r="H47" s="93"/>
      <c r="I47" s="93"/>
      <c r="J47" s="93"/>
      <c r="K47" s="92">
        <v>123.09</v>
      </c>
      <c r="L47" s="92">
        <f t="shared" si="37"/>
        <v>0</v>
      </c>
      <c r="M47" s="89"/>
      <c r="N47" s="93">
        <f>'Юнит 6'!N47+'Юнит 7'!N47+'Юнит 8'!N47+'Юнит 9'!N47</f>
        <v>68</v>
      </c>
      <c r="O47" s="89">
        <v>1039</v>
      </c>
      <c r="P47" s="89">
        <v>73</v>
      </c>
      <c r="Q47" s="233">
        <f t="shared" si="16"/>
        <v>2.125</v>
      </c>
      <c r="R47" s="92">
        <f t="shared" si="17"/>
        <v>1.34375</v>
      </c>
      <c r="S47" s="93">
        <f>'Юнит 6'!S47+'Юнит 7'!S47+'Юнит 8'!S47+'Юнит 9'!S47</f>
        <v>44</v>
      </c>
      <c r="T47" s="93">
        <f>'Юнит 6'!T47+'Юнит 7'!T47+'Юнит 8'!T47+'Юнит 9'!T47</f>
        <v>-1</v>
      </c>
      <c r="U47" s="92">
        <f t="shared" si="1"/>
        <v>43</v>
      </c>
      <c r="V47" s="93">
        <f>'Юнит 6'!V47+'Юнит 7'!V47+'Юнит 8'!V47+'Юнит 9'!V47</f>
        <v>28507.239999999998</v>
      </c>
      <c r="W47" s="93">
        <f>'Юнит 6'!W47+'Юнит 7'!W47+'Юнит 8'!W47+'Юнит 9'!W47</f>
        <v>-614</v>
      </c>
      <c r="X47" s="92">
        <f t="shared" si="2"/>
        <v>27893.239999999998</v>
      </c>
      <c r="Y47" s="93">
        <f>'Юнит 6'!Y47+'Юнит 7'!Y47+'Юнит 8'!Y47+'Юнит 9'!Y47</f>
        <v>45265.55</v>
      </c>
      <c r="Z47" s="93">
        <f>'Юнит 6'!Z47+'Юнит 7'!Z47+'Юнит 8'!Z47+'Юнит 9'!Z47</f>
        <v>-1027</v>
      </c>
      <c r="AA47" s="232">
        <f t="shared" si="3"/>
        <v>44238.55</v>
      </c>
      <c r="AB47" s="92">
        <f t="shared" si="18"/>
        <v>51575.96</v>
      </c>
      <c r="AC47" s="234">
        <f t="shared" si="38"/>
        <v>5.2207963364877324E-3</v>
      </c>
      <c r="AD47" s="92">
        <f t="shared" si="5"/>
        <v>5292.87</v>
      </c>
      <c r="AE47" s="93">
        <f>'Юнит 6'!AE47+'Юнит 7'!AE47+'Юнит 8'!AE47+'Юнит 9'!AE47</f>
        <v>16572.900000000001</v>
      </c>
      <c r="AF47" s="234">
        <f t="shared" si="6"/>
        <v>0.3746257506179565</v>
      </c>
      <c r="AG47" s="93">
        <f>'Юнит 6'!AG47+'Юнит 7'!AG47+'Юнит 8'!AG47+'Юнит 9'!AG47</f>
        <v>4274.3399999999992</v>
      </c>
      <c r="AH47" s="93">
        <f>'Юнит 6'!AH47+'Юнит 7'!AH47+'Юнит 8'!AH47+'Юнит 9'!AH47</f>
        <v>1000</v>
      </c>
      <c r="AI47" s="93">
        <f>'Юнит 6'!AI47+'Юнит 7'!AI47+'Юнит 8'!AI47+'Юнит 9'!AI47</f>
        <v>1000</v>
      </c>
      <c r="AJ47" s="93">
        <f>'Юнит 6'!AJ47+'Юнит 7'!AJ47+'Юнит 8'!AJ47+'Юнит 9'!AJ47</f>
        <v>0</v>
      </c>
      <c r="AK47" s="93">
        <f>'Юнит 6'!AK47+'Юнит 7'!AK47+'Юнит 8'!AK47+'Юнит 9'!AK47</f>
        <v>0</v>
      </c>
      <c r="AL47" s="122">
        <f t="shared" si="39"/>
        <v>0</v>
      </c>
      <c r="AM47" s="93">
        <f>'Юнит 6'!AM47+'Юнит 7'!AM47+'Юнит 8'!AM47+'Юнит 9'!AM47</f>
        <v>0</v>
      </c>
      <c r="AN47" s="325">
        <f t="shared" si="40"/>
        <v>1566.1471073166922</v>
      </c>
      <c r="AO47" s="95">
        <f t="shared" si="20"/>
        <v>14532.292892683306</v>
      </c>
      <c r="AP47" s="96"/>
      <c r="AQ47" s="97">
        <f t="shared" si="9"/>
        <v>1028.8034883720932</v>
      </c>
      <c r="AR47" s="98">
        <f t="shared" si="30"/>
        <v>123.09</v>
      </c>
      <c r="AS47" s="98">
        <f t="shared" si="11"/>
        <v>385.41627906976748</v>
      </c>
      <c r="AT47" s="98">
        <f t="shared" si="12"/>
        <v>97.144090909090892</v>
      </c>
      <c r="AU47" s="98">
        <f t="shared" si="19"/>
        <v>45.454545454545453</v>
      </c>
      <c r="AV47" s="98">
        <f t="array" ref="AV47">_xlfn.IFS(U47=0,AO47,U47&lt;0,AO47/-U47,U47&gt;0,AO47/U47)</f>
        <v>337.96029982984436</v>
      </c>
      <c r="AW47" s="234">
        <f t="shared" si="41"/>
        <v>0.3284983999856077</v>
      </c>
      <c r="AX47" s="234">
        <f t="shared" si="42"/>
        <v>2.7456357123230508</v>
      </c>
      <c r="AY47" s="99"/>
      <c r="AZ47" s="94">
        <f t="shared" si="15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6"/>
        <v>0</v>
      </c>
      <c r="F48" s="93"/>
      <c r="G48" s="93"/>
      <c r="H48" s="93"/>
      <c r="I48" s="93"/>
      <c r="J48" s="93"/>
      <c r="K48" s="92">
        <v>107.88</v>
      </c>
      <c r="L48" s="92">
        <f t="shared" si="37"/>
        <v>0</v>
      </c>
      <c r="M48" s="89"/>
      <c r="N48" s="93">
        <f>'Юнит 6'!N48+'Юнит 7'!N48+'Юнит 8'!N48+'Юнит 9'!N48</f>
        <v>214</v>
      </c>
      <c r="O48" s="89">
        <v>1231</v>
      </c>
      <c r="P48" s="89">
        <v>50</v>
      </c>
      <c r="Q48" s="233">
        <f t="shared" si="16"/>
        <v>6.6875</v>
      </c>
      <c r="R48" s="92">
        <f t="shared" si="17"/>
        <v>3.03125</v>
      </c>
      <c r="S48" s="93">
        <f>'Юнит 6'!S48+'Юнит 7'!S48+'Юнит 8'!S48+'Юнит 9'!S48</f>
        <v>101</v>
      </c>
      <c r="T48" s="93">
        <f>'Юнит 6'!T48+'Юнит 7'!T48+'Юнит 8'!T48+'Юнит 9'!T48</f>
        <v>-4</v>
      </c>
      <c r="U48" s="92">
        <f t="shared" si="1"/>
        <v>97</v>
      </c>
      <c r="V48" s="93">
        <f>'Юнит 6'!V48+'Юнит 7'!V48+'Юнит 8'!V48+'Юнит 9'!V48</f>
        <v>77273.549999999988</v>
      </c>
      <c r="W48" s="93">
        <f>'Юнит 6'!W48+'Юнит 7'!W48+'Юнит 8'!W48+'Юнит 9'!W48</f>
        <v>-2834</v>
      </c>
      <c r="X48" s="92">
        <f t="shared" si="2"/>
        <v>74439.549999999988</v>
      </c>
      <c r="Y48" s="93">
        <f>'Юнит 6'!Y48+'Юнит 7'!Y48+'Юнит 8'!Y48+'Юнит 9'!Y48</f>
        <v>121787.58</v>
      </c>
      <c r="Z48" s="93">
        <f>'Юнит 6'!Z48+'Юнит 7'!Z48+'Юнит 8'!Z48+'Юнит 9'!Z48</f>
        <v>-4657.72</v>
      </c>
      <c r="AA48" s="232">
        <f t="shared" si="3"/>
        <v>117129.86</v>
      </c>
      <c r="AB48" s="92">
        <f t="shared" si="18"/>
        <v>131717</v>
      </c>
      <c r="AC48" s="234">
        <f t="shared" si="38"/>
        <v>1.3823037689556303E-2</v>
      </c>
      <c r="AD48" s="92">
        <f t="shared" si="5"/>
        <v>10464.359999999999</v>
      </c>
      <c r="AE48" s="93">
        <f>'Юнит 6'!AE48+'Юнит 7'!AE48+'Юнит 8'!AE48+'Юнит 9'!AE48</f>
        <v>43675.369999999995</v>
      </c>
      <c r="AF48" s="234">
        <f t="shared" si="6"/>
        <v>0.37287989586942216</v>
      </c>
      <c r="AG48" s="93">
        <f>'Юнит 6'!AG48+'Юнит 7'!AG48+'Юнит 8'!AG48+'Юнит 9'!AG48</f>
        <v>14816.389999999996</v>
      </c>
      <c r="AH48" s="93">
        <f>'Юнит 6'!AH48+'Юнит 7'!AH48+'Юнит 8'!AH48+'Юнит 9'!AH48</f>
        <v>9000</v>
      </c>
      <c r="AI48" s="93">
        <f>'Юнит 6'!AI48+'Юнит 7'!AI48+'Юнит 8'!AI48+'Юнит 9'!AI48</f>
        <v>13450</v>
      </c>
      <c r="AJ48" s="93">
        <f>'Юнит 6'!AJ48+'Юнит 7'!AJ48+'Юнит 8'!AJ48+'Юнит 9'!AJ48</f>
        <v>0</v>
      </c>
      <c r="AK48" s="93">
        <f>'Юнит 6'!AK48+'Юнит 7'!AK48+'Юнит 8'!AK48+'Юнит 9'!AK48</f>
        <v>0</v>
      </c>
      <c r="AL48" s="122">
        <f t="shared" si="39"/>
        <v>0</v>
      </c>
      <c r="AM48" s="93">
        <f>'Юнит 6'!AM48+'Юнит 7'!AM48+'Юнит 8'!AM48+'Юнит 9'!AM48</f>
        <v>0</v>
      </c>
      <c r="AN48" s="325">
        <f t="shared" si="40"/>
        <v>4179.6250956309223</v>
      </c>
      <c r="AO48" s="95">
        <f t="shared" si="20"/>
        <v>21544.114904369082</v>
      </c>
      <c r="AP48" s="96"/>
      <c r="AQ48" s="97">
        <f t="shared" si="9"/>
        <v>1207.5243298969071</v>
      </c>
      <c r="AR48" s="98">
        <f t="shared" si="30"/>
        <v>107.88</v>
      </c>
      <c r="AS48" s="98">
        <f t="shared" si="11"/>
        <v>450.26154639175252</v>
      </c>
      <c r="AT48" s="98">
        <f t="shared" si="12"/>
        <v>146.69693069306928</v>
      </c>
      <c r="AU48" s="98">
        <f t="shared" si="19"/>
        <v>222.27722772277227</v>
      </c>
      <c r="AV48" s="98">
        <f t="array" ref="AV48">_xlfn.IFS(U48=0,AO48,U48&lt;0,AO48/-U48,U48&gt;0,AO48/U48)</f>
        <v>222.10427736462972</v>
      </c>
      <c r="AW48" s="234">
        <f t="shared" si="41"/>
        <v>0.18393358366832407</v>
      </c>
      <c r="AX48" s="234">
        <f t="shared" si="42"/>
        <v>2.0588086518782882</v>
      </c>
      <c r="AY48" s="99"/>
      <c r="AZ48" s="94">
        <f t="shared" si="15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6"/>
        <v>0</v>
      </c>
      <c r="F49" s="93"/>
      <c r="G49" s="93"/>
      <c r="H49" s="93"/>
      <c r="I49" s="93"/>
      <c r="J49" s="93"/>
      <c r="K49" s="92">
        <v>123.09</v>
      </c>
      <c r="L49" s="92">
        <f t="shared" si="37"/>
        <v>0</v>
      </c>
      <c r="M49" s="89"/>
      <c r="N49" s="93">
        <f>'Юнит 6'!N49+'Юнит 7'!N49+'Юнит 8'!N49+'Юнит 9'!N49</f>
        <v>273</v>
      </c>
      <c r="O49" s="89">
        <v>1367</v>
      </c>
      <c r="P49" s="89">
        <v>47</v>
      </c>
      <c r="Q49" s="233">
        <f t="shared" si="16"/>
        <v>8.53125</v>
      </c>
      <c r="R49" s="92">
        <f t="shared" si="17"/>
        <v>3.4375</v>
      </c>
      <c r="S49" s="93">
        <f>'Юнит 6'!S49+'Юнит 7'!S49+'Юнит 8'!S49+'Юнит 9'!S49</f>
        <v>111</v>
      </c>
      <c r="T49" s="93">
        <f>'Юнит 6'!T49+'Юнит 7'!T49+'Юнит 8'!T49+'Юнит 9'!T49</f>
        <v>-1</v>
      </c>
      <c r="U49" s="92">
        <f t="shared" si="1"/>
        <v>110</v>
      </c>
      <c r="V49" s="93">
        <f>'Юнит 6'!V49+'Юнит 7'!V49+'Юнит 8'!V49+'Юнит 9'!V49</f>
        <v>94714.979999999981</v>
      </c>
      <c r="W49" s="93">
        <f>'Юнит 6'!W49+'Юнит 7'!W49+'Юнит 8'!W49+'Юнит 9'!W49</f>
        <v>-808</v>
      </c>
      <c r="X49" s="92">
        <f t="shared" si="2"/>
        <v>93906.979999999981</v>
      </c>
      <c r="Y49" s="93">
        <f>'Юнит 6'!Y49+'Юнит 7'!Y49+'Юнит 8'!Y49+'Юнит 9'!Y49</f>
        <v>149861.66</v>
      </c>
      <c r="Z49" s="93">
        <f>'Юнит 6'!Z49+'Юнит 7'!Z49+'Юнит 8'!Z49+'Юнит 9'!Z49</f>
        <v>-1258</v>
      </c>
      <c r="AA49" s="232">
        <f t="shared" si="3"/>
        <v>148603.66</v>
      </c>
      <c r="AB49" s="92">
        <f t="shared" si="18"/>
        <v>175399.77</v>
      </c>
      <c r="AC49" s="234">
        <f t="shared" si="38"/>
        <v>1.7537406712396057E-2</v>
      </c>
      <c r="AD49" s="92">
        <f t="shared" si="5"/>
        <v>13539.9</v>
      </c>
      <c r="AE49" s="93">
        <f>'Юнит 6'!AE49+'Юнит 7'!AE49+'Юнит 8'!AE49+'Юнит 9'!AE49</f>
        <v>55300.689999999988</v>
      </c>
      <c r="AF49" s="234">
        <f t="shared" si="6"/>
        <v>0.37213545076884369</v>
      </c>
      <c r="AG49" s="93">
        <f>'Юнит 6'!AG49+'Юнит 7'!AG49+'Юнит 8'!AG49+'Юнит 9'!AG49</f>
        <v>19054.57</v>
      </c>
      <c r="AH49" s="93">
        <f>'Юнит 6'!AH49+'Юнит 7'!AH49+'Юнит 8'!AH49+'Юнит 9'!AH49</f>
        <v>15000</v>
      </c>
      <c r="AI49" s="93">
        <f>'Юнит 6'!AI49+'Юнит 7'!AI49+'Юнит 8'!AI49+'Юнит 9'!AI49</f>
        <v>18844</v>
      </c>
      <c r="AJ49" s="93">
        <f>'Юнит 6'!AJ49+'Юнит 7'!AJ49+'Юнит 8'!AJ49+'Юнит 9'!AJ49</f>
        <v>0</v>
      </c>
      <c r="AK49" s="93">
        <f>'Юнит 6'!AK49+'Юнит 7'!AK49+'Юнит 8'!AK49+'Юнит 9'!AK49</f>
        <v>0</v>
      </c>
      <c r="AL49" s="122">
        <f t="shared" si="39"/>
        <v>0</v>
      </c>
      <c r="AM49" s="93">
        <f>'Юнит 6'!AM49+'Юнит 7'!AM49+'Юнит 8'!AM49+'Юнит 9'!AM49</f>
        <v>10</v>
      </c>
      <c r="AN49" s="325">
        <f t="shared" si="40"/>
        <v>5272.6805879792537</v>
      </c>
      <c r="AO49" s="95">
        <f t="shared" si="20"/>
        <v>21581.81941202077</v>
      </c>
      <c r="AP49" s="96"/>
      <c r="AQ49" s="97">
        <f t="shared" si="9"/>
        <v>1350.9423636363638</v>
      </c>
      <c r="AR49" s="98">
        <f t="shared" si="30"/>
        <v>123.09</v>
      </c>
      <c r="AS49" s="98">
        <f t="shared" si="11"/>
        <v>502.73354545454532</v>
      </c>
      <c r="AT49" s="98">
        <f t="shared" si="12"/>
        <v>171.6627927927928</v>
      </c>
      <c r="AU49" s="98">
        <f t="shared" si="19"/>
        <v>304.90090090090092</v>
      </c>
      <c r="AV49" s="98">
        <f t="array" ref="AV49">_xlfn.IFS(U49=0,AO49,U49&lt;0,AO49/-U49,U49&gt;0,AO49/U49)</f>
        <v>196.19835829109792</v>
      </c>
      <c r="AW49" s="234">
        <f t="shared" si="41"/>
        <v>0.14523073935070488</v>
      </c>
      <c r="AX49" s="234">
        <f t="shared" si="42"/>
        <v>1.5939423047452914</v>
      </c>
      <c r="AY49" s="99"/>
      <c r="AZ49" s="94">
        <f t="shared" si="15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6"/>
        <v>0</v>
      </c>
      <c r="F50" s="93"/>
      <c r="G50" s="93"/>
      <c r="H50" s="93"/>
      <c r="I50" s="93"/>
      <c r="J50" s="93"/>
      <c r="K50" s="92">
        <v>134.79</v>
      </c>
      <c r="L50" s="92">
        <f t="shared" si="37"/>
        <v>0</v>
      </c>
      <c r="M50" s="89"/>
      <c r="N50" s="93">
        <f>'Юнит 6'!N50+'Юнит 7'!N50+'Юнит 8'!N50+'Юнит 9'!N50</f>
        <v>103</v>
      </c>
      <c r="O50" s="89">
        <v>1213</v>
      </c>
      <c r="P50" s="89">
        <v>47</v>
      </c>
      <c r="Q50" s="233">
        <f t="shared" si="16"/>
        <v>3.21875</v>
      </c>
      <c r="R50" s="92">
        <f t="shared" si="17"/>
        <v>1.28125</v>
      </c>
      <c r="S50" s="93">
        <f>'Юнит 6'!S50+'Юнит 7'!S50+'Юнит 8'!S50+'Юнит 9'!S50</f>
        <v>45</v>
      </c>
      <c r="T50" s="93">
        <f>'Юнит 6'!T50+'Юнит 7'!T50+'Юнит 8'!T50+'Юнит 9'!T50</f>
        <v>-4</v>
      </c>
      <c r="U50" s="92">
        <f t="shared" si="1"/>
        <v>41</v>
      </c>
      <c r="V50" s="93">
        <f>'Юнит 6'!V50+'Юнит 7'!V50+'Юнит 8'!V50+'Юнит 9'!V50</f>
        <v>35005.269999999997</v>
      </c>
      <c r="W50" s="93">
        <f>'Юнит 6'!W50+'Юнит 7'!W50+'Юнит 8'!W50+'Юнит 9'!W50</f>
        <v>-3014</v>
      </c>
      <c r="X50" s="92">
        <f t="shared" si="2"/>
        <v>31991.269999999997</v>
      </c>
      <c r="Y50" s="93">
        <f>'Юнит 6'!Y50+'Юнит 7'!Y50+'Юнит 8'!Y50+'Юнит 9'!Y50</f>
        <v>54069.4</v>
      </c>
      <c r="Z50" s="93">
        <f>'Юнит 6'!Z50+'Юнит 7'!Z50+'Юнит 8'!Z50+'Юнит 9'!Z50</f>
        <v>-4826</v>
      </c>
      <c r="AA50" s="232">
        <f t="shared" si="3"/>
        <v>49243.4</v>
      </c>
      <c r="AB50" s="92">
        <f t="shared" si="18"/>
        <v>58721.33</v>
      </c>
      <c r="AC50" s="234">
        <f t="shared" si="38"/>
        <v>5.811441883068048E-3</v>
      </c>
      <c r="AD50" s="92">
        <f t="shared" si="5"/>
        <v>5526.3899999999994</v>
      </c>
      <c r="AE50" s="93">
        <f>'Юнит 6'!AE50+'Юнит 7'!AE50+'Юнит 8'!AE50+'Юнит 9'!AE50</f>
        <v>18324.989999999998</v>
      </c>
      <c r="AF50" s="234">
        <f t="shared" si="6"/>
        <v>0.37213088454493387</v>
      </c>
      <c r="AG50" s="93">
        <f>'Юнит 6'!AG50+'Юнит 7'!AG50+'Юнит 8'!AG50+'Юнит 9'!AG50</f>
        <v>7146.9599999999991</v>
      </c>
      <c r="AH50" s="93">
        <f>'Юнит 6'!AH50+'Юнит 7'!AH50+'Юнит 8'!AH50+'Юнит 9'!AH50</f>
        <v>6797</v>
      </c>
      <c r="AI50" s="93">
        <f>'Юнит 6'!AI50+'Юнит 7'!AI50+'Юнит 8'!AI50+'Юнит 9'!AI50</f>
        <v>8929</v>
      </c>
      <c r="AJ50" s="93">
        <f>'Юнит 6'!AJ50+'Юнит 7'!AJ50+'Юнит 8'!AJ50+'Юнит 9'!AJ50</f>
        <v>0</v>
      </c>
      <c r="AK50" s="93">
        <f>'Юнит 6'!AK50+'Юнит 7'!AK50+'Юнит 8'!AK50+'Юнит 9'!AK50</f>
        <v>0</v>
      </c>
      <c r="AL50" s="122">
        <f t="shared" si="39"/>
        <v>0</v>
      </c>
      <c r="AM50" s="93">
        <f>'Юнит 6'!AM50+'Юнит 7'!AM50+'Юнит 8'!AM50+'Юнит 9'!AM50</f>
        <v>20</v>
      </c>
      <c r="AN50" s="325">
        <f t="shared" si="40"/>
        <v>1796.2429237294511</v>
      </c>
      <c r="AO50" s="95">
        <f t="shared" si="20"/>
        <v>702.8170762705538</v>
      </c>
      <c r="AP50" s="96"/>
      <c r="AQ50" s="97">
        <f t="shared" si="9"/>
        <v>1201.0585365853658</v>
      </c>
      <c r="AR50" s="98">
        <f t="shared" si="30"/>
        <v>134.79</v>
      </c>
      <c r="AS50" s="98">
        <f t="shared" si="11"/>
        <v>446.95097560975603</v>
      </c>
      <c r="AT50" s="98">
        <f t="shared" si="12"/>
        <v>158.82133333333331</v>
      </c>
      <c r="AU50" s="98">
        <f t="shared" si="19"/>
        <v>349.46666666666664</v>
      </c>
      <c r="AV50" s="98">
        <f t="array" ref="AV50">_xlfn.IFS(U50=0,AO50,U50&lt;0,AO50/-U50,U50&gt;0,AO50/U50)</f>
        <v>17.141879909037897</v>
      </c>
      <c r="AW50" s="234">
        <f t="shared" si="41"/>
        <v>1.4272310122179901E-2</v>
      </c>
      <c r="AX50" s="234">
        <f t="shared" si="42"/>
        <v>0.12717471555039617</v>
      </c>
      <c r="AY50" s="99"/>
      <c r="AZ50" s="94">
        <f t="shared" si="15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6"/>
        <v>0</v>
      </c>
      <c r="F51" s="93"/>
      <c r="G51" s="93"/>
      <c r="H51" s="93"/>
      <c r="I51" s="93"/>
      <c r="J51" s="93"/>
      <c r="K51" s="92">
        <v>144.15</v>
      </c>
      <c r="L51" s="92">
        <f t="shared" si="37"/>
        <v>0</v>
      </c>
      <c r="M51" s="89"/>
      <c r="N51" s="93">
        <f>'Юнит 6'!N51+'Юнит 7'!N51+'Юнит 8'!N51+'Юнит 9'!N51</f>
        <v>18</v>
      </c>
      <c r="O51" s="89">
        <v>1119</v>
      </c>
      <c r="P51" s="89">
        <v>50</v>
      </c>
      <c r="Q51" s="233">
        <f t="shared" si="16"/>
        <v>0.5625</v>
      </c>
      <c r="R51" s="92">
        <f t="shared" si="17"/>
        <v>0.3125</v>
      </c>
      <c r="S51" s="93">
        <f>'Юнит 6'!S51+'Юнит 7'!S51+'Юнит 8'!S51+'Юнит 9'!S51</f>
        <v>12</v>
      </c>
      <c r="T51" s="93">
        <f>'Юнит 6'!T51+'Юнит 7'!T51+'Юнит 8'!T51+'Юнит 9'!T51</f>
        <v>-2</v>
      </c>
      <c r="U51" s="92">
        <f t="shared" si="1"/>
        <v>10</v>
      </c>
      <c r="V51" s="93">
        <f>'Юнит 6'!V51+'Юнит 7'!V51+'Юнит 8'!V51+'Юнит 9'!V51</f>
        <v>8362</v>
      </c>
      <c r="W51" s="93">
        <f>'Юнит 6'!W51+'Юнит 7'!W51+'Юнит 8'!W51+'Юнит 9'!W51</f>
        <v>-1624</v>
      </c>
      <c r="X51" s="92">
        <f t="shared" si="2"/>
        <v>6738</v>
      </c>
      <c r="Y51" s="93">
        <f>'Юнит 6'!Y51+'Юнит 7'!Y51+'Юнит 8'!Y51+'Юнит 9'!Y51</f>
        <v>13394.43</v>
      </c>
      <c r="Z51" s="93">
        <f>'Юнит 6'!Z51+'Юнит 7'!Z51+'Юнит 8'!Z51+'Юнит 9'!Z51</f>
        <v>-2398</v>
      </c>
      <c r="AA51" s="232">
        <f t="shared" si="3"/>
        <v>10996.43</v>
      </c>
      <c r="AB51" s="92">
        <f t="shared" si="18"/>
        <v>10071</v>
      </c>
      <c r="AC51" s="234">
        <f t="shared" si="38"/>
        <v>1.2977396740725857E-3</v>
      </c>
      <c r="AD51" s="92">
        <f t="shared" si="5"/>
        <v>1441.5</v>
      </c>
      <c r="AE51" s="93">
        <f>'Юнит 6'!AE51+'Юнит 7'!AE51+'Юнит 8'!AE51+'Юнит 9'!AE51</f>
        <v>4117.8300000000008</v>
      </c>
      <c r="AF51" s="234">
        <f t="shared" si="6"/>
        <v>0.37446971426181047</v>
      </c>
      <c r="AG51" s="93">
        <f>'Юнит 6'!AG51+'Юнит 7'!AG51+'Юнит 8'!AG51+'Юнит 9'!AG51</f>
        <v>4290.37</v>
      </c>
      <c r="AH51" s="93">
        <f>'Юнит 6'!AH51+'Юнит 7'!AH51+'Юнит 8'!AH51+'Юнит 9'!AH51</f>
        <v>1000</v>
      </c>
      <c r="AI51" s="93">
        <f>'Юнит 6'!AI51+'Юнит 7'!AI51+'Юнит 8'!AI51+'Юнит 9'!AI51</f>
        <v>2009</v>
      </c>
      <c r="AJ51" s="93">
        <f>'Юнит 6'!AJ51+'Юнит 7'!AJ51+'Юнит 8'!AJ51+'Юнит 9'!AJ51</f>
        <v>0</v>
      </c>
      <c r="AK51" s="93">
        <f>'Юнит 6'!AK51+'Юнит 7'!AK51+'Юнит 8'!AK51+'Юнит 9'!AK51</f>
        <v>0</v>
      </c>
      <c r="AL51" s="122">
        <f t="shared" si="39"/>
        <v>0</v>
      </c>
      <c r="AM51" s="93">
        <f>'Юнит 6'!AM51+'Юнит 7'!AM51+'Юнит 8'!AM51+'Юнит 9'!AM51</f>
        <v>80</v>
      </c>
      <c r="AN51" s="325">
        <f t="shared" si="40"/>
        <v>378.32461231107868</v>
      </c>
      <c r="AO51" s="95">
        <f t="shared" si="20"/>
        <v>-2320.5946123110789</v>
      </c>
      <c r="AP51" s="96"/>
      <c r="AQ51" s="97">
        <f t="shared" si="9"/>
        <v>1099.643</v>
      </c>
      <c r="AR51" s="98">
        <f t="shared" si="30"/>
        <v>144.15</v>
      </c>
      <c r="AS51" s="98">
        <f t="shared" si="11"/>
        <v>411.78300000000007</v>
      </c>
      <c r="AT51" s="98">
        <f t="shared" si="12"/>
        <v>357.53083333333331</v>
      </c>
      <c r="AU51" s="98">
        <f t="shared" si="19"/>
        <v>250.75</v>
      </c>
      <c r="AV51" s="98">
        <f t="array" ref="AV51">_xlfn.IFS(U51=0,AO51,U51&lt;0,AO51/-U51,U51&gt;0,AO51/U51)</f>
        <v>-232.05946123110789</v>
      </c>
      <c r="AW51" s="234">
        <f t="shared" si="41"/>
        <v>-0.21103163593194144</v>
      </c>
      <c r="AX51" s="234">
        <f t="shared" si="42"/>
        <v>-1.6098471122518756</v>
      </c>
      <c r="AY51" s="99"/>
      <c r="AZ51" s="94">
        <f t="shared" si="15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6"/>
        <v>0</v>
      </c>
      <c r="F52" s="93"/>
      <c r="G52" s="93"/>
      <c r="H52" s="93"/>
      <c r="I52" s="93"/>
      <c r="J52" s="93"/>
      <c r="K52" s="92">
        <v>96.18</v>
      </c>
      <c r="L52" s="92">
        <f t="shared" si="37"/>
        <v>0</v>
      </c>
      <c r="M52" s="89"/>
      <c r="N52" s="93">
        <f>'Юнит 6'!N52+'Юнит 7'!N52+'Юнит 8'!N52+'Юнит 9'!N52</f>
        <v>14</v>
      </c>
      <c r="O52" s="89">
        <v>1106</v>
      </c>
      <c r="P52" s="89">
        <v>0</v>
      </c>
      <c r="Q52" s="233">
        <f t="shared" si="16"/>
        <v>0.4375</v>
      </c>
      <c r="R52" s="92">
        <f t="shared" si="17"/>
        <v>0</v>
      </c>
      <c r="S52" s="93">
        <f>'Юнит 6'!S52+'Юнит 7'!S52+'Юнит 8'!S52+'Юнит 9'!S52</f>
        <v>0</v>
      </c>
      <c r="T52" s="93">
        <f>'Юнит 6'!T52+'Юнит 7'!T52+'Юнит 8'!T52+'Юнит 9'!T52</f>
        <v>0</v>
      </c>
      <c r="U52" s="92">
        <f t="shared" si="1"/>
        <v>0</v>
      </c>
      <c r="V52" s="93">
        <f>'Юнит 6'!V52+'Юнит 7'!V52+'Юнит 8'!V52+'Юнит 9'!V52</f>
        <v>0</v>
      </c>
      <c r="W52" s="93">
        <f>'Юнит 6'!W52+'Юнит 7'!W52+'Юнит 8'!W52+'Юнит 9'!W52</f>
        <v>0</v>
      </c>
      <c r="X52" s="92">
        <f t="shared" si="2"/>
        <v>0</v>
      </c>
      <c r="Y52" s="93">
        <f>'Юнит 6'!Y52+'Юнит 7'!Y52+'Юнит 8'!Y52+'Юнит 9'!Y52</f>
        <v>0</v>
      </c>
      <c r="Z52" s="93">
        <f>'Юнит 6'!Z52+'Юнит 7'!Z52+'Юнит 8'!Z52+'Юнит 9'!Z52</f>
        <v>0</v>
      </c>
      <c r="AA52" s="232">
        <f t="shared" si="3"/>
        <v>0</v>
      </c>
      <c r="AB52" s="92">
        <f t="shared" si="18"/>
        <v>0</v>
      </c>
      <c r="AC52" s="234">
        <f t="shared" si="38"/>
        <v>0</v>
      </c>
      <c r="AD52" s="92">
        <f t="shared" si="5"/>
        <v>0</v>
      </c>
      <c r="AE52" s="93">
        <f>'Юнит 6'!AE52+'Юнит 7'!AE52+'Юнит 8'!AE52+'Юнит 9'!AE52</f>
        <v>0</v>
      </c>
      <c r="AF52" s="234">
        <f t="shared" si="6"/>
        <v>0</v>
      </c>
      <c r="AG52" s="93">
        <f>'Юнит 6'!AG52+'Юнит 7'!AG52+'Юнит 8'!AG52+'Юнит 9'!AG52</f>
        <v>839.02</v>
      </c>
      <c r="AH52" s="93">
        <f>'Юнит 6'!AH52+'Юнит 7'!AH52+'Юнит 8'!AH52+'Юнит 9'!AH52</f>
        <v>0</v>
      </c>
      <c r="AI52" s="93">
        <f>'Юнит 6'!AI52+'Юнит 7'!AI52+'Юнит 8'!AI52+'Юнит 9'!AI52</f>
        <v>0</v>
      </c>
      <c r="AJ52" s="93">
        <f>'Юнит 6'!AJ52+'Юнит 7'!AJ52+'Юнит 8'!AJ52+'Юнит 9'!AJ52</f>
        <v>0</v>
      </c>
      <c r="AK52" s="93">
        <f>'Юнит 6'!AK52+'Юнит 7'!AK52+'Юнит 8'!AK52+'Юнит 9'!AK52</f>
        <v>0</v>
      </c>
      <c r="AL52" s="122">
        <f t="shared" si="39"/>
        <v>0</v>
      </c>
      <c r="AM52" s="93">
        <f>'Юнит 6'!AM52+'Юнит 7'!AM52+'Юнит 8'!AM52+'Юнит 9'!AM52</f>
        <v>0</v>
      </c>
      <c r="AN52" s="325">
        <f t="shared" si="40"/>
        <v>0</v>
      </c>
      <c r="AO52" s="95">
        <f t="shared" si="20"/>
        <v>-839.02</v>
      </c>
      <c r="AP52" s="96"/>
      <c r="AQ52" s="97">
        <f t="shared" si="9"/>
        <v>0</v>
      </c>
      <c r="AR52" s="98">
        <f t="shared" si="30"/>
        <v>96.18</v>
      </c>
      <c r="AS52" s="98">
        <f t="shared" si="11"/>
        <v>0</v>
      </c>
      <c r="AT52" s="98">
        <f t="shared" si="12"/>
        <v>839.02</v>
      </c>
      <c r="AU52" s="98">
        <f t="shared" si="19"/>
        <v>0</v>
      </c>
      <c r="AV52" s="98">
        <f t="array" ref="AV52">_xlfn.IFS(U52=0,AO52,U52&lt;0,AO52/-U52,U52&gt;0,AO52/U52)</f>
        <v>-839.02</v>
      </c>
      <c r="AW52" s="234">
        <f t="shared" si="41"/>
        <v>0</v>
      </c>
      <c r="AX52" s="234">
        <f t="shared" si="42"/>
        <v>-8.7234352256186316</v>
      </c>
      <c r="AY52" s="99"/>
      <c r="AZ52" s="94">
        <f t="shared" si="15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6"/>
        <v>0</v>
      </c>
      <c r="F53" s="93"/>
      <c r="G53" s="93"/>
      <c r="H53" s="93"/>
      <c r="I53" s="93"/>
      <c r="J53" s="93"/>
      <c r="K53" s="92">
        <v>96.18</v>
      </c>
      <c r="L53" s="92">
        <f t="shared" si="37"/>
        <v>0</v>
      </c>
      <c r="M53" s="89"/>
      <c r="N53" s="93">
        <f>'Юнит 6'!N53+'Юнит 7'!N53+'Юнит 8'!N53+'Юнит 9'!N53</f>
        <v>7</v>
      </c>
      <c r="O53" s="89">
        <v>1106</v>
      </c>
      <c r="P53" s="89">
        <v>29</v>
      </c>
      <c r="Q53" s="233">
        <f t="shared" si="16"/>
        <v>0.21875</v>
      </c>
      <c r="R53" s="92">
        <f t="shared" si="17"/>
        <v>6.25E-2</v>
      </c>
      <c r="S53" s="93">
        <f>'Юнит 6'!S53+'Юнит 7'!S53+'Юнит 8'!S53+'Юнит 9'!S53</f>
        <v>2</v>
      </c>
      <c r="T53" s="93">
        <f>'Юнит 6'!T53+'Юнит 7'!T53+'Юнит 8'!T53+'Юнит 9'!T53</f>
        <v>0</v>
      </c>
      <c r="U53" s="92">
        <f t="shared" si="1"/>
        <v>2</v>
      </c>
      <c r="V53" s="93">
        <f>'Юнит 6'!V53+'Юнит 7'!V53+'Юнит 8'!V53+'Юнит 9'!V53</f>
        <v>1289</v>
      </c>
      <c r="W53" s="93">
        <f>'Юнит 6'!W53+'Юнит 7'!W53+'Юнит 8'!W53+'Юнит 9'!W53</f>
        <v>0</v>
      </c>
      <c r="X53" s="92">
        <f t="shared" si="2"/>
        <v>1289</v>
      </c>
      <c r="Y53" s="93">
        <f>'Юнит 6'!Y53+'Юнит 7'!Y53+'Юнит 8'!Y53+'Юнит 9'!Y53</f>
        <v>2178.8199999999997</v>
      </c>
      <c r="Z53" s="93">
        <f>'Юнит 6'!Z53+'Юнит 7'!Z53+'Юнит 8'!Z53+'Юнит 9'!Z53</f>
        <v>0</v>
      </c>
      <c r="AA53" s="232">
        <f t="shared" si="3"/>
        <v>2178.8199999999997</v>
      </c>
      <c r="AB53" s="92">
        <f t="shared" si="18"/>
        <v>2245.1799999999998</v>
      </c>
      <c r="AC53" s="234">
        <f t="shared" si="38"/>
        <v>2.5713264729215128E-4</v>
      </c>
      <c r="AD53" s="92">
        <f t="shared" si="5"/>
        <v>192.36</v>
      </c>
      <c r="AE53" s="93">
        <f>'Юнит 6'!AE53+'Юнит 7'!AE53+'Юнит 8'!AE53+'Юнит 9'!AE53</f>
        <v>809.93</v>
      </c>
      <c r="AF53" s="234">
        <f t="shared" si="6"/>
        <v>0.37172873390183681</v>
      </c>
      <c r="AG53" s="93">
        <f>'Юнит 6'!AG53+'Юнит 7'!AG53+'Юнит 8'!AG53+'Юнит 9'!AG53</f>
        <v>614.84</v>
      </c>
      <c r="AH53" s="93">
        <f>'Юнит 6'!AH53+'Юнит 7'!AH53+'Юнит 8'!AH53+'Юнит 9'!AH53</f>
        <v>0</v>
      </c>
      <c r="AI53" s="93">
        <f>'Юнит 6'!AI53+'Юнит 7'!AI53+'Юнит 8'!AI53+'Юнит 9'!AI53</f>
        <v>0</v>
      </c>
      <c r="AJ53" s="93">
        <f>'Юнит 6'!AJ53+'Юнит 7'!AJ53+'Юнит 8'!AJ53+'Юнит 9'!AJ53</f>
        <v>0</v>
      </c>
      <c r="AK53" s="93">
        <f>'Юнит 6'!AK53+'Юнит 7'!AK53+'Юнит 8'!AK53+'Юнит 9'!AK53</f>
        <v>0</v>
      </c>
      <c r="AL53" s="122">
        <f t="shared" si="39"/>
        <v>0</v>
      </c>
      <c r="AM53" s="93">
        <f>'Юнит 6'!AM53+'Юнит 7'!AM53+'Юнит 8'!AM53+'Юнит 9'!AM53</f>
        <v>0</v>
      </c>
      <c r="AN53" s="325">
        <f t="shared" si="40"/>
        <v>72.374654982039232</v>
      </c>
      <c r="AO53" s="95">
        <f t="shared" si="20"/>
        <v>489.31534501796045</v>
      </c>
      <c r="AP53" s="96"/>
      <c r="AQ53" s="97">
        <f t="shared" si="9"/>
        <v>1089.4099999999999</v>
      </c>
      <c r="AR53" s="98">
        <f t="shared" si="30"/>
        <v>96.18</v>
      </c>
      <c r="AS53" s="98">
        <f t="shared" si="11"/>
        <v>404.96499999999997</v>
      </c>
      <c r="AT53" s="98">
        <f t="shared" si="12"/>
        <v>307.42</v>
      </c>
      <c r="AU53" s="98">
        <f t="shared" si="19"/>
        <v>0</v>
      </c>
      <c r="AV53" s="98">
        <f t="array" ref="AV53">_xlfn.IFS(U53=0,AO53,U53&lt;0,AO53/-U53,U53&gt;0,AO53/U53)</f>
        <v>244.65767250898023</v>
      </c>
      <c r="AW53" s="234">
        <f t="shared" si="41"/>
        <v>0.22457814092855791</v>
      </c>
      <c r="AX53" s="234">
        <f t="shared" si="42"/>
        <v>2.543747894666045</v>
      </c>
      <c r="AY53" s="99"/>
      <c r="AZ53" s="94">
        <f t="shared" si="15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3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7"/>
        <v>0</v>
      </c>
      <c r="M54" s="89"/>
      <c r="N54" s="93">
        <f>'Юнит 6'!N54+'Юнит 7'!N54+'Юнит 8'!N54+'Юнит 9'!N54</f>
        <v>13</v>
      </c>
      <c r="O54" s="89">
        <v>998</v>
      </c>
      <c r="P54" s="89">
        <v>42</v>
      </c>
      <c r="Q54" s="233">
        <f t="shared" si="16"/>
        <v>0.40625</v>
      </c>
      <c r="R54" s="92">
        <f t="shared" si="17"/>
        <v>0.21875</v>
      </c>
      <c r="S54" s="93">
        <f>'Юнит 6'!S54+'Юнит 7'!S54+'Юнит 8'!S54+'Юнит 9'!S54</f>
        <v>7</v>
      </c>
      <c r="T54" s="93">
        <f>'Юнит 6'!T54+'Юнит 7'!T54+'Юнит 8'!T54+'Юнит 9'!T54</f>
        <v>0</v>
      </c>
      <c r="U54" s="92">
        <f t="shared" si="1"/>
        <v>7</v>
      </c>
      <c r="V54" s="93">
        <f>'Юнит 6'!V54+'Юнит 7'!V54+'Юнит 8'!V54+'Юнит 9'!V54</f>
        <v>4505</v>
      </c>
      <c r="W54" s="93">
        <f>'Юнит 6'!W54+'Юнит 7'!W54+'Юнит 8'!W54+'Юнит 9'!W54</f>
        <v>0</v>
      </c>
      <c r="X54" s="92">
        <f t="shared" si="2"/>
        <v>4505</v>
      </c>
      <c r="Y54" s="93">
        <f>'Юнит 6'!Y54+'Юнит 7'!Y54+'Юнит 8'!Y54+'Юнит 9'!Y54</f>
        <v>6936.0599999999995</v>
      </c>
      <c r="Z54" s="93">
        <f>'Юнит 6'!Z54+'Юнит 7'!Z54+'Юнит 8'!Z54+'Юнит 9'!Z54</f>
        <v>0</v>
      </c>
      <c r="AA54" s="232">
        <f t="shared" si="3"/>
        <v>6936.0599999999995</v>
      </c>
      <c r="AB54" s="92">
        <f t="shared" si="18"/>
        <v>5449.08</v>
      </c>
      <c r="AC54" s="234">
        <f t="shared" si="38"/>
        <v>8.1855659007040455E-4</v>
      </c>
      <c r="AD54" s="92">
        <f t="shared" si="5"/>
        <v>861.63</v>
      </c>
      <c r="AE54" s="93">
        <f>'Юнит 6'!AE54+'Юнит 7'!AE54+'Юнит 8'!AE54+'Юнит 9'!AE54</f>
        <v>2615.21</v>
      </c>
      <c r="AF54" s="234">
        <f t="shared" si="6"/>
        <v>0.37704546961819824</v>
      </c>
      <c r="AG54" s="93">
        <f>'Юнит 6'!AG54+'Юнит 7'!AG54+'Юнит 8'!AG54+'Юнит 9'!AG54</f>
        <v>1160.08</v>
      </c>
      <c r="AH54" s="93">
        <f>'Юнит 6'!AH54+'Юнит 7'!AH54+'Юнит 8'!AH54+'Юнит 9'!AH54</f>
        <v>0</v>
      </c>
      <c r="AI54" s="93">
        <f>'Юнит 6'!AI54+'Юнит 7'!AI54+'Юнит 8'!AI54+'Юнит 9'!AI54</f>
        <v>0</v>
      </c>
      <c r="AJ54" s="93">
        <f>'Юнит 6'!AJ54+'Юнит 7'!AJ54+'Юнит 8'!AJ54+'Юнит 9'!AJ54</f>
        <v>0</v>
      </c>
      <c r="AK54" s="93">
        <f>'Юнит 6'!AK54+'Юнит 7'!AK54+'Юнит 8'!AK54+'Юнит 9'!AK54</f>
        <v>0</v>
      </c>
      <c r="AL54" s="122">
        <f t="shared" si="39"/>
        <v>0</v>
      </c>
      <c r="AM54" s="93">
        <f>'Юнит 6'!AM54+'Юнит 7'!AM54+'Юнит 8'!AM54+'Юнит 9'!AM54</f>
        <v>0</v>
      </c>
      <c r="AN54" s="325">
        <f t="shared" si="40"/>
        <v>252.94633102722017</v>
      </c>
      <c r="AO54" s="95">
        <f t="shared" si="20"/>
        <v>2046.1936689727793</v>
      </c>
      <c r="AP54" s="96"/>
      <c r="AQ54" s="97">
        <f t="shared" si="9"/>
        <v>990.86571428571426</v>
      </c>
      <c r="AR54" s="98">
        <f t="shared" si="30"/>
        <v>123.09</v>
      </c>
      <c r="AS54" s="98">
        <f t="shared" si="11"/>
        <v>373.60142857142858</v>
      </c>
      <c r="AT54" s="98">
        <f t="shared" si="12"/>
        <v>165.72571428571428</v>
      </c>
      <c r="AU54" s="98">
        <f t="shared" si="19"/>
        <v>0</v>
      </c>
      <c r="AV54" s="98">
        <f t="array" ref="AV54">_xlfn.IFS(U54=0,AO54,U54&lt;0,AO54/-U54,U54&gt;0,AO54/U54)</f>
        <v>292.31338128182563</v>
      </c>
      <c r="AW54" s="234">
        <f t="shared" si="41"/>
        <v>0.2950080692745996</v>
      </c>
      <c r="AX54" s="234">
        <f t="shared" si="42"/>
        <v>2.3747939010628452</v>
      </c>
      <c r="AY54" s="99"/>
      <c r="AZ54" s="94">
        <f t="shared" si="15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3"/>
        <v>0</v>
      </c>
      <c r="F55" s="93"/>
      <c r="G55" s="93"/>
      <c r="H55" s="93"/>
      <c r="I55" s="93"/>
      <c r="J55" s="93"/>
      <c r="K55" s="93">
        <v>158.19</v>
      </c>
      <c r="L55" s="92">
        <f t="shared" si="37"/>
        <v>0</v>
      </c>
      <c r="M55" s="89"/>
      <c r="N55" s="93">
        <f>'Юнит 6'!N55+'Юнит 7'!N55+'Юнит 8'!N55+'Юнит 9'!N55</f>
        <v>1</v>
      </c>
      <c r="O55" s="89">
        <v>1049</v>
      </c>
      <c r="P55" s="89">
        <v>0</v>
      </c>
      <c r="Q55" s="233">
        <f t="shared" si="16"/>
        <v>3.125E-2</v>
      </c>
      <c r="R55" s="92">
        <f t="shared" si="17"/>
        <v>0</v>
      </c>
      <c r="S55" s="93">
        <f>'Юнит 6'!S55+'Юнит 7'!S55+'Юнит 8'!S55+'Юнит 9'!S55</f>
        <v>0</v>
      </c>
      <c r="T55" s="93">
        <f>'Юнит 6'!T55+'Юнит 7'!T55+'Юнит 8'!T55+'Юнит 9'!T55</f>
        <v>0</v>
      </c>
      <c r="U55" s="92">
        <f t="shared" si="1"/>
        <v>0</v>
      </c>
      <c r="V55" s="93">
        <f>'Юнит 6'!V55+'Юнит 7'!V55+'Юнит 8'!V55+'Юнит 9'!V55</f>
        <v>0</v>
      </c>
      <c r="W55" s="93">
        <f>'Юнит 6'!W55+'Юнит 7'!W55+'Юнит 8'!W55+'Юнит 9'!W55</f>
        <v>0</v>
      </c>
      <c r="X55" s="92">
        <f t="shared" si="2"/>
        <v>0</v>
      </c>
      <c r="Y55" s="93">
        <f>'Юнит 6'!Y55+'Юнит 7'!Y55+'Юнит 8'!Y55+'Юнит 9'!Y55</f>
        <v>0</v>
      </c>
      <c r="Z55" s="93">
        <f>'Юнит 6'!Z55+'Юнит 7'!Z55+'Юнит 8'!Z55+'Юнит 9'!Z55</f>
        <v>0</v>
      </c>
      <c r="AA55" s="232">
        <f t="shared" si="3"/>
        <v>0</v>
      </c>
      <c r="AB55" s="92">
        <f t="shared" si="18"/>
        <v>0</v>
      </c>
      <c r="AC55" s="234">
        <f t="shared" si="38"/>
        <v>0</v>
      </c>
      <c r="AD55" s="92">
        <f t="shared" si="5"/>
        <v>0</v>
      </c>
      <c r="AE55" s="93">
        <f>'Юнит 6'!AE55+'Юнит 7'!AE55+'Юнит 8'!AE55+'Юнит 9'!AE55</f>
        <v>0</v>
      </c>
      <c r="AF55" s="234">
        <f t="shared" si="6"/>
        <v>0</v>
      </c>
      <c r="AG55" s="93">
        <f>'Юнит 6'!AG55+'Юнит 7'!AG55+'Юнит 8'!AG55+'Юнит 9'!AG55</f>
        <v>97.32</v>
      </c>
      <c r="AH55" s="93">
        <f>'Юнит 6'!AH55+'Юнит 7'!AH55+'Юнит 8'!AH55+'Юнит 9'!AH55</f>
        <v>0</v>
      </c>
      <c r="AI55" s="93">
        <f>'Юнит 6'!AI55+'Юнит 7'!AI55+'Юнит 8'!AI55+'Юнит 9'!AI55</f>
        <v>0</v>
      </c>
      <c r="AJ55" s="93">
        <f>'Юнит 6'!AJ55+'Юнит 7'!AJ55+'Юнит 8'!AJ55+'Юнит 9'!AJ55</f>
        <v>0</v>
      </c>
      <c r="AK55" s="93">
        <f>'Юнит 6'!AK55+'Юнит 7'!AK55+'Юнит 8'!AK55+'Юнит 9'!AK55</f>
        <v>0</v>
      </c>
      <c r="AL55" s="122">
        <f t="shared" si="39"/>
        <v>0</v>
      </c>
      <c r="AM55" s="93">
        <f>'Юнит 6'!AM55+'Юнит 7'!AM55+'Юнит 8'!AM55+'Юнит 9'!AM55</f>
        <v>0</v>
      </c>
      <c r="AN55" s="325">
        <f t="shared" si="40"/>
        <v>0</v>
      </c>
      <c r="AO55" s="95">
        <f t="shared" si="20"/>
        <v>-97.32</v>
      </c>
      <c r="AP55" s="96"/>
      <c r="AQ55" s="97">
        <f t="shared" si="9"/>
        <v>0</v>
      </c>
      <c r="AR55" s="98">
        <f t="shared" si="30"/>
        <v>158.19</v>
      </c>
      <c r="AS55" s="98">
        <f t="shared" si="11"/>
        <v>0</v>
      </c>
      <c r="AT55" s="98">
        <f t="shared" si="12"/>
        <v>97.32</v>
      </c>
      <c r="AU55" s="98">
        <f t="shared" si="19"/>
        <v>0</v>
      </c>
      <c r="AV55" s="98">
        <f t="array" ref="AV55">_xlfn.IFS(U55=0,AO55,U55&lt;0,AO55/-U55,U55&gt;0,AO55/U55)</f>
        <v>-97.32</v>
      </c>
      <c r="AW55" s="234">
        <f t="shared" si="41"/>
        <v>0</v>
      </c>
      <c r="AX55" s="234">
        <f t="shared" si="42"/>
        <v>-0.61520955812630373</v>
      </c>
      <c r="AY55" s="99"/>
      <c r="AZ55" s="94">
        <f t="shared" si="15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3"/>
        <v>0</v>
      </c>
      <c r="F56" s="93"/>
      <c r="G56" s="93"/>
      <c r="H56" s="93"/>
      <c r="I56" s="93"/>
      <c r="J56" s="93"/>
      <c r="K56" s="93">
        <v>152.34</v>
      </c>
      <c r="L56" s="92">
        <f t="shared" si="37"/>
        <v>0</v>
      </c>
      <c r="M56" s="89"/>
      <c r="N56" s="93">
        <f>'Юнит 6'!N56+'Юнит 7'!N56+'Юнит 8'!N56+'Юнит 9'!N56</f>
        <v>5</v>
      </c>
      <c r="O56" s="89">
        <v>1049</v>
      </c>
      <c r="P56" s="89">
        <v>50</v>
      </c>
      <c r="Q56" s="233">
        <f t="shared" si="16"/>
        <v>0.15625</v>
      </c>
      <c r="R56" s="92">
        <f t="shared" si="17"/>
        <v>6.25E-2</v>
      </c>
      <c r="S56" s="93">
        <f>'Юнит 6'!S56+'Юнит 7'!S56+'Юнит 8'!S56+'Юнит 9'!S56</f>
        <v>2</v>
      </c>
      <c r="T56" s="93">
        <f>'Юнит 6'!T56+'Юнит 7'!T56+'Юнит 8'!T56+'Юнит 9'!T56</f>
        <v>0</v>
      </c>
      <c r="U56" s="92">
        <f t="shared" si="1"/>
        <v>2</v>
      </c>
      <c r="V56" s="93">
        <f>'Юнит 6'!V56+'Юнит 7'!V56+'Юнит 8'!V56+'Юнит 9'!V56</f>
        <v>1297</v>
      </c>
      <c r="W56" s="93">
        <f>'Юнит 6'!W56+'Юнит 7'!W56+'Юнит 8'!W56+'Юнит 9'!W56</f>
        <v>0</v>
      </c>
      <c r="X56" s="92">
        <f t="shared" si="2"/>
        <v>1297</v>
      </c>
      <c r="Y56" s="93">
        <f>'Юнит 6'!Y56+'Юнит 7'!Y56+'Юнит 8'!Y56+'Юнит 9'!Y56</f>
        <v>2098</v>
      </c>
      <c r="Z56" s="93">
        <f>'Юнит 6'!Z56+'Юнит 7'!Z56+'Юнит 8'!Z56+'Юнит 9'!Z56</f>
        <v>0</v>
      </c>
      <c r="AA56" s="232">
        <f t="shared" si="3"/>
        <v>2098</v>
      </c>
      <c r="AB56" s="92">
        <f t="shared" si="18"/>
        <v>2622.5</v>
      </c>
      <c r="AC56" s="234">
        <f t="shared" si="38"/>
        <v>2.4759470448175317E-4</v>
      </c>
      <c r="AD56" s="92">
        <f t="shared" si="5"/>
        <v>304.68</v>
      </c>
      <c r="AE56" s="93">
        <f>'Юнит 6'!AE56+'Юнит 7'!AE56+'Юнит 8'!AE56+'Юнит 9'!AE56</f>
        <v>786.64</v>
      </c>
      <c r="AF56" s="234">
        <f t="shared" si="6"/>
        <v>0.37494756911344135</v>
      </c>
      <c r="AG56" s="93">
        <f>'Юнит 6'!AG56+'Юнит 7'!AG56+'Юнит 8'!AG56+'Юнит 9'!AG56</f>
        <v>792</v>
      </c>
      <c r="AH56" s="93">
        <f>'Юнит 6'!AH56+'Юнит 7'!AH56+'Юнит 8'!AH56+'Юнит 9'!AH56</f>
        <v>0</v>
      </c>
      <c r="AI56" s="93">
        <f>'Юнит 6'!AI56+'Юнит 7'!AI56+'Юнит 8'!AI56+'Юнит 9'!AI56</f>
        <v>0</v>
      </c>
      <c r="AJ56" s="93">
        <f>'Юнит 6'!AJ56+'Юнит 7'!AJ56+'Юнит 8'!AJ56+'Юнит 9'!AJ56</f>
        <v>0</v>
      </c>
      <c r="AK56" s="93">
        <f>'Юнит 6'!AK56+'Юнит 7'!AK56+'Юнит 8'!AK56+'Юнит 9'!AK56</f>
        <v>0</v>
      </c>
      <c r="AL56" s="122">
        <f t="shared" si="39"/>
        <v>0</v>
      </c>
      <c r="AM56" s="93">
        <f>'Юнит 6'!AM56+'Юнит 7'!AM56+'Юнит 8'!AM56+'Юнит 9'!AM56</f>
        <v>20</v>
      </c>
      <c r="AN56" s="325">
        <f t="shared" si="40"/>
        <v>72.823838255783471</v>
      </c>
      <c r="AO56" s="95">
        <f t="shared" si="20"/>
        <v>121.85616174421648</v>
      </c>
      <c r="AP56" s="96"/>
      <c r="AQ56" s="97">
        <f t="shared" si="9"/>
        <v>1049</v>
      </c>
      <c r="AR56" s="98">
        <f t="shared" si="30"/>
        <v>152.34</v>
      </c>
      <c r="AS56" s="98">
        <f t="shared" si="11"/>
        <v>393.32</v>
      </c>
      <c r="AT56" s="98">
        <f t="shared" si="12"/>
        <v>396</v>
      </c>
      <c r="AU56" s="98">
        <f t="shared" si="19"/>
        <v>0</v>
      </c>
      <c r="AV56" s="98">
        <f t="array" ref="AV56">_xlfn.IFS(U56=0,AO56,U56&lt;0,AO56/-U56,U56&gt;0,AO56/U56)</f>
        <v>60.928080872108239</v>
      </c>
      <c r="AW56" s="234">
        <f t="shared" si="41"/>
        <v>5.808205993527954E-2</v>
      </c>
      <c r="AX56" s="234">
        <f t="shared" si="42"/>
        <v>0.39994801675271258</v>
      </c>
      <c r="AY56" s="99"/>
      <c r="AZ56" s="94">
        <f t="shared" si="15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3"/>
        <v>0</v>
      </c>
      <c r="F57" s="93"/>
      <c r="G57" s="93"/>
      <c r="H57" s="93"/>
      <c r="I57" s="93"/>
      <c r="J57" s="93"/>
      <c r="K57" s="93">
        <v>93.84</v>
      </c>
      <c r="L57" s="92">
        <f t="shared" si="37"/>
        <v>0</v>
      </c>
      <c r="M57" s="89"/>
      <c r="N57" s="93">
        <f>'Юнит 6'!N57+'Юнит 7'!N57+'Юнит 8'!N57+'Юнит 9'!N57</f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f>'Юнит 6'!S57+'Юнит 7'!S57+'Юнит 8'!S57+'Юнит 9'!S57</f>
        <v>0</v>
      </c>
      <c r="T57" s="93">
        <f>'Юнит 6'!T57+'Юнит 7'!T57+'Юнит 8'!T57+'Юнит 9'!T57</f>
        <v>0</v>
      </c>
      <c r="U57" s="92">
        <f t="shared" si="1"/>
        <v>0</v>
      </c>
      <c r="V57" s="93">
        <f>'Юнит 6'!V57+'Юнит 7'!V57+'Юнит 8'!V57+'Юнит 9'!V57</f>
        <v>0</v>
      </c>
      <c r="W57" s="93">
        <f>'Юнит 6'!W57+'Юнит 7'!W57+'Юнит 8'!W57+'Юнит 9'!W57</f>
        <v>0</v>
      </c>
      <c r="X57" s="92">
        <f t="shared" si="2"/>
        <v>0</v>
      </c>
      <c r="Y57" s="93">
        <f>'Юнит 6'!Y57+'Юнит 7'!Y57+'Юнит 8'!Y57+'Юнит 9'!Y57</f>
        <v>0</v>
      </c>
      <c r="Z57" s="93">
        <f>'Юнит 6'!Z57+'Юнит 7'!Z57+'Юнит 8'!Z57+'Юнит 9'!Z57</f>
        <v>0</v>
      </c>
      <c r="AA57" s="232">
        <f t="shared" si="3"/>
        <v>0</v>
      </c>
      <c r="AB57" s="92">
        <f t="shared" si="18"/>
        <v>0</v>
      </c>
      <c r="AC57" s="234">
        <f t="shared" si="38"/>
        <v>0</v>
      </c>
      <c r="AD57" s="92">
        <f t="shared" si="5"/>
        <v>0</v>
      </c>
      <c r="AE57" s="93">
        <f>'Юнит 6'!AE57+'Юнит 7'!AE57+'Юнит 8'!AE57+'Юнит 9'!AE57</f>
        <v>0</v>
      </c>
      <c r="AF57" s="234">
        <f t="shared" si="6"/>
        <v>0</v>
      </c>
      <c r="AG57" s="93">
        <f>'Юнит 6'!AG57+'Юнит 7'!AG57+'Юнит 8'!AG57+'Юнит 9'!AG57</f>
        <v>0</v>
      </c>
      <c r="AH57" s="93">
        <f>'Юнит 6'!AH57+'Юнит 7'!AH57+'Юнит 8'!AH57+'Юнит 9'!AH57</f>
        <v>0</v>
      </c>
      <c r="AI57" s="93">
        <f>'Юнит 6'!AI57+'Юнит 7'!AI57+'Юнит 8'!AI57+'Юнит 9'!AI57</f>
        <v>0</v>
      </c>
      <c r="AJ57" s="93">
        <f>'Юнит 6'!AJ57+'Юнит 7'!AJ57+'Юнит 8'!AJ57+'Юнит 9'!AJ57</f>
        <v>0</v>
      </c>
      <c r="AK57" s="93">
        <f>'Юнит 6'!AK57+'Юнит 7'!AK57+'Юнит 8'!AK57+'Юнит 9'!AK57</f>
        <v>0</v>
      </c>
      <c r="AL57" s="122">
        <f t="shared" si="39"/>
        <v>0</v>
      </c>
      <c r="AM57" s="93">
        <f>'Юнит 6'!AM57+'Юнит 7'!AM57+'Юнит 8'!AM57+'Юнит 9'!AM57</f>
        <v>0</v>
      </c>
      <c r="AN57" s="325">
        <f t="shared" si="40"/>
        <v>0</v>
      </c>
      <c r="AO57" s="95">
        <f t="shared" si="20"/>
        <v>0</v>
      </c>
      <c r="AP57" s="96"/>
      <c r="AQ57" s="97">
        <f t="shared" si="9"/>
        <v>0</v>
      </c>
      <c r="AR57" s="98">
        <f t="shared" si="30"/>
        <v>93.84</v>
      </c>
      <c r="AS57" s="98">
        <f t="shared" si="11"/>
        <v>0</v>
      </c>
      <c r="AT57" s="98">
        <f t="shared" si="12"/>
        <v>0</v>
      </c>
      <c r="AU57" s="98">
        <f t="shared" si="19"/>
        <v>0</v>
      </c>
      <c r="AV57" s="98">
        <f t="array" ref="AV57">_xlfn.IFS(U57=0,AO57,U57&lt;0,AO57/-U57,U57&gt;0,AO57/U57)</f>
        <v>0</v>
      </c>
      <c r="AW57" s="234">
        <f t="shared" si="41"/>
        <v>0</v>
      </c>
      <c r="AX57" s="234">
        <f t="shared" si="42"/>
        <v>0</v>
      </c>
      <c r="AY57" s="99"/>
      <c r="AZ57" s="94">
        <f t="shared" si="15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3"/>
        <v>0</v>
      </c>
      <c r="F58" s="93"/>
      <c r="G58" s="93"/>
      <c r="H58" s="93"/>
      <c r="I58" s="93"/>
      <c r="J58" s="93"/>
      <c r="K58" s="93">
        <v>169.89</v>
      </c>
      <c r="L58" s="92">
        <f t="shared" si="37"/>
        <v>0</v>
      </c>
      <c r="M58" s="89"/>
      <c r="N58" s="93">
        <f>'Юнит 6'!N58+'Юнит 7'!N58+'Юнит 8'!N58+'Юнит 9'!N58</f>
        <v>39</v>
      </c>
      <c r="O58" s="89">
        <v>1039</v>
      </c>
      <c r="P58" s="89">
        <v>27</v>
      </c>
      <c r="Q58" s="233">
        <f t="shared" si="16"/>
        <v>1.21875</v>
      </c>
      <c r="R58" s="92">
        <f t="shared" si="17"/>
        <v>0.28125</v>
      </c>
      <c r="S58" s="93">
        <f>'Юнит 6'!S58+'Юнит 7'!S58+'Юнит 8'!S58+'Юнит 9'!S58</f>
        <v>10</v>
      </c>
      <c r="T58" s="93">
        <f>'Юнит 6'!T58+'Юнит 7'!T58+'Юнит 8'!T58+'Юнит 9'!T58</f>
        <v>-1</v>
      </c>
      <c r="U58" s="92">
        <f t="shared" si="1"/>
        <v>9</v>
      </c>
      <c r="V58" s="93">
        <f>'Юнит 6'!V58+'Юнит 7'!V58+'Юнит 8'!V58+'Юнит 9'!V58</f>
        <v>6634.16</v>
      </c>
      <c r="W58" s="93">
        <f>'Юнит 6'!W58+'Юнит 7'!W58+'Юнит 8'!W58+'Юнит 9'!W58</f>
        <v>-616</v>
      </c>
      <c r="X58" s="92">
        <f t="shared" si="2"/>
        <v>6018.16</v>
      </c>
      <c r="Y58" s="93">
        <f>'Юнит 6'!Y58+'Юнит 7'!Y58+'Юнит 8'!Y58+'Юнит 9'!Y58</f>
        <v>10390.700000000001</v>
      </c>
      <c r="Z58" s="93">
        <f>'Юнит 6'!Z58+'Юнит 7'!Z58+'Юнит 8'!Z58+'Юнит 9'!Z58</f>
        <v>-1039</v>
      </c>
      <c r="AA58" s="232">
        <f t="shared" si="3"/>
        <v>9351.7000000000007</v>
      </c>
      <c r="AB58" s="92">
        <f t="shared" si="18"/>
        <v>10940.67</v>
      </c>
      <c r="AC58" s="234">
        <f t="shared" si="38"/>
        <v>1.1036374632516735E-3</v>
      </c>
      <c r="AD58" s="92">
        <f t="shared" si="5"/>
        <v>1529.0099999999998</v>
      </c>
      <c r="AE58" s="93">
        <f>'Юнит 6'!AE58+'Юнит 7'!AE58+'Юнит 8'!AE58+'Юнит 9'!AE58</f>
        <v>3504.02</v>
      </c>
      <c r="AF58" s="234">
        <f t="shared" si="6"/>
        <v>0.37469337125870161</v>
      </c>
      <c r="AG58" s="93">
        <f>'Юнит 6'!AG58+'Юнит 7'!AG58+'Юнит 8'!AG58+'Юнит 9'!AG58</f>
        <v>2618.7700000000004</v>
      </c>
      <c r="AH58" s="93">
        <f>'Юнит 6'!AH58+'Юнит 7'!AH58+'Юнит 8'!AH58+'Юнит 9'!AH58</f>
        <v>4503</v>
      </c>
      <c r="AI58" s="93">
        <f>'Юнит 6'!AI58+'Юнит 7'!AI58+'Юнит 8'!AI58+'Юнит 9'!AI58</f>
        <v>3845</v>
      </c>
      <c r="AJ58" s="93">
        <f>'Юнит 6'!AJ58+'Юнит 7'!AJ58+'Юнит 8'!AJ58+'Юнит 9'!AJ58</f>
        <v>0</v>
      </c>
      <c r="AK58" s="93">
        <f>'Юнит 6'!AK58+'Юнит 7'!AK58+'Юнит 8'!AK58+'Юнит 9'!AK58</f>
        <v>0</v>
      </c>
      <c r="AL58" s="122">
        <f t="shared" si="39"/>
        <v>0</v>
      </c>
      <c r="AM58" s="93">
        <f>'Юнит 6'!AM58+'Юнит 7'!AM58+'Юнит 8'!AM58+'Юнит 9'!AM58</f>
        <v>0</v>
      </c>
      <c r="AN58" s="325">
        <f t="shared" si="40"/>
        <v>337.90710133957276</v>
      </c>
      <c r="AO58" s="95">
        <f t="shared" si="20"/>
        <v>-6986.0071013395727</v>
      </c>
      <c r="AP58" s="96"/>
      <c r="AQ58" s="97">
        <f t="shared" si="9"/>
        <v>1039.0777777777778</v>
      </c>
      <c r="AR58" s="98">
        <f t="shared" si="30"/>
        <v>169.89</v>
      </c>
      <c r="AS58" s="98">
        <f t="shared" si="11"/>
        <v>389.33555555555557</v>
      </c>
      <c r="AT58" s="98">
        <f t="shared" si="12"/>
        <v>261.87700000000007</v>
      </c>
      <c r="AU58" s="98">
        <f t="shared" si="19"/>
        <v>834.8</v>
      </c>
      <c r="AV58" s="98">
        <f t="array" ref="AV58">_xlfn.IFS(U58=0,AO58,U58&lt;0,AO58/-U58,U58&gt;0,AO58/U58)</f>
        <v>-776.2230112599525</v>
      </c>
      <c r="AW58" s="234">
        <f t="shared" si="41"/>
        <v>-0.74703071113696684</v>
      </c>
      <c r="AX58" s="234">
        <f t="shared" si="42"/>
        <v>-4.5689741083050945</v>
      </c>
      <c r="AY58" s="99"/>
      <c r="AZ58" s="94">
        <f t="shared" si="15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3"/>
        <v>0</v>
      </c>
      <c r="F59" s="93"/>
      <c r="G59" s="93"/>
      <c r="H59" s="93"/>
      <c r="I59" s="93"/>
      <c r="J59" s="93"/>
      <c r="K59" s="93">
        <v>158.19</v>
      </c>
      <c r="L59" s="92">
        <f t="shared" si="37"/>
        <v>0</v>
      </c>
      <c r="M59" s="89"/>
      <c r="N59" s="93">
        <f>'Юнит 6'!N59+'Юнит 7'!N59+'Юнит 8'!N59+'Юнит 9'!N59</f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f>'Юнит 6'!S59+'Юнит 7'!S59+'Юнит 8'!S59+'Юнит 9'!S59</f>
        <v>0</v>
      </c>
      <c r="T59" s="93">
        <f>'Юнит 6'!T59+'Юнит 7'!T59+'Юнит 8'!T59+'Юнит 9'!T59</f>
        <v>0</v>
      </c>
      <c r="U59" s="92">
        <f t="shared" si="1"/>
        <v>0</v>
      </c>
      <c r="V59" s="93">
        <f>'Юнит 6'!V59+'Юнит 7'!V59+'Юнит 8'!V59+'Юнит 9'!V59</f>
        <v>0</v>
      </c>
      <c r="W59" s="93">
        <f>'Юнит 6'!W59+'Юнит 7'!W59+'Юнит 8'!W59+'Юнит 9'!W59</f>
        <v>0</v>
      </c>
      <c r="X59" s="92">
        <f t="shared" si="2"/>
        <v>0</v>
      </c>
      <c r="Y59" s="93">
        <f>'Юнит 6'!Y59+'Юнит 7'!Y59+'Юнит 8'!Y59+'Юнит 9'!Y59</f>
        <v>0</v>
      </c>
      <c r="Z59" s="93">
        <f>'Юнит 6'!Z59+'Юнит 7'!Z59+'Юнит 8'!Z59+'Юнит 9'!Z59</f>
        <v>0</v>
      </c>
      <c r="AA59" s="232">
        <f t="shared" si="3"/>
        <v>0</v>
      </c>
      <c r="AB59" s="92">
        <f t="shared" si="18"/>
        <v>0</v>
      </c>
      <c r="AC59" s="234">
        <f t="shared" si="38"/>
        <v>0</v>
      </c>
      <c r="AD59" s="92">
        <f t="shared" si="5"/>
        <v>0</v>
      </c>
      <c r="AE59" s="93">
        <f>'Юнит 6'!AE59+'Юнит 7'!AE59+'Юнит 8'!AE59+'Юнит 9'!AE59</f>
        <v>0</v>
      </c>
      <c r="AF59" s="234">
        <f t="shared" si="6"/>
        <v>0</v>
      </c>
      <c r="AG59" s="93">
        <f>'Юнит 6'!AG59+'Юнит 7'!AG59+'Юнит 8'!AG59+'Юнит 9'!AG59</f>
        <v>0</v>
      </c>
      <c r="AH59" s="93">
        <f>'Юнит 6'!AH59+'Юнит 7'!AH59+'Юнит 8'!AH59+'Юнит 9'!AH59</f>
        <v>0</v>
      </c>
      <c r="AI59" s="93">
        <f>'Юнит 6'!AI59+'Юнит 7'!AI59+'Юнит 8'!AI59+'Юнит 9'!AI59</f>
        <v>0</v>
      </c>
      <c r="AJ59" s="93">
        <f>'Юнит 6'!AJ59+'Юнит 7'!AJ59+'Юнит 8'!AJ59+'Юнит 9'!AJ59</f>
        <v>0</v>
      </c>
      <c r="AK59" s="93">
        <f>'Юнит 6'!AK59+'Юнит 7'!AK59+'Юнит 8'!AK59+'Юнит 9'!AK59</f>
        <v>0</v>
      </c>
      <c r="AL59" s="122">
        <f t="shared" si="39"/>
        <v>0</v>
      </c>
      <c r="AM59" s="93">
        <f>'Юнит 6'!AM59+'Юнит 7'!AM59+'Юнит 8'!AM59+'Юнит 9'!AM59</f>
        <v>0</v>
      </c>
      <c r="AN59" s="325">
        <f t="shared" si="40"/>
        <v>0</v>
      </c>
      <c r="AO59" s="95">
        <f t="shared" si="20"/>
        <v>0</v>
      </c>
      <c r="AP59" s="96"/>
      <c r="AQ59" s="97">
        <f t="shared" si="9"/>
        <v>0</v>
      </c>
      <c r="AR59" s="98">
        <f t="shared" si="30"/>
        <v>158.19</v>
      </c>
      <c r="AS59" s="98">
        <f t="shared" si="11"/>
        <v>0</v>
      </c>
      <c r="AT59" s="98">
        <f t="shared" si="12"/>
        <v>0</v>
      </c>
      <c r="AU59" s="98">
        <f t="shared" si="19"/>
        <v>0</v>
      </c>
      <c r="AV59" s="98">
        <f t="array" ref="AV59">_xlfn.IFS(U59=0,AO59,U59&lt;0,AO59/-U59,U59&gt;0,AO59/U59)</f>
        <v>0</v>
      </c>
      <c r="AW59" s="234">
        <f t="shared" si="41"/>
        <v>0</v>
      </c>
      <c r="AX59" s="234">
        <f t="shared" si="42"/>
        <v>0</v>
      </c>
      <c r="AY59" s="99"/>
      <c r="AZ59" s="94">
        <f t="shared" si="15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3"/>
        <v>0</v>
      </c>
      <c r="F60" s="93"/>
      <c r="G60" s="93"/>
      <c r="H60" s="93"/>
      <c r="I60" s="93"/>
      <c r="J60" s="93"/>
      <c r="K60" s="93">
        <v>158.19</v>
      </c>
      <c r="L60" s="92">
        <f t="shared" si="37"/>
        <v>0</v>
      </c>
      <c r="M60" s="89"/>
      <c r="N60" s="93">
        <f>'Юнит 6'!N60+'Юнит 7'!N60+'Юнит 8'!N60+'Юнит 9'!N60</f>
        <v>10</v>
      </c>
      <c r="O60" s="89">
        <v>1049</v>
      </c>
      <c r="P60" s="89">
        <v>22</v>
      </c>
      <c r="Q60" s="233">
        <f t="shared" si="16"/>
        <v>0.3125</v>
      </c>
      <c r="R60" s="92">
        <f t="shared" si="17"/>
        <v>6.25E-2</v>
      </c>
      <c r="S60" s="93">
        <f>'Юнит 6'!S60+'Юнит 7'!S60+'Юнит 8'!S60+'Юнит 9'!S60</f>
        <v>3</v>
      </c>
      <c r="T60" s="93">
        <f>'Юнит 6'!T60+'Юнит 7'!T60+'Юнит 8'!T60+'Юнит 9'!T60</f>
        <v>-1</v>
      </c>
      <c r="U60" s="92">
        <f t="shared" si="1"/>
        <v>2</v>
      </c>
      <c r="V60" s="93">
        <f>'Юнит 6'!V60+'Юнит 7'!V60+'Юнит 8'!V60+'Юнит 9'!V60</f>
        <v>1930</v>
      </c>
      <c r="W60" s="93">
        <f>'Юнит 6'!W60+'Юнит 7'!W60+'Юнит 8'!W60+'Юнит 9'!W60</f>
        <v>-643</v>
      </c>
      <c r="X60" s="92">
        <f t="shared" si="2"/>
        <v>1287</v>
      </c>
      <c r="Y60" s="93">
        <f>'Юнит 6'!Y60+'Юнит 7'!Y60+'Юнит 8'!Y60+'Юнит 9'!Y60</f>
        <v>3115.5299999999997</v>
      </c>
      <c r="Z60" s="93">
        <f>'Юнит 6'!Z60+'Юнит 7'!Z60+'Юнит 8'!Z60+'Юнит 9'!Z60</f>
        <v>-1049</v>
      </c>
      <c r="AA60" s="232">
        <f t="shared" si="3"/>
        <v>2066.5299999999997</v>
      </c>
      <c r="AB60" s="92">
        <f t="shared" si="18"/>
        <v>2307.8000000000002</v>
      </c>
      <c r="AC60" s="234">
        <f t="shared" si="38"/>
        <v>2.4388078391452683E-4</v>
      </c>
      <c r="AD60" s="92">
        <f t="shared" si="5"/>
        <v>316.38</v>
      </c>
      <c r="AE60" s="93">
        <f>'Юнит 6'!AE60+'Юнит 7'!AE60+'Юнит 8'!AE60+'Юнит 9'!AE60</f>
        <v>757.34999999999957</v>
      </c>
      <c r="AF60" s="234">
        <f t="shared" si="6"/>
        <v>0.36648391264583607</v>
      </c>
      <c r="AG60" s="93">
        <f>'Юнит 6'!AG60+'Юнит 7'!AG60+'Юнит 8'!AG60+'Юнит 9'!AG60</f>
        <v>1020.39</v>
      </c>
      <c r="AH60" s="93">
        <f>'Юнит 6'!AH60+'Юнит 7'!AH60+'Юнит 8'!AH60+'Юнит 9'!AH60</f>
        <v>0</v>
      </c>
      <c r="AI60" s="93">
        <f>'Юнит 6'!AI60+'Юнит 7'!AI60+'Юнит 8'!AI60+'Юнит 9'!AI60</f>
        <v>0</v>
      </c>
      <c r="AJ60" s="93">
        <f>'Юнит 6'!AJ60+'Юнит 7'!AJ60+'Юнит 8'!AJ60+'Юнит 9'!AJ60</f>
        <v>0</v>
      </c>
      <c r="AK60" s="93">
        <f>'Юнит 6'!AK60+'Юнит 7'!AK60+'Юнит 8'!AK60+'Юнит 9'!AK60</f>
        <v>0</v>
      </c>
      <c r="AL60" s="122">
        <f t="shared" si="39"/>
        <v>0</v>
      </c>
      <c r="AM60" s="93">
        <f>'Юнит 6'!AM60+'Юнит 7'!AM60+'Юнит 8'!AM60+'Юнит 9'!AM60</f>
        <v>0</v>
      </c>
      <c r="AN60" s="325">
        <f t="shared" si="40"/>
        <v>72.262359163603179</v>
      </c>
      <c r="AO60" s="95">
        <f t="shared" si="20"/>
        <v>-99.852359163603097</v>
      </c>
      <c r="AP60" s="96"/>
      <c r="AQ60" s="97">
        <f t="shared" si="9"/>
        <v>1033.2649999999999</v>
      </c>
      <c r="AR60" s="98">
        <f t="shared" si="30"/>
        <v>158.19</v>
      </c>
      <c r="AS60" s="98">
        <f t="shared" si="11"/>
        <v>378.67499999999978</v>
      </c>
      <c r="AT60" s="98">
        <f t="shared" si="12"/>
        <v>340.13</v>
      </c>
      <c r="AU60" s="98">
        <f t="shared" si="19"/>
        <v>0</v>
      </c>
      <c r="AV60" s="98">
        <f t="array" ref="AV60">_xlfn.IFS(U60=0,AO60,U60&lt;0,AO60/-U60,U60&gt;0,AO60/U60)</f>
        <v>-49.926179581801549</v>
      </c>
      <c r="AW60" s="234">
        <f t="shared" si="41"/>
        <v>-4.8318852938792616E-2</v>
      </c>
      <c r="AX60" s="234">
        <f t="shared" si="42"/>
        <v>-0.31560894861749511</v>
      </c>
      <c r="AY60" s="99"/>
      <c r="AZ60" s="94">
        <f t="shared" si="15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3"/>
        <v>0</v>
      </c>
      <c r="F61" s="93"/>
      <c r="G61" s="93"/>
      <c r="H61" s="93"/>
      <c r="I61" s="93"/>
      <c r="J61" s="93"/>
      <c r="K61" s="93">
        <v>128.94</v>
      </c>
      <c r="L61" s="92">
        <f t="shared" si="37"/>
        <v>0</v>
      </c>
      <c r="M61" s="89"/>
      <c r="N61" s="93">
        <f>'Юнит 6'!N61+'Юнит 7'!N61+'Юнит 8'!N61+'Юнит 9'!N61</f>
        <v>2</v>
      </c>
      <c r="O61" s="89">
        <v>948</v>
      </c>
      <c r="P61" s="89">
        <v>0</v>
      </c>
      <c r="Q61" s="233">
        <f t="shared" si="16"/>
        <v>6.25E-2</v>
      </c>
      <c r="R61" s="92">
        <f t="shared" si="17"/>
        <v>0</v>
      </c>
      <c r="S61" s="93">
        <f>'Юнит 6'!S61+'Юнит 7'!S61+'Юнит 8'!S61+'Юнит 9'!S61</f>
        <v>0</v>
      </c>
      <c r="T61" s="93">
        <f>'Юнит 6'!T61+'Юнит 7'!T61+'Юнит 8'!T61+'Юнит 9'!T61</f>
        <v>0</v>
      </c>
      <c r="U61" s="92">
        <f t="shared" si="1"/>
        <v>0</v>
      </c>
      <c r="V61" s="93">
        <f>'Юнит 6'!V61+'Юнит 7'!V61+'Юнит 8'!V61+'Юнит 9'!V61</f>
        <v>0</v>
      </c>
      <c r="W61" s="93">
        <f>'Юнит 6'!W61+'Юнит 7'!W61+'Юнит 8'!W61+'Юнит 9'!W61</f>
        <v>0</v>
      </c>
      <c r="X61" s="92">
        <f t="shared" si="2"/>
        <v>0</v>
      </c>
      <c r="Y61" s="93">
        <f>'Юнит 6'!Y61+'Юнит 7'!Y61+'Юнит 8'!Y61+'Юнит 9'!Y61</f>
        <v>0</v>
      </c>
      <c r="Z61" s="93">
        <f>'Юнит 6'!Z61+'Юнит 7'!Z61+'Юнит 8'!Z61+'Юнит 9'!Z61</f>
        <v>0</v>
      </c>
      <c r="AA61" s="232">
        <f t="shared" si="3"/>
        <v>0</v>
      </c>
      <c r="AB61" s="92">
        <f t="shared" si="18"/>
        <v>0</v>
      </c>
      <c r="AC61" s="234">
        <f t="shared" si="38"/>
        <v>0</v>
      </c>
      <c r="AD61" s="92">
        <f t="shared" si="5"/>
        <v>0</v>
      </c>
      <c r="AE61" s="93">
        <f>'Юнит 6'!AE61+'Юнит 7'!AE61+'Юнит 8'!AE61+'Юнит 9'!AE61</f>
        <v>0</v>
      </c>
      <c r="AF61" s="234">
        <f t="shared" si="6"/>
        <v>0</v>
      </c>
      <c r="AG61" s="93">
        <f>'Юнит 6'!AG61+'Юнит 7'!AG61+'Юнит 8'!AG61+'Юнит 9'!AG61</f>
        <v>283.83000000000004</v>
      </c>
      <c r="AH61" s="93">
        <f>'Юнит 6'!AH61+'Юнит 7'!AH61+'Юнит 8'!AH61+'Юнит 9'!AH61</f>
        <v>0</v>
      </c>
      <c r="AI61" s="93">
        <f>'Юнит 6'!AI61+'Юнит 7'!AI61+'Юнит 8'!AI61+'Юнит 9'!AI61</f>
        <v>0</v>
      </c>
      <c r="AJ61" s="93">
        <f>'Юнит 6'!AJ61+'Юнит 7'!AJ61+'Юнит 8'!AJ61+'Юнит 9'!AJ61</f>
        <v>0</v>
      </c>
      <c r="AK61" s="93">
        <f>'Юнит 6'!AK61+'Юнит 7'!AK61+'Юнит 8'!AK61+'Юнит 9'!AK61</f>
        <v>0</v>
      </c>
      <c r="AL61" s="122">
        <f t="shared" si="39"/>
        <v>0</v>
      </c>
      <c r="AM61" s="93">
        <f>'Юнит 6'!AM61+'Юнит 7'!AM61+'Юнит 8'!AM61+'Юнит 9'!AM61</f>
        <v>0</v>
      </c>
      <c r="AN61" s="325">
        <f t="shared" si="40"/>
        <v>0</v>
      </c>
      <c r="AO61" s="95">
        <f t="shared" si="20"/>
        <v>-283.83000000000004</v>
      </c>
      <c r="AP61" s="96"/>
      <c r="AQ61" s="97">
        <f t="shared" si="9"/>
        <v>0</v>
      </c>
      <c r="AR61" s="98">
        <f t="shared" si="30"/>
        <v>128.94</v>
      </c>
      <c r="AS61" s="98">
        <f t="shared" si="11"/>
        <v>0</v>
      </c>
      <c r="AT61" s="98">
        <f t="shared" si="12"/>
        <v>283.83000000000004</v>
      </c>
      <c r="AU61" s="98">
        <f t="shared" si="19"/>
        <v>0</v>
      </c>
      <c r="AV61" s="98">
        <f t="array" ref="AV61">_xlfn.IFS(U61=0,AO61,U61&lt;0,AO61/-U61,U61&gt;0,AO61/U61)</f>
        <v>-283.83000000000004</v>
      </c>
      <c r="AW61" s="234">
        <f t="shared" si="41"/>
        <v>0</v>
      </c>
      <c r="AX61" s="234">
        <f t="shared" si="42"/>
        <v>-2.2012563983248028</v>
      </c>
      <c r="AY61" s="99"/>
      <c r="AZ61" s="94">
        <f t="shared" si="15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3"/>
        <v>0</v>
      </c>
      <c r="F62" s="93"/>
      <c r="G62" s="93"/>
      <c r="H62" s="93"/>
      <c r="I62" s="93"/>
      <c r="J62" s="93"/>
      <c r="K62" s="93">
        <v>175.74</v>
      </c>
      <c r="L62" s="92">
        <f t="shared" si="37"/>
        <v>0</v>
      </c>
      <c r="M62" s="89"/>
      <c r="N62" s="93">
        <f>'Юнит 6'!N62+'Юнит 7'!N62+'Юнит 8'!N62+'Юнит 9'!N62</f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f>'Юнит 6'!S62+'Юнит 7'!S62+'Юнит 8'!S62+'Юнит 9'!S62</f>
        <v>0</v>
      </c>
      <c r="T62" s="93">
        <f>'Юнит 6'!T62+'Юнит 7'!T62+'Юнит 8'!T62+'Юнит 9'!T62</f>
        <v>0</v>
      </c>
      <c r="U62" s="92">
        <f t="shared" si="1"/>
        <v>0</v>
      </c>
      <c r="V62" s="93">
        <f>'Юнит 6'!V62+'Юнит 7'!V62+'Юнит 8'!V62+'Юнит 9'!V62</f>
        <v>0</v>
      </c>
      <c r="W62" s="93">
        <f>'Юнит 6'!W62+'Юнит 7'!W62+'Юнит 8'!W62+'Юнит 9'!W62</f>
        <v>0</v>
      </c>
      <c r="X62" s="92">
        <f t="shared" si="2"/>
        <v>0</v>
      </c>
      <c r="Y62" s="93">
        <f>'Юнит 6'!Y62+'Юнит 7'!Y62+'Юнит 8'!Y62+'Юнит 9'!Y62</f>
        <v>0</v>
      </c>
      <c r="Z62" s="93">
        <f>'Юнит 6'!Z62+'Юнит 7'!Z62+'Юнит 8'!Z62+'Юнит 9'!Z62</f>
        <v>0</v>
      </c>
      <c r="AA62" s="232">
        <f t="shared" si="3"/>
        <v>0</v>
      </c>
      <c r="AB62" s="92">
        <f t="shared" si="18"/>
        <v>0</v>
      </c>
      <c r="AC62" s="234">
        <f t="shared" si="38"/>
        <v>0</v>
      </c>
      <c r="AD62" s="92">
        <f t="shared" si="5"/>
        <v>0</v>
      </c>
      <c r="AE62" s="93">
        <f>'Юнит 6'!AE62+'Юнит 7'!AE62+'Юнит 8'!AE62+'Юнит 9'!AE62</f>
        <v>0</v>
      </c>
      <c r="AF62" s="234">
        <f t="shared" si="6"/>
        <v>0</v>
      </c>
      <c r="AG62" s="93">
        <f>'Юнит 6'!AG62+'Юнит 7'!AG62+'Юнит 8'!AG62+'Юнит 9'!AG62</f>
        <v>0</v>
      </c>
      <c r="AH62" s="93">
        <f>'Юнит 6'!AH62+'Юнит 7'!AH62+'Юнит 8'!AH62+'Юнит 9'!AH62</f>
        <v>0</v>
      </c>
      <c r="AI62" s="93">
        <f>'Юнит 6'!AI62+'Юнит 7'!AI62+'Юнит 8'!AI62+'Юнит 9'!AI62</f>
        <v>0</v>
      </c>
      <c r="AJ62" s="93">
        <f>'Юнит 6'!AJ62+'Юнит 7'!AJ62+'Юнит 8'!AJ62+'Юнит 9'!AJ62</f>
        <v>0</v>
      </c>
      <c r="AK62" s="93">
        <f>'Юнит 6'!AK62+'Юнит 7'!AK62+'Юнит 8'!AK62+'Юнит 9'!AK62</f>
        <v>0</v>
      </c>
      <c r="AL62" s="122">
        <f t="shared" si="39"/>
        <v>0</v>
      </c>
      <c r="AM62" s="93">
        <f>'Юнит 6'!AM62+'Юнит 7'!AM62+'Юнит 8'!AM62+'Юнит 9'!AM62</f>
        <v>0</v>
      </c>
      <c r="AN62" s="325">
        <f t="shared" si="40"/>
        <v>0</v>
      </c>
      <c r="AO62" s="95">
        <f t="shared" si="20"/>
        <v>0</v>
      </c>
      <c r="AP62" s="96"/>
      <c r="AQ62" s="97">
        <f t="shared" si="9"/>
        <v>0</v>
      </c>
      <c r="AR62" s="98">
        <f t="shared" si="30"/>
        <v>175.74</v>
      </c>
      <c r="AS62" s="98">
        <f t="shared" si="11"/>
        <v>0</v>
      </c>
      <c r="AT62" s="98">
        <f t="shared" si="12"/>
        <v>0</v>
      </c>
      <c r="AU62" s="98">
        <f t="shared" si="19"/>
        <v>0</v>
      </c>
      <c r="AV62" s="98">
        <f t="array" ref="AV62">_xlfn.IFS(U62=0,AO62,U62&lt;0,AO62/-U62,U62&gt;0,AO62/U62)</f>
        <v>0</v>
      </c>
      <c r="AW62" s="234">
        <f t="shared" si="41"/>
        <v>0</v>
      </c>
      <c r="AX62" s="234">
        <f t="shared" si="42"/>
        <v>0</v>
      </c>
      <c r="AY62" s="99"/>
      <c r="AZ62" s="94">
        <f t="shared" si="15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3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7"/>
        <v>0</v>
      </c>
      <c r="M63" s="89"/>
      <c r="N63" s="93">
        <f>'Юнит 6'!N63+'Юнит 7'!N63+'Юнит 8'!N63+'Юнит 9'!N63</f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f>'Юнит 6'!S63+'Юнит 7'!S63+'Юнит 8'!S63+'Юнит 9'!S63</f>
        <v>0</v>
      </c>
      <c r="T63" s="93">
        <f>'Юнит 6'!T63+'Юнит 7'!T63+'Юнит 8'!T63+'Юнит 9'!T63</f>
        <v>0</v>
      </c>
      <c r="U63" s="92">
        <f t="shared" si="1"/>
        <v>0</v>
      </c>
      <c r="V63" s="93">
        <f>'Юнит 6'!V63+'Юнит 7'!V63+'Юнит 8'!V63+'Юнит 9'!V63</f>
        <v>0</v>
      </c>
      <c r="W63" s="93">
        <f>'Юнит 6'!W63+'Юнит 7'!W63+'Юнит 8'!W63+'Юнит 9'!W63</f>
        <v>0</v>
      </c>
      <c r="X63" s="92">
        <f t="shared" si="2"/>
        <v>0</v>
      </c>
      <c r="Y63" s="93">
        <f>'Юнит 6'!Y63+'Юнит 7'!Y63+'Юнит 8'!Y63+'Юнит 9'!Y63</f>
        <v>0</v>
      </c>
      <c r="Z63" s="93">
        <f>'Юнит 6'!Z63+'Юнит 7'!Z63+'Юнит 8'!Z63+'Юнит 9'!Z63</f>
        <v>0</v>
      </c>
      <c r="AA63" s="232">
        <f t="shared" si="3"/>
        <v>0</v>
      </c>
      <c r="AB63" s="92">
        <f t="shared" si="18"/>
        <v>0</v>
      </c>
      <c r="AC63" s="234">
        <f t="shared" si="38"/>
        <v>0</v>
      </c>
      <c r="AD63" s="92">
        <f t="shared" si="5"/>
        <v>0</v>
      </c>
      <c r="AE63" s="93">
        <f>'Юнит 6'!AE63+'Юнит 7'!AE63+'Юнит 8'!AE63+'Юнит 9'!AE63</f>
        <v>0</v>
      </c>
      <c r="AF63" s="234">
        <f t="shared" si="6"/>
        <v>0</v>
      </c>
      <c r="AG63" s="93">
        <f>'Юнит 6'!AG63+'Юнит 7'!AG63+'Юнит 8'!AG63+'Юнит 9'!AG63</f>
        <v>0</v>
      </c>
      <c r="AH63" s="93">
        <f>'Юнит 6'!AH63+'Юнит 7'!AH63+'Юнит 8'!AH63+'Юнит 9'!AH63</f>
        <v>0</v>
      </c>
      <c r="AI63" s="93">
        <f>'Юнит 6'!AI63+'Юнит 7'!AI63+'Юнит 8'!AI63+'Юнит 9'!AI63</f>
        <v>0</v>
      </c>
      <c r="AJ63" s="93">
        <f>'Юнит 6'!AJ63+'Юнит 7'!AJ63+'Юнит 8'!AJ63+'Юнит 9'!AJ63</f>
        <v>0</v>
      </c>
      <c r="AK63" s="93">
        <f>'Юнит 6'!AK63+'Юнит 7'!AK63+'Юнит 8'!AK63+'Юнит 9'!AK63</f>
        <v>0</v>
      </c>
      <c r="AL63" s="122">
        <f t="shared" si="39"/>
        <v>0</v>
      </c>
      <c r="AM63" s="93">
        <f>'Юнит 6'!AM63+'Юнит 7'!AM63+'Юнит 8'!AM63+'Юнит 9'!AM63</f>
        <v>0</v>
      </c>
      <c r="AN63" s="325">
        <f t="shared" si="40"/>
        <v>0</v>
      </c>
      <c r="AO63" s="95">
        <f t="shared" si="20"/>
        <v>0</v>
      </c>
      <c r="AP63" s="96"/>
      <c r="AQ63" s="97">
        <f t="shared" si="9"/>
        <v>0</v>
      </c>
      <c r="AR63" s="98">
        <f t="shared" si="30"/>
        <v>140.63999999999999</v>
      </c>
      <c r="AS63" s="98">
        <f t="shared" si="11"/>
        <v>0</v>
      </c>
      <c r="AT63" s="98">
        <f t="shared" si="12"/>
        <v>0</v>
      </c>
      <c r="AU63" s="98">
        <f t="shared" si="19"/>
        <v>0</v>
      </c>
      <c r="AV63" s="98">
        <f t="array" ref="AV63">_xlfn.IFS(U63=0,AO63,U63&lt;0,AO63/-U63,U63&gt;0,AO63/U63)</f>
        <v>0</v>
      </c>
      <c r="AW63" s="234">
        <f t="shared" si="41"/>
        <v>0</v>
      </c>
      <c r="AX63" s="234">
        <f t="shared" si="42"/>
        <v>0</v>
      </c>
      <c r="AY63" s="99"/>
      <c r="AZ63" s="94">
        <f t="shared" si="15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3"/>
        <v>0</v>
      </c>
      <c r="F64" s="93"/>
      <c r="G64" s="93"/>
      <c r="H64" s="93"/>
      <c r="I64" s="93"/>
      <c r="J64" s="93"/>
      <c r="K64" s="93">
        <v>99.69</v>
      </c>
      <c r="L64" s="92">
        <f t="shared" si="37"/>
        <v>0</v>
      </c>
      <c r="M64" s="89"/>
      <c r="N64" s="93">
        <f>'Юнит 6'!N64+'Юнит 7'!N64+'Юнит 8'!N64+'Юнит 9'!N64</f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f>'Юнит 6'!S64+'Юнит 7'!S64+'Юнит 8'!S64+'Юнит 9'!S64</f>
        <v>0</v>
      </c>
      <c r="T64" s="93">
        <f>'Юнит 6'!T64+'Юнит 7'!T64+'Юнит 8'!T64+'Юнит 9'!T64</f>
        <v>0</v>
      </c>
      <c r="U64" s="92">
        <f t="shared" si="1"/>
        <v>0</v>
      </c>
      <c r="V64" s="93">
        <f>'Юнит 6'!V64+'Юнит 7'!V64+'Юнит 8'!V64+'Юнит 9'!V64</f>
        <v>0</v>
      </c>
      <c r="W64" s="93">
        <f>'Юнит 6'!W64+'Юнит 7'!W64+'Юнит 8'!W64+'Юнит 9'!W64</f>
        <v>0</v>
      </c>
      <c r="X64" s="92">
        <f t="shared" si="2"/>
        <v>0</v>
      </c>
      <c r="Y64" s="93">
        <f>'Юнит 6'!Y64+'Юнит 7'!Y64+'Юнит 8'!Y64+'Юнит 9'!Y64</f>
        <v>0</v>
      </c>
      <c r="Z64" s="93">
        <f>'Юнит 6'!Z64+'Юнит 7'!Z64+'Юнит 8'!Z64+'Юнит 9'!Z64</f>
        <v>0</v>
      </c>
      <c r="AA64" s="232">
        <f t="shared" si="3"/>
        <v>0</v>
      </c>
      <c r="AB64" s="92">
        <f t="shared" si="18"/>
        <v>0</v>
      </c>
      <c r="AC64" s="234">
        <f t="shared" si="38"/>
        <v>0</v>
      </c>
      <c r="AD64" s="92">
        <f t="shared" si="5"/>
        <v>0</v>
      </c>
      <c r="AE64" s="93">
        <f>'Юнит 6'!AE64+'Юнит 7'!AE64+'Юнит 8'!AE64+'Юнит 9'!AE64</f>
        <v>0</v>
      </c>
      <c r="AF64" s="234">
        <f t="shared" si="6"/>
        <v>0</v>
      </c>
      <c r="AG64" s="93">
        <f>'Юнит 6'!AG64+'Юнит 7'!AG64+'Юнит 8'!AG64+'Юнит 9'!AG64</f>
        <v>0</v>
      </c>
      <c r="AH64" s="93">
        <f>'Юнит 6'!AH64+'Юнит 7'!AH64+'Юнит 8'!AH64+'Юнит 9'!AH64</f>
        <v>0</v>
      </c>
      <c r="AI64" s="93">
        <f>'Юнит 6'!AI64+'Юнит 7'!AI64+'Юнит 8'!AI64+'Юнит 9'!AI64</f>
        <v>0</v>
      </c>
      <c r="AJ64" s="93">
        <f>'Юнит 6'!AJ64+'Юнит 7'!AJ64+'Юнит 8'!AJ64+'Юнит 9'!AJ64</f>
        <v>0</v>
      </c>
      <c r="AK64" s="93">
        <f>'Юнит 6'!AK64+'Юнит 7'!AK64+'Юнит 8'!AK64+'Юнит 9'!AK64</f>
        <v>0</v>
      </c>
      <c r="AL64" s="122">
        <f t="shared" si="39"/>
        <v>0</v>
      </c>
      <c r="AM64" s="93">
        <f>'Юнит 6'!AM64+'Юнит 7'!AM64+'Юнит 8'!AM64+'Юнит 9'!AM64</f>
        <v>0</v>
      </c>
      <c r="AN64" s="325">
        <f t="shared" si="40"/>
        <v>0</v>
      </c>
      <c r="AO64" s="95">
        <f t="shared" si="20"/>
        <v>0</v>
      </c>
      <c r="AP64" s="96"/>
      <c r="AQ64" s="97">
        <f t="shared" si="9"/>
        <v>0</v>
      </c>
      <c r="AR64" s="98">
        <f t="shared" si="30"/>
        <v>99.69</v>
      </c>
      <c r="AS64" s="98">
        <f t="shared" si="11"/>
        <v>0</v>
      </c>
      <c r="AT64" s="98">
        <f t="shared" si="12"/>
        <v>0</v>
      </c>
      <c r="AU64" s="98">
        <f t="shared" si="19"/>
        <v>0</v>
      </c>
      <c r="AV64" s="98">
        <f t="array" ref="AV64">_xlfn.IFS(U64=0,AO64,U64&lt;0,AO64/-U64,U64&gt;0,AO64/U64)</f>
        <v>0</v>
      </c>
      <c r="AW64" s="234">
        <f t="shared" si="41"/>
        <v>0</v>
      </c>
      <c r="AX64" s="234">
        <f t="shared" si="42"/>
        <v>0</v>
      </c>
      <c r="AY64" s="99"/>
      <c r="AZ64" s="94">
        <f t="shared" si="15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3"/>
        <v>0</v>
      </c>
      <c r="F65" s="93"/>
      <c r="G65" s="93"/>
      <c r="H65" s="93"/>
      <c r="I65" s="93"/>
      <c r="J65" s="93"/>
      <c r="K65" s="93">
        <v>99.69</v>
      </c>
      <c r="L65" s="92">
        <f t="shared" si="37"/>
        <v>0</v>
      </c>
      <c r="M65" s="89"/>
      <c r="N65" s="93">
        <f>'Юнит 6'!N65+'Юнит 7'!N65+'Юнит 8'!N65+'Юнит 9'!N65</f>
        <v>2</v>
      </c>
      <c r="O65" s="89">
        <v>998</v>
      </c>
      <c r="P65" s="89">
        <v>0</v>
      </c>
      <c r="Q65" s="233">
        <f t="shared" si="16"/>
        <v>6.25E-2</v>
      </c>
      <c r="R65" s="92">
        <f t="shared" si="17"/>
        <v>0</v>
      </c>
      <c r="S65" s="93">
        <f>'Юнит 6'!S65+'Юнит 7'!S65+'Юнит 8'!S65+'Юнит 9'!S65</f>
        <v>0</v>
      </c>
      <c r="T65" s="93">
        <f>'Юнит 6'!T65+'Юнит 7'!T65+'Юнит 8'!T65+'Юнит 9'!T65</f>
        <v>0</v>
      </c>
      <c r="U65" s="92">
        <f t="shared" si="1"/>
        <v>0</v>
      </c>
      <c r="V65" s="93">
        <f>'Юнит 6'!V65+'Юнит 7'!V65+'Юнит 8'!V65+'Юнит 9'!V65</f>
        <v>0</v>
      </c>
      <c r="W65" s="93">
        <f>'Юнит 6'!W65+'Юнит 7'!W65+'Юнит 8'!W65+'Юнит 9'!W65</f>
        <v>0</v>
      </c>
      <c r="X65" s="92">
        <f t="shared" si="2"/>
        <v>0</v>
      </c>
      <c r="Y65" s="93">
        <f>'Юнит 6'!Y65+'Юнит 7'!Y65+'Юнит 8'!Y65+'Юнит 9'!Y65</f>
        <v>0</v>
      </c>
      <c r="Z65" s="93">
        <f>'Юнит 6'!Z65+'Юнит 7'!Z65+'Юнит 8'!Z65+'Юнит 9'!Z65</f>
        <v>0</v>
      </c>
      <c r="AA65" s="232">
        <f t="shared" si="3"/>
        <v>0</v>
      </c>
      <c r="AB65" s="92">
        <f t="shared" si="18"/>
        <v>0</v>
      </c>
      <c r="AC65" s="234">
        <f t="shared" si="38"/>
        <v>0</v>
      </c>
      <c r="AD65" s="92">
        <f t="shared" si="5"/>
        <v>0</v>
      </c>
      <c r="AE65" s="93">
        <f>'Юнит 6'!AE65+'Юнит 7'!AE65+'Юнит 8'!AE65+'Юнит 9'!AE65</f>
        <v>0</v>
      </c>
      <c r="AF65" s="234">
        <f t="shared" si="6"/>
        <v>0</v>
      </c>
      <c r="AG65" s="93">
        <f>'Юнит 6'!AG65+'Юнит 7'!AG65+'Юнит 8'!AG65+'Юнит 9'!AG65</f>
        <v>96.4</v>
      </c>
      <c r="AH65" s="93">
        <f>'Юнит 6'!AH65+'Юнит 7'!AH65+'Юнит 8'!AH65+'Юнит 9'!AH65</f>
        <v>0</v>
      </c>
      <c r="AI65" s="93">
        <f>'Юнит 6'!AI65+'Юнит 7'!AI65+'Юнит 8'!AI65+'Юнит 9'!AI65</f>
        <v>0</v>
      </c>
      <c r="AJ65" s="93">
        <f>'Юнит 6'!AJ65+'Юнит 7'!AJ65+'Юнит 8'!AJ65+'Юнит 9'!AJ65</f>
        <v>0</v>
      </c>
      <c r="AK65" s="93">
        <f>'Юнит 6'!AK65+'Юнит 7'!AK65+'Юнит 8'!AK65+'Юнит 9'!AK65</f>
        <v>0</v>
      </c>
      <c r="AL65" s="122">
        <f t="shared" si="39"/>
        <v>0</v>
      </c>
      <c r="AM65" s="93">
        <f>'Юнит 6'!AM65+'Юнит 7'!AM65+'Юнит 8'!AM65+'Юнит 9'!AM65</f>
        <v>0</v>
      </c>
      <c r="AN65" s="325">
        <f t="shared" si="40"/>
        <v>0</v>
      </c>
      <c r="AO65" s="95">
        <f t="shared" si="20"/>
        <v>-96.4</v>
      </c>
      <c r="AP65" s="96"/>
      <c r="AQ65" s="97">
        <f t="shared" si="9"/>
        <v>0</v>
      </c>
      <c r="AR65" s="98">
        <f t="shared" si="30"/>
        <v>99.69</v>
      </c>
      <c r="AS65" s="98">
        <f t="shared" si="11"/>
        <v>0</v>
      </c>
      <c r="AT65" s="98">
        <f t="shared" si="12"/>
        <v>96.4</v>
      </c>
      <c r="AU65" s="98">
        <f t="shared" si="19"/>
        <v>0</v>
      </c>
      <c r="AV65" s="98">
        <f t="array" ref="AV65">_xlfn.IFS(U65=0,AO65,U65&lt;0,AO65/-U65,U65&gt;0,AO65/U65)</f>
        <v>-96.4</v>
      </c>
      <c r="AW65" s="234">
        <f t="shared" si="41"/>
        <v>0</v>
      </c>
      <c r="AX65" s="234">
        <f t="shared" si="42"/>
        <v>-0.96699769284782833</v>
      </c>
      <c r="AY65" s="99"/>
      <c r="AZ65" s="94">
        <f t="shared" si="15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3"/>
        <v>0</v>
      </c>
      <c r="F66" s="93"/>
      <c r="G66" s="93"/>
      <c r="H66" s="93"/>
      <c r="I66" s="93"/>
      <c r="J66" s="93"/>
      <c r="K66" s="93">
        <v>97.35</v>
      </c>
      <c r="L66" s="92">
        <f t="shared" si="37"/>
        <v>0</v>
      </c>
      <c r="M66" s="89"/>
      <c r="N66" s="93">
        <f>'Юнит 6'!N66+'Юнит 7'!N66+'Юнит 8'!N66+'Юнит 9'!N66</f>
        <v>0</v>
      </c>
      <c r="O66" s="89">
        <v>0</v>
      </c>
      <c r="P66" s="89">
        <v>0</v>
      </c>
      <c r="Q66" s="233">
        <f t="shared" si="16"/>
        <v>0</v>
      </c>
      <c r="R66" s="92">
        <f t="shared" si="17"/>
        <v>0</v>
      </c>
      <c r="S66" s="93">
        <f>'Юнит 6'!S66+'Юнит 7'!S66+'Юнит 8'!S66+'Юнит 9'!S66</f>
        <v>0</v>
      </c>
      <c r="T66" s="93">
        <f>'Юнит 6'!T66+'Юнит 7'!T66+'Юнит 8'!T66+'Юнит 9'!T66</f>
        <v>0</v>
      </c>
      <c r="U66" s="92">
        <f t="shared" si="1"/>
        <v>0</v>
      </c>
      <c r="V66" s="93">
        <f>'Юнит 6'!V66+'Юнит 7'!V66+'Юнит 8'!V66+'Юнит 9'!V66</f>
        <v>0</v>
      </c>
      <c r="W66" s="93">
        <f>'Юнит 6'!W66+'Юнит 7'!W66+'Юнит 8'!W66+'Юнит 9'!W66</f>
        <v>0</v>
      </c>
      <c r="X66" s="92">
        <f t="shared" si="2"/>
        <v>0</v>
      </c>
      <c r="Y66" s="93">
        <f>'Юнит 6'!Y66+'Юнит 7'!Y66+'Юнит 8'!Y66+'Юнит 9'!Y66</f>
        <v>0</v>
      </c>
      <c r="Z66" s="93">
        <f>'Юнит 6'!Z66+'Юнит 7'!Z66+'Юнит 8'!Z66+'Юнит 9'!Z66</f>
        <v>0</v>
      </c>
      <c r="AA66" s="232">
        <f t="shared" si="3"/>
        <v>0</v>
      </c>
      <c r="AB66" s="92">
        <f t="shared" si="18"/>
        <v>0</v>
      </c>
      <c r="AC66" s="234">
        <f t="shared" si="38"/>
        <v>0</v>
      </c>
      <c r="AD66" s="92">
        <f t="shared" si="5"/>
        <v>0</v>
      </c>
      <c r="AE66" s="93">
        <f>'Юнит 6'!AE66+'Юнит 7'!AE66+'Юнит 8'!AE66+'Юнит 9'!AE66</f>
        <v>0</v>
      </c>
      <c r="AF66" s="234">
        <f t="shared" si="6"/>
        <v>0</v>
      </c>
      <c r="AG66" s="93">
        <f>'Юнит 6'!AG66+'Юнит 7'!AG66+'Юнит 8'!AG66+'Юнит 9'!AG66</f>
        <v>0</v>
      </c>
      <c r="AH66" s="93">
        <f>'Юнит 6'!AH66+'Юнит 7'!AH66+'Юнит 8'!AH66+'Юнит 9'!AH66</f>
        <v>0</v>
      </c>
      <c r="AI66" s="93">
        <f>'Юнит 6'!AI66+'Юнит 7'!AI66+'Юнит 8'!AI66+'Юнит 9'!AI66</f>
        <v>0</v>
      </c>
      <c r="AJ66" s="93">
        <f>'Юнит 6'!AJ66+'Юнит 7'!AJ66+'Юнит 8'!AJ66+'Юнит 9'!AJ66</f>
        <v>0</v>
      </c>
      <c r="AK66" s="93">
        <f>'Юнит 6'!AK66+'Юнит 7'!AK66+'Юнит 8'!AK66+'Юнит 9'!AK66</f>
        <v>0</v>
      </c>
      <c r="AL66" s="122">
        <f t="shared" si="39"/>
        <v>0</v>
      </c>
      <c r="AM66" s="93">
        <f>'Юнит 6'!AM66+'Юнит 7'!AM66+'Юнит 8'!AM66+'Юнит 9'!AM66</f>
        <v>0</v>
      </c>
      <c r="AN66" s="325">
        <f t="shared" si="40"/>
        <v>0</v>
      </c>
      <c r="AO66" s="95">
        <f t="shared" si="20"/>
        <v>0</v>
      </c>
      <c r="AP66" s="96"/>
      <c r="AQ66" s="97">
        <f t="shared" si="9"/>
        <v>0</v>
      </c>
      <c r="AR66" s="98">
        <f t="shared" si="30"/>
        <v>97.35</v>
      </c>
      <c r="AS66" s="98">
        <f t="shared" si="11"/>
        <v>0</v>
      </c>
      <c r="AT66" s="98">
        <f t="shared" si="12"/>
        <v>0</v>
      </c>
      <c r="AU66" s="98">
        <f t="shared" si="19"/>
        <v>0</v>
      </c>
      <c r="AV66" s="98">
        <f t="array" ref="AV66">_xlfn.IFS(U66=0,AO66,U66&lt;0,AO66/-U66,U66&gt;0,AO66/U66)</f>
        <v>0</v>
      </c>
      <c r="AW66" s="234">
        <f t="shared" si="41"/>
        <v>0</v>
      </c>
      <c r="AX66" s="234">
        <f t="shared" si="42"/>
        <v>0</v>
      </c>
      <c r="AY66" s="99"/>
      <c r="AZ66" s="94">
        <f t="shared" si="15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3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7"/>
        <v>0</v>
      </c>
      <c r="M67" s="89"/>
      <c r="N67" s="93">
        <f>'Юнит 6'!N67+'Юнит 7'!N67+'Юнит 8'!N67+'Юнит 9'!N67</f>
        <v>9</v>
      </c>
      <c r="O67" s="89">
        <v>1049</v>
      </c>
      <c r="P67" s="89">
        <v>63</v>
      </c>
      <c r="Q67" s="233">
        <f t="shared" si="16"/>
        <v>0.28125</v>
      </c>
      <c r="R67" s="92">
        <f t="shared" si="17"/>
        <v>0.1875</v>
      </c>
      <c r="S67" s="93">
        <f>'Юнит 6'!S67+'Юнит 7'!S67+'Юнит 8'!S67+'Юнит 9'!S67</f>
        <v>7</v>
      </c>
      <c r="T67" s="93">
        <f>'Юнит 6'!T67+'Юнит 7'!T67+'Юнит 8'!T67+'Юнит 9'!T67</f>
        <v>-1</v>
      </c>
      <c r="U67" s="92">
        <f t="shared" ref="U67:U98" si="44">S67+T67</f>
        <v>6</v>
      </c>
      <c r="V67" s="93">
        <f>'Юнит 6'!V67+'Юнит 7'!V67+'Юнит 8'!V67+'Юнит 9'!V67</f>
        <v>4562</v>
      </c>
      <c r="W67" s="93">
        <f>'Юнит 6'!W67+'Юнит 7'!W67+'Юнит 8'!W67+'Юнит 9'!W67</f>
        <v>-689</v>
      </c>
      <c r="X67" s="92">
        <f t="shared" ref="X67:X98" si="45">V67+W67</f>
        <v>3873</v>
      </c>
      <c r="Y67" s="93">
        <f>'Юнит 6'!Y67+'Юнит 7'!Y67+'Юнит 8'!Y67+'Юнит 9'!Y67</f>
        <v>7311.53</v>
      </c>
      <c r="Z67" s="93">
        <f>'Юнит 6'!Z67+'Юнит 7'!Z67+'Юнит 8'!Z67+'Юнит 9'!Z67</f>
        <v>-1049</v>
      </c>
      <c r="AA67" s="232">
        <f t="shared" ref="AA67:AA98" si="46">Y67+Z67</f>
        <v>6262.53</v>
      </c>
      <c r="AB67" s="92">
        <f t="shared" si="18"/>
        <v>5947.83</v>
      </c>
      <c r="AC67" s="234">
        <f t="shared" ref="AC67:AC98" si="47">AA67/$AA$126</f>
        <v>7.3907019287803319E-4</v>
      </c>
      <c r="AD67" s="92">
        <f t="shared" ref="AD67:AD98" si="48">U67*K67</f>
        <v>970.19999999999993</v>
      </c>
      <c r="AE67" s="93">
        <f>'Юнит 6'!AE67+'Юнит 7'!AE67+'Юнит 8'!AE67+'Юнит 9'!AE67</f>
        <v>2333.3799999999997</v>
      </c>
      <c r="AF67" s="234">
        <f t="shared" ref="AF67:AF98" si="49">IF(AA67=0,0,AE67/AA67)</f>
        <v>0.37259382390184154</v>
      </c>
      <c r="AG67" s="93">
        <f>'Юнит 6'!AG67+'Юнит 7'!AG67+'Юнит 8'!AG67+'Юнит 9'!AG67</f>
        <v>898.79000000000008</v>
      </c>
      <c r="AH67" s="93">
        <f>'Юнит 6'!AH67+'Юнит 7'!AH67+'Юнит 8'!AH67+'Юнит 9'!AH67</f>
        <v>0</v>
      </c>
      <c r="AI67" s="93">
        <f>'Юнит 6'!AI67+'Юнит 7'!AI67+'Юнит 8'!AI67+'Юнит 9'!AI67</f>
        <v>0</v>
      </c>
      <c r="AJ67" s="93">
        <f>'Юнит 6'!AJ67+'Юнит 7'!AJ67+'Юнит 8'!AJ67+'Юнит 9'!AJ67</f>
        <v>0</v>
      </c>
      <c r="AK67" s="93">
        <f>'Юнит 6'!AK67+'Юнит 7'!AK67+'Юнит 8'!AK67+'Юнит 9'!AK67</f>
        <v>0</v>
      </c>
      <c r="AL67" s="122">
        <f t="shared" ref="AL67:AL98" si="50">IFERROR($AL$126*H67/$H$126,0)</f>
        <v>0</v>
      </c>
      <c r="AM67" s="93">
        <f>'Юнит 6'!AM67+'Юнит 7'!AM67+'Юнит 8'!AM67+'Юнит 9'!AM67</f>
        <v>0</v>
      </c>
      <c r="AN67" s="325">
        <f t="shared" ref="AN67:AN103" si="51">304652.46*X67/$X$126</f>
        <v>217.46085240142591</v>
      </c>
      <c r="AO67" s="95">
        <f t="shared" si="20"/>
        <v>1842.6991475985744</v>
      </c>
      <c r="AP67" s="96"/>
      <c r="AQ67" s="97">
        <f t="shared" si="9"/>
        <v>1043.7549999999999</v>
      </c>
      <c r="AR67" s="98">
        <f t="shared" si="30"/>
        <v>161.69999999999999</v>
      </c>
      <c r="AS67" s="98">
        <f t="shared" si="11"/>
        <v>388.89666666666659</v>
      </c>
      <c r="AT67" s="98">
        <f t="shared" si="12"/>
        <v>128.39857142857144</v>
      </c>
      <c r="AU67" s="98">
        <f t="shared" si="19"/>
        <v>0</v>
      </c>
      <c r="AV67" s="98">
        <f t="array" ref="AV67">_xlfn.IFS(U67=0,AO67,U67&lt;0,AO67/-U67,U67&gt;0,AO67/U67)</f>
        <v>307.11652459976239</v>
      </c>
      <c r="AW67" s="234">
        <f t="shared" si="41"/>
        <v>0.29424196731968943</v>
      </c>
      <c r="AX67" s="234">
        <f t="shared" si="42"/>
        <v>1.8992982350016228</v>
      </c>
      <c r="AY67" s="99"/>
      <c r="AZ67" s="94">
        <f t="shared" si="15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3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7"/>
        <v>0</v>
      </c>
      <c r="M68" s="89"/>
      <c r="N68" s="93">
        <f>'Юнит 6'!N68+'Юнит 7'!N68+'Юнит 8'!N68+'Юнит 9'!N68</f>
        <v>0</v>
      </c>
      <c r="O68" s="89">
        <v>0</v>
      </c>
      <c r="P68" s="89">
        <v>0</v>
      </c>
      <c r="Q68" s="233">
        <f t="shared" ref="Q68:Q98" si="52">N68/32</f>
        <v>0</v>
      </c>
      <c r="R68" s="92">
        <f t="shared" ref="R68:R98" si="53">U68/32</f>
        <v>0</v>
      </c>
      <c r="S68" s="93">
        <f>'Юнит 6'!S68+'Юнит 7'!S68+'Юнит 8'!S68+'Юнит 9'!S68</f>
        <v>0</v>
      </c>
      <c r="T68" s="93">
        <f>'Юнит 6'!T68+'Юнит 7'!T68+'Юнит 8'!T68+'Юнит 9'!T68</f>
        <v>0</v>
      </c>
      <c r="U68" s="92">
        <f t="shared" si="44"/>
        <v>0</v>
      </c>
      <c r="V68" s="93">
        <f>'Юнит 6'!V68+'Юнит 7'!V68+'Юнит 8'!V68+'Юнит 9'!V68</f>
        <v>0</v>
      </c>
      <c r="W68" s="93">
        <f>'Юнит 6'!W68+'Юнит 7'!W68+'Юнит 8'!W68+'Юнит 9'!W68</f>
        <v>0</v>
      </c>
      <c r="X68" s="92">
        <f t="shared" si="45"/>
        <v>0</v>
      </c>
      <c r="Y68" s="93">
        <f>'Юнит 6'!Y68+'Юнит 7'!Y68+'Юнит 8'!Y68+'Юнит 9'!Y68</f>
        <v>0</v>
      </c>
      <c r="Z68" s="93">
        <f>'Юнит 6'!Z68+'Юнит 7'!Z68+'Юнит 8'!Z68+'Юнит 9'!Z68</f>
        <v>0</v>
      </c>
      <c r="AA68" s="232">
        <f t="shared" si="46"/>
        <v>0</v>
      </c>
      <c r="AB68" s="92">
        <f t="shared" ref="AB68:AB98" si="54">N68*O68*P68/100</f>
        <v>0</v>
      </c>
      <c r="AC68" s="234">
        <f t="shared" si="47"/>
        <v>0</v>
      </c>
      <c r="AD68" s="92">
        <f t="shared" si="48"/>
        <v>0</v>
      </c>
      <c r="AE68" s="93">
        <f>'Юнит 6'!AE68+'Юнит 7'!AE68+'Юнит 8'!AE68+'Юнит 9'!AE68</f>
        <v>0</v>
      </c>
      <c r="AF68" s="234">
        <f t="shared" si="49"/>
        <v>0</v>
      </c>
      <c r="AG68" s="93">
        <f>'Юнит 6'!AG68+'Юнит 7'!AG68+'Юнит 8'!AG68+'Юнит 9'!AG68</f>
        <v>0</v>
      </c>
      <c r="AH68" s="93">
        <f>'Юнит 6'!AH68+'Юнит 7'!AH68+'Юнит 8'!AH68+'Юнит 9'!AH68</f>
        <v>0</v>
      </c>
      <c r="AI68" s="93">
        <f>'Юнит 6'!AI68+'Юнит 7'!AI68+'Юнит 8'!AI68+'Юнит 9'!AI68</f>
        <v>0</v>
      </c>
      <c r="AJ68" s="93">
        <f>'Юнит 6'!AJ68+'Юнит 7'!AJ68+'Юнит 8'!AJ68+'Юнит 9'!AJ68</f>
        <v>0</v>
      </c>
      <c r="AK68" s="93">
        <f>'Юнит 6'!AK68+'Юнит 7'!AK68+'Юнит 8'!AK68+'Юнит 9'!AK68</f>
        <v>0</v>
      </c>
      <c r="AL68" s="122">
        <f t="shared" si="50"/>
        <v>0</v>
      </c>
      <c r="AM68" s="93">
        <f>'Юнит 6'!AM68+'Юнит 7'!AM68+'Юнит 8'!AM68+'Юнит 9'!AM68</f>
        <v>0</v>
      </c>
      <c r="AN68" s="325">
        <f t="shared" si="51"/>
        <v>0</v>
      </c>
      <c r="AO68" s="95">
        <f t="shared" si="20"/>
        <v>0</v>
      </c>
      <c r="AP68" s="96"/>
      <c r="AQ68" s="97">
        <f t="shared" si="9"/>
        <v>0</v>
      </c>
      <c r="AR68" s="98">
        <f t="shared" si="30"/>
        <v>161.69999999999999</v>
      </c>
      <c r="AS68" s="98">
        <f t="shared" si="11"/>
        <v>0</v>
      </c>
      <c r="AT68" s="98">
        <f t="shared" si="12"/>
        <v>0</v>
      </c>
      <c r="AU68" s="98">
        <f t="shared" si="19"/>
        <v>0</v>
      </c>
      <c r="AV68" s="98">
        <f t="array" ref="AV68">_xlfn.IFS(U68=0,AO68,U68&lt;0,AO68/-U68,U68&gt;0,AO68/U68)</f>
        <v>0</v>
      </c>
      <c r="AW68" s="234">
        <f t="shared" si="41"/>
        <v>0</v>
      </c>
      <c r="AX68" s="234">
        <f t="shared" si="42"/>
        <v>0</v>
      </c>
      <c r="AY68" s="99"/>
      <c r="AZ68" s="94">
        <f t="shared" si="15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3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7"/>
        <v>0</v>
      </c>
      <c r="M69" s="89"/>
      <c r="N69" s="93">
        <f>'Юнит 6'!N69+'Юнит 7'!N69+'Юнит 8'!N69+'Юнит 9'!N69</f>
        <v>3</v>
      </c>
      <c r="O69" s="89">
        <v>998</v>
      </c>
      <c r="P69" s="89">
        <v>0</v>
      </c>
      <c r="Q69" s="233">
        <f t="shared" si="52"/>
        <v>9.375E-2</v>
      </c>
      <c r="R69" s="92">
        <f t="shared" si="53"/>
        <v>0</v>
      </c>
      <c r="S69" s="93">
        <f>'Юнит 6'!S69+'Юнит 7'!S69+'Юнит 8'!S69+'Юнит 9'!S69</f>
        <v>1</v>
      </c>
      <c r="T69" s="93">
        <f>'Юнит 6'!T69+'Юнит 7'!T69+'Юнит 8'!T69+'Юнит 9'!T69</f>
        <v>-1</v>
      </c>
      <c r="U69" s="92">
        <f t="shared" si="44"/>
        <v>0</v>
      </c>
      <c r="V69" s="93">
        <f>'Юнит 6'!V69+'Юнит 7'!V69+'Юнит 8'!V69+'Юнит 9'!V69</f>
        <v>640</v>
      </c>
      <c r="W69" s="93">
        <f>'Юнит 6'!W69+'Юнит 7'!W69+'Юнит 8'!W69+'Юнит 9'!W69</f>
        <v>-640</v>
      </c>
      <c r="X69" s="92">
        <f t="shared" si="45"/>
        <v>0</v>
      </c>
      <c r="Y69" s="93">
        <f>'Юнит 6'!Y69+'Юнит 7'!Y69+'Юнит 8'!Y69+'Юнит 9'!Y69</f>
        <v>998</v>
      </c>
      <c r="Z69" s="93">
        <f>'Юнит 6'!Z69+'Юнит 7'!Z69+'Юнит 8'!Z69+'Юнит 9'!Z69</f>
        <v>-998</v>
      </c>
      <c r="AA69" s="232">
        <f t="shared" si="46"/>
        <v>0</v>
      </c>
      <c r="AB69" s="92">
        <f t="shared" si="54"/>
        <v>0</v>
      </c>
      <c r="AC69" s="234">
        <f t="shared" si="47"/>
        <v>0</v>
      </c>
      <c r="AD69" s="92">
        <f t="shared" si="48"/>
        <v>0</v>
      </c>
      <c r="AE69" s="93">
        <f>'Юнит 6'!AE69+'Юнит 7'!AE69+'Юнит 8'!AE69+'Юнит 9'!AE69</f>
        <v>0</v>
      </c>
      <c r="AF69" s="234">
        <f t="shared" si="49"/>
        <v>0</v>
      </c>
      <c r="AG69" s="93">
        <f>'Юнит 6'!AG69+'Юнит 7'!AG69+'Юнит 8'!AG69+'Юнит 9'!AG69</f>
        <v>220.98000000000002</v>
      </c>
      <c r="AH69" s="93">
        <f>'Юнит 6'!AH69+'Юнит 7'!AH69+'Юнит 8'!AH69+'Юнит 9'!AH69</f>
        <v>0</v>
      </c>
      <c r="AI69" s="93">
        <f>'Юнит 6'!AI69+'Юнит 7'!AI69+'Юнит 8'!AI69+'Юнит 9'!AI69</f>
        <v>0</v>
      </c>
      <c r="AJ69" s="93">
        <f>'Юнит 6'!AJ69+'Юнит 7'!AJ69+'Юнит 8'!AJ69+'Юнит 9'!AJ69</f>
        <v>0</v>
      </c>
      <c r="AK69" s="93">
        <f>'Юнит 6'!AK69+'Юнит 7'!AK69+'Юнит 8'!AK69+'Юнит 9'!AK69</f>
        <v>0</v>
      </c>
      <c r="AL69" s="122">
        <f t="shared" si="50"/>
        <v>0</v>
      </c>
      <c r="AM69" s="93">
        <f>'Юнит 6'!AM69+'Юнит 7'!AM69+'Юнит 8'!AM69+'Юнит 9'!AM69</f>
        <v>0</v>
      </c>
      <c r="AN69" s="325">
        <f t="shared" si="51"/>
        <v>0</v>
      </c>
      <c r="AO69" s="95">
        <f t="shared" ref="AO69:AO98" si="55">AA69-AD69-AE69-AG69-AH69-AI69-AK69-AL69-AN69-AM69</f>
        <v>-220.98000000000002</v>
      </c>
      <c r="AP69" s="96"/>
      <c r="AQ69" s="97">
        <f t="shared" si="9"/>
        <v>0</v>
      </c>
      <c r="AR69" s="98">
        <f t="shared" si="30"/>
        <v>140.63999999999999</v>
      </c>
      <c r="AS69" s="98">
        <f t="shared" si="11"/>
        <v>0</v>
      </c>
      <c r="AT69" s="98">
        <f t="shared" si="12"/>
        <v>220.98000000000002</v>
      </c>
      <c r="AU69" s="98">
        <f t="shared" si="19"/>
        <v>0</v>
      </c>
      <c r="AV69" s="98">
        <f t="array" ref="AV69">_xlfn.IFS(U69=0,AO69,U69&lt;0,AO69/-U69,U69&gt;0,AO69/U69)</f>
        <v>-220.98000000000002</v>
      </c>
      <c r="AW69" s="234">
        <f t="shared" si="41"/>
        <v>0</v>
      </c>
      <c r="AX69" s="234">
        <f t="shared" si="42"/>
        <v>-1.5712457337883963</v>
      </c>
      <c r="AY69" s="99"/>
      <c r="AZ69" s="94">
        <f t="shared" si="15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3"/>
        <v>0</v>
      </c>
      <c r="F70" s="93"/>
      <c r="G70" s="93"/>
      <c r="H70" s="93"/>
      <c r="I70" s="93"/>
      <c r="J70" s="93"/>
      <c r="K70" s="93">
        <v>117.24</v>
      </c>
      <c r="L70" s="92">
        <f t="shared" si="37"/>
        <v>0</v>
      </c>
      <c r="M70" s="89"/>
      <c r="N70" s="93">
        <f>'Юнит 6'!N70+'Юнит 7'!N70+'Юнит 8'!N70+'Юнит 9'!N70</f>
        <v>9</v>
      </c>
      <c r="O70" s="89">
        <v>1048</v>
      </c>
      <c r="P70" s="89">
        <v>29</v>
      </c>
      <c r="Q70" s="233">
        <f t="shared" si="52"/>
        <v>0.28125</v>
      </c>
      <c r="R70" s="92">
        <f t="shared" si="53"/>
        <v>6.25E-2</v>
      </c>
      <c r="S70" s="93">
        <f>'Юнит 6'!S70+'Юнит 7'!S70+'Юнит 8'!S70+'Юнит 9'!S70</f>
        <v>2</v>
      </c>
      <c r="T70" s="93">
        <f>'Юнит 6'!T70+'Юнит 7'!T70+'Юнит 8'!T70+'Юнит 9'!T70</f>
        <v>0</v>
      </c>
      <c r="U70" s="92">
        <f t="shared" si="44"/>
        <v>2</v>
      </c>
      <c r="V70" s="93">
        <f>'Юнит 6'!V70+'Юнит 7'!V70+'Юнит 8'!V70+'Юнит 9'!V70</f>
        <v>1307</v>
      </c>
      <c r="W70" s="93">
        <f>'Юнит 6'!W70+'Юнит 7'!W70+'Юнит 8'!W70+'Юнит 9'!W70</f>
        <v>0</v>
      </c>
      <c r="X70" s="92">
        <f t="shared" si="45"/>
        <v>1307</v>
      </c>
      <c r="Y70" s="93">
        <f>'Юнит 6'!Y70+'Юнит 7'!Y70+'Юнит 8'!Y70+'Юнит 9'!Y70</f>
        <v>2096</v>
      </c>
      <c r="Z70" s="93">
        <f>'Юнит 6'!Z70+'Юнит 7'!Z70+'Юнит 8'!Z70+'Юнит 9'!Z70</f>
        <v>0</v>
      </c>
      <c r="AA70" s="232">
        <f t="shared" si="46"/>
        <v>2096</v>
      </c>
      <c r="AB70" s="92">
        <f t="shared" si="54"/>
        <v>2735.28</v>
      </c>
      <c r="AC70" s="234">
        <f t="shared" si="47"/>
        <v>2.4735867521151315E-4</v>
      </c>
      <c r="AD70" s="92">
        <f t="shared" si="48"/>
        <v>234.48</v>
      </c>
      <c r="AE70" s="93">
        <f>'Юнит 6'!AE70+'Юнит 7'!AE70+'Юнит 8'!AE70+'Юнит 9'!AE70</f>
        <v>786.18</v>
      </c>
      <c r="AF70" s="234">
        <f t="shared" si="49"/>
        <v>0.3750858778625954</v>
      </c>
      <c r="AG70" s="93">
        <f>'Юнит 6'!AG70+'Юнит 7'!AG70+'Юнит 8'!AG70+'Юнит 9'!AG70</f>
        <v>592.80000000000007</v>
      </c>
      <c r="AH70" s="93">
        <f>'Юнит 6'!AH70+'Юнит 7'!AH70+'Юнит 8'!AH70+'Юнит 9'!AH70</f>
        <v>0</v>
      </c>
      <c r="AI70" s="93">
        <f>'Юнит 6'!AI70+'Юнит 7'!AI70+'Юнит 8'!AI70+'Юнит 9'!AI70</f>
        <v>0</v>
      </c>
      <c r="AJ70" s="93">
        <f>'Юнит 6'!AJ70+'Юнит 7'!AJ70+'Юнит 8'!AJ70+'Юнит 9'!AJ70</f>
        <v>0</v>
      </c>
      <c r="AK70" s="93">
        <f>'Юнит 6'!AK70+'Юнит 7'!AK70+'Юнит 8'!AK70+'Юнит 9'!AK70</f>
        <v>0</v>
      </c>
      <c r="AL70" s="122">
        <f t="shared" si="50"/>
        <v>0</v>
      </c>
      <c r="AM70" s="93">
        <f>'Юнит 6'!AM70+'Юнит 7'!AM70+'Юнит 8'!AM70+'Юнит 9'!AM70</f>
        <v>0</v>
      </c>
      <c r="AN70" s="325">
        <f t="shared" si="51"/>
        <v>73.385317347963763</v>
      </c>
      <c r="AO70" s="95">
        <f t="shared" si="55"/>
        <v>409.15468265203629</v>
      </c>
      <c r="AP70" s="96"/>
      <c r="AQ70" s="97">
        <f t="shared" si="9"/>
        <v>1048</v>
      </c>
      <c r="AR70" s="98">
        <f t="shared" si="30"/>
        <v>117.24</v>
      </c>
      <c r="AS70" s="98">
        <f t="shared" si="11"/>
        <v>393.09</v>
      </c>
      <c r="AT70" s="98">
        <f t="shared" si="12"/>
        <v>296.40000000000003</v>
      </c>
      <c r="AU70" s="98">
        <f t="shared" si="19"/>
        <v>0</v>
      </c>
      <c r="AV70" s="98">
        <f t="array" ref="AV70">_xlfn.IFS(U70=0,AO70,U70&lt;0,AO70/-U70,U70&gt;0,AO70/U70)</f>
        <v>204.57734132601814</v>
      </c>
      <c r="AW70" s="234">
        <f t="shared" si="41"/>
        <v>0.1952073867614677</v>
      </c>
      <c r="AX70" s="234">
        <f t="shared" si="42"/>
        <v>1.7449449106620449</v>
      </c>
      <c r="AY70" s="99"/>
      <c r="AZ70" s="94">
        <f t="shared" si="15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3"/>
        <v>0</v>
      </c>
      <c r="F71" s="93"/>
      <c r="G71" s="93"/>
      <c r="H71" s="93"/>
      <c r="I71" s="93"/>
      <c r="J71" s="93"/>
      <c r="K71" s="93">
        <v>123.09</v>
      </c>
      <c r="L71" s="92">
        <f t="shared" si="37"/>
        <v>0</v>
      </c>
      <c r="M71" s="89"/>
      <c r="N71" s="93">
        <f>'Юнит 6'!N71+'Юнит 7'!N71+'Юнит 8'!N71+'Юнит 9'!N71</f>
        <v>32</v>
      </c>
      <c r="O71" s="89">
        <v>727</v>
      </c>
      <c r="P71" s="89">
        <v>18</v>
      </c>
      <c r="Q71" s="233">
        <f t="shared" si="52"/>
        <v>1</v>
      </c>
      <c r="R71" s="92">
        <f t="shared" si="53"/>
        <v>0.15625</v>
      </c>
      <c r="S71" s="93">
        <f>'Юнит 6'!S71+'Юнит 7'!S71+'Юнит 8'!S71+'Юнит 9'!S71</f>
        <v>7</v>
      </c>
      <c r="T71" s="93">
        <f>'Юнит 6'!T71+'Юнит 7'!T71+'Юнит 8'!T71+'Юнит 9'!T71</f>
        <v>-2</v>
      </c>
      <c r="U71" s="92">
        <f t="shared" si="44"/>
        <v>5</v>
      </c>
      <c r="V71" s="93">
        <f>'Юнит 6'!V71+'Юнит 7'!V71+'Юнит 8'!V71+'Юнит 9'!V71</f>
        <v>3391.65</v>
      </c>
      <c r="W71" s="93">
        <f>'Юнит 6'!W71+'Юнит 7'!W71+'Юнит 8'!W71+'Юнит 9'!W71</f>
        <v>-998</v>
      </c>
      <c r="X71" s="92">
        <f t="shared" si="45"/>
        <v>2393.65</v>
      </c>
      <c r="Y71" s="93">
        <f>'Юнит 6'!Y71+'Юнит 7'!Y71+'Юнит 8'!Y71+'Юнит 9'!Y71</f>
        <v>4997.84</v>
      </c>
      <c r="Z71" s="93">
        <f>'Юнит 6'!Z71+'Юнит 7'!Z71+'Юнит 8'!Z71+'Юнит 9'!Z71</f>
        <v>-1509</v>
      </c>
      <c r="AA71" s="232">
        <f t="shared" si="46"/>
        <v>3488.84</v>
      </c>
      <c r="AB71" s="92">
        <f t="shared" si="54"/>
        <v>4187.5200000000004</v>
      </c>
      <c r="AC71" s="234">
        <f t="shared" si="47"/>
        <v>4.1173417959204943E-4</v>
      </c>
      <c r="AD71" s="92">
        <f t="shared" si="48"/>
        <v>615.45000000000005</v>
      </c>
      <c r="AE71" s="93">
        <f>'Юнит 6'!AE71+'Юнит 7'!AE71+'Юнит 8'!AE71+'Юнит 9'!AE71</f>
        <v>1308.5300000000002</v>
      </c>
      <c r="AF71" s="234">
        <f t="shared" si="49"/>
        <v>0.37506162506735768</v>
      </c>
      <c r="AG71" s="93">
        <f>'Юнит 6'!AG71+'Юнит 7'!AG71+'Юнит 8'!AG71+'Юнит 9'!AG71</f>
        <v>2904.3900000000003</v>
      </c>
      <c r="AH71" s="93">
        <f>'Юнит 6'!AH71+'Юнит 7'!AH71+'Юнит 8'!AH71+'Юнит 9'!AH71</f>
        <v>0</v>
      </c>
      <c r="AI71" s="93">
        <f>'Юнит 6'!AI71+'Юнит 7'!AI71+'Юнит 8'!AI71+'Юнит 9'!AI71</f>
        <v>0</v>
      </c>
      <c r="AJ71" s="93">
        <f>'Юнит 6'!AJ71+'Юнит 7'!AJ71+'Юнит 8'!AJ71+'Юнит 9'!AJ71</f>
        <v>0</v>
      </c>
      <c r="AK71" s="93">
        <f>'Юнит 6'!AK71+'Юнит 7'!AK71+'Юнит 8'!AK71+'Юнит 9'!AK71</f>
        <v>0</v>
      </c>
      <c r="AL71" s="122">
        <f t="shared" si="50"/>
        <v>0</v>
      </c>
      <c r="AM71" s="93">
        <f>'Юнит 6'!AM71+'Юнит 7'!AM71+'Юнит 8'!AM71+'Юнит 9'!AM71</f>
        <v>0</v>
      </c>
      <c r="AN71" s="325">
        <f t="shared" si="51"/>
        <v>134.39844289973485</v>
      </c>
      <c r="AO71" s="95">
        <f t="shared" si="55"/>
        <v>-1473.928442899735</v>
      </c>
      <c r="AP71" s="96"/>
      <c r="AQ71" s="97">
        <f t="shared" si="9"/>
        <v>697.76800000000003</v>
      </c>
      <c r="AR71" s="98">
        <f t="shared" si="30"/>
        <v>123.09</v>
      </c>
      <c r="AS71" s="98">
        <f t="shared" si="11"/>
        <v>261.70600000000002</v>
      </c>
      <c r="AT71" s="98">
        <f t="shared" si="12"/>
        <v>414.91285714285721</v>
      </c>
      <c r="AU71" s="98">
        <f t="shared" ref="AU71:AU98" si="56">IF(S71=0,0,(AH71+AI71+AJ71)/S71)</f>
        <v>0</v>
      </c>
      <c r="AV71" s="98">
        <f t="array" ref="AV71">_xlfn.IFS(U71=0,AO71,U71&lt;0,AO71/-U71,U71&gt;0,AO71/U71)</f>
        <v>-294.78568857994702</v>
      </c>
      <c r="AW71" s="234">
        <f t="shared" si="41"/>
        <v>-0.42246948639081616</v>
      </c>
      <c r="AX71" s="234">
        <f t="shared" si="42"/>
        <v>-2.3948792637902918</v>
      </c>
      <c r="AY71" s="99"/>
      <c r="AZ71" s="94">
        <f t="shared" si="15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3"/>
        <v>0</v>
      </c>
      <c r="F72" s="93"/>
      <c r="G72" s="93"/>
      <c r="H72" s="93"/>
      <c r="I72" s="93"/>
      <c r="J72" s="93"/>
      <c r="K72" s="93">
        <v>123.09</v>
      </c>
      <c r="L72" s="92">
        <f t="shared" si="37"/>
        <v>0</v>
      </c>
      <c r="M72" s="89"/>
      <c r="N72" s="93">
        <f>'Юнит 6'!N72+'Юнит 7'!N72+'Юнит 8'!N72+'Юнит 9'!N72</f>
        <v>29</v>
      </c>
      <c r="O72" s="89">
        <v>837</v>
      </c>
      <c r="P72" s="89">
        <v>21</v>
      </c>
      <c r="Q72" s="233">
        <f t="shared" si="52"/>
        <v>0.90625</v>
      </c>
      <c r="R72" s="92">
        <f t="shared" si="53"/>
        <v>0.1875</v>
      </c>
      <c r="S72" s="93">
        <f>'Юнит 6'!S72+'Юнит 7'!S72+'Юнит 8'!S72+'Юнит 9'!S72</f>
        <v>6</v>
      </c>
      <c r="T72" s="93">
        <f>'Юнит 6'!T72+'Юнит 7'!T72+'Юнит 8'!T72+'Юнит 9'!T72</f>
        <v>0</v>
      </c>
      <c r="U72" s="92">
        <f t="shared" si="44"/>
        <v>6</v>
      </c>
      <c r="V72" s="93">
        <f>'Юнит 6'!V72+'Юнит 7'!V72+'Юнит 8'!V72+'Юнит 9'!V72</f>
        <v>3241</v>
      </c>
      <c r="W72" s="93">
        <f>'Юнит 6'!W72+'Юнит 7'!W72+'Юнит 8'!W72+'Юнит 9'!W72</f>
        <v>0</v>
      </c>
      <c r="X72" s="92">
        <f t="shared" si="45"/>
        <v>3241</v>
      </c>
      <c r="Y72" s="93">
        <f>'Юнит 6'!Y72+'Юнит 7'!Y72+'Юнит 8'!Y72+'Юнит 9'!Y72</f>
        <v>5022</v>
      </c>
      <c r="Z72" s="93">
        <f>'Юнит 6'!Z72+'Юнит 7'!Z72+'Юнит 8'!Z72+'Юнит 9'!Z72</f>
        <v>0</v>
      </c>
      <c r="AA72" s="232">
        <f t="shared" si="46"/>
        <v>5022</v>
      </c>
      <c r="AB72" s="92">
        <f t="shared" si="54"/>
        <v>5097.33</v>
      </c>
      <c r="AC72" s="234">
        <f t="shared" si="47"/>
        <v>5.9266949757262361E-4</v>
      </c>
      <c r="AD72" s="92">
        <f t="shared" si="48"/>
        <v>738.54</v>
      </c>
      <c r="AE72" s="93">
        <f>'Юнит 6'!AE72+'Юнит 7'!AE72+'Юнит 8'!AE72+'Юнит 9'!AE72</f>
        <v>1887.4499999999998</v>
      </c>
      <c r="AF72" s="234">
        <f t="shared" si="49"/>
        <v>0.37583632019115887</v>
      </c>
      <c r="AG72" s="93">
        <f>'Юнит 6'!AG72+'Юнит 7'!AG72+'Юнит 8'!AG72+'Юнит 9'!AG72</f>
        <v>2454.86</v>
      </c>
      <c r="AH72" s="93">
        <f>'Юнит 6'!AH72+'Юнит 7'!AH72+'Юнит 8'!AH72+'Юнит 9'!AH72</f>
        <v>0</v>
      </c>
      <c r="AI72" s="93">
        <f>'Юнит 6'!AI72+'Юнит 7'!AI72+'Юнит 8'!AI72+'Юнит 9'!AI72</f>
        <v>0</v>
      </c>
      <c r="AJ72" s="93">
        <f>'Юнит 6'!AJ72+'Юнит 7'!AJ72+'Юнит 8'!AJ72+'Юнит 9'!AJ72</f>
        <v>0</v>
      </c>
      <c r="AK72" s="93">
        <f>'Юнит 6'!AK72+'Юнит 7'!AK72+'Юнит 8'!AK72+'Юнит 9'!AK72</f>
        <v>0</v>
      </c>
      <c r="AL72" s="122">
        <f t="shared" si="50"/>
        <v>0</v>
      </c>
      <c r="AM72" s="93">
        <f>'Юнит 6'!AM72+'Юнит 7'!AM72+'Юнит 8'!AM72+'Юнит 9'!AM72</f>
        <v>0</v>
      </c>
      <c r="AN72" s="325">
        <f t="shared" si="51"/>
        <v>181.97537377563162</v>
      </c>
      <c r="AO72" s="95">
        <f t="shared" si="55"/>
        <v>-240.82537377563153</v>
      </c>
      <c r="AP72" s="96"/>
      <c r="AQ72" s="97">
        <f t="shared" si="9"/>
        <v>837</v>
      </c>
      <c r="AR72" s="98">
        <f t="shared" si="30"/>
        <v>123.09</v>
      </c>
      <c r="AS72" s="98">
        <f t="shared" si="11"/>
        <v>314.57499999999999</v>
      </c>
      <c r="AT72" s="98">
        <f t="shared" si="12"/>
        <v>409.14333333333337</v>
      </c>
      <c r="AU72" s="98">
        <f t="shared" si="56"/>
        <v>0</v>
      </c>
      <c r="AV72" s="98">
        <f t="array" ref="AV72">_xlfn.IFS(U72=0,AO72,U72&lt;0,AO72/-U72,U72&gt;0,AO72/U72)</f>
        <v>-40.137562295938586</v>
      </c>
      <c r="AW72" s="234">
        <f t="shared" si="41"/>
        <v>-4.7954076817130931E-2</v>
      </c>
      <c r="AX72" s="234">
        <f t="shared" si="42"/>
        <v>-0.32608304733072213</v>
      </c>
      <c r="AY72" s="99"/>
      <c r="AZ72" s="94">
        <f t="shared" si="15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3"/>
        <v>0</v>
      </c>
      <c r="F73" s="93"/>
      <c r="G73" s="93"/>
      <c r="H73" s="93"/>
      <c r="I73" s="93"/>
      <c r="J73" s="93"/>
      <c r="K73" s="93">
        <v>123.09</v>
      </c>
      <c r="L73" s="92">
        <f t="shared" si="37"/>
        <v>0</v>
      </c>
      <c r="M73" s="89"/>
      <c r="N73" s="93">
        <f>'Юнит 6'!N73+'Юнит 7'!N73+'Юнит 8'!N73+'Юнит 9'!N73</f>
        <v>31</v>
      </c>
      <c r="O73" s="89">
        <v>807</v>
      </c>
      <c r="P73" s="89">
        <v>28</v>
      </c>
      <c r="Q73" s="233">
        <f t="shared" si="52"/>
        <v>0.96875</v>
      </c>
      <c r="R73" s="92">
        <f t="shared" si="53"/>
        <v>0.21875</v>
      </c>
      <c r="S73" s="93">
        <f>'Юнит 6'!S73+'Юнит 7'!S73+'Юнит 8'!S73+'Юнит 9'!S73</f>
        <v>7</v>
      </c>
      <c r="T73" s="93">
        <f>'Юнит 6'!T73+'Юнит 7'!T73+'Юнит 8'!T73+'Юнит 9'!T73</f>
        <v>0</v>
      </c>
      <c r="U73" s="92">
        <f t="shared" si="44"/>
        <v>7</v>
      </c>
      <c r="V73" s="93">
        <f>'Юнит 6'!V73+'Юнит 7'!V73+'Юнит 8'!V73+'Юнит 9'!V73</f>
        <v>3705.76</v>
      </c>
      <c r="W73" s="93">
        <f>'Юнит 6'!W73+'Юнит 7'!W73+'Юнит 8'!W73+'Юнит 9'!W73</f>
        <v>0</v>
      </c>
      <c r="X73" s="92">
        <f t="shared" si="45"/>
        <v>3705.76</v>
      </c>
      <c r="Y73" s="93">
        <f>'Юнит 6'!Y73+'Юнит 7'!Y73+'Юнит 8'!Y73+'Юнит 9'!Y73</f>
        <v>5625.07</v>
      </c>
      <c r="Z73" s="93">
        <f>'Юнит 6'!Z73+'Юнит 7'!Z73+'Юнит 8'!Z73+'Юнит 9'!Z73</f>
        <v>0</v>
      </c>
      <c r="AA73" s="232">
        <f t="shared" si="46"/>
        <v>5625.07</v>
      </c>
      <c r="AB73" s="92">
        <f t="shared" si="54"/>
        <v>7004.76</v>
      </c>
      <c r="AC73" s="234">
        <f t="shared" si="47"/>
        <v>6.6384058357444003E-4</v>
      </c>
      <c r="AD73" s="92">
        <f t="shared" si="48"/>
        <v>861.63</v>
      </c>
      <c r="AE73" s="93">
        <f>'Юнит 6'!AE73+'Юнит 7'!AE73+'Юнит 8'!AE73+'Юнит 9'!AE73</f>
        <v>2097.4399999999996</v>
      </c>
      <c r="AF73" s="234">
        <f t="shared" si="49"/>
        <v>0.37287358201764598</v>
      </c>
      <c r="AG73" s="93">
        <f>'Юнит 6'!AG73+'Юнит 7'!AG73+'Юнит 8'!AG73+'Юнит 9'!AG73</f>
        <v>2188.9299999999998</v>
      </c>
      <c r="AH73" s="93">
        <f>'Юнит 6'!AH73+'Юнит 7'!AH73+'Юнит 8'!AH73+'Юнит 9'!AH73</f>
        <v>0</v>
      </c>
      <c r="AI73" s="93">
        <f>'Юнит 6'!AI73+'Юнит 7'!AI73+'Юнит 8'!AI73+'Юнит 9'!AI73</f>
        <v>0</v>
      </c>
      <c r="AJ73" s="93">
        <f>'Юнит 6'!AJ73+'Юнит 7'!AJ73+'Юнит 8'!AJ73+'Юнит 9'!AJ73</f>
        <v>0</v>
      </c>
      <c r="AK73" s="93">
        <f>'Юнит 6'!AK73+'Юнит 7'!AK73+'Юнит 8'!AK73+'Юнит 9'!AK73</f>
        <v>0</v>
      </c>
      <c r="AL73" s="122">
        <f t="shared" si="50"/>
        <v>0</v>
      </c>
      <c r="AM73" s="93">
        <f>'Юнит 6'!AM73+'Юнит 7'!AM73+'Юнит 8'!AM73+'Юнит 9'!AM73</f>
        <v>0</v>
      </c>
      <c r="AN73" s="325">
        <f t="shared" si="51"/>
        <v>208.07067606380278</v>
      </c>
      <c r="AO73" s="95">
        <f t="shared" si="55"/>
        <v>268.99932393619736</v>
      </c>
      <c r="AP73" s="96"/>
      <c r="AQ73" s="97">
        <f t="shared" si="9"/>
        <v>803.58142857142855</v>
      </c>
      <c r="AR73" s="98">
        <f t="shared" si="30"/>
        <v>123.09</v>
      </c>
      <c r="AS73" s="98">
        <f t="shared" si="11"/>
        <v>299.63428571428568</v>
      </c>
      <c r="AT73" s="98">
        <f t="shared" si="12"/>
        <v>312.70428571428567</v>
      </c>
      <c r="AU73" s="98">
        <f t="shared" si="56"/>
        <v>0</v>
      </c>
      <c r="AV73" s="98">
        <f t="array" ref="AV73">_xlfn.IFS(U73=0,AO73,U73&lt;0,AO73/-U73,U73&gt;0,AO73/U73)</f>
        <v>38.428474848028195</v>
      </c>
      <c r="AW73" s="234">
        <f t="shared" si="41"/>
        <v>4.7821506921015625E-2</v>
      </c>
      <c r="AX73" s="234">
        <f t="shared" si="42"/>
        <v>0.31219818708285152</v>
      </c>
      <c r="AY73" s="99"/>
      <c r="AZ73" s="94">
        <f t="shared" si="15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3"/>
        <v>0</v>
      </c>
      <c r="F74" s="93"/>
      <c r="G74" s="93"/>
      <c r="H74" s="93"/>
      <c r="I74" s="93"/>
      <c r="J74" s="93"/>
      <c r="K74" s="93">
        <v>134.79</v>
      </c>
      <c r="L74" s="92">
        <f t="shared" si="37"/>
        <v>0</v>
      </c>
      <c r="M74" s="89"/>
      <c r="N74" s="93">
        <f>'Юнит 6'!N74+'Юнит 7'!N74+'Юнит 8'!N74+'Юнит 9'!N74</f>
        <v>2</v>
      </c>
      <c r="O74" s="89">
        <v>781</v>
      </c>
      <c r="P74" s="89">
        <v>50</v>
      </c>
      <c r="Q74" s="233">
        <f t="shared" si="52"/>
        <v>6.25E-2</v>
      </c>
      <c r="R74" s="92">
        <f t="shared" si="53"/>
        <v>3.125E-2</v>
      </c>
      <c r="S74" s="93">
        <f>'Юнит 6'!S74+'Юнит 7'!S74+'Юнит 8'!S74+'Юнит 9'!S74</f>
        <v>1</v>
      </c>
      <c r="T74" s="93">
        <f>'Юнит 6'!T74+'Юнит 7'!T74+'Юнит 8'!T74+'Юнит 9'!T74</f>
        <v>0</v>
      </c>
      <c r="U74" s="92">
        <f t="shared" si="44"/>
        <v>1</v>
      </c>
      <c r="V74" s="93">
        <f>'Юнит 6'!V74+'Юнит 7'!V74+'Юнит 8'!V74+'Юнит 9'!V74</f>
        <v>502</v>
      </c>
      <c r="W74" s="93">
        <f>'Юнит 6'!W74+'Юнит 7'!W74+'Юнит 8'!W74+'Юнит 9'!W74</f>
        <v>0</v>
      </c>
      <c r="X74" s="92">
        <f t="shared" si="45"/>
        <v>502</v>
      </c>
      <c r="Y74" s="93">
        <f>'Юнит 6'!Y74+'Юнит 7'!Y74+'Юнит 8'!Y74+'Юнит 9'!Y74</f>
        <v>781</v>
      </c>
      <c r="Z74" s="93">
        <f>'Юнит 6'!Z74+'Юнит 7'!Z74+'Юнит 8'!Z74+'Юнит 9'!Z74</f>
        <v>0</v>
      </c>
      <c r="AA74" s="232">
        <f t="shared" si="46"/>
        <v>781</v>
      </c>
      <c r="AB74" s="92">
        <f t="shared" si="54"/>
        <v>781</v>
      </c>
      <c r="AC74" s="234">
        <f t="shared" si="47"/>
        <v>9.216943002871746E-5</v>
      </c>
      <c r="AD74" s="92">
        <f t="shared" si="48"/>
        <v>134.79</v>
      </c>
      <c r="AE74" s="93">
        <f>'Юнит 6'!AE74+'Юнит 7'!AE74+'Юнит 8'!AE74+'Юнит 9'!AE74</f>
        <v>295.20999999999998</v>
      </c>
      <c r="AF74" s="234">
        <f t="shared" si="49"/>
        <v>0.37798975672215107</v>
      </c>
      <c r="AG74" s="93">
        <f>'Юнит 6'!AG74+'Юнит 7'!AG74+'Юнит 8'!AG74+'Юнит 9'!AG74</f>
        <v>140.36000000000001</v>
      </c>
      <c r="AH74" s="93">
        <f>'Юнит 6'!AH74+'Юнит 7'!AH74+'Юнит 8'!AH74+'Юнит 9'!AH74</f>
        <v>0</v>
      </c>
      <c r="AI74" s="93">
        <f>'Юнит 6'!AI74+'Юнит 7'!AI74+'Юнит 8'!AI74+'Юнит 9'!AI74</f>
        <v>0</v>
      </c>
      <c r="AJ74" s="93">
        <f>'Юнит 6'!AJ74+'Юнит 7'!AJ74+'Юнит 8'!AJ74+'Юнит 9'!AJ74</f>
        <v>0</v>
      </c>
      <c r="AK74" s="93">
        <f>'Юнит 6'!AK74+'Юнит 7'!AK74+'Юнит 8'!AK74+'Юнит 9'!AK74</f>
        <v>0</v>
      </c>
      <c r="AL74" s="122">
        <f t="shared" si="50"/>
        <v>0</v>
      </c>
      <c r="AM74" s="93">
        <f>'Юнит 6'!AM74+'Юнит 7'!AM74+'Юнит 8'!AM74+'Юнит 9'!AM74</f>
        <v>0</v>
      </c>
      <c r="AN74" s="325">
        <f t="shared" si="51"/>
        <v>28.186250427450503</v>
      </c>
      <c r="AO74" s="95">
        <f t="shared" si="55"/>
        <v>182.45374957254955</v>
      </c>
      <c r="AP74" s="96"/>
      <c r="AQ74" s="97">
        <f t="shared" si="9"/>
        <v>781</v>
      </c>
      <c r="AR74" s="98">
        <f t="shared" si="30"/>
        <v>134.79</v>
      </c>
      <c r="AS74" s="98">
        <f t="shared" si="11"/>
        <v>295.20999999999998</v>
      </c>
      <c r="AT74" s="98">
        <f t="shared" si="12"/>
        <v>140.36000000000001</v>
      </c>
      <c r="AU74" s="98">
        <f t="shared" si="56"/>
        <v>0</v>
      </c>
      <c r="AV74" s="98">
        <f t="array" ref="AV74">_xlfn.IFS(U74=0,AO74,U74&lt;0,AO74/-U74,U74&gt;0,AO74/U74)</f>
        <v>182.45374957254955</v>
      </c>
      <c r="AW74" s="234">
        <f t="shared" si="41"/>
        <v>0.23361555643092133</v>
      </c>
      <c r="AX74" s="234">
        <f t="shared" si="42"/>
        <v>1.3536148792384417</v>
      </c>
      <c r="AY74" s="99"/>
      <c r="AZ74" s="94">
        <f t="shared" si="15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3"/>
        <v>0</v>
      </c>
      <c r="F75" s="93"/>
      <c r="G75" s="93"/>
      <c r="H75" s="93"/>
      <c r="I75" s="93"/>
      <c r="J75" s="93"/>
      <c r="K75" s="93">
        <v>134.79</v>
      </c>
      <c r="L75" s="92">
        <f t="shared" si="37"/>
        <v>0</v>
      </c>
      <c r="M75" s="89"/>
      <c r="N75" s="93">
        <f>'Юнит 6'!N75+'Юнит 7'!N75+'Юнит 8'!N75+'Юнит 9'!N75</f>
        <v>5</v>
      </c>
      <c r="O75" s="89">
        <v>763</v>
      </c>
      <c r="P75" s="89">
        <v>33</v>
      </c>
      <c r="Q75" s="233">
        <f t="shared" si="52"/>
        <v>0.15625</v>
      </c>
      <c r="R75" s="92">
        <f t="shared" si="53"/>
        <v>3.125E-2</v>
      </c>
      <c r="S75" s="93">
        <f>'Юнит 6'!S75+'Юнит 7'!S75+'Юнит 8'!S75+'Юнит 9'!S75</f>
        <v>2</v>
      </c>
      <c r="T75" s="93">
        <f>'Юнит 6'!T75+'Юнит 7'!T75+'Юнит 8'!T75+'Юнит 9'!T75</f>
        <v>-1</v>
      </c>
      <c r="U75" s="92">
        <f t="shared" si="44"/>
        <v>1</v>
      </c>
      <c r="V75" s="93">
        <f>'Юнит 6'!V75+'Юнит 7'!V75+'Юнит 8'!V75+'Юнит 9'!V75</f>
        <v>926</v>
      </c>
      <c r="W75" s="93">
        <f>'Юнит 6'!W75+'Юнит 7'!W75+'Юнит 8'!W75+'Юнит 9'!W75</f>
        <v>-470</v>
      </c>
      <c r="X75" s="92">
        <f t="shared" si="45"/>
        <v>456</v>
      </c>
      <c r="Y75" s="93">
        <f>'Юнит 6'!Y75+'Юнит 7'!Y75+'Юнит 8'!Y75+'Юнит 9'!Y75</f>
        <v>1480.22</v>
      </c>
      <c r="Z75" s="93">
        <f>'Юнит 6'!Z75+'Юнит 7'!Z75+'Юнит 8'!Z75+'Юнит 9'!Z75</f>
        <v>-740.11</v>
      </c>
      <c r="AA75" s="232">
        <f t="shared" si="46"/>
        <v>740.11</v>
      </c>
      <c r="AB75" s="92">
        <f t="shared" si="54"/>
        <v>1258.95</v>
      </c>
      <c r="AC75" s="234">
        <f t="shared" si="47"/>
        <v>8.7343811598660789E-5</v>
      </c>
      <c r="AD75" s="92">
        <f t="shared" si="48"/>
        <v>134.79</v>
      </c>
      <c r="AE75" s="93">
        <f>'Юнит 6'!AE75+'Юнит 7'!AE75+'Юнит 8'!AE75+'Юнит 9'!AE75</f>
        <v>275.7</v>
      </c>
      <c r="AF75" s="234">
        <f t="shared" si="49"/>
        <v>0.3725121941333045</v>
      </c>
      <c r="AG75" s="93">
        <f>'Юнит 6'!AG75+'Юнит 7'!AG75+'Юнит 8'!AG75+'Юнит 9'!AG75</f>
        <v>372.13</v>
      </c>
      <c r="AH75" s="93">
        <f>'Юнит 6'!AH75+'Юнит 7'!AH75+'Юнит 8'!AH75+'Юнит 9'!AH75</f>
        <v>0</v>
      </c>
      <c r="AI75" s="93">
        <f>'Юнит 6'!AI75+'Юнит 7'!AI75+'Юнит 8'!AI75+'Юнит 9'!AI75</f>
        <v>0</v>
      </c>
      <c r="AJ75" s="93">
        <f>'Юнит 6'!AJ75+'Юнит 7'!AJ75+'Юнит 8'!AJ75+'Юнит 9'!AJ75</f>
        <v>0</v>
      </c>
      <c r="AK75" s="93">
        <f>'Юнит 6'!AK75+'Юнит 7'!AK75+'Юнит 8'!AK75+'Юнит 9'!AK75</f>
        <v>0</v>
      </c>
      <c r="AL75" s="122">
        <f t="shared" si="50"/>
        <v>0</v>
      </c>
      <c r="AM75" s="93">
        <f>'Юнит 6'!AM75+'Юнит 7'!AM75+'Юнит 8'!AM75+'Юнит 9'!AM75</f>
        <v>0</v>
      </c>
      <c r="AN75" s="325">
        <f t="shared" si="51"/>
        <v>25.603446603421176</v>
      </c>
      <c r="AO75" s="95">
        <f t="shared" si="55"/>
        <v>-68.11344660342111</v>
      </c>
      <c r="AP75" s="96"/>
      <c r="AQ75" s="97">
        <f t="shared" si="9"/>
        <v>740.11</v>
      </c>
      <c r="AR75" s="98">
        <f t="shared" si="30"/>
        <v>134.79</v>
      </c>
      <c r="AS75" s="98">
        <f t="shared" si="11"/>
        <v>275.7</v>
      </c>
      <c r="AT75" s="98">
        <f t="shared" si="12"/>
        <v>186.065</v>
      </c>
      <c r="AU75" s="98">
        <f t="shared" si="56"/>
        <v>0</v>
      </c>
      <c r="AV75" s="98">
        <f t="array" ref="AV75">_xlfn.IFS(U75=0,AO75,U75&lt;0,AO75/-U75,U75&gt;0,AO75/U75)</f>
        <v>-68.11344660342111</v>
      </c>
      <c r="AW75" s="234">
        <f t="shared" si="41"/>
        <v>-9.2031517751984315E-2</v>
      </c>
      <c r="AX75" s="234">
        <f t="shared" si="42"/>
        <v>-0.50533011798665417</v>
      </c>
      <c r="AY75" s="99"/>
      <c r="AZ75" s="94">
        <f t="shared" si="15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3"/>
        <v>0</v>
      </c>
      <c r="F76" s="93"/>
      <c r="G76" s="93"/>
      <c r="H76" s="93"/>
      <c r="I76" s="93"/>
      <c r="J76" s="93"/>
      <c r="K76" s="93">
        <v>123.09</v>
      </c>
      <c r="L76" s="92">
        <f t="shared" si="37"/>
        <v>0</v>
      </c>
      <c r="M76" s="89"/>
      <c r="N76" s="93">
        <f>'Юнит 6'!N76+'Юнит 7'!N76+'Юнит 8'!N76+'Юнит 9'!N76</f>
        <v>14</v>
      </c>
      <c r="O76" s="89">
        <v>1050</v>
      </c>
      <c r="P76" s="89">
        <v>8</v>
      </c>
      <c r="Q76" s="233">
        <f t="shared" si="52"/>
        <v>0.4375</v>
      </c>
      <c r="R76" s="92">
        <f t="shared" si="53"/>
        <v>3.125E-2</v>
      </c>
      <c r="S76" s="93">
        <f>'Юнит 6'!S76+'Юнит 7'!S76+'Юнит 8'!S76+'Юнит 9'!S76</f>
        <v>3</v>
      </c>
      <c r="T76" s="93">
        <f>'Юнит 6'!T76+'Юнит 7'!T76+'Юнит 8'!T76+'Юнит 9'!T76</f>
        <v>-2</v>
      </c>
      <c r="U76" s="92">
        <f t="shared" si="44"/>
        <v>1</v>
      </c>
      <c r="V76" s="93">
        <f>'Юнит 6'!V76+'Юнит 7'!V76+'Юнит 8'!V76+'Юнит 9'!V76</f>
        <v>2029</v>
      </c>
      <c r="W76" s="93">
        <f>'Юнит 6'!W76+'Юнит 7'!W76+'Юнит 8'!W76+'Юнит 9'!W76</f>
        <v>-1339</v>
      </c>
      <c r="X76" s="92">
        <f t="shared" si="45"/>
        <v>690</v>
      </c>
      <c r="Y76" s="93">
        <f>'Юнит 6'!Y76+'Юнит 7'!Y76+'Юнит 8'!Y76+'Юнит 9'!Y76</f>
        <v>3150</v>
      </c>
      <c r="Z76" s="93">
        <f>'Юнит 6'!Z76+'Юнит 7'!Z76+'Юнит 8'!Z76+'Юнит 9'!Z76</f>
        <v>-2100</v>
      </c>
      <c r="AA76" s="232">
        <f t="shared" si="46"/>
        <v>1050</v>
      </c>
      <c r="AB76" s="92">
        <f t="shared" si="54"/>
        <v>1176</v>
      </c>
      <c r="AC76" s="234">
        <f t="shared" si="47"/>
        <v>1.2391536687599659E-4</v>
      </c>
      <c r="AD76" s="92">
        <f t="shared" si="48"/>
        <v>123.09</v>
      </c>
      <c r="AE76" s="93">
        <f>'Юнит 6'!AE76+'Юнит 7'!AE76+'Юнит 8'!AE76+'Юнит 9'!AE76</f>
        <v>392.54999999999995</v>
      </c>
      <c r="AF76" s="234">
        <f t="shared" si="49"/>
        <v>0.37385714285714283</v>
      </c>
      <c r="AG76" s="93">
        <f>'Юнит 6'!AG76+'Юнит 7'!AG76+'Юнит 8'!AG76+'Юнит 9'!AG76</f>
        <v>1311.32</v>
      </c>
      <c r="AH76" s="93">
        <f>'Юнит 6'!AH76+'Юнит 7'!AH76+'Юнит 8'!AH76+'Юнит 9'!AH76</f>
        <v>0</v>
      </c>
      <c r="AI76" s="93">
        <f>'Юнит 6'!AI76+'Юнит 7'!AI76+'Юнит 8'!AI76+'Юнит 9'!AI76</f>
        <v>0</v>
      </c>
      <c r="AJ76" s="93">
        <f>'Юнит 6'!AJ76+'Юнит 7'!AJ76+'Юнит 8'!AJ76+'Юнит 9'!AJ76</f>
        <v>0</v>
      </c>
      <c r="AK76" s="93">
        <f>'Юнит 6'!AK76+'Юнит 7'!AK76+'Юнит 8'!AK76+'Юнит 9'!AK76</f>
        <v>0</v>
      </c>
      <c r="AL76" s="122">
        <f t="shared" si="50"/>
        <v>0</v>
      </c>
      <c r="AM76" s="93">
        <f>'Юнит 6'!AM76+'Юнит 7'!AM76+'Юнит 8'!AM76+'Юнит 9'!AM76</f>
        <v>0</v>
      </c>
      <c r="AN76" s="325">
        <f t="shared" si="51"/>
        <v>38.742057360439929</v>
      </c>
      <c r="AO76" s="95">
        <f t="shared" si="55"/>
        <v>-815.70205736043988</v>
      </c>
      <c r="AP76" s="96"/>
      <c r="AQ76" s="97">
        <f t="shared" si="9"/>
        <v>1050</v>
      </c>
      <c r="AR76" s="98">
        <f t="shared" si="30"/>
        <v>123.09</v>
      </c>
      <c r="AS76" s="98">
        <f t="shared" si="11"/>
        <v>392.54999999999995</v>
      </c>
      <c r="AT76" s="98">
        <f t="shared" si="12"/>
        <v>437.10666666666663</v>
      </c>
      <c r="AU76" s="98">
        <f t="shared" si="56"/>
        <v>0</v>
      </c>
      <c r="AV76" s="98">
        <f t="array" ref="AV76">_xlfn.IFS(U76=0,AO76,U76&lt;0,AO76/-U76,U76&gt;0,AO76/U76)</f>
        <v>-815.70205736043988</v>
      </c>
      <c r="AW76" s="234">
        <f t="shared" si="41"/>
        <v>-0.776859102248038</v>
      </c>
      <c r="AX76" s="234">
        <f t="shared" si="42"/>
        <v>-6.6268751105730752</v>
      </c>
      <c r="AY76" s="99"/>
      <c r="AZ76" s="94">
        <f t="shared" si="15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3"/>
        <v>0</v>
      </c>
      <c r="F77" s="93"/>
      <c r="G77" s="93"/>
      <c r="H77" s="93"/>
      <c r="I77" s="93"/>
      <c r="J77" s="93"/>
      <c r="K77" s="93">
        <v>123.09</v>
      </c>
      <c r="L77" s="92">
        <f t="shared" si="37"/>
        <v>0</v>
      </c>
      <c r="M77" s="89"/>
      <c r="N77" s="93">
        <f>'Юнит 6'!N77+'Юнит 7'!N77+'Юнит 8'!N77+'Юнит 9'!N77</f>
        <v>2</v>
      </c>
      <c r="O77" s="89">
        <v>1150</v>
      </c>
      <c r="P77" s="89">
        <v>0</v>
      </c>
      <c r="Q77" s="233">
        <f t="shared" si="52"/>
        <v>6.25E-2</v>
      </c>
      <c r="R77" s="92">
        <f t="shared" si="53"/>
        <v>0</v>
      </c>
      <c r="S77" s="93">
        <f>'Юнит 6'!S77+'Юнит 7'!S77+'Юнит 8'!S77+'Юнит 9'!S77</f>
        <v>0</v>
      </c>
      <c r="T77" s="93">
        <f>'Юнит 6'!T77+'Юнит 7'!T77+'Юнит 8'!T77+'Юнит 9'!T77</f>
        <v>0</v>
      </c>
      <c r="U77" s="92">
        <f t="shared" si="44"/>
        <v>0</v>
      </c>
      <c r="V77" s="93">
        <f>'Юнит 6'!V77+'Юнит 7'!V77+'Юнит 8'!V77+'Юнит 9'!V77</f>
        <v>0</v>
      </c>
      <c r="W77" s="93">
        <f>'Юнит 6'!W77+'Юнит 7'!W77+'Юнит 8'!W77+'Юнит 9'!W77</f>
        <v>0</v>
      </c>
      <c r="X77" s="92">
        <f t="shared" si="45"/>
        <v>0</v>
      </c>
      <c r="Y77" s="93">
        <f>'Юнит 6'!Y77+'Юнит 7'!Y77+'Юнит 8'!Y77+'Юнит 9'!Y77</f>
        <v>0</v>
      </c>
      <c r="Z77" s="93">
        <f>'Юнит 6'!Z77+'Юнит 7'!Z77+'Юнит 8'!Z77+'Юнит 9'!Z77</f>
        <v>0</v>
      </c>
      <c r="AA77" s="232">
        <f t="shared" si="46"/>
        <v>0</v>
      </c>
      <c r="AB77" s="92">
        <f t="shared" si="54"/>
        <v>0</v>
      </c>
      <c r="AC77" s="234">
        <f t="shared" si="47"/>
        <v>0</v>
      </c>
      <c r="AD77" s="92">
        <f t="shared" si="48"/>
        <v>0</v>
      </c>
      <c r="AE77" s="93">
        <f>'Юнит 6'!AE77+'Юнит 7'!AE77+'Юнит 8'!AE77+'Юнит 9'!AE77</f>
        <v>0</v>
      </c>
      <c r="AF77" s="234">
        <f t="shared" si="49"/>
        <v>0</v>
      </c>
      <c r="AG77" s="93">
        <f>'Юнит 6'!AG77+'Юнит 7'!AG77+'Юнит 8'!AG77+'Юнит 9'!AG77</f>
        <v>115.07</v>
      </c>
      <c r="AH77" s="93">
        <f>'Юнит 6'!AH77+'Юнит 7'!AH77+'Юнит 8'!AH77+'Юнит 9'!AH77</f>
        <v>0</v>
      </c>
      <c r="AI77" s="93">
        <f>'Юнит 6'!AI77+'Юнит 7'!AI77+'Юнит 8'!AI77+'Юнит 9'!AI77</f>
        <v>0</v>
      </c>
      <c r="AJ77" s="93">
        <f>'Юнит 6'!AJ77+'Юнит 7'!AJ77+'Юнит 8'!AJ77+'Юнит 9'!AJ77</f>
        <v>0</v>
      </c>
      <c r="AK77" s="93">
        <f>'Юнит 6'!AK77+'Юнит 7'!AK77+'Юнит 8'!AK77+'Юнит 9'!AK77</f>
        <v>0</v>
      </c>
      <c r="AL77" s="122">
        <f t="shared" si="50"/>
        <v>0</v>
      </c>
      <c r="AM77" s="93">
        <f>'Юнит 6'!AM77+'Юнит 7'!AM77+'Юнит 8'!AM77+'Юнит 9'!AM77</f>
        <v>0</v>
      </c>
      <c r="AN77" s="325">
        <f t="shared" si="51"/>
        <v>0</v>
      </c>
      <c r="AO77" s="95">
        <f t="shared" si="55"/>
        <v>-115.07</v>
      </c>
      <c r="AP77" s="96"/>
      <c r="AQ77" s="97">
        <f t="shared" si="9"/>
        <v>0</v>
      </c>
      <c r="AR77" s="98">
        <f t="shared" si="30"/>
        <v>123.09</v>
      </c>
      <c r="AS77" s="98">
        <f t="shared" si="11"/>
        <v>0</v>
      </c>
      <c r="AT77" s="98">
        <f t="shared" si="12"/>
        <v>115.07</v>
      </c>
      <c r="AU77" s="98">
        <f t="shared" si="56"/>
        <v>0</v>
      </c>
      <c r="AV77" s="98">
        <f t="array" ref="AV77">_xlfn.IFS(U77=0,AO77,U77&lt;0,AO77/-U77,U77&gt;0,AO77/U77)</f>
        <v>-115.07</v>
      </c>
      <c r="AW77" s="234">
        <f t="shared" si="41"/>
        <v>0</v>
      </c>
      <c r="AX77" s="234">
        <f t="shared" si="42"/>
        <v>-0.93484442278007951</v>
      </c>
      <c r="AY77" s="99"/>
      <c r="AZ77" s="94">
        <f t="shared" si="15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3"/>
        <v>0</v>
      </c>
      <c r="F78" s="93"/>
      <c r="G78" s="93"/>
      <c r="H78" s="93"/>
      <c r="I78" s="93"/>
      <c r="J78" s="93"/>
      <c r="K78" s="93">
        <v>123.09</v>
      </c>
      <c r="L78" s="92">
        <f t="shared" si="37"/>
        <v>0</v>
      </c>
      <c r="M78" s="89"/>
      <c r="N78" s="93">
        <f>'Юнит 6'!N78+'Юнит 7'!N78+'Юнит 8'!N78+'Юнит 9'!N78</f>
        <v>16</v>
      </c>
      <c r="O78" s="89">
        <v>1066</v>
      </c>
      <c r="P78" s="89">
        <v>27</v>
      </c>
      <c r="Q78" s="233">
        <f t="shared" si="52"/>
        <v>0.5</v>
      </c>
      <c r="R78" s="92">
        <f t="shared" si="53"/>
        <v>0.125</v>
      </c>
      <c r="S78" s="93">
        <f>'Юнит 6'!S78+'Юнит 7'!S78+'Юнит 8'!S78+'Юнит 9'!S78</f>
        <v>4</v>
      </c>
      <c r="T78" s="93">
        <f>'Юнит 6'!T78+'Юнит 7'!T78+'Юнит 8'!T78+'Юнит 9'!T78</f>
        <v>0</v>
      </c>
      <c r="U78" s="92">
        <f t="shared" si="44"/>
        <v>4</v>
      </c>
      <c r="V78" s="93">
        <f>'Юнит 6'!V78+'Юнит 7'!V78+'Юнит 8'!V78+'Юнит 9'!V78</f>
        <v>2801</v>
      </c>
      <c r="W78" s="93">
        <f>'Юнит 6'!W78+'Юнит 7'!W78+'Юнит 8'!W78+'Юнит 9'!W78</f>
        <v>0</v>
      </c>
      <c r="X78" s="92">
        <f t="shared" si="45"/>
        <v>2801</v>
      </c>
      <c r="Y78" s="93">
        <f>'Юнит 6'!Y78+'Юнит 7'!Y78+'Юнит 8'!Y78+'Юнит 9'!Y78</f>
        <v>4450</v>
      </c>
      <c r="Z78" s="93">
        <f>'Юнит 6'!Z78+'Юнит 7'!Z78+'Юнит 8'!Z78+'Юнит 9'!Z78</f>
        <v>0</v>
      </c>
      <c r="AA78" s="232">
        <f t="shared" si="46"/>
        <v>4450</v>
      </c>
      <c r="AB78" s="92">
        <f t="shared" si="54"/>
        <v>4605.12</v>
      </c>
      <c r="AC78" s="234">
        <f t="shared" si="47"/>
        <v>5.2516512628398551E-4</v>
      </c>
      <c r="AD78" s="92">
        <f t="shared" si="48"/>
        <v>492.36</v>
      </c>
      <c r="AE78" s="93">
        <f>'Юнит 6'!AE78+'Юнит 7'!AE78+'Юнит 8'!AE78+'Юнит 9'!AE78</f>
        <v>1652.11</v>
      </c>
      <c r="AF78" s="234">
        <f t="shared" si="49"/>
        <v>0.37126067415730335</v>
      </c>
      <c r="AG78" s="93">
        <f>'Юнит 6'!AG78+'Юнит 7'!AG78+'Юнит 8'!AG78+'Юнит 9'!AG78</f>
        <v>1156.83</v>
      </c>
      <c r="AH78" s="93">
        <f>'Юнит 6'!AH78+'Юнит 7'!AH78+'Юнит 8'!AH78+'Юнит 9'!AH78</f>
        <v>0</v>
      </c>
      <c r="AI78" s="93">
        <f>'Юнит 6'!AI78+'Юнит 7'!AI78+'Юнит 8'!AI78+'Юнит 9'!AI78</f>
        <v>0</v>
      </c>
      <c r="AJ78" s="93">
        <f>'Юнит 6'!AJ78+'Юнит 7'!AJ78+'Юнит 8'!AJ78+'Юнит 9'!AJ78</f>
        <v>0</v>
      </c>
      <c r="AK78" s="93">
        <f>'Юнит 6'!AK78+'Юнит 7'!AK78+'Юнит 8'!AK78+'Юнит 9'!AK78</f>
        <v>0</v>
      </c>
      <c r="AL78" s="122">
        <f t="shared" si="50"/>
        <v>0</v>
      </c>
      <c r="AM78" s="93">
        <f>'Юнит 6'!AM78+'Юнит 7'!AM78+'Юнит 8'!AM78+'Юнит 9'!AM78</f>
        <v>0</v>
      </c>
      <c r="AN78" s="325">
        <f t="shared" si="51"/>
        <v>157.27029371969891</v>
      </c>
      <c r="AO78" s="95">
        <f t="shared" si="55"/>
        <v>991.42970628030093</v>
      </c>
      <c r="AP78" s="96"/>
      <c r="AQ78" s="97">
        <f t="shared" si="9"/>
        <v>1112.5</v>
      </c>
      <c r="AR78" s="98">
        <f t="shared" si="30"/>
        <v>123.09</v>
      </c>
      <c r="AS78" s="98">
        <f t="shared" si="11"/>
        <v>413.02749999999997</v>
      </c>
      <c r="AT78" s="98">
        <f t="shared" si="12"/>
        <v>289.20749999999998</v>
      </c>
      <c r="AU78" s="98">
        <f t="shared" si="56"/>
        <v>0</v>
      </c>
      <c r="AV78" s="98">
        <f t="array" ref="AV78">_xlfn.IFS(U78=0,AO78,U78&lt;0,AO78/-U78,U78&gt;0,AO78/U78)</f>
        <v>247.85742657007523</v>
      </c>
      <c r="AW78" s="234">
        <f t="shared" si="41"/>
        <v>0.22279319242253953</v>
      </c>
      <c r="AX78" s="234">
        <f t="shared" si="42"/>
        <v>2.0136276429447983</v>
      </c>
      <c r="AY78" s="99"/>
      <c r="AZ78" s="94">
        <f t="shared" si="15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3"/>
        <v>0</v>
      </c>
      <c r="F79" s="93"/>
      <c r="G79" s="93"/>
      <c r="H79" s="93"/>
      <c r="I79" s="93"/>
      <c r="J79" s="93"/>
      <c r="K79" s="93">
        <v>164.04</v>
      </c>
      <c r="L79" s="92">
        <f t="shared" si="37"/>
        <v>0</v>
      </c>
      <c r="M79" s="89"/>
      <c r="N79" s="93">
        <f>'Юнит 6'!N79+'Юнит 7'!N79+'Юнит 8'!N79+'Юнит 9'!N79</f>
        <v>6</v>
      </c>
      <c r="O79" s="89">
        <v>1500</v>
      </c>
      <c r="P79" s="89">
        <v>25</v>
      </c>
      <c r="Q79" s="233">
        <f t="shared" si="52"/>
        <v>0.1875</v>
      </c>
      <c r="R79" s="92">
        <f t="shared" si="53"/>
        <v>3.125E-2</v>
      </c>
      <c r="S79" s="93">
        <f>'Юнит 6'!S79+'Юнит 7'!S79+'Юнит 8'!S79+'Юнит 9'!S79</f>
        <v>2</v>
      </c>
      <c r="T79" s="93">
        <f>'Юнит 6'!T79+'Юнит 7'!T79+'Юнит 8'!T79+'Юнит 9'!T79</f>
        <v>-1</v>
      </c>
      <c r="U79" s="92">
        <f t="shared" si="44"/>
        <v>1</v>
      </c>
      <c r="V79" s="93">
        <f>'Юнит 6'!V79+'Юнит 7'!V79+'Юнит 8'!V79+'Юнит 9'!V79</f>
        <v>1842</v>
      </c>
      <c r="W79" s="93">
        <f>'Юнит 6'!W79+'Юнит 7'!W79+'Юнит 8'!W79+'Юнит 9'!W79</f>
        <v>-901</v>
      </c>
      <c r="X79" s="92">
        <f t="shared" si="45"/>
        <v>941</v>
      </c>
      <c r="Y79" s="93">
        <f>'Юнит 6'!Y79+'Юнит 7'!Y79+'Юнит 8'!Y79+'Юнит 9'!Y79</f>
        <v>2955</v>
      </c>
      <c r="Z79" s="93">
        <f>'Юнит 6'!Z79+'Юнит 7'!Z79+'Юнит 8'!Z79+'Юнит 9'!Z79</f>
        <v>-1455</v>
      </c>
      <c r="AA79" s="232">
        <f t="shared" si="46"/>
        <v>1500</v>
      </c>
      <c r="AB79" s="92">
        <f t="shared" si="54"/>
        <v>2250</v>
      </c>
      <c r="AC79" s="234">
        <f t="shared" si="47"/>
        <v>1.7702195267999511E-4</v>
      </c>
      <c r="AD79" s="92">
        <f t="shared" si="48"/>
        <v>164.04</v>
      </c>
      <c r="AE79" s="93">
        <f>'Юнит 6'!AE79+'Юнит 7'!AE79+'Юнит 8'!AE79+'Юнит 9'!AE79</f>
        <v>548.98</v>
      </c>
      <c r="AF79" s="234">
        <f t="shared" si="49"/>
        <v>0.36598666666666668</v>
      </c>
      <c r="AG79" s="93">
        <f>'Юнит 6'!AG79+'Юнит 7'!AG79+'Юнит 8'!AG79+'Юнит 9'!AG79</f>
        <v>574.97</v>
      </c>
      <c r="AH79" s="93">
        <f>'Юнит 6'!AH79+'Юнит 7'!AH79+'Юнит 8'!AH79+'Юнит 9'!AH79</f>
        <v>0</v>
      </c>
      <c r="AI79" s="93">
        <f>'Юнит 6'!AI79+'Юнит 7'!AI79+'Юнит 8'!AI79+'Юнит 9'!AI79</f>
        <v>0</v>
      </c>
      <c r="AJ79" s="93">
        <f>'Юнит 6'!AJ79+'Юнит 7'!AJ79+'Юнит 8'!AJ79+'Юнит 9'!AJ79</f>
        <v>0</v>
      </c>
      <c r="AK79" s="93">
        <f>'Юнит 6'!AK79+'Юнит 7'!AK79+'Юнит 8'!AK79+'Юнит 9'!AK79</f>
        <v>0</v>
      </c>
      <c r="AL79" s="122">
        <f t="shared" si="50"/>
        <v>0</v>
      </c>
      <c r="AM79" s="93">
        <f>'Юнит 6'!AM79+'Юнит 7'!AM79+'Юнит 8'!AM79+'Юнит 9'!AM79</f>
        <v>0</v>
      </c>
      <c r="AN79" s="325">
        <f t="shared" si="51"/>
        <v>52.835182574165188</v>
      </c>
      <c r="AO79" s="95">
        <f t="shared" si="55"/>
        <v>159.17481742583482</v>
      </c>
      <c r="AP79" s="96"/>
      <c r="AQ79" s="97">
        <f t="shared" si="9"/>
        <v>1500</v>
      </c>
      <c r="AR79" s="98">
        <f t="shared" si="30"/>
        <v>164.04</v>
      </c>
      <c r="AS79" s="98">
        <f t="shared" si="11"/>
        <v>548.98</v>
      </c>
      <c r="AT79" s="98">
        <f t="shared" si="12"/>
        <v>287.48500000000001</v>
      </c>
      <c r="AU79" s="98">
        <f t="shared" si="56"/>
        <v>0</v>
      </c>
      <c r="AV79" s="98">
        <f t="array" ref="AV79">_xlfn.IFS(U79=0,AO79,U79&lt;0,AO79/-U79,U79&gt;0,AO79/U79)</f>
        <v>159.17481742583482</v>
      </c>
      <c r="AW79" s="234">
        <f t="shared" si="41"/>
        <v>0.10611654495055654</v>
      </c>
      <c r="AX79" s="234">
        <f t="shared" si="42"/>
        <v>0.97034148638036344</v>
      </c>
      <c r="AY79" s="99"/>
      <c r="AZ79" s="94">
        <f t="shared" si="15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3"/>
        <v>0</v>
      </c>
      <c r="F80" s="93"/>
      <c r="G80" s="93"/>
      <c r="H80" s="93"/>
      <c r="I80" s="93"/>
      <c r="J80" s="93"/>
      <c r="K80" s="93">
        <v>164.04</v>
      </c>
      <c r="L80" s="92">
        <f t="shared" si="37"/>
        <v>0</v>
      </c>
      <c r="M80" s="89"/>
      <c r="N80" s="93">
        <f>'Юнит 6'!N80+'Юнит 7'!N80+'Юнит 8'!N80+'Юнит 9'!N80</f>
        <v>23</v>
      </c>
      <c r="O80" s="89">
        <v>1123</v>
      </c>
      <c r="P80" s="89">
        <v>33</v>
      </c>
      <c r="Q80" s="233">
        <f t="shared" si="52"/>
        <v>0.71875</v>
      </c>
      <c r="R80" s="92">
        <f t="shared" si="53"/>
        <v>0.1875</v>
      </c>
      <c r="S80" s="93">
        <f>'Юнит 6'!S80+'Юнит 7'!S80+'Юнит 8'!S80+'Юнит 9'!S80</f>
        <v>6</v>
      </c>
      <c r="T80" s="93">
        <f>'Юнит 6'!T80+'Юнит 7'!T80+'Юнит 8'!T80+'Юнит 9'!T80</f>
        <v>0</v>
      </c>
      <c r="U80" s="92">
        <f t="shared" si="44"/>
        <v>6</v>
      </c>
      <c r="V80" s="93">
        <f>'Юнит 6'!V80+'Юнит 7'!V80+'Юнит 8'!V80+'Юнит 9'!V80</f>
        <v>4201.21</v>
      </c>
      <c r="W80" s="93">
        <f>'Юнит 6'!W80+'Юнит 7'!W80+'Юнит 8'!W80+'Юнит 9'!W80</f>
        <v>0</v>
      </c>
      <c r="X80" s="92">
        <f t="shared" si="45"/>
        <v>4201.21</v>
      </c>
      <c r="Y80" s="93">
        <f>'Юнит 6'!Y80+'Юнит 7'!Y80+'Юнит 8'!Y80+'Юнит 9'!Y80</f>
        <v>6447.6</v>
      </c>
      <c r="Z80" s="93">
        <f>'Юнит 6'!Z80+'Юнит 7'!Z80+'Юнит 8'!Z80+'Юнит 9'!Z80</f>
        <v>0</v>
      </c>
      <c r="AA80" s="232">
        <f t="shared" si="46"/>
        <v>6447.6</v>
      </c>
      <c r="AB80" s="92">
        <f t="shared" si="54"/>
        <v>8523.57</v>
      </c>
      <c r="AC80" s="234">
        <f t="shared" si="47"/>
        <v>7.60911161399691E-4</v>
      </c>
      <c r="AD80" s="92">
        <f t="shared" si="48"/>
        <v>984.24</v>
      </c>
      <c r="AE80" s="93">
        <f>'Юнит 6'!AE80+'Юнит 7'!AE80+'Юнит 8'!AE80+'Юнит 9'!AE80</f>
        <v>2430.67</v>
      </c>
      <c r="AF80" s="234">
        <f t="shared" si="49"/>
        <v>0.37698833674545568</v>
      </c>
      <c r="AG80" s="93">
        <f>'Юнит 6'!AG80+'Юнит 7'!AG80+'Юнит 8'!AG80+'Юнит 9'!AG80</f>
        <v>1724.8899999999999</v>
      </c>
      <c r="AH80" s="93">
        <f>'Юнит 6'!AH80+'Юнит 7'!AH80+'Юнит 8'!AH80+'Юнит 9'!AH80</f>
        <v>2095</v>
      </c>
      <c r="AI80" s="93">
        <f>'Юнит 6'!AI80+'Юнит 7'!AI80+'Юнит 8'!AI80+'Юнит 9'!AI80</f>
        <v>3675</v>
      </c>
      <c r="AJ80" s="93">
        <f>'Юнит 6'!AJ80+'Юнит 7'!AJ80+'Юнит 8'!AJ80+'Юнит 9'!AJ80</f>
        <v>0</v>
      </c>
      <c r="AK80" s="93">
        <f>'Юнит 6'!AK80+'Юнит 7'!AK80+'Юнит 8'!AK80+'Юнит 9'!AK80</f>
        <v>0</v>
      </c>
      <c r="AL80" s="122">
        <f t="shared" si="50"/>
        <v>0</v>
      </c>
      <c r="AM80" s="93">
        <f>'Юнит 6'!AM80+'Юнит 7'!AM80+'Юнит 8'!AM80+'Юнит 9'!AM80</f>
        <v>0</v>
      </c>
      <c r="AN80" s="325">
        <f t="shared" si="51"/>
        <v>235.88915768587518</v>
      </c>
      <c r="AO80" s="95">
        <f t="shared" si="55"/>
        <v>-4698.0891576858739</v>
      </c>
      <c r="AP80" s="96"/>
      <c r="AQ80" s="97">
        <f t="shared" si="9"/>
        <v>1074.6000000000001</v>
      </c>
      <c r="AR80" s="98">
        <f t="shared" si="30"/>
        <v>164.04</v>
      </c>
      <c r="AS80" s="98">
        <f t="shared" si="11"/>
        <v>405.11166666666668</v>
      </c>
      <c r="AT80" s="98">
        <f t="shared" si="12"/>
        <v>287.48166666666663</v>
      </c>
      <c r="AU80" s="98">
        <f t="shared" si="56"/>
        <v>961.66666666666663</v>
      </c>
      <c r="AV80" s="98">
        <f t="array" ref="AV80">_xlfn.IFS(U80=0,AO80,U80&lt;0,AO80/-U80,U80&gt;0,AO80/U80)</f>
        <v>-783.01485961431229</v>
      </c>
      <c r="AW80" s="234">
        <f t="shared" si="41"/>
        <v>-0.72865704412275467</v>
      </c>
      <c r="AX80" s="234">
        <f t="shared" si="42"/>
        <v>-4.7733166277390415</v>
      </c>
      <c r="AY80" s="99"/>
      <c r="AZ80" s="94">
        <f t="shared" si="15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3"/>
        <v>0</v>
      </c>
      <c r="F81" s="93"/>
      <c r="G81" s="93"/>
      <c r="H81" s="93"/>
      <c r="I81" s="93"/>
      <c r="J81" s="93"/>
      <c r="K81" s="93">
        <v>128.94</v>
      </c>
      <c r="L81" s="92">
        <f t="shared" si="37"/>
        <v>0</v>
      </c>
      <c r="M81" s="89"/>
      <c r="N81" s="93">
        <f>'Юнит 6'!N81+'Юнит 7'!N81+'Юнит 8'!N81+'Юнит 9'!N81</f>
        <v>54</v>
      </c>
      <c r="O81" s="89">
        <v>1187</v>
      </c>
      <c r="P81" s="89">
        <v>36</v>
      </c>
      <c r="Q81" s="233">
        <f t="shared" si="52"/>
        <v>1.6875</v>
      </c>
      <c r="R81" s="92">
        <f t="shared" si="53"/>
        <v>0.5</v>
      </c>
      <c r="S81" s="93">
        <f>'Юнит 6'!S81+'Юнит 7'!S81+'Юнит 8'!S81+'Юнит 9'!S81</f>
        <v>17</v>
      </c>
      <c r="T81" s="93">
        <f>'Юнит 6'!T81+'Юнит 7'!T81+'Юнит 8'!T81+'Юнит 9'!T81</f>
        <v>-1</v>
      </c>
      <c r="U81" s="92">
        <f t="shared" si="44"/>
        <v>16</v>
      </c>
      <c r="V81" s="93">
        <f>'Юнит 6'!V81+'Юнит 7'!V81+'Юнит 8'!V81+'Юнит 9'!V81</f>
        <v>12576</v>
      </c>
      <c r="W81" s="93">
        <f>'Юнит 6'!W81+'Юнит 7'!W81+'Юнит 8'!W81+'Юнит 9'!W81</f>
        <v>-798</v>
      </c>
      <c r="X81" s="92">
        <f t="shared" si="45"/>
        <v>11778</v>
      </c>
      <c r="Y81" s="93">
        <f>'Юнит 6'!Y81+'Юнит 7'!Y81+'Юнит 8'!Y81+'Юнит 9'!Y81</f>
        <v>20359</v>
      </c>
      <c r="Z81" s="93">
        <f>'Юнит 6'!Z81+'Юнит 7'!Z81+'Юнит 8'!Z81+'Юнит 9'!Z81</f>
        <v>-1271</v>
      </c>
      <c r="AA81" s="232">
        <f t="shared" si="46"/>
        <v>19088</v>
      </c>
      <c r="AB81" s="92">
        <f t="shared" si="54"/>
        <v>23075.279999999999</v>
      </c>
      <c r="AC81" s="234">
        <f t="shared" si="47"/>
        <v>2.2526633551704978E-3</v>
      </c>
      <c r="AD81" s="92">
        <f t="shared" si="48"/>
        <v>2063.04</v>
      </c>
      <c r="AE81" s="93">
        <f>'Юнит 6'!AE81+'Юнит 7'!AE81+'Юнит 8'!AE81+'Юнит 9'!AE81</f>
        <v>7076.9299999999994</v>
      </c>
      <c r="AF81" s="234">
        <f t="shared" si="49"/>
        <v>0.37075282900251466</v>
      </c>
      <c r="AG81" s="93">
        <f>'Юнит 6'!AG81+'Юнит 7'!AG81+'Юнит 8'!AG81+'Юнит 9'!AG81</f>
        <v>3895.4999999999995</v>
      </c>
      <c r="AH81" s="93">
        <f>'Юнит 6'!AH81+'Юнит 7'!AH81+'Юнит 8'!AH81+'Юнит 9'!AH81</f>
        <v>6176</v>
      </c>
      <c r="AI81" s="93">
        <f>'Юнит 6'!AI81+'Юнит 7'!AI81+'Юнит 8'!AI81+'Юнит 9'!AI81</f>
        <v>8000</v>
      </c>
      <c r="AJ81" s="93">
        <f>'Юнит 6'!AJ81+'Юнит 7'!AJ81+'Юнит 8'!AJ81+'Юнит 9'!AJ81</f>
        <v>0</v>
      </c>
      <c r="AK81" s="93">
        <f>'Юнит 6'!AK81+'Юнит 7'!AK81+'Юнит 8'!AK81+'Юнит 9'!AK81</f>
        <v>0</v>
      </c>
      <c r="AL81" s="122">
        <f t="shared" si="50"/>
        <v>0</v>
      </c>
      <c r="AM81" s="93">
        <f>'Юнит 6'!AM81+'Юнит 7'!AM81+'Юнит 8'!AM81+'Юнит 9'!AM81</f>
        <v>0</v>
      </c>
      <c r="AN81" s="325">
        <f t="shared" si="51"/>
        <v>661.31007476994421</v>
      </c>
      <c r="AO81" s="95">
        <f t="shared" si="55"/>
        <v>-8784.7800747699457</v>
      </c>
      <c r="AP81" s="96"/>
      <c r="AQ81" s="97">
        <f t="shared" si="9"/>
        <v>1193</v>
      </c>
      <c r="AR81" s="98">
        <f t="shared" si="30"/>
        <v>128.94</v>
      </c>
      <c r="AS81" s="98">
        <f t="shared" si="11"/>
        <v>442.30812499999996</v>
      </c>
      <c r="AT81" s="98">
        <f t="shared" si="12"/>
        <v>229.14705882352939</v>
      </c>
      <c r="AU81" s="98">
        <f t="shared" si="56"/>
        <v>833.88235294117646</v>
      </c>
      <c r="AV81" s="98">
        <f t="array" ref="AV81">_xlfn.IFS(U81=0,AO81,U81&lt;0,AO81/-U81,U81&gt;0,AO81/U81)</f>
        <v>-549.04875467312161</v>
      </c>
      <c r="AW81" s="234">
        <f t="shared" si="41"/>
        <v>-0.46022527633958221</v>
      </c>
      <c r="AX81" s="234">
        <f t="shared" si="42"/>
        <v>-4.2581724420127314</v>
      </c>
      <c r="AY81" s="99"/>
      <c r="AZ81" s="94">
        <f t="shared" si="15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3"/>
        <v>0</v>
      </c>
      <c r="F82" s="93"/>
      <c r="G82" s="93"/>
      <c r="H82" s="93"/>
      <c r="I82" s="93"/>
      <c r="J82" s="93"/>
      <c r="K82" s="93">
        <v>128.94</v>
      </c>
      <c r="L82" s="92">
        <f t="shared" si="37"/>
        <v>0</v>
      </c>
      <c r="M82" s="89"/>
      <c r="N82" s="93">
        <f>'Юнит 6'!N82+'Юнит 7'!N82+'Юнит 8'!N82+'Юнит 9'!N82</f>
        <v>2</v>
      </c>
      <c r="O82" s="89">
        <v>1174</v>
      </c>
      <c r="P82" s="89">
        <v>50</v>
      </c>
      <c r="Q82" s="233">
        <f t="shared" si="52"/>
        <v>6.25E-2</v>
      </c>
      <c r="R82" s="92">
        <f t="shared" si="53"/>
        <v>3.125E-2</v>
      </c>
      <c r="S82" s="93">
        <f>'Юнит 6'!S82+'Юнит 7'!S82+'Юнит 8'!S82+'Юнит 9'!S82</f>
        <v>1</v>
      </c>
      <c r="T82" s="93">
        <f>'Юнит 6'!T82+'Юнит 7'!T82+'Юнит 8'!T82+'Юнит 9'!T82</f>
        <v>0</v>
      </c>
      <c r="U82" s="92">
        <f t="shared" si="44"/>
        <v>1</v>
      </c>
      <c r="V82" s="93">
        <f>'Юнит 6'!V82+'Юнит 7'!V82+'Юнит 8'!V82+'Юнит 9'!V82</f>
        <v>801</v>
      </c>
      <c r="W82" s="93">
        <f>'Юнит 6'!W82+'Юнит 7'!W82+'Юнит 8'!W82+'Юнит 9'!W82</f>
        <v>0</v>
      </c>
      <c r="X82" s="92">
        <f t="shared" si="45"/>
        <v>801</v>
      </c>
      <c r="Y82" s="93">
        <f>'Юнит 6'!Y82+'Юнит 7'!Y82+'Юнит 8'!Y82+'Юнит 9'!Y82</f>
        <v>1174</v>
      </c>
      <c r="Z82" s="93">
        <f>'Юнит 6'!Z82+'Юнит 7'!Z82+'Юнит 8'!Z82+'Юнит 9'!Z82</f>
        <v>0</v>
      </c>
      <c r="AA82" s="232">
        <f t="shared" si="46"/>
        <v>1174</v>
      </c>
      <c r="AB82" s="92">
        <f t="shared" si="54"/>
        <v>1174</v>
      </c>
      <c r="AC82" s="234">
        <f t="shared" si="47"/>
        <v>1.3854918163087618E-4</v>
      </c>
      <c r="AD82" s="92">
        <f t="shared" si="48"/>
        <v>128.94</v>
      </c>
      <c r="AE82" s="93">
        <f>'Юнит 6'!AE82+'Юнит 7'!AE82+'Юнит 8'!AE82+'Юнит 9'!AE82</f>
        <v>434.85</v>
      </c>
      <c r="AF82" s="234">
        <f t="shared" si="49"/>
        <v>0.3704003407155026</v>
      </c>
      <c r="AG82" s="93">
        <f>'Юнит 6'!AG82+'Юнит 7'!AG82+'Юнит 8'!AG82+'Юнит 9'!AG82</f>
        <v>166</v>
      </c>
      <c r="AH82" s="93">
        <f>'Юнит 6'!AH82+'Юнит 7'!AH82+'Юнит 8'!AH82+'Юнит 9'!AH82</f>
        <v>0</v>
      </c>
      <c r="AI82" s="93">
        <f>'Юнит 6'!AI82+'Юнит 7'!AI82+'Юнит 8'!AI82+'Юнит 9'!AI82</f>
        <v>0</v>
      </c>
      <c r="AJ82" s="93">
        <f>'Юнит 6'!AJ82+'Юнит 7'!AJ82+'Юнит 8'!AJ82+'Юнит 9'!AJ82</f>
        <v>0</v>
      </c>
      <c r="AK82" s="93">
        <f>'Юнит 6'!AK82+'Юнит 7'!AK82+'Юнит 8'!AK82+'Юнит 9'!AK82</f>
        <v>0</v>
      </c>
      <c r="AL82" s="122">
        <f t="shared" si="50"/>
        <v>0</v>
      </c>
      <c r="AM82" s="93">
        <f>'Юнит 6'!AM82+'Юнит 7'!AM82+'Юнит 8'!AM82+'Юнит 9'!AM82</f>
        <v>0</v>
      </c>
      <c r="AN82" s="325">
        <f t="shared" si="51"/>
        <v>44.974475283641141</v>
      </c>
      <c r="AO82" s="95">
        <f t="shared" si="55"/>
        <v>399.23552471635878</v>
      </c>
      <c r="AP82" s="96"/>
      <c r="AQ82" s="97">
        <f t="shared" si="9"/>
        <v>1174</v>
      </c>
      <c r="AR82" s="98">
        <f t="shared" si="30"/>
        <v>128.94</v>
      </c>
      <c r="AS82" s="98">
        <f t="shared" si="11"/>
        <v>434.85</v>
      </c>
      <c r="AT82" s="98">
        <f t="shared" si="12"/>
        <v>166</v>
      </c>
      <c r="AU82" s="98">
        <f t="shared" si="56"/>
        <v>0</v>
      </c>
      <c r="AV82" s="98">
        <f t="array" ref="AV82">_xlfn.IFS(U82=0,AO82,U82&lt;0,AO82/-U82,U82&gt;0,AO82/U82)</f>
        <v>399.23552471635878</v>
      </c>
      <c r="AW82" s="234">
        <f t="shared" si="41"/>
        <v>0.34006433110422385</v>
      </c>
      <c r="AX82" s="234">
        <f t="shared" si="42"/>
        <v>3.0962891633035428</v>
      </c>
      <c r="AY82" s="99"/>
      <c r="AZ82" s="94">
        <f t="shared" si="15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3"/>
        <v>0</v>
      </c>
      <c r="F83" s="93"/>
      <c r="G83" s="93"/>
      <c r="H83" s="93"/>
      <c r="I83" s="93"/>
      <c r="J83" s="93"/>
      <c r="K83" s="93">
        <v>123.09</v>
      </c>
      <c r="L83" s="92">
        <f t="shared" si="37"/>
        <v>0</v>
      </c>
      <c r="M83" s="89"/>
      <c r="N83" s="93">
        <f>'Юнит 6'!N83+'Юнит 7'!N83+'Юнит 8'!N83+'Юнит 9'!N83</f>
        <v>9</v>
      </c>
      <c r="O83" s="89">
        <v>1375</v>
      </c>
      <c r="P83" s="89">
        <v>40</v>
      </c>
      <c r="Q83" s="233">
        <f t="shared" si="52"/>
        <v>0.28125</v>
      </c>
      <c r="R83" s="92">
        <f t="shared" si="53"/>
        <v>6.25E-2</v>
      </c>
      <c r="S83" s="93">
        <f>'Юнит 6'!S83+'Юнит 7'!S83+'Юнит 8'!S83+'Юнит 9'!S83</f>
        <v>2</v>
      </c>
      <c r="T83" s="93">
        <f>'Юнит 6'!T83+'Юнит 7'!T83+'Юнит 8'!T83+'Юнит 9'!T83</f>
        <v>0</v>
      </c>
      <c r="U83" s="92">
        <f t="shared" si="44"/>
        <v>2</v>
      </c>
      <c r="V83" s="93">
        <f>'Юнит 6'!V83+'Юнит 7'!V83+'Юнит 8'!V83+'Юнит 9'!V83</f>
        <v>1617</v>
      </c>
      <c r="W83" s="93">
        <f>'Юнит 6'!W83+'Юнит 7'!W83+'Юнит 8'!W83+'Юнит 9'!W83</f>
        <v>0</v>
      </c>
      <c r="X83" s="92">
        <f t="shared" si="45"/>
        <v>1617</v>
      </c>
      <c r="Y83" s="93">
        <f>'Юнит 6'!Y83+'Юнит 7'!Y83+'Юнит 8'!Y83+'Юнит 9'!Y83</f>
        <v>2750</v>
      </c>
      <c r="Z83" s="93">
        <f>'Юнит 6'!Z83+'Юнит 7'!Z83+'Юнит 8'!Z83+'Юнит 9'!Z83</f>
        <v>0</v>
      </c>
      <c r="AA83" s="232">
        <f t="shared" si="46"/>
        <v>2750</v>
      </c>
      <c r="AB83" s="92">
        <f t="shared" si="54"/>
        <v>4950</v>
      </c>
      <c r="AC83" s="234">
        <f t="shared" si="47"/>
        <v>3.2454024657999102E-4</v>
      </c>
      <c r="AD83" s="92">
        <f t="shared" si="48"/>
        <v>246.18</v>
      </c>
      <c r="AE83" s="93">
        <f>'Юнит 6'!AE83+'Юнит 7'!AE83+'Юнит 8'!AE83+'Юнит 9'!AE83</f>
        <v>1034.04</v>
      </c>
      <c r="AF83" s="234">
        <f t="shared" si="49"/>
        <v>0.37601454545454543</v>
      </c>
      <c r="AG83" s="93">
        <f>'Юнит 6'!AG83+'Юнит 7'!AG83+'Юнит 8'!AG83+'Юнит 9'!AG83</f>
        <v>429.85</v>
      </c>
      <c r="AH83" s="93">
        <f>'Юнит 6'!AH83+'Юнит 7'!AH83+'Юнит 8'!AH83+'Юнит 9'!AH83</f>
        <v>0</v>
      </c>
      <c r="AI83" s="93">
        <f>'Юнит 6'!AI83+'Юнит 7'!AI83+'Юнит 8'!AI83+'Юнит 9'!AI83</f>
        <v>0</v>
      </c>
      <c r="AJ83" s="93">
        <f>'Юнит 6'!AJ83+'Юнит 7'!AJ83+'Юнит 8'!AJ83+'Юнит 9'!AJ83</f>
        <v>0</v>
      </c>
      <c r="AK83" s="93">
        <f>'Юнит 6'!AK83+'Юнит 7'!AK83+'Юнит 8'!AK83+'Юнит 9'!AK83</f>
        <v>0</v>
      </c>
      <c r="AL83" s="122">
        <f t="shared" si="50"/>
        <v>0</v>
      </c>
      <c r="AM83" s="93">
        <f>'Юнит 6'!AM83+'Юнит 7'!AM83+'Юнит 8'!AM83+'Юнит 9'!AM83</f>
        <v>0</v>
      </c>
      <c r="AN83" s="325">
        <f t="shared" si="51"/>
        <v>90.79116920555272</v>
      </c>
      <c r="AO83" s="95">
        <f t="shared" si="55"/>
        <v>949.13883079444759</v>
      </c>
      <c r="AP83" s="96"/>
      <c r="AQ83" s="97">
        <f t="shared" si="9"/>
        <v>1375</v>
      </c>
      <c r="AR83" s="98">
        <f t="shared" si="30"/>
        <v>123.09</v>
      </c>
      <c r="AS83" s="98">
        <f t="shared" si="11"/>
        <v>517.02</v>
      </c>
      <c r="AT83" s="98">
        <f t="shared" si="12"/>
        <v>214.92500000000001</v>
      </c>
      <c r="AU83" s="98">
        <f t="shared" si="56"/>
        <v>0</v>
      </c>
      <c r="AV83" s="98">
        <f t="array" ref="AV83">_xlfn.IFS(U83=0,AO83,U83&lt;0,AO83/-U83,U83&gt;0,AO83/U83)</f>
        <v>474.56941539722379</v>
      </c>
      <c r="AW83" s="234">
        <f t="shared" si="41"/>
        <v>0.34514139301616276</v>
      </c>
      <c r="AX83" s="234">
        <f t="shared" si="42"/>
        <v>3.8554668567489134</v>
      </c>
      <c r="AY83" s="99"/>
      <c r="AZ83" s="94">
        <f t="shared" si="15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3"/>
        <v>0</v>
      </c>
      <c r="F84" s="93"/>
      <c r="G84" s="93"/>
      <c r="H84" s="93"/>
      <c r="I84" s="93"/>
      <c r="J84" s="93"/>
      <c r="K84" s="93">
        <v>146.49</v>
      </c>
      <c r="L84" s="92">
        <f t="shared" si="37"/>
        <v>0</v>
      </c>
      <c r="M84" s="89"/>
      <c r="N84" s="93">
        <f>'Юнит 6'!N84+'Юнит 7'!N84+'Юнит 8'!N84+'Юнит 9'!N84</f>
        <v>1</v>
      </c>
      <c r="O84" s="89">
        <v>1438</v>
      </c>
      <c r="P84" s="89">
        <v>0</v>
      </c>
      <c r="Q84" s="233">
        <f t="shared" si="52"/>
        <v>3.125E-2</v>
      </c>
      <c r="R84" s="92">
        <f t="shared" si="53"/>
        <v>0</v>
      </c>
      <c r="S84" s="93">
        <f>'Юнит 6'!S84+'Юнит 7'!S84+'Юнит 8'!S84+'Юнит 9'!S84</f>
        <v>0</v>
      </c>
      <c r="T84" s="93">
        <f>'Юнит 6'!T84+'Юнит 7'!T84+'Юнит 8'!T84+'Юнит 9'!T84</f>
        <v>0</v>
      </c>
      <c r="U84" s="92">
        <f t="shared" si="44"/>
        <v>0</v>
      </c>
      <c r="V84" s="93">
        <f>'Юнит 6'!V84+'Юнит 7'!V84+'Юнит 8'!V84+'Юнит 9'!V84</f>
        <v>0</v>
      </c>
      <c r="W84" s="93">
        <f>'Юнит 6'!W84+'Юнит 7'!W84+'Юнит 8'!W84+'Юнит 9'!W84</f>
        <v>0</v>
      </c>
      <c r="X84" s="92">
        <f t="shared" si="45"/>
        <v>0</v>
      </c>
      <c r="Y84" s="93">
        <f>'Юнит 6'!Y84+'Юнит 7'!Y84+'Юнит 8'!Y84+'Юнит 9'!Y84</f>
        <v>0</v>
      </c>
      <c r="Z84" s="93">
        <f>'Юнит 6'!Z84+'Юнит 7'!Z84+'Юнит 8'!Z84+'Юнит 9'!Z84</f>
        <v>0</v>
      </c>
      <c r="AA84" s="232">
        <f t="shared" si="46"/>
        <v>0</v>
      </c>
      <c r="AB84" s="92">
        <f t="shared" si="54"/>
        <v>0</v>
      </c>
      <c r="AC84" s="234">
        <f t="shared" si="47"/>
        <v>0</v>
      </c>
      <c r="AD84" s="92">
        <f t="shared" si="48"/>
        <v>0</v>
      </c>
      <c r="AE84" s="93">
        <f>'Юнит 6'!AE84+'Юнит 7'!AE84+'Юнит 8'!AE84+'Юнит 9'!AE84</f>
        <v>0</v>
      </c>
      <c r="AF84" s="234">
        <f t="shared" si="49"/>
        <v>0</v>
      </c>
      <c r="AG84" s="93">
        <f>'Юнит 6'!AG84+'Юнит 7'!AG84+'Юнит 8'!AG84+'Юнит 9'!AG84</f>
        <v>108</v>
      </c>
      <c r="AH84" s="93">
        <f>'Юнит 6'!AH84+'Юнит 7'!AH84+'Юнит 8'!AH84+'Юнит 9'!AH84</f>
        <v>0</v>
      </c>
      <c r="AI84" s="93">
        <f>'Юнит 6'!AI84+'Юнит 7'!AI84+'Юнит 8'!AI84+'Юнит 9'!AI84</f>
        <v>0</v>
      </c>
      <c r="AJ84" s="93">
        <f>'Юнит 6'!AJ84+'Юнит 7'!AJ84+'Юнит 8'!AJ84+'Юнит 9'!AJ84</f>
        <v>0</v>
      </c>
      <c r="AK84" s="93">
        <f>'Юнит 6'!AK84+'Юнит 7'!AK84+'Юнит 8'!AK84+'Юнит 9'!AK84</f>
        <v>0</v>
      </c>
      <c r="AL84" s="122">
        <f t="shared" si="50"/>
        <v>0</v>
      </c>
      <c r="AM84" s="93">
        <f>'Юнит 6'!AM84+'Юнит 7'!AM84+'Юнит 8'!AM84+'Юнит 9'!AM84</f>
        <v>0</v>
      </c>
      <c r="AN84" s="325">
        <f t="shared" si="51"/>
        <v>0</v>
      </c>
      <c r="AO84" s="95">
        <f t="shared" si="55"/>
        <v>-108</v>
      </c>
      <c r="AP84" s="96"/>
      <c r="AQ84" s="97">
        <f t="shared" si="9"/>
        <v>0</v>
      </c>
      <c r="AR84" s="98">
        <f t="shared" si="30"/>
        <v>146.49</v>
      </c>
      <c r="AS84" s="98">
        <f t="shared" si="11"/>
        <v>0</v>
      </c>
      <c r="AT84" s="98">
        <f t="shared" si="12"/>
        <v>108</v>
      </c>
      <c r="AU84" s="98">
        <f t="shared" si="56"/>
        <v>0</v>
      </c>
      <c r="AV84" s="98">
        <f t="array" ref="AV84">_xlfn.IFS(U84=0,AO84,U84&lt;0,AO84/-U84,U84&gt;0,AO84/U84)</f>
        <v>-108</v>
      </c>
      <c r="AW84" s="234">
        <f t="shared" si="41"/>
        <v>0</v>
      </c>
      <c r="AX84" s="234">
        <f t="shared" si="42"/>
        <v>-0.73725168953512177</v>
      </c>
      <c r="AY84" s="99"/>
      <c r="AZ84" s="94">
        <f t="shared" si="15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3"/>
        <v>0</v>
      </c>
      <c r="F85" s="93"/>
      <c r="G85" s="93"/>
      <c r="H85" s="93"/>
      <c r="I85" s="93"/>
      <c r="J85" s="93"/>
      <c r="K85" s="93">
        <v>103.2</v>
      </c>
      <c r="L85" s="92">
        <f t="shared" si="37"/>
        <v>0</v>
      </c>
      <c r="M85" s="89"/>
      <c r="N85" s="93">
        <f>'Юнит 6'!N85+'Юнит 7'!N85+'Юнит 8'!N85+'Юнит 9'!N85</f>
        <v>20</v>
      </c>
      <c r="O85" s="89">
        <v>1008</v>
      </c>
      <c r="P85" s="89">
        <v>12</v>
      </c>
      <c r="Q85" s="233">
        <f t="shared" si="52"/>
        <v>0.625</v>
      </c>
      <c r="R85" s="92">
        <f t="shared" si="53"/>
        <v>0</v>
      </c>
      <c r="S85" s="93">
        <f>'Юнит 6'!S85+'Юнит 7'!S85+'Юнит 8'!S85+'Юнит 9'!S85</f>
        <v>3</v>
      </c>
      <c r="T85" s="93">
        <f>'Юнит 6'!T85+'Юнит 7'!T85+'Юнит 8'!T85+'Юнит 9'!T85</f>
        <v>-3</v>
      </c>
      <c r="U85" s="92">
        <f t="shared" si="44"/>
        <v>0</v>
      </c>
      <c r="V85" s="93">
        <f>'Юнит 6'!V85+'Юнит 7'!V85+'Юнит 8'!V85+'Юнит 9'!V85</f>
        <v>1904</v>
      </c>
      <c r="W85" s="93">
        <f>'Юнит 6'!W85+'Юнит 7'!W85+'Юнит 8'!W85+'Юнит 9'!W85</f>
        <v>-2230</v>
      </c>
      <c r="X85" s="92">
        <f t="shared" si="45"/>
        <v>-326</v>
      </c>
      <c r="Y85" s="93">
        <f>'Юнит 6'!Y85+'Юнит 7'!Y85+'Юнит 8'!Y85+'Юнит 9'!Y85</f>
        <v>3024</v>
      </c>
      <c r="Z85" s="93">
        <f>'Юнит 6'!Z85+'Юнит 7'!Z85+'Юнит 8'!Z85+'Юнит 9'!Z85</f>
        <v>-3024</v>
      </c>
      <c r="AA85" s="232">
        <f t="shared" si="46"/>
        <v>0</v>
      </c>
      <c r="AB85" s="92">
        <f t="shared" si="54"/>
        <v>2419.1999999999998</v>
      </c>
      <c r="AC85" s="234">
        <f t="shared" si="47"/>
        <v>0</v>
      </c>
      <c r="AD85" s="92">
        <f t="shared" si="48"/>
        <v>0</v>
      </c>
      <c r="AE85" s="93">
        <f>'Юнит 6'!AE85+'Юнит 7'!AE85+'Юнит 8'!AE85+'Юнит 9'!AE85</f>
        <v>-25.170000000000073</v>
      </c>
      <c r="AF85" s="234">
        <f t="shared" si="49"/>
        <v>0</v>
      </c>
      <c r="AG85" s="93">
        <f>'Юнит 6'!AG85+'Юнит 7'!AG85+'Юнит 8'!AG85+'Юнит 9'!AG85</f>
        <v>2702.6000000000004</v>
      </c>
      <c r="AH85" s="93">
        <f>'Юнит 6'!AH85+'Юнит 7'!AH85+'Юнит 8'!AH85+'Юнит 9'!AH85</f>
        <v>0</v>
      </c>
      <c r="AI85" s="93">
        <f>'Юнит 6'!AI85+'Юнит 7'!AI85+'Юнит 8'!AI85+'Юнит 9'!AI85</f>
        <v>0</v>
      </c>
      <c r="AJ85" s="93">
        <f>'Юнит 6'!AJ85+'Юнит 7'!AJ85+'Юнит 8'!AJ85+'Юнит 9'!AJ85</f>
        <v>0</v>
      </c>
      <c r="AK85" s="93">
        <f>'Юнит 6'!AK85+'Юнит 7'!AK85+'Юнит 8'!AK85+'Юнит 9'!AK85</f>
        <v>0</v>
      </c>
      <c r="AL85" s="122">
        <f t="shared" si="50"/>
        <v>0</v>
      </c>
      <c r="AM85" s="93">
        <f>'Юнит 6'!AM85+'Юнит 7'!AM85+'Юнит 8'!AM85+'Юнит 9'!AM85</f>
        <v>20</v>
      </c>
      <c r="AN85" s="325">
        <f t="shared" si="51"/>
        <v>-18.304218405077417</v>
      </c>
      <c r="AO85" s="95">
        <f t="shared" si="55"/>
        <v>-2679.125781594923</v>
      </c>
      <c r="AP85" s="96"/>
      <c r="AQ85" s="97">
        <f t="shared" si="9"/>
        <v>0</v>
      </c>
      <c r="AR85" s="98">
        <f t="shared" si="30"/>
        <v>103.2</v>
      </c>
      <c r="AS85" s="98">
        <f t="shared" si="11"/>
        <v>0</v>
      </c>
      <c r="AT85" s="98">
        <f t="shared" si="12"/>
        <v>900.86666666666679</v>
      </c>
      <c r="AU85" s="98">
        <f t="shared" si="56"/>
        <v>0</v>
      </c>
      <c r="AV85" s="98">
        <f t="array" ref="AV85">_xlfn.IFS(U85=0,AO85,U85&lt;0,AO85/-U85,U85&gt;0,AO85/U85)</f>
        <v>-2679.125781594923</v>
      </c>
      <c r="AW85" s="234">
        <f t="shared" si="41"/>
        <v>0</v>
      </c>
      <c r="AX85" s="234">
        <f t="shared" si="42"/>
        <v>-25.960521139485685</v>
      </c>
      <c r="AY85" s="99"/>
      <c r="AZ85" s="94">
        <f t="shared" si="15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3"/>
        <v>0</v>
      </c>
      <c r="F86" s="93"/>
      <c r="G86" s="93"/>
      <c r="H86" s="93"/>
      <c r="I86" s="93"/>
      <c r="J86" s="93"/>
      <c r="K86" s="93">
        <v>150</v>
      </c>
      <c r="L86" s="92">
        <f t="shared" si="37"/>
        <v>0</v>
      </c>
      <c r="M86" s="89"/>
      <c r="N86" s="93">
        <f>'Юнит 6'!N86+'Юнит 7'!N86+'Юнит 8'!N86+'Юнит 9'!N86</f>
        <v>3</v>
      </c>
      <c r="O86" s="89">
        <v>1393</v>
      </c>
      <c r="P86" s="89">
        <v>67</v>
      </c>
      <c r="Q86" s="233">
        <f t="shared" si="52"/>
        <v>9.375E-2</v>
      </c>
      <c r="R86" s="92">
        <f t="shared" si="53"/>
        <v>6.25E-2</v>
      </c>
      <c r="S86" s="93">
        <f>'Юнит 6'!S86+'Юнит 7'!S86+'Юнит 8'!S86+'Юнит 9'!S86</f>
        <v>2</v>
      </c>
      <c r="T86" s="93">
        <f>'Юнит 6'!T86+'Юнит 7'!T86+'Юнит 8'!T86+'Юнит 9'!T86</f>
        <v>0</v>
      </c>
      <c r="U86" s="92">
        <f t="shared" si="44"/>
        <v>2</v>
      </c>
      <c r="V86" s="93">
        <f>'Юнит 6'!V86+'Юнит 7'!V86+'Юнит 8'!V86+'Юнит 9'!V86</f>
        <v>1841.62</v>
      </c>
      <c r="W86" s="93">
        <f>'Юнит 6'!W86+'Юнит 7'!W86+'Юнит 8'!W86+'Юнит 9'!W86</f>
        <v>0</v>
      </c>
      <c r="X86" s="92">
        <f t="shared" si="45"/>
        <v>1841.62</v>
      </c>
      <c r="Y86" s="93">
        <f>'Юнит 6'!Y86+'Юнит 7'!Y86+'Юнит 8'!Y86+'Юнит 9'!Y86</f>
        <v>2757.0299999999997</v>
      </c>
      <c r="Z86" s="93">
        <f>'Юнит 6'!Z86+'Юнит 7'!Z86+'Юнит 8'!Z86+'Юнит 9'!Z86</f>
        <v>0</v>
      </c>
      <c r="AA86" s="232">
        <f t="shared" si="46"/>
        <v>2757.0299999999997</v>
      </c>
      <c r="AB86" s="92">
        <f t="shared" si="54"/>
        <v>2799.93</v>
      </c>
      <c r="AC86" s="234">
        <f t="shared" si="47"/>
        <v>3.2536988946488461E-4</v>
      </c>
      <c r="AD86" s="92">
        <f t="shared" si="48"/>
        <v>300</v>
      </c>
      <c r="AE86" s="93">
        <f>'Юнит 6'!AE86+'Юнит 7'!AE86+'Юнит 8'!AE86+'Юнит 9'!AE86</f>
        <v>1012.9100000000001</v>
      </c>
      <c r="AF86" s="234">
        <f t="shared" si="49"/>
        <v>0.36739172225184352</v>
      </c>
      <c r="AG86" s="93">
        <f>'Юнит 6'!AG86+'Юнит 7'!AG86+'Юнит 8'!AG86+'Юнит 9'!AG86</f>
        <v>232.17</v>
      </c>
      <c r="AH86" s="93">
        <f>'Юнит 6'!AH86+'Юнит 7'!AH86+'Юнит 8'!AH86+'Юнит 9'!AH86</f>
        <v>0</v>
      </c>
      <c r="AI86" s="93">
        <f>'Юнит 6'!AI86+'Юнит 7'!AI86+'Юнит 8'!AI86+'Юнит 9'!AI86</f>
        <v>0</v>
      </c>
      <c r="AJ86" s="93">
        <f>'Юнит 6'!AJ86+'Юнит 7'!AJ86+'Юнит 8'!AJ86+'Юнит 9'!AJ86</f>
        <v>0</v>
      </c>
      <c r="AK86" s="93">
        <f>'Юнит 6'!AK86+'Юнит 7'!AK86+'Юнит 8'!AK86+'Юнит 9'!AK86</f>
        <v>0</v>
      </c>
      <c r="AL86" s="122">
        <f t="shared" si="50"/>
        <v>0</v>
      </c>
      <c r="AM86" s="93">
        <f>'Юнит 6'!AM86+'Юнит 7'!AM86+'Юнит 8'!AM86+'Юнит 9'!AM86</f>
        <v>0</v>
      </c>
      <c r="AN86" s="325">
        <f t="shared" si="51"/>
        <v>103.40311257410636</v>
      </c>
      <c r="AO86" s="95">
        <f t="shared" si="55"/>
        <v>1108.5468874258931</v>
      </c>
      <c r="AP86" s="96"/>
      <c r="AQ86" s="97">
        <f t="shared" si="9"/>
        <v>1378.5149999999999</v>
      </c>
      <c r="AR86" s="98">
        <f t="shared" si="30"/>
        <v>150</v>
      </c>
      <c r="AS86" s="98">
        <f t="shared" si="11"/>
        <v>506.45500000000004</v>
      </c>
      <c r="AT86" s="98">
        <f t="shared" si="12"/>
        <v>116.08499999999999</v>
      </c>
      <c r="AU86" s="98">
        <f t="shared" si="56"/>
        <v>0</v>
      </c>
      <c r="AV86" s="98">
        <f t="array" ref="AV86">_xlfn.IFS(U86=0,AO86,U86&lt;0,AO86/-U86,U86&gt;0,AO86/U86)</f>
        <v>554.27344371294657</v>
      </c>
      <c r="AW86" s="234">
        <f t="shared" si="41"/>
        <v>0.40208009612731571</v>
      </c>
      <c r="AX86" s="234">
        <f t="shared" si="42"/>
        <v>3.6951562914196439</v>
      </c>
      <c r="AY86" s="99"/>
      <c r="AZ86" s="94">
        <f t="shared" si="15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3"/>
        <v>0</v>
      </c>
      <c r="F87" s="93"/>
      <c r="G87" s="93"/>
      <c r="H87" s="93"/>
      <c r="I87" s="93"/>
      <c r="J87" s="93"/>
      <c r="K87" s="93">
        <v>150</v>
      </c>
      <c r="L87" s="92">
        <f t="shared" si="37"/>
        <v>0</v>
      </c>
      <c r="M87" s="89"/>
      <c r="N87" s="93">
        <f>'Юнит 6'!N87+'Юнит 7'!N87+'Юнит 8'!N87+'Юнит 9'!N87</f>
        <v>17</v>
      </c>
      <c r="O87" s="89">
        <v>1279</v>
      </c>
      <c r="P87" s="89">
        <v>43</v>
      </c>
      <c r="Q87" s="233">
        <f t="shared" si="52"/>
        <v>0.53125</v>
      </c>
      <c r="R87" s="92">
        <f t="shared" si="53"/>
        <v>9.375E-2</v>
      </c>
      <c r="S87" s="93">
        <f>'Юнит 6'!S87+'Юнит 7'!S87+'Юнит 8'!S87+'Юнит 9'!S87</f>
        <v>3</v>
      </c>
      <c r="T87" s="93">
        <f>'Юнит 6'!T87+'Юнит 7'!T87+'Юнит 8'!T87+'Юнит 9'!T87</f>
        <v>0</v>
      </c>
      <c r="U87" s="92">
        <f t="shared" si="44"/>
        <v>3</v>
      </c>
      <c r="V87" s="93">
        <f>'Юнит 6'!V87+'Юнит 7'!V87+'Юнит 8'!V87+'Юнит 9'!V87</f>
        <v>2685.17</v>
      </c>
      <c r="W87" s="93">
        <f>'Юнит 6'!W87+'Юнит 7'!W87+'Юнит 8'!W87+'Юнит 9'!W87</f>
        <v>0</v>
      </c>
      <c r="X87" s="92">
        <f t="shared" si="45"/>
        <v>2685.17</v>
      </c>
      <c r="Y87" s="93">
        <f>'Юнит 6'!Y87+'Юнит 7'!Y87+'Юнит 8'!Y87+'Юнит 9'!Y87</f>
        <v>4059.25</v>
      </c>
      <c r="Z87" s="93">
        <f>'Юнит 6'!Z87+'Юнит 7'!Z87+'Юнит 8'!Z87+'Юнит 9'!Z87</f>
        <v>0</v>
      </c>
      <c r="AA87" s="232">
        <f t="shared" si="46"/>
        <v>4059.25</v>
      </c>
      <c r="AB87" s="92">
        <f t="shared" si="54"/>
        <v>9349.49</v>
      </c>
      <c r="AC87" s="234">
        <f t="shared" si="47"/>
        <v>4.7905090761084679E-4</v>
      </c>
      <c r="AD87" s="92">
        <f t="shared" si="48"/>
        <v>450</v>
      </c>
      <c r="AE87" s="93">
        <f>'Юнит 6'!AE87+'Юнит 7'!AE87+'Юнит 8'!AE87+'Юнит 9'!AE87</f>
        <v>1513.6599999999999</v>
      </c>
      <c r="AF87" s="234">
        <f t="shared" si="49"/>
        <v>0.37289154400443431</v>
      </c>
      <c r="AG87" s="93">
        <f>'Юнит 6'!AG87+'Юнит 7'!AG87+'Юнит 8'!AG87+'Юнит 9'!AG87</f>
        <v>546.24</v>
      </c>
      <c r="AH87" s="93">
        <f>'Юнит 6'!AH87+'Юнит 7'!AH87+'Юнит 8'!AH87+'Юнит 9'!AH87</f>
        <v>2000</v>
      </c>
      <c r="AI87" s="93">
        <f>'Юнит 6'!AI87+'Юнит 7'!AI87+'Юнит 8'!AI87+'Юнит 9'!AI87</f>
        <v>4000</v>
      </c>
      <c r="AJ87" s="93">
        <f>'Юнит 6'!AJ87+'Юнит 7'!AJ87+'Юнит 8'!AJ87+'Юнит 9'!AJ87</f>
        <v>0</v>
      </c>
      <c r="AK87" s="93">
        <f>'Юнит 6'!AK87+'Юнит 7'!AK87+'Юнит 8'!AK87+'Юнит 9'!AK87</f>
        <v>0</v>
      </c>
      <c r="AL87" s="122">
        <f t="shared" si="50"/>
        <v>0</v>
      </c>
      <c r="AM87" s="93">
        <f>'Юнит 6'!AM87+'Юнит 7'!AM87+'Юнит 8'!AM87+'Юнит 9'!AM87</f>
        <v>0</v>
      </c>
      <c r="AN87" s="325">
        <f t="shared" si="51"/>
        <v>150.76668139497463</v>
      </c>
      <c r="AO87" s="95">
        <f t="shared" si="55"/>
        <v>-4601.4166813949741</v>
      </c>
      <c r="AP87" s="96"/>
      <c r="AQ87" s="97">
        <f t="shared" si="9"/>
        <v>1353.0833333333333</v>
      </c>
      <c r="AR87" s="98">
        <f t="shared" si="30"/>
        <v>150</v>
      </c>
      <c r="AS87" s="98">
        <f t="shared" si="11"/>
        <v>504.55333333333328</v>
      </c>
      <c r="AT87" s="98">
        <f t="shared" si="12"/>
        <v>182.08</v>
      </c>
      <c r="AU87" s="98">
        <f t="shared" si="56"/>
        <v>2000</v>
      </c>
      <c r="AV87" s="98">
        <f t="array" ref="AV87">_xlfn.IFS(U87=0,AO87,U87&lt;0,AO87/-U87,U87&gt;0,AO87/U87)</f>
        <v>-1533.8055604649915</v>
      </c>
      <c r="AW87" s="234">
        <f t="shared" si="41"/>
        <v>-1.1335632644934346</v>
      </c>
      <c r="AX87" s="234">
        <f t="shared" si="42"/>
        <v>-10.225370403099943</v>
      </c>
      <c r="AY87" s="99"/>
      <c r="AZ87" s="94">
        <f t="shared" si="15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3"/>
        <v>0</v>
      </c>
      <c r="F88" s="93"/>
      <c r="G88" s="93"/>
      <c r="H88" s="93"/>
      <c r="I88" s="93"/>
      <c r="J88" s="93"/>
      <c r="K88" s="93">
        <v>150</v>
      </c>
      <c r="L88" s="92">
        <f t="shared" si="37"/>
        <v>0</v>
      </c>
      <c r="M88" s="89"/>
      <c r="N88" s="93">
        <f>'Юнит 6'!N88+'Юнит 7'!N88+'Юнит 8'!N88+'Юнит 9'!N88</f>
        <v>52</v>
      </c>
      <c r="O88" s="89">
        <v>1257</v>
      </c>
      <c r="P88" s="89">
        <v>33</v>
      </c>
      <c r="Q88" s="233">
        <f t="shared" si="52"/>
        <v>1.625</v>
      </c>
      <c r="R88" s="92">
        <f t="shared" si="53"/>
        <v>0.46875</v>
      </c>
      <c r="S88" s="93">
        <f>'Юнит 6'!S88+'Юнит 7'!S88+'Юнит 8'!S88+'Юнит 9'!S88</f>
        <v>17</v>
      </c>
      <c r="T88" s="93">
        <f>'Юнит 6'!T88+'Юнит 7'!T88+'Юнит 8'!T88+'Юнит 9'!T88</f>
        <v>-2</v>
      </c>
      <c r="U88" s="92">
        <f t="shared" si="44"/>
        <v>15</v>
      </c>
      <c r="V88" s="93">
        <f>'Юнит 6'!V88+'Юнит 7'!V88+'Юнит 8'!V88+'Юнит 9'!V88</f>
        <v>13491.09</v>
      </c>
      <c r="W88" s="93">
        <f>'Юнит 6'!W88+'Юнит 7'!W88+'Юнит 8'!W88+'Юнит 9'!W88</f>
        <v>-1530</v>
      </c>
      <c r="X88" s="92">
        <f t="shared" si="45"/>
        <v>11961.09</v>
      </c>
      <c r="Y88" s="93">
        <f>'Юнит 6'!Y88+'Юнит 7'!Y88+'Юнит 8'!Y88+'Юнит 9'!Y88</f>
        <v>21231.129999999997</v>
      </c>
      <c r="Z88" s="93">
        <f>'Юнит 6'!Z88+'Юнит 7'!Z88+'Юнит 8'!Z88+'Юнит 9'!Z88</f>
        <v>-2476.29</v>
      </c>
      <c r="AA88" s="232">
        <f t="shared" si="46"/>
        <v>18754.839999999997</v>
      </c>
      <c r="AB88" s="92">
        <f t="shared" si="54"/>
        <v>21570.12</v>
      </c>
      <c r="AC88" s="234">
        <f t="shared" si="47"/>
        <v>2.2133455993339191E-3</v>
      </c>
      <c r="AD88" s="92">
        <f t="shared" si="48"/>
        <v>2250</v>
      </c>
      <c r="AE88" s="93">
        <f>'Юнит 6'!AE88+'Юнит 7'!AE88+'Юнит 8'!AE88+'Юнит 9'!AE88</f>
        <v>7001.3099999999995</v>
      </c>
      <c r="AF88" s="234">
        <f t="shared" si="49"/>
        <v>0.37330683706179318</v>
      </c>
      <c r="AG88" s="93">
        <f>'Юнит 6'!AG88+'Юнит 7'!AG88+'Юнит 8'!AG88+'Юнит 9'!AG88</f>
        <v>4751.3599999999997</v>
      </c>
      <c r="AH88" s="93">
        <f>'Юнит 6'!AH88+'Юнит 7'!AH88+'Юнит 8'!AH88+'Юнит 9'!AH88</f>
        <v>1878</v>
      </c>
      <c r="AI88" s="93">
        <f>'Юнит 6'!AI88+'Юнит 7'!AI88+'Юнит 8'!AI88+'Юнит 9'!AI88</f>
        <v>238</v>
      </c>
      <c r="AJ88" s="93">
        <f>'Юнит 6'!AJ88+'Юнит 7'!AJ88+'Юнит 8'!AJ88+'Юнит 9'!AJ88</f>
        <v>0</v>
      </c>
      <c r="AK88" s="93">
        <f>'Юнит 6'!AK88+'Юнит 7'!AK88+'Юнит 8'!AK88+'Юнит 9'!AK88</f>
        <v>0</v>
      </c>
      <c r="AL88" s="122">
        <f t="shared" si="50"/>
        <v>0</v>
      </c>
      <c r="AM88" s="93">
        <f>'Юнит 6'!AM88+'Юнит 7'!AM88+'Юнит 8'!AM88+'Юнит 9'!AM88</f>
        <v>0</v>
      </c>
      <c r="AN88" s="325">
        <f t="shared" si="51"/>
        <v>671.59019546867319</v>
      </c>
      <c r="AO88" s="95">
        <f t="shared" si="55"/>
        <v>1964.579804531324</v>
      </c>
      <c r="AP88" s="96"/>
      <c r="AQ88" s="97">
        <f t="shared" si="9"/>
        <v>1250.3226666666665</v>
      </c>
      <c r="AR88" s="98">
        <f t="shared" si="30"/>
        <v>150</v>
      </c>
      <c r="AS88" s="98">
        <f t="shared" si="11"/>
        <v>466.75399999999996</v>
      </c>
      <c r="AT88" s="98">
        <f t="shared" si="12"/>
        <v>279.49176470588236</v>
      </c>
      <c r="AU88" s="98">
        <f t="shared" si="56"/>
        <v>124.47058823529412</v>
      </c>
      <c r="AV88" s="98">
        <f t="array" ref="AV88">_xlfn.IFS(U88=0,AO88,U88&lt;0,AO88/-U88,U88&gt;0,AO88/U88)</f>
        <v>130.97198696875495</v>
      </c>
      <c r="AW88" s="234">
        <f t="shared" si="41"/>
        <v>0.10475054996637266</v>
      </c>
      <c r="AX88" s="234">
        <f t="shared" si="42"/>
        <v>0.87314657979169963</v>
      </c>
      <c r="AY88" s="99"/>
      <c r="AZ88" s="94">
        <f t="shared" si="15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3"/>
        <v>0</v>
      </c>
      <c r="F89" s="93"/>
      <c r="G89" s="93"/>
      <c r="H89" s="93"/>
      <c r="I89" s="93"/>
      <c r="J89" s="93"/>
      <c r="K89" s="93">
        <v>169.89</v>
      </c>
      <c r="L89" s="92">
        <f t="shared" si="37"/>
        <v>0</v>
      </c>
      <c r="M89" s="89"/>
      <c r="N89" s="93">
        <f>'Юнит 6'!N89+'Юнит 7'!N89+'Юнит 8'!N89+'Юнит 9'!N89</f>
        <v>13</v>
      </c>
      <c r="O89" s="89">
        <v>1504</v>
      </c>
      <c r="P89" s="89">
        <v>67</v>
      </c>
      <c r="Q89" s="233">
        <f t="shared" si="52"/>
        <v>0.40625</v>
      </c>
      <c r="R89" s="92">
        <f t="shared" si="53"/>
        <v>0.25</v>
      </c>
      <c r="S89" s="93">
        <f>'Юнит 6'!S89+'Юнит 7'!S89+'Юнит 8'!S89+'Юнит 9'!S89</f>
        <v>8</v>
      </c>
      <c r="T89" s="93">
        <f>'Юнит 6'!T89+'Юнит 7'!T89+'Юнит 8'!T89+'Юнит 9'!T89</f>
        <v>0</v>
      </c>
      <c r="U89" s="92">
        <f t="shared" si="44"/>
        <v>8</v>
      </c>
      <c r="V89" s="93">
        <f>'Юнит 6'!V89+'Юнит 7'!V89+'Юнит 8'!V89+'Юнит 9'!V89</f>
        <v>7832.62</v>
      </c>
      <c r="W89" s="93">
        <f>'Юнит 6'!W89+'Юнит 7'!W89+'Юнит 8'!W89+'Юнит 9'!W89</f>
        <v>0</v>
      </c>
      <c r="X89" s="92">
        <f t="shared" si="45"/>
        <v>7832.62</v>
      </c>
      <c r="Y89" s="93">
        <f>'Юнит 6'!Y89+'Юнит 7'!Y89+'Юнит 8'!Y89+'Юнит 9'!Y89</f>
        <v>11986.400000000001</v>
      </c>
      <c r="Z89" s="93">
        <f>'Юнит 6'!Z89+'Юнит 7'!Z89+'Юнит 8'!Z89+'Юнит 9'!Z89</f>
        <v>0</v>
      </c>
      <c r="AA89" s="232">
        <f t="shared" si="46"/>
        <v>11986.400000000001</v>
      </c>
      <c r="AB89" s="92">
        <f t="shared" si="54"/>
        <v>13099.84</v>
      </c>
      <c r="AC89" s="234">
        <f t="shared" si="47"/>
        <v>1.4145706224023291E-3</v>
      </c>
      <c r="AD89" s="92">
        <f t="shared" si="48"/>
        <v>1359.12</v>
      </c>
      <c r="AE89" s="93">
        <f>'Юнит 6'!AE89+'Юнит 7'!AE89+'Юнит 8'!AE89+'Юнит 9'!AE89</f>
        <v>4462.5300000000007</v>
      </c>
      <c r="AF89" s="234">
        <f t="shared" si="49"/>
        <v>0.37229943936461324</v>
      </c>
      <c r="AG89" s="93">
        <f>'Юнит 6'!AG89+'Юнит 7'!AG89+'Юнит 8'!AG89+'Юнит 9'!AG89</f>
        <v>949.89</v>
      </c>
      <c r="AH89" s="93">
        <f>'Юнит 6'!AH89+'Юнит 7'!AH89+'Юнит 8'!AH89+'Юнит 9'!AH89</f>
        <v>0</v>
      </c>
      <c r="AI89" s="93">
        <f>'Юнит 6'!AI89+'Юнит 7'!AI89+'Юнит 8'!AI89+'Юнит 9'!AI89</f>
        <v>0</v>
      </c>
      <c r="AJ89" s="93">
        <f>'Юнит 6'!AJ89+'Юнит 7'!AJ89+'Юнит 8'!AJ89+'Юнит 9'!AJ89</f>
        <v>0</v>
      </c>
      <c r="AK89" s="93">
        <f>'Юнит 6'!AK89+'Юнит 7'!AK89+'Юнит 8'!AK89+'Юнит 9'!AK89</f>
        <v>0</v>
      </c>
      <c r="AL89" s="122">
        <f t="shared" si="50"/>
        <v>0</v>
      </c>
      <c r="AM89" s="93">
        <f>'Юнит 6'!AM89+'Юнит 7'!AM89+'Юнит 8'!AM89+'Юнит 9'!AM89</f>
        <v>0</v>
      </c>
      <c r="AN89" s="325">
        <f t="shared" si="51"/>
        <v>439.78523669931747</v>
      </c>
      <c r="AO89" s="95">
        <f t="shared" si="55"/>
        <v>4775.074763300684</v>
      </c>
      <c r="AP89" s="96"/>
      <c r="AQ89" s="97">
        <f t="shared" si="9"/>
        <v>1498.3000000000002</v>
      </c>
      <c r="AR89" s="98">
        <f t="shared" si="30"/>
        <v>169.89</v>
      </c>
      <c r="AS89" s="98">
        <f t="shared" si="11"/>
        <v>557.81625000000008</v>
      </c>
      <c r="AT89" s="98">
        <f t="shared" si="12"/>
        <v>118.73625</v>
      </c>
      <c r="AU89" s="98">
        <f t="shared" si="56"/>
        <v>0</v>
      </c>
      <c r="AV89" s="98">
        <f t="array" ref="AV89">_xlfn.IFS(U89=0,AO89,U89&lt;0,AO89/-U89,U89&gt;0,AO89/U89)</f>
        <v>596.8843454125855</v>
      </c>
      <c r="AW89" s="234">
        <f t="shared" si="41"/>
        <v>0.3983743879146936</v>
      </c>
      <c r="AX89" s="234">
        <f t="shared" si="42"/>
        <v>3.5133577339018514</v>
      </c>
      <c r="AY89" s="99"/>
      <c r="AZ89" s="94">
        <f t="shared" si="15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3"/>
        <v>0</v>
      </c>
      <c r="F90" s="93"/>
      <c r="G90" s="93"/>
      <c r="H90" s="93"/>
      <c r="I90" s="93"/>
      <c r="J90" s="93"/>
      <c r="K90" s="93">
        <v>107.88</v>
      </c>
      <c r="L90" s="92">
        <f t="shared" si="37"/>
        <v>0</v>
      </c>
      <c r="M90" s="89"/>
      <c r="N90" s="93">
        <f>'Юнит 6'!N90+'Юнит 7'!N90+'Юнит 8'!N90+'Юнит 9'!N90</f>
        <v>0</v>
      </c>
      <c r="O90" s="89">
        <v>0</v>
      </c>
      <c r="P90" s="89">
        <v>0</v>
      </c>
      <c r="Q90" s="233">
        <f t="shared" si="52"/>
        <v>0</v>
      </c>
      <c r="R90" s="92">
        <f t="shared" si="53"/>
        <v>0</v>
      </c>
      <c r="S90" s="93">
        <f>'Юнит 6'!S90+'Юнит 7'!S90+'Юнит 8'!S90+'Юнит 9'!S90</f>
        <v>0</v>
      </c>
      <c r="T90" s="93">
        <f>'Юнит 6'!T90+'Юнит 7'!T90+'Юнит 8'!T90+'Юнит 9'!T90</f>
        <v>0</v>
      </c>
      <c r="U90" s="92">
        <f t="shared" si="44"/>
        <v>0</v>
      </c>
      <c r="V90" s="93">
        <f>'Юнит 6'!V90+'Юнит 7'!V90+'Юнит 8'!V90+'Юнит 9'!V90</f>
        <v>0</v>
      </c>
      <c r="W90" s="93">
        <f>'Юнит 6'!W90+'Юнит 7'!W90+'Юнит 8'!W90+'Юнит 9'!W90</f>
        <v>0</v>
      </c>
      <c r="X90" s="92">
        <f t="shared" si="45"/>
        <v>0</v>
      </c>
      <c r="Y90" s="93">
        <f>'Юнит 6'!Y90+'Юнит 7'!Y90+'Юнит 8'!Y90+'Юнит 9'!Y90</f>
        <v>0</v>
      </c>
      <c r="Z90" s="93">
        <f>'Юнит 6'!Z90+'Юнит 7'!Z90+'Юнит 8'!Z90+'Юнит 9'!Z90</f>
        <v>0</v>
      </c>
      <c r="AA90" s="232">
        <f t="shared" si="46"/>
        <v>0</v>
      </c>
      <c r="AB90" s="92">
        <f t="shared" si="54"/>
        <v>0</v>
      </c>
      <c r="AC90" s="234">
        <f t="shared" si="47"/>
        <v>0</v>
      </c>
      <c r="AD90" s="92">
        <f t="shared" si="48"/>
        <v>0</v>
      </c>
      <c r="AE90" s="93">
        <f>'Юнит 6'!AE90+'Юнит 7'!AE90+'Юнит 8'!AE90+'Юнит 9'!AE90</f>
        <v>0</v>
      </c>
      <c r="AF90" s="234">
        <f t="shared" si="49"/>
        <v>0</v>
      </c>
      <c r="AG90" s="93">
        <f>'Юнит 6'!AG90+'Юнит 7'!AG90+'Юнит 8'!AG90+'Юнит 9'!AG90</f>
        <v>0</v>
      </c>
      <c r="AH90" s="93">
        <f>'Юнит 6'!AH90+'Юнит 7'!AH90+'Юнит 8'!AH90+'Юнит 9'!AH90</f>
        <v>0</v>
      </c>
      <c r="AI90" s="93">
        <f>'Юнит 6'!AI90+'Юнит 7'!AI90+'Юнит 8'!AI90+'Юнит 9'!AI90</f>
        <v>0</v>
      </c>
      <c r="AJ90" s="93">
        <f>'Юнит 6'!AJ90+'Юнит 7'!AJ90+'Юнит 8'!AJ90+'Юнит 9'!AJ90</f>
        <v>0</v>
      </c>
      <c r="AK90" s="93">
        <f>'Юнит 6'!AK90+'Юнит 7'!AK90+'Юнит 8'!AK90+'Юнит 9'!AK90</f>
        <v>0</v>
      </c>
      <c r="AL90" s="122">
        <f t="shared" si="50"/>
        <v>0</v>
      </c>
      <c r="AM90" s="93">
        <f>'Юнит 6'!AM90+'Юнит 7'!AM90+'Юнит 8'!AM90+'Юнит 9'!AM90</f>
        <v>0</v>
      </c>
      <c r="AN90" s="325">
        <f t="shared" si="51"/>
        <v>0</v>
      </c>
      <c r="AO90" s="95">
        <f t="shared" si="55"/>
        <v>0</v>
      </c>
      <c r="AP90" s="96"/>
      <c r="AQ90" s="97">
        <f t="shared" si="9"/>
        <v>0</v>
      </c>
      <c r="AR90" s="98">
        <f t="shared" si="30"/>
        <v>107.88</v>
      </c>
      <c r="AS90" s="98">
        <f t="shared" si="11"/>
        <v>0</v>
      </c>
      <c r="AT90" s="98">
        <f t="shared" si="12"/>
        <v>0</v>
      </c>
      <c r="AU90" s="98">
        <f t="shared" si="56"/>
        <v>0</v>
      </c>
      <c r="AV90" s="98">
        <f t="array" ref="AV90">_xlfn.IFS(U90=0,AO90,U90&lt;0,AO90/-U90,U90&gt;0,AO90/U90)</f>
        <v>0</v>
      </c>
      <c r="AW90" s="234">
        <f t="shared" si="41"/>
        <v>0</v>
      </c>
      <c r="AX90" s="234">
        <f t="shared" si="42"/>
        <v>0</v>
      </c>
      <c r="AY90" s="99"/>
      <c r="AZ90" s="94">
        <f t="shared" si="15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3"/>
        <v>0</v>
      </c>
      <c r="F91" s="93"/>
      <c r="G91" s="93"/>
      <c r="H91" s="93"/>
      <c r="I91" s="93"/>
      <c r="J91" s="93"/>
      <c r="K91" s="93">
        <v>93.84</v>
      </c>
      <c r="L91" s="92">
        <f t="shared" si="37"/>
        <v>0</v>
      </c>
      <c r="M91" s="89"/>
      <c r="N91" s="93">
        <f>'Юнит 6'!N91+'Юнит 7'!N91+'Юнит 8'!N91+'Юнит 9'!N91</f>
        <v>24</v>
      </c>
      <c r="O91" s="89">
        <v>1075</v>
      </c>
      <c r="P91" s="89">
        <v>10</v>
      </c>
      <c r="Q91" s="233">
        <f t="shared" si="52"/>
        <v>0.75</v>
      </c>
      <c r="R91" s="92">
        <f t="shared" si="53"/>
        <v>6.25E-2</v>
      </c>
      <c r="S91" s="93">
        <f>'Юнит 6'!S91+'Юнит 7'!S91+'Юнит 8'!S91+'Юнит 9'!S91</f>
        <v>2</v>
      </c>
      <c r="T91" s="93">
        <f>'Юнит 6'!T91+'Юнит 7'!T91+'Юнит 8'!T91+'Юнит 9'!T91</f>
        <v>0</v>
      </c>
      <c r="U91" s="92">
        <f t="shared" si="44"/>
        <v>2</v>
      </c>
      <c r="V91" s="93">
        <f>'Юнит 6'!V91+'Юнит 7'!V91+'Юнит 8'!V91+'Юнит 9'!V91</f>
        <v>1532.5</v>
      </c>
      <c r="W91" s="93">
        <f>'Юнит 6'!W91+'Юнит 7'!W91+'Юнит 8'!W91+'Юнит 9'!W91</f>
        <v>0</v>
      </c>
      <c r="X91" s="92">
        <f t="shared" si="45"/>
        <v>1532.5</v>
      </c>
      <c r="Y91" s="93">
        <f>'Юнит 6'!Y91+'Юнит 7'!Y91+'Юнит 8'!Y91+'Юнит 9'!Y91</f>
        <v>2149.63</v>
      </c>
      <c r="Z91" s="93">
        <f>'Юнит 6'!Z91+'Юнит 7'!Z91+'Юнит 8'!Z91+'Юнит 9'!Z91</f>
        <v>0</v>
      </c>
      <c r="AA91" s="232">
        <f t="shared" si="46"/>
        <v>2149.63</v>
      </c>
      <c r="AB91" s="92">
        <f t="shared" si="54"/>
        <v>2580</v>
      </c>
      <c r="AC91" s="234">
        <f t="shared" si="47"/>
        <v>2.5368780009299863E-4</v>
      </c>
      <c r="AD91" s="92">
        <f t="shared" si="48"/>
        <v>187.68</v>
      </c>
      <c r="AE91" s="93">
        <f>'Юнит 6'!AE91+'Юнит 7'!AE91+'Юнит 8'!AE91+'Юнит 9'!AE91</f>
        <v>780.99000000000024</v>
      </c>
      <c r="AF91" s="234">
        <f t="shared" si="49"/>
        <v>0.36331368654140489</v>
      </c>
      <c r="AG91" s="93">
        <f>'Юнит 6'!AG91+'Юнит 7'!AG91+'Юнит 8'!AG91+'Юнит 9'!AG91</f>
        <v>2305.79</v>
      </c>
      <c r="AH91" s="93">
        <f>'Юнит 6'!AH91+'Юнит 7'!AH91+'Юнит 8'!AH91+'Юнит 9'!AH91</f>
        <v>0</v>
      </c>
      <c r="AI91" s="93">
        <f>'Юнит 6'!AI91+'Юнит 7'!AI91+'Юнит 8'!AI91+'Юнит 9'!AI91</f>
        <v>0</v>
      </c>
      <c r="AJ91" s="93">
        <f>'Юнит 6'!AJ91+'Юнит 7'!AJ91+'Юнит 8'!AJ91+'Юнит 9'!AJ91</f>
        <v>0</v>
      </c>
      <c r="AK91" s="93">
        <f>'Юнит 6'!AK91+'Юнит 7'!AK91+'Юнит 8'!AK91+'Юнит 9'!AK91</f>
        <v>0</v>
      </c>
      <c r="AL91" s="122">
        <f t="shared" si="50"/>
        <v>0</v>
      </c>
      <c r="AM91" s="93">
        <f>'Юнит 6'!AM91+'Юнит 7'!AM91+'Юнит 8'!AM91+'Юнит 9'!AM91</f>
        <v>0</v>
      </c>
      <c r="AN91" s="325">
        <f t="shared" si="51"/>
        <v>86.046670876629278</v>
      </c>
      <c r="AO91" s="95">
        <f t="shared" si="55"/>
        <v>-1210.8766708766295</v>
      </c>
      <c r="AP91" s="96"/>
      <c r="AQ91" s="97">
        <f t="shared" si="9"/>
        <v>1074.8150000000001</v>
      </c>
      <c r="AR91" s="98">
        <f t="shared" si="30"/>
        <v>93.84</v>
      </c>
      <c r="AS91" s="98">
        <f t="shared" si="11"/>
        <v>390.49500000000012</v>
      </c>
      <c r="AT91" s="98">
        <f t="shared" si="12"/>
        <v>1152.895</v>
      </c>
      <c r="AU91" s="98">
        <f t="shared" si="56"/>
        <v>0</v>
      </c>
      <c r="AV91" s="98">
        <f t="array" ref="AV91">_xlfn.IFS(U91=0,AO91,U91&lt;0,AO91/-U91,U91&gt;0,AO91/U91)</f>
        <v>-605.43833543831477</v>
      </c>
      <c r="AW91" s="234">
        <f t="shared" si="41"/>
        <v>-0.56329539077731028</v>
      </c>
      <c r="AX91" s="234">
        <f t="shared" si="42"/>
        <v>-6.4518151687799952</v>
      </c>
      <c r="AY91" s="99"/>
      <c r="AZ91" s="94">
        <f t="shared" si="15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3"/>
        <v>0</v>
      </c>
      <c r="F92" s="93"/>
      <c r="G92" s="93"/>
      <c r="H92" s="93"/>
      <c r="I92" s="93"/>
      <c r="J92" s="93"/>
      <c r="K92" s="93">
        <v>139.47</v>
      </c>
      <c r="L92" s="92">
        <f t="shared" si="37"/>
        <v>0</v>
      </c>
      <c r="M92" s="89"/>
      <c r="N92" s="93">
        <f>'Юнит 6'!N92+'Юнит 7'!N92+'Юнит 8'!N92+'Юнит 9'!N92</f>
        <v>4</v>
      </c>
      <c r="O92" s="89">
        <v>1350</v>
      </c>
      <c r="P92" s="89">
        <v>0</v>
      </c>
      <c r="Q92" s="233">
        <f t="shared" si="52"/>
        <v>0.125</v>
      </c>
      <c r="R92" s="92">
        <f t="shared" si="53"/>
        <v>0</v>
      </c>
      <c r="S92" s="93">
        <f>'Юнит 6'!S92+'Юнит 7'!S92+'Юнит 8'!S92+'Юнит 9'!S92</f>
        <v>0</v>
      </c>
      <c r="T92" s="93">
        <f>'Юнит 6'!T92+'Юнит 7'!T92+'Юнит 8'!T92+'Юнит 9'!T92</f>
        <v>0</v>
      </c>
      <c r="U92" s="92">
        <f t="shared" si="44"/>
        <v>0</v>
      </c>
      <c r="V92" s="93">
        <f>'Юнит 6'!V92+'Юнит 7'!V92+'Юнит 8'!V92+'Юнит 9'!V92</f>
        <v>0</v>
      </c>
      <c r="W92" s="93">
        <f>'Юнит 6'!W92+'Юнит 7'!W92+'Юнит 8'!W92+'Юнит 9'!W92</f>
        <v>0</v>
      </c>
      <c r="X92" s="92">
        <f t="shared" si="45"/>
        <v>0</v>
      </c>
      <c r="Y92" s="93">
        <f>'Юнит 6'!Y92+'Юнит 7'!Y92+'Юнит 8'!Y92+'Юнит 9'!Y92</f>
        <v>0</v>
      </c>
      <c r="Z92" s="93">
        <f>'Юнит 6'!Z92+'Юнит 7'!Z92+'Юнит 8'!Z92+'Юнит 9'!Z92</f>
        <v>0</v>
      </c>
      <c r="AA92" s="232">
        <f t="shared" si="46"/>
        <v>0</v>
      </c>
      <c r="AB92" s="92">
        <f t="shared" si="54"/>
        <v>0</v>
      </c>
      <c r="AC92" s="234">
        <f t="shared" si="47"/>
        <v>0</v>
      </c>
      <c r="AD92" s="92">
        <f t="shared" si="48"/>
        <v>0</v>
      </c>
      <c r="AE92" s="93">
        <f>'Юнит 6'!AE92+'Юнит 7'!AE92+'Юнит 8'!AE92+'Юнит 9'!AE92</f>
        <v>0</v>
      </c>
      <c r="AF92" s="234">
        <f t="shared" si="49"/>
        <v>0</v>
      </c>
      <c r="AG92" s="93">
        <f>'Юнит 6'!AG92+'Юнит 7'!AG92+'Юнит 8'!AG92+'Юнит 9'!AG92</f>
        <v>324.84000000000003</v>
      </c>
      <c r="AH92" s="93">
        <f>'Юнит 6'!AH92+'Юнит 7'!AH92+'Юнит 8'!AH92+'Юнит 9'!AH92</f>
        <v>0</v>
      </c>
      <c r="AI92" s="93">
        <f>'Юнит 6'!AI92+'Юнит 7'!AI92+'Юнит 8'!AI92+'Юнит 9'!AI92</f>
        <v>0</v>
      </c>
      <c r="AJ92" s="93">
        <f>'Юнит 6'!AJ92+'Юнит 7'!AJ92+'Юнит 8'!AJ92+'Юнит 9'!AJ92</f>
        <v>0</v>
      </c>
      <c r="AK92" s="93">
        <f>'Юнит 6'!AK92+'Юнит 7'!AK92+'Юнит 8'!AK92+'Юнит 9'!AK92</f>
        <v>0</v>
      </c>
      <c r="AL92" s="122">
        <f t="shared" si="50"/>
        <v>0</v>
      </c>
      <c r="AM92" s="93">
        <f>'Юнит 6'!AM92+'Юнит 7'!AM92+'Юнит 8'!AM92+'Юнит 9'!AM92</f>
        <v>0</v>
      </c>
      <c r="AN92" s="325">
        <f t="shared" si="51"/>
        <v>0</v>
      </c>
      <c r="AO92" s="95">
        <f t="shared" si="55"/>
        <v>-324.84000000000003</v>
      </c>
      <c r="AP92" s="96"/>
      <c r="AQ92" s="97">
        <f t="shared" si="9"/>
        <v>0</v>
      </c>
      <c r="AR92" s="98">
        <f t="shared" si="30"/>
        <v>139.47</v>
      </c>
      <c r="AS92" s="98">
        <f t="shared" si="11"/>
        <v>0</v>
      </c>
      <c r="AT92" s="98">
        <f t="shared" si="12"/>
        <v>324.84000000000003</v>
      </c>
      <c r="AU92" s="98">
        <f t="shared" si="56"/>
        <v>0</v>
      </c>
      <c r="AV92" s="98">
        <f t="array" ref="AV92">_xlfn.IFS(U92=0,AO92,U92&lt;0,AO92/-U92,U92&gt;0,AO92/U92)</f>
        <v>-324.84000000000003</v>
      </c>
      <c r="AW92" s="234">
        <f t="shared" si="41"/>
        <v>0</v>
      </c>
      <c r="AX92" s="234">
        <f t="shared" si="42"/>
        <v>-2.3291030329103037</v>
      </c>
      <c r="AY92" s="99"/>
      <c r="AZ92" s="94">
        <f t="shared" si="15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3"/>
        <v>0</v>
      </c>
      <c r="F93" s="93"/>
      <c r="G93" s="93"/>
      <c r="H93" s="93"/>
      <c r="I93" s="93"/>
      <c r="J93" s="93"/>
      <c r="K93" s="93">
        <v>139.47</v>
      </c>
      <c r="L93" s="92">
        <f t="shared" si="37"/>
        <v>0</v>
      </c>
      <c r="M93" s="89"/>
      <c r="N93" s="93">
        <f>'Юнит 6'!N93+'Юнит 7'!N93+'Юнит 8'!N93+'Юнит 9'!N93</f>
        <v>3</v>
      </c>
      <c r="O93" s="89">
        <v>1296</v>
      </c>
      <c r="P93" s="89">
        <v>0</v>
      </c>
      <c r="Q93" s="233">
        <f t="shared" si="52"/>
        <v>9.375E-2</v>
      </c>
      <c r="R93" s="92">
        <f t="shared" si="53"/>
        <v>0</v>
      </c>
      <c r="S93" s="93">
        <f>'Юнит 6'!S93+'Юнит 7'!S93+'Юнит 8'!S93+'Юнит 9'!S93</f>
        <v>0</v>
      </c>
      <c r="T93" s="93">
        <f>'Юнит 6'!T93+'Юнит 7'!T93+'Юнит 8'!T93+'Юнит 9'!T93</f>
        <v>0</v>
      </c>
      <c r="U93" s="92">
        <f t="shared" si="44"/>
        <v>0</v>
      </c>
      <c r="V93" s="93">
        <f>'Юнит 6'!V93+'Юнит 7'!V93+'Юнит 8'!V93+'Юнит 9'!V93</f>
        <v>0</v>
      </c>
      <c r="W93" s="93">
        <f>'Юнит 6'!W93+'Юнит 7'!W93+'Юнит 8'!W93+'Юнит 9'!W93</f>
        <v>0</v>
      </c>
      <c r="X93" s="92">
        <f t="shared" si="45"/>
        <v>0</v>
      </c>
      <c r="Y93" s="93">
        <f>'Юнит 6'!Y93+'Юнит 7'!Y93+'Юнит 8'!Y93+'Юнит 9'!Y93</f>
        <v>0</v>
      </c>
      <c r="Z93" s="93">
        <f>'Юнит 6'!Z93+'Юнит 7'!Z93+'Юнит 8'!Z93+'Юнит 9'!Z93</f>
        <v>0</v>
      </c>
      <c r="AA93" s="232">
        <f t="shared" si="46"/>
        <v>0</v>
      </c>
      <c r="AB93" s="92">
        <f t="shared" si="54"/>
        <v>0</v>
      </c>
      <c r="AC93" s="234">
        <f t="shared" si="47"/>
        <v>0</v>
      </c>
      <c r="AD93" s="92">
        <f t="shared" si="48"/>
        <v>0</v>
      </c>
      <c r="AE93" s="93">
        <f>'Юнит 6'!AE93+'Юнит 7'!AE93+'Юнит 8'!AE93+'Юнит 9'!AE93</f>
        <v>0</v>
      </c>
      <c r="AF93" s="234">
        <f t="shared" si="49"/>
        <v>0</v>
      </c>
      <c r="AG93" s="93">
        <f>'Юнит 6'!AG93+'Юнит 7'!AG93+'Юнит 8'!AG93+'Юнит 9'!AG93</f>
        <v>91.41</v>
      </c>
      <c r="AH93" s="93">
        <f>'Юнит 6'!AH93+'Юнит 7'!AH93+'Юнит 8'!AH93+'Юнит 9'!AH93</f>
        <v>0</v>
      </c>
      <c r="AI93" s="93">
        <f>'Юнит 6'!AI93+'Юнит 7'!AI93+'Юнит 8'!AI93+'Юнит 9'!AI93</f>
        <v>0</v>
      </c>
      <c r="AJ93" s="93">
        <f>'Юнит 6'!AJ93+'Юнит 7'!AJ93+'Юнит 8'!AJ93+'Юнит 9'!AJ93</f>
        <v>0</v>
      </c>
      <c r="AK93" s="93">
        <f>'Юнит 6'!AK93+'Юнит 7'!AK93+'Юнит 8'!AK93+'Юнит 9'!AK93</f>
        <v>0</v>
      </c>
      <c r="AL93" s="122">
        <f t="shared" si="50"/>
        <v>0</v>
      </c>
      <c r="AM93" s="93">
        <f>'Юнит 6'!AM93+'Юнит 7'!AM93+'Юнит 8'!AM93+'Юнит 9'!AM93</f>
        <v>0</v>
      </c>
      <c r="AN93" s="325">
        <f t="shared" si="51"/>
        <v>0</v>
      </c>
      <c r="AO93" s="95">
        <f t="shared" si="55"/>
        <v>-91.41</v>
      </c>
      <c r="AP93" s="96"/>
      <c r="AQ93" s="97">
        <f t="shared" si="9"/>
        <v>0</v>
      </c>
      <c r="AR93" s="98">
        <f t="shared" si="30"/>
        <v>139.47</v>
      </c>
      <c r="AS93" s="98">
        <f t="shared" si="11"/>
        <v>0</v>
      </c>
      <c r="AT93" s="98">
        <f t="shared" si="12"/>
        <v>91.41</v>
      </c>
      <c r="AU93" s="98">
        <f t="shared" si="56"/>
        <v>0</v>
      </c>
      <c r="AV93" s="98">
        <f t="array" ref="AV93">_xlfn.IFS(U93=0,AO93,U93&lt;0,AO93/-U93,U93&gt;0,AO93/U93)</f>
        <v>-91.41</v>
      </c>
      <c r="AW93" s="234">
        <f t="shared" si="41"/>
        <v>0</v>
      </c>
      <c r="AX93" s="234">
        <f t="shared" si="42"/>
        <v>-0.65540976554097652</v>
      </c>
      <c r="AY93" s="99"/>
      <c r="AZ93" s="94">
        <f t="shared" si="15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3"/>
        <v>0</v>
      </c>
      <c r="F94" s="93"/>
      <c r="G94" s="93"/>
      <c r="H94" s="93"/>
      <c r="I94" s="93"/>
      <c r="J94" s="93"/>
      <c r="K94" s="93">
        <v>400.08</v>
      </c>
      <c r="L94" s="92">
        <f t="shared" si="37"/>
        <v>0</v>
      </c>
      <c r="M94" s="89"/>
      <c r="N94" s="93">
        <f>'Юнит 6'!N94+'Юнит 7'!N94+'Юнит 8'!N94+'Юнит 9'!N94</f>
        <v>3</v>
      </c>
      <c r="O94" s="89">
        <v>1297</v>
      </c>
      <c r="P94" s="89">
        <v>50</v>
      </c>
      <c r="Q94" s="233">
        <f t="shared" si="52"/>
        <v>9.375E-2</v>
      </c>
      <c r="R94" s="92">
        <f t="shared" si="53"/>
        <v>3.125E-2</v>
      </c>
      <c r="S94" s="93">
        <f>'Юнит 6'!S94+'Юнит 7'!S94+'Юнит 8'!S94+'Юнит 9'!S94</f>
        <v>1</v>
      </c>
      <c r="T94" s="93">
        <f>'Юнит 6'!T94+'Юнит 7'!T94+'Юнит 8'!T94+'Юнит 9'!T94</f>
        <v>0</v>
      </c>
      <c r="U94" s="92">
        <f t="shared" si="44"/>
        <v>1</v>
      </c>
      <c r="V94" s="93">
        <f>'Юнит 6'!V94+'Юнит 7'!V94+'Юнит 8'!V94+'Юнит 9'!V94</f>
        <v>814</v>
      </c>
      <c r="W94" s="93">
        <f>'Юнит 6'!W94+'Юнит 7'!W94+'Юнит 8'!W94+'Юнит 9'!W94</f>
        <v>0</v>
      </c>
      <c r="X94" s="92">
        <f t="shared" si="45"/>
        <v>814</v>
      </c>
      <c r="Y94" s="93">
        <f>'Юнит 6'!Y94+'Юнит 7'!Y94+'Юнит 8'!Y94+'Юнит 9'!Y94</f>
        <v>1258.0899999999999</v>
      </c>
      <c r="Z94" s="93">
        <f>'Юнит 6'!Z94+'Юнит 7'!Z94+'Юнит 8'!Z94+'Юнит 9'!Z94</f>
        <v>0</v>
      </c>
      <c r="AA94" s="232">
        <f t="shared" si="46"/>
        <v>1258.0899999999999</v>
      </c>
      <c r="AB94" s="92">
        <f t="shared" si="54"/>
        <v>1945.5</v>
      </c>
      <c r="AC94" s="234">
        <f t="shared" si="47"/>
        <v>1.484730322981167E-4</v>
      </c>
      <c r="AD94" s="92">
        <f t="shared" si="48"/>
        <v>400.08</v>
      </c>
      <c r="AE94" s="93">
        <f>'Юнит 6'!AE94+'Юнит 7'!AE94+'Юнит 8'!AE94+'Юнит 9'!AE94</f>
        <v>464.82999999999993</v>
      </c>
      <c r="AF94" s="234">
        <f t="shared" si="49"/>
        <v>0.36947277221820374</v>
      </c>
      <c r="AG94" s="93">
        <f>'Юнит 6'!AG94+'Юнит 7'!AG94+'Юнит 8'!AG94+'Юнит 9'!AG94</f>
        <v>170.91</v>
      </c>
      <c r="AH94" s="93">
        <f>'Юнит 6'!AH94+'Юнит 7'!AH94+'Юнит 8'!AH94+'Юнит 9'!AH94</f>
        <v>0</v>
      </c>
      <c r="AI94" s="93">
        <f>'Юнит 6'!AI94+'Юнит 7'!AI94+'Юнит 8'!AI94+'Юнит 9'!AI94</f>
        <v>0</v>
      </c>
      <c r="AJ94" s="93">
        <f>'Юнит 6'!AJ94+'Юнит 7'!AJ94+'Юнит 8'!AJ94+'Юнит 9'!AJ94</f>
        <v>0</v>
      </c>
      <c r="AK94" s="93">
        <f>'Юнит 6'!AK94+'Юнит 7'!AK94+'Юнит 8'!AK94+'Юнит 9'!AK94</f>
        <v>0</v>
      </c>
      <c r="AL94" s="122">
        <f t="shared" si="50"/>
        <v>0</v>
      </c>
      <c r="AM94" s="93">
        <f>'Юнит 6'!AM94+'Юнит 7'!AM94+'Юнит 8'!AM94+'Юнит 9'!AM94</f>
        <v>0</v>
      </c>
      <c r="AN94" s="325">
        <f t="shared" si="51"/>
        <v>45.704398103475519</v>
      </c>
      <c r="AO94" s="95">
        <f t="shared" si="55"/>
        <v>176.56560189652456</v>
      </c>
      <c r="AP94" s="96"/>
      <c r="AQ94" s="97">
        <f t="shared" si="9"/>
        <v>1258.0899999999999</v>
      </c>
      <c r="AR94" s="98">
        <f t="shared" si="30"/>
        <v>400.08</v>
      </c>
      <c r="AS94" s="98">
        <f t="shared" si="11"/>
        <v>464.82999999999993</v>
      </c>
      <c r="AT94" s="98">
        <f t="shared" si="12"/>
        <v>170.91</v>
      </c>
      <c r="AU94" s="98">
        <f t="shared" si="56"/>
        <v>0</v>
      </c>
      <c r="AV94" s="98">
        <f t="array" ref="AV94">_xlfn.IFS(U94=0,AO94,U94&lt;0,AO94/-U94,U94&gt;0,AO94/U94)</f>
        <v>176.56560189652456</v>
      </c>
      <c r="AW94" s="234">
        <f t="shared" si="41"/>
        <v>0.14034417402294316</v>
      </c>
      <c r="AX94" s="234">
        <f t="shared" si="42"/>
        <v>0.44132573959339272</v>
      </c>
      <c r="AY94" s="99"/>
      <c r="AZ94" s="94">
        <f t="shared" si="15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3"/>
        <v>0</v>
      </c>
      <c r="F95" s="93"/>
      <c r="G95" s="93"/>
      <c r="H95" s="93"/>
      <c r="I95" s="93"/>
      <c r="J95" s="93"/>
      <c r="K95" s="93">
        <v>400.08</v>
      </c>
      <c r="L95" s="92">
        <f t="shared" si="37"/>
        <v>0</v>
      </c>
      <c r="M95" s="89"/>
      <c r="N95" s="93">
        <f>'Юнит 6'!N95+'Юнит 7'!N95+'Юнит 8'!N95+'Юнит 9'!N95</f>
        <v>0</v>
      </c>
      <c r="O95" s="89">
        <v>0</v>
      </c>
      <c r="P95" s="89">
        <v>0</v>
      </c>
      <c r="Q95" s="233">
        <f t="shared" si="52"/>
        <v>0</v>
      </c>
      <c r="R95" s="92">
        <f t="shared" si="53"/>
        <v>3.125E-2</v>
      </c>
      <c r="S95" s="93">
        <f>'Юнит 6'!S95+'Юнит 7'!S95+'Юнит 8'!S95+'Юнит 9'!S95</f>
        <v>1</v>
      </c>
      <c r="T95" s="93">
        <f>'Юнит 6'!T95+'Юнит 7'!T95+'Юнит 8'!T95+'Юнит 9'!T95</f>
        <v>0</v>
      </c>
      <c r="U95" s="92">
        <f t="shared" si="44"/>
        <v>1</v>
      </c>
      <c r="V95" s="93">
        <f>'Юнит 6'!V95+'Юнит 7'!V95+'Юнит 8'!V95+'Юнит 9'!V95</f>
        <v>1025</v>
      </c>
      <c r="W95" s="93">
        <f>'Юнит 6'!W95+'Юнит 7'!W95+'Юнит 8'!W95+'Юнит 9'!W95</f>
        <v>0</v>
      </c>
      <c r="X95" s="92">
        <f t="shared" si="45"/>
        <v>1025</v>
      </c>
      <c r="Y95" s="93">
        <f>'Юнит 6'!Y95+'Юнит 7'!Y95+'Юнит 8'!Y95+'Юнит 9'!Y95</f>
        <v>1647</v>
      </c>
      <c r="Z95" s="93">
        <f>'Юнит 6'!Z95+'Юнит 7'!Z95+'Юнит 8'!Z95+'Юнит 9'!Z95</f>
        <v>0</v>
      </c>
      <c r="AA95" s="232">
        <f t="shared" si="46"/>
        <v>1647</v>
      </c>
      <c r="AB95" s="92">
        <f t="shared" si="54"/>
        <v>0</v>
      </c>
      <c r="AC95" s="234">
        <f t="shared" si="47"/>
        <v>1.9437010404263464E-4</v>
      </c>
      <c r="AD95" s="92">
        <f t="shared" si="48"/>
        <v>400.08</v>
      </c>
      <c r="AE95" s="93">
        <f>'Юнит 6'!AE95+'Юнит 7'!AE95+'Юнит 8'!AE95+'Юнит 9'!AE95</f>
        <v>607.45000000000005</v>
      </c>
      <c r="AF95" s="234">
        <f t="shared" si="49"/>
        <v>0.36882210078931393</v>
      </c>
      <c r="AG95" s="93">
        <f>'Юнит 6'!AG95+'Юнит 7'!AG95+'Юнит 8'!AG95+'Юнит 9'!AG95</f>
        <v>34.799999999999997</v>
      </c>
      <c r="AH95" s="93">
        <f>'Юнит 6'!AH95+'Юнит 7'!AH95+'Юнит 8'!AH95+'Юнит 9'!AH95</f>
        <v>0</v>
      </c>
      <c r="AI95" s="93">
        <f>'Юнит 6'!AI95+'Юнит 7'!AI95+'Юнит 8'!AI95+'Юнит 9'!AI95</f>
        <v>0</v>
      </c>
      <c r="AJ95" s="93">
        <f>'Юнит 6'!AJ95+'Юнит 7'!AJ95+'Юнит 8'!AJ95+'Юнит 9'!AJ95</f>
        <v>0</v>
      </c>
      <c r="AK95" s="93">
        <f>'Юнит 6'!AK95+'Юнит 7'!AK95+'Юнит 8'!AK95+'Юнит 9'!AK95</f>
        <v>0</v>
      </c>
      <c r="AL95" s="122">
        <f t="shared" si="50"/>
        <v>0</v>
      </c>
      <c r="AM95" s="93">
        <f>'Юнит 6'!AM95+'Юнит 7'!AM95+'Юнит 8'!AM95+'Юнит 9'!AM95</f>
        <v>0</v>
      </c>
      <c r="AN95" s="325">
        <f t="shared" si="51"/>
        <v>57.551606948479609</v>
      </c>
      <c r="AO95" s="95">
        <f t="shared" si="55"/>
        <v>547.11839305152046</v>
      </c>
      <c r="AP95" s="96"/>
      <c r="AQ95" s="97">
        <f t="shared" si="9"/>
        <v>1647</v>
      </c>
      <c r="AR95" s="98">
        <f t="shared" si="30"/>
        <v>400.08</v>
      </c>
      <c r="AS95" s="98">
        <f t="shared" si="11"/>
        <v>607.45000000000005</v>
      </c>
      <c r="AT95" s="98">
        <f t="shared" si="12"/>
        <v>34.799999999999997</v>
      </c>
      <c r="AU95" s="98">
        <f t="shared" si="56"/>
        <v>0</v>
      </c>
      <c r="AV95" s="98">
        <f t="array" ref="AV95">_xlfn.IFS(U95=0,AO95,U95&lt;0,AO95/-U95,U95&gt;0,AO95/U95)</f>
        <v>547.11839305152046</v>
      </c>
      <c r="AW95" s="234">
        <f t="shared" si="41"/>
        <v>0.33219088831300575</v>
      </c>
      <c r="AX95" s="234">
        <f t="shared" si="42"/>
        <v>1.3675224781331745</v>
      </c>
      <c r="AY95" s="99"/>
      <c r="AZ95" s="94">
        <f t="shared" si="15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3"/>
        <v>0</v>
      </c>
      <c r="F96" s="93"/>
      <c r="G96" s="93"/>
      <c r="H96" s="93"/>
      <c r="I96" s="93"/>
      <c r="J96" s="93"/>
      <c r="K96" s="93">
        <v>300.08</v>
      </c>
      <c r="L96" s="92">
        <f t="shared" si="37"/>
        <v>0</v>
      </c>
      <c r="M96" s="89"/>
      <c r="N96" s="93">
        <f>'Юнит 6'!N96+'Юнит 7'!N96+'Юнит 8'!N96+'Юнит 9'!N96</f>
        <v>0</v>
      </c>
      <c r="O96" s="89">
        <v>0</v>
      </c>
      <c r="P96" s="89">
        <v>0</v>
      </c>
      <c r="Q96" s="233">
        <f t="shared" si="52"/>
        <v>0</v>
      </c>
      <c r="R96" s="92">
        <f t="shared" si="53"/>
        <v>0</v>
      </c>
      <c r="S96" s="93">
        <f>'Юнит 6'!S96+'Юнит 7'!S96+'Юнит 8'!S96+'Юнит 9'!S96</f>
        <v>0</v>
      </c>
      <c r="T96" s="93">
        <f>'Юнит 6'!T96+'Юнит 7'!T96+'Юнит 8'!T96+'Юнит 9'!T96</f>
        <v>0</v>
      </c>
      <c r="U96" s="92">
        <f t="shared" si="44"/>
        <v>0</v>
      </c>
      <c r="V96" s="93">
        <f>'Юнит 6'!V96+'Юнит 7'!V96+'Юнит 8'!V96+'Юнит 9'!V96</f>
        <v>0</v>
      </c>
      <c r="W96" s="93">
        <f>'Юнит 6'!W96+'Юнит 7'!W96+'Юнит 8'!W96+'Юнит 9'!W96</f>
        <v>0</v>
      </c>
      <c r="X96" s="92">
        <f t="shared" si="45"/>
        <v>0</v>
      </c>
      <c r="Y96" s="93">
        <f>'Юнит 6'!Y96+'Юнит 7'!Y96+'Юнит 8'!Y96+'Юнит 9'!Y96</f>
        <v>0</v>
      </c>
      <c r="Z96" s="93">
        <f>'Юнит 6'!Z96+'Юнит 7'!Z96+'Юнит 8'!Z96+'Юнит 9'!Z96</f>
        <v>0</v>
      </c>
      <c r="AA96" s="232">
        <f t="shared" si="46"/>
        <v>0</v>
      </c>
      <c r="AB96" s="92">
        <f t="shared" si="54"/>
        <v>0</v>
      </c>
      <c r="AC96" s="234">
        <f t="shared" si="47"/>
        <v>0</v>
      </c>
      <c r="AD96" s="92">
        <f t="shared" si="48"/>
        <v>0</v>
      </c>
      <c r="AE96" s="93">
        <f>'Юнит 6'!AE96+'Юнит 7'!AE96+'Юнит 8'!AE96+'Юнит 9'!AE96</f>
        <v>0</v>
      </c>
      <c r="AF96" s="234">
        <f t="shared" si="49"/>
        <v>0</v>
      </c>
      <c r="AG96" s="93">
        <f>'Юнит 6'!AG96+'Юнит 7'!AG96+'Юнит 8'!AG96+'Юнит 9'!AG96</f>
        <v>0</v>
      </c>
      <c r="AH96" s="93">
        <f>'Юнит 6'!AH96+'Юнит 7'!AH96+'Юнит 8'!AH96+'Юнит 9'!AH96</f>
        <v>0</v>
      </c>
      <c r="AI96" s="93">
        <f>'Юнит 6'!AI96+'Юнит 7'!AI96+'Юнит 8'!AI96+'Юнит 9'!AI96</f>
        <v>0</v>
      </c>
      <c r="AJ96" s="93">
        <f>'Юнит 6'!AJ96+'Юнит 7'!AJ96+'Юнит 8'!AJ96+'Юнит 9'!AJ96</f>
        <v>0</v>
      </c>
      <c r="AK96" s="93">
        <f>'Юнит 6'!AK96+'Юнит 7'!AK96+'Юнит 8'!AK96+'Юнит 9'!AK96</f>
        <v>0</v>
      </c>
      <c r="AL96" s="122">
        <f t="shared" si="50"/>
        <v>0</v>
      </c>
      <c r="AM96" s="93">
        <f>'Юнит 6'!AM96+'Юнит 7'!AM96+'Юнит 8'!AM96+'Юнит 9'!AM96</f>
        <v>0</v>
      </c>
      <c r="AN96" s="325">
        <f t="shared" si="51"/>
        <v>0</v>
      </c>
      <c r="AO96" s="95">
        <f t="shared" si="55"/>
        <v>0</v>
      </c>
      <c r="AP96" s="96"/>
      <c r="AQ96" s="97">
        <f t="shared" si="9"/>
        <v>0</v>
      </c>
      <c r="AR96" s="98">
        <f t="shared" si="30"/>
        <v>300.08</v>
      </c>
      <c r="AS96" s="98">
        <f t="shared" si="11"/>
        <v>0</v>
      </c>
      <c r="AT96" s="98">
        <f t="shared" si="12"/>
        <v>0</v>
      </c>
      <c r="AU96" s="98">
        <f t="shared" si="56"/>
        <v>0</v>
      </c>
      <c r="AV96" s="98">
        <f t="array" ref="AV96">_xlfn.IFS(U96=0,AO96,U96&lt;0,AO96/-U96,U96&gt;0,AO96/U96)</f>
        <v>0</v>
      </c>
      <c r="AW96" s="234">
        <f t="shared" si="41"/>
        <v>0</v>
      </c>
      <c r="AX96" s="234">
        <f t="shared" si="42"/>
        <v>0</v>
      </c>
      <c r="AY96" s="99"/>
      <c r="AZ96" s="94">
        <f t="shared" si="15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3"/>
        <v>0</v>
      </c>
      <c r="F97" s="93"/>
      <c r="G97" s="93"/>
      <c r="H97" s="93"/>
      <c r="I97" s="93"/>
      <c r="J97" s="93"/>
      <c r="K97" s="93">
        <v>400.08</v>
      </c>
      <c r="L97" s="92">
        <f t="shared" si="37"/>
        <v>0</v>
      </c>
      <c r="M97" s="89"/>
      <c r="N97" s="93">
        <f>'Юнит 6'!N97+'Юнит 7'!N97+'Юнит 8'!N97+'Юнит 9'!N97</f>
        <v>1</v>
      </c>
      <c r="O97" s="89">
        <v>1509</v>
      </c>
      <c r="P97" s="89">
        <v>0</v>
      </c>
      <c r="Q97" s="233">
        <f t="shared" si="52"/>
        <v>3.125E-2</v>
      </c>
      <c r="R97" s="92">
        <f t="shared" si="53"/>
        <v>0</v>
      </c>
      <c r="S97" s="93">
        <f>'Юнит 6'!S97+'Юнит 7'!S97+'Юнит 8'!S97+'Юнит 9'!S97</f>
        <v>0</v>
      </c>
      <c r="T97" s="93">
        <f>'Юнит 6'!T97+'Юнит 7'!T97+'Юнит 8'!T97+'Юнит 9'!T97</f>
        <v>0</v>
      </c>
      <c r="U97" s="92">
        <f t="shared" si="44"/>
        <v>0</v>
      </c>
      <c r="V97" s="93">
        <f>'Юнит 6'!V97+'Юнит 7'!V97+'Юнит 8'!V97+'Юнит 9'!V97</f>
        <v>0</v>
      </c>
      <c r="W97" s="93">
        <f>'Юнит 6'!W97+'Юнит 7'!W97+'Юнит 8'!W97+'Юнит 9'!W97</f>
        <v>0</v>
      </c>
      <c r="X97" s="92">
        <f t="shared" si="45"/>
        <v>0</v>
      </c>
      <c r="Y97" s="93">
        <f>'Юнит 6'!Y97+'Юнит 7'!Y97+'Юнит 8'!Y97+'Юнит 9'!Y97</f>
        <v>0</v>
      </c>
      <c r="Z97" s="93">
        <f>'Юнит 6'!Z97+'Юнит 7'!Z97+'Юнит 8'!Z97+'Юнит 9'!Z97</f>
        <v>0</v>
      </c>
      <c r="AA97" s="232">
        <f t="shared" si="46"/>
        <v>0</v>
      </c>
      <c r="AB97" s="92">
        <f t="shared" si="54"/>
        <v>0</v>
      </c>
      <c r="AC97" s="234">
        <f t="shared" si="47"/>
        <v>0</v>
      </c>
      <c r="AD97" s="92">
        <f t="shared" si="48"/>
        <v>0</v>
      </c>
      <c r="AE97" s="93">
        <f>'Юнит 6'!AE97+'Юнит 7'!AE97+'Юнит 8'!AE97+'Юнит 9'!AE97</f>
        <v>0</v>
      </c>
      <c r="AF97" s="234">
        <f t="shared" si="49"/>
        <v>0</v>
      </c>
      <c r="AG97" s="93">
        <f>'Юнит 6'!AG97+'Юнит 7'!AG97+'Юнит 8'!AG97+'Юнит 9'!AG97</f>
        <v>0</v>
      </c>
      <c r="AH97" s="93">
        <f>'Юнит 6'!AH97+'Юнит 7'!AH97+'Юнит 8'!AH97+'Юнит 9'!AH97</f>
        <v>0</v>
      </c>
      <c r="AI97" s="93">
        <f>'Юнит 6'!AI97+'Юнит 7'!AI97+'Юнит 8'!AI97+'Юнит 9'!AI97</f>
        <v>0</v>
      </c>
      <c r="AJ97" s="93">
        <f>'Юнит 6'!AJ97+'Юнит 7'!AJ97+'Юнит 8'!AJ97+'Юнит 9'!AJ97</f>
        <v>0</v>
      </c>
      <c r="AK97" s="93">
        <f>'Юнит 6'!AK97+'Юнит 7'!AK97+'Юнит 8'!AK97+'Юнит 9'!AK97</f>
        <v>0</v>
      </c>
      <c r="AL97" s="122">
        <f t="shared" si="50"/>
        <v>0</v>
      </c>
      <c r="AM97" s="93">
        <f>'Юнит 6'!AM97+'Юнит 7'!AM97+'Юнит 8'!AM97+'Юнит 9'!AM97</f>
        <v>0</v>
      </c>
      <c r="AN97" s="325">
        <f t="shared" si="51"/>
        <v>0</v>
      </c>
      <c r="AO97" s="95">
        <f t="shared" si="55"/>
        <v>0</v>
      </c>
      <c r="AP97" s="96"/>
      <c r="AQ97" s="97">
        <f t="shared" si="9"/>
        <v>0</v>
      </c>
      <c r="AR97" s="98">
        <f t="shared" si="30"/>
        <v>400.08</v>
      </c>
      <c r="AS97" s="98">
        <f t="shared" si="11"/>
        <v>0</v>
      </c>
      <c r="AT97" s="98">
        <f t="shared" si="12"/>
        <v>0</v>
      </c>
      <c r="AU97" s="98">
        <f t="shared" si="56"/>
        <v>0</v>
      </c>
      <c r="AV97" s="98">
        <f t="array" ref="AV97">_xlfn.IFS(U97=0,AO97,U97&lt;0,AO97/-U97,U97&gt;0,AO97/U97)</f>
        <v>0</v>
      </c>
      <c r="AW97" s="234">
        <f t="shared" si="41"/>
        <v>0</v>
      </c>
      <c r="AX97" s="234">
        <f t="shared" si="42"/>
        <v>0</v>
      </c>
      <c r="AY97" s="99"/>
      <c r="AZ97" s="94">
        <f t="shared" si="15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3"/>
        <v>0</v>
      </c>
      <c r="F98" s="93"/>
      <c r="G98" s="93"/>
      <c r="H98" s="93"/>
      <c r="I98" s="93"/>
      <c r="J98" s="93"/>
      <c r="K98" s="93">
        <v>300.08</v>
      </c>
      <c r="L98" s="92">
        <f t="shared" si="37"/>
        <v>0</v>
      </c>
      <c r="M98" s="89"/>
      <c r="N98" s="93">
        <f>'Юнит 6'!N98+'Юнит 7'!N98+'Юнит 8'!N98+'Юнит 9'!N98</f>
        <v>5</v>
      </c>
      <c r="O98" s="89">
        <v>878</v>
      </c>
      <c r="P98" s="89">
        <v>100</v>
      </c>
      <c r="Q98" s="233">
        <f t="shared" si="52"/>
        <v>0.15625</v>
      </c>
      <c r="R98" s="92">
        <f t="shared" si="53"/>
        <v>6.25E-2</v>
      </c>
      <c r="S98" s="93">
        <f>'Юнит 6'!S98+'Юнит 7'!S98+'Юнит 8'!S98+'Юнит 9'!S98</f>
        <v>2</v>
      </c>
      <c r="T98" s="93">
        <f>'Юнит 6'!T98+'Юнит 7'!T98+'Юнит 8'!T98+'Юнит 9'!T98</f>
        <v>0</v>
      </c>
      <c r="U98" s="92">
        <f t="shared" si="44"/>
        <v>2</v>
      </c>
      <c r="V98" s="93">
        <f>'Юнит 6'!V98+'Юнит 7'!V98+'Юнит 8'!V98+'Юнит 9'!V98</f>
        <v>1186</v>
      </c>
      <c r="W98" s="93">
        <f>'Юнит 6'!W98+'Юнит 7'!W98+'Юнит 8'!W98+'Юнит 9'!W98</f>
        <v>0</v>
      </c>
      <c r="X98" s="92">
        <f t="shared" si="45"/>
        <v>1186</v>
      </c>
      <c r="Y98" s="93">
        <f>'Юнит 6'!Y98+'Юнит 7'!Y98+'Юнит 8'!Y98+'Юнит 9'!Y98</f>
        <v>1756</v>
      </c>
      <c r="Z98" s="93">
        <f>'Юнит 6'!Z98+'Юнит 7'!Z98+'Юнит 8'!Z98+'Юнит 9'!Z98</f>
        <v>0</v>
      </c>
      <c r="AA98" s="232">
        <f t="shared" si="46"/>
        <v>1756</v>
      </c>
      <c r="AB98" s="92">
        <f t="shared" si="54"/>
        <v>4390</v>
      </c>
      <c r="AC98" s="234">
        <f t="shared" si="47"/>
        <v>2.0723369927071428E-4</v>
      </c>
      <c r="AD98" s="92">
        <f t="shared" si="48"/>
        <v>600.16</v>
      </c>
      <c r="AE98" s="93">
        <f>'Юнит 6'!AE98+'Юнит 7'!AE98+'Юнит 8'!AE98+'Юнит 9'!AE98</f>
        <v>666.44</v>
      </c>
      <c r="AF98" s="234">
        <f t="shared" si="49"/>
        <v>0.37952164009111622</v>
      </c>
      <c r="AG98" s="93">
        <f>'Юнит 6'!AG98+'Юнит 7'!AG98+'Юнит 8'!AG98+'Юнит 9'!AG98</f>
        <v>187.53</v>
      </c>
      <c r="AH98" s="93">
        <f>'Юнит 6'!AH98+'Юнит 7'!AH98+'Юнит 8'!AH98+'Юнит 9'!AH98</f>
        <v>0</v>
      </c>
      <c r="AI98" s="93">
        <f>'Юнит 6'!AI98+'Юнит 7'!AI98+'Юнит 8'!AI98+'Юнит 9'!AI98</f>
        <v>0</v>
      </c>
      <c r="AJ98" s="93">
        <f>'Юнит 6'!AJ98+'Юнит 7'!AJ98+'Юнит 8'!AJ98+'Юнит 9'!AJ98</f>
        <v>0</v>
      </c>
      <c r="AK98" s="93">
        <f>'Юнит 6'!AK98+'Юнит 7'!AK98+'Юнит 8'!AK98+'Юнит 9'!AK98</f>
        <v>0</v>
      </c>
      <c r="AL98" s="122">
        <f t="shared" si="50"/>
        <v>0</v>
      </c>
      <c r="AM98" s="93">
        <f>'Юнит 6'!AM98+'Юнит 7'!AM98+'Юнит 8'!AM98+'Юнит 9'!AM98</f>
        <v>0</v>
      </c>
      <c r="AN98" s="325">
        <f t="shared" si="51"/>
        <v>66.59142033258226</v>
      </c>
      <c r="AO98" s="95">
        <f t="shared" si="55"/>
        <v>235.27857966741786</v>
      </c>
      <c r="AP98" s="96"/>
      <c r="AQ98" s="97">
        <f t="shared" ref="AQ98" si="57">IF(U98=0,0,AA98/U98)</f>
        <v>878</v>
      </c>
      <c r="AR98" s="98">
        <f t="shared" si="30"/>
        <v>300.08</v>
      </c>
      <c r="AS98" s="98">
        <f t="shared" ref="AS98" si="58">IF(U98=0,0,AE98/U98)</f>
        <v>333.22</v>
      </c>
      <c r="AT98" s="98">
        <f t="shared" ref="AT98" si="59">IF(S98=0,AG98/1,AG98/S98)</f>
        <v>93.765000000000001</v>
      </c>
      <c r="AU98" s="98">
        <f t="shared" si="56"/>
        <v>0</v>
      </c>
      <c r="AV98" s="98">
        <f t="array" ref="AV98">_xlfn.IFS(U98=0,AO98,U98&lt;0,AO98/-U98,U98&gt;0,AO98/U98)</f>
        <v>117.63928983370893</v>
      </c>
      <c r="AW98" s="234">
        <f t="shared" si="41"/>
        <v>0.13398552372859787</v>
      </c>
      <c r="AX98" s="234">
        <f t="shared" si="42"/>
        <v>0.39202642573216789</v>
      </c>
      <c r="AY98" s="99"/>
      <c r="AZ98" s="94">
        <f t="shared" ref="AZ98" si="60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61">SUM(F99:J99)</f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62">E99*K99</f>
        <v>0</v>
      </c>
      <c r="M99" s="89"/>
      <c r="N99" s="93">
        <f>'Юнит 6'!N99+'Юнит 7'!N99+'Юнит 8'!N99+'Юнит 9'!N99</f>
        <v>1</v>
      </c>
      <c r="O99" s="89">
        <v>1700</v>
      </c>
      <c r="P99" s="89">
        <v>0</v>
      </c>
      <c r="Q99" s="233">
        <f t="shared" ref="Q99:Q103" si="63">N99/32</f>
        <v>3.125E-2</v>
      </c>
      <c r="R99" s="92">
        <f t="shared" ref="R99:R103" si="64">U99/32</f>
        <v>0</v>
      </c>
      <c r="S99" s="93">
        <f>'Юнит 6'!S99+'Юнит 7'!S99+'Юнит 8'!S99+'Юнит 9'!S99</f>
        <v>0</v>
      </c>
      <c r="T99" s="93">
        <f>'Юнит 6'!T99+'Юнит 7'!T99+'Юнит 8'!T99+'Юнит 9'!T99</f>
        <v>0</v>
      </c>
      <c r="U99" s="92">
        <f t="shared" ref="U99:U103" si="65">S99+T99</f>
        <v>0</v>
      </c>
      <c r="V99" s="93">
        <f>'Юнит 6'!V99+'Юнит 7'!V99+'Юнит 8'!V99+'Юнит 9'!V99</f>
        <v>0</v>
      </c>
      <c r="W99" s="93">
        <f>'Юнит 6'!W99+'Юнит 7'!W99+'Юнит 8'!W99+'Юнит 9'!W99</f>
        <v>0</v>
      </c>
      <c r="X99" s="92">
        <f t="shared" ref="X99:X103" si="66">V99+W99</f>
        <v>0</v>
      </c>
      <c r="Y99" s="93">
        <f>'Юнит 6'!Y99+'Юнит 7'!Y99+'Юнит 8'!Y99+'Юнит 9'!Y99</f>
        <v>0</v>
      </c>
      <c r="Z99" s="93">
        <f>'Юнит 6'!Z99+'Юнит 7'!Z99+'Юнит 8'!Z99+'Юнит 9'!Z99</f>
        <v>0</v>
      </c>
      <c r="AA99" s="232">
        <f t="shared" ref="AA99:AA103" si="67">Y99+Z99</f>
        <v>0</v>
      </c>
      <c r="AB99" s="92">
        <f t="shared" ref="AB99:AB103" si="68">N99*O99*P99/100</f>
        <v>0</v>
      </c>
      <c r="AC99" s="234">
        <f t="shared" ref="AC99:AC103" si="69">AA99/$AA$126</f>
        <v>0</v>
      </c>
      <c r="AD99" s="92">
        <f t="shared" ref="AD99:AD103" si="70">U99*K99</f>
        <v>0</v>
      </c>
      <c r="AE99" s="93">
        <f>'Юнит 6'!AE99+'Юнит 7'!AE99+'Юнит 8'!AE99+'Юнит 9'!AE99</f>
        <v>0</v>
      </c>
      <c r="AF99" s="234">
        <f t="shared" ref="AF99:AF103" si="71">IF(AA99=0,0,AE99/AA99)</f>
        <v>0</v>
      </c>
      <c r="AG99" s="93">
        <f>'Юнит 6'!AG99+'Юнит 7'!AG99+'Юнит 8'!AG99+'Юнит 9'!AG99</f>
        <v>0</v>
      </c>
      <c r="AH99" s="93">
        <f>'Юнит 6'!AH99+'Юнит 7'!AH99+'Юнит 8'!AH99+'Юнит 9'!AH99</f>
        <v>0</v>
      </c>
      <c r="AI99" s="93">
        <f>'Юнит 6'!AI99+'Юнит 7'!AI99+'Юнит 8'!AI99+'Юнит 9'!AI99</f>
        <v>0</v>
      </c>
      <c r="AJ99" s="93">
        <f>'Юнит 6'!AJ99+'Юнит 7'!AJ99+'Юнит 8'!AJ99+'Юнит 9'!AJ99</f>
        <v>0</v>
      </c>
      <c r="AK99" s="93">
        <f>'Юнит 6'!AK99+'Юнит 7'!AK99+'Юнит 8'!AK99+'Юнит 9'!AK99</f>
        <v>0</v>
      </c>
      <c r="AL99" s="122">
        <f t="shared" ref="AL99:AL103" si="72">IFERROR($AL$126*H99/$H$126,0)</f>
        <v>0</v>
      </c>
      <c r="AM99" s="93">
        <f>'Юнит 6'!AM99+'Юнит 7'!AM99+'Юнит 8'!AM99+'Юнит 9'!AM99</f>
        <v>476</v>
      </c>
      <c r="AN99" s="325">
        <f t="shared" si="51"/>
        <v>0</v>
      </c>
      <c r="AO99" s="95">
        <f t="shared" ref="AO99:AO103" si="73">AA99-AD99-AE99-AG99-AH99-AI99-AK99-AL99-AN99-AM99</f>
        <v>-476</v>
      </c>
      <c r="AP99" s="96"/>
      <c r="AQ99" s="97">
        <f t="shared" ref="AQ99:AQ103" si="74">IF(U99=0,0,AA99/U99)</f>
        <v>0</v>
      </c>
      <c r="AR99" s="98">
        <f t="shared" ref="AR99:AR103" si="75">K99</f>
        <v>142.97999999999999</v>
      </c>
      <c r="AS99" s="98">
        <f t="shared" ref="AS99:AS103" si="76">IF(U99=0,0,AE99/U99)</f>
        <v>0</v>
      </c>
      <c r="AT99" s="98">
        <f t="shared" ref="AT99:AT103" si="77">IF(S99=0,AG99/1,AG99/S99)</f>
        <v>0</v>
      </c>
      <c r="AU99" s="98">
        <f t="shared" ref="AU99:AU103" si="78">IF(S99=0,0,(AH99+AI99+AJ99)/S99)</f>
        <v>0</v>
      </c>
      <c r="AV99" s="98">
        <f t="array" ref="AV99">_xlfn.IFS(U99=0,AO99,U99&lt;0,AO99/-U99,U99&gt;0,AO99/U99)</f>
        <v>-476</v>
      </c>
      <c r="AW99" s="234">
        <f t="shared" ref="AW99:AW103" si="79">IF(AQ99=0,0,AV99/AQ99)</f>
        <v>0</v>
      </c>
      <c r="AX99" s="234">
        <f t="shared" ref="AX99:AX103" si="80">IF(AR99=0,0,AV99/AR99)</f>
        <v>-3.3291369422296828</v>
      </c>
      <c r="AY99" s="99"/>
      <c r="AZ99" s="94">
        <f t="shared" ref="AZ99:AZ103" si="81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61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62"/>
        <v>0</v>
      </c>
      <c r="M100" s="89"/>
      <c r="N100" s="93">
        <f>'Юнит 6'!N100+'Юнит 7'!N100+'Юнит 8'!N100+'Юнит 9'!N100</f>
        <v>0</v>
      </c>
      <c r="O100" s="89">
        <v>0</v>
      </c>
      <c r="P100" s="89">
        <v>0</v>
      </c>
      <c r="Q100" s="233">
        <f t="shared" si="63"/>
        <v>0</v>
      </c>
      <c r="R100" s="92">
        <f t="shared" si="64"/>
        <v>0</v>
      </c>
      <c r="S100" s="93">
        <f>'Юнит 6'!S100+'Юнит 7'!S100+'Юнит 8'!S100+'Юнит 9'!S100</f>
        <v>0</v>
      </c>
      <c r="T100" s="93">
        <f>'Юнит 6'!T100+'Юнит 7'!T100+'Юнит 8'!T100+'Юнит 9'!T100</f>
        <v>0</v>
      </c>
      <c r="U100" s="92">
        <f t="shared" si="65"/>
        <v>0</v>
      </c>
      <c r="V100" s="93">
        <f>'Юнит 6'!V100+'Юнит 7'!V100+'Юнит 8'!V100+'Юнит 9'!V100</f>
        <v>0</v>
      </c>
      <c r="W100" s="93">
        <f>'Юнит 6'!W100+'Юнит 7'!W100+'Юнит 8'!W100+'Юнит 9'!W100</f>
        <v>0</v>
      </c>
      <c r="X100" s="92">
        <f t="shared" si="66"/>
        <v>0</v>
      </c>
      <c r="Y100" s="93">
        <f>'Юнит 6'!Y100+'Юнит 7'!Y100+'Юнит 8'!Y100+'Юнит 9'!Y100</f>
        <v>0</v>
      </c>
      <c r="Z100" s="93">
        <f>'Юнит 6'!Z100+'Юнит 7'!Z100+'Юнит 8'!Z100+'Юнит 9'!Z100</f>
        <v>0</v>
      </c>
      <c r="AA100" s="232">
        <f t="shared" si="67"/>
        <v>0</v>
      </c>
      <c r="AB100" s="92">
        <f t="shared" si="68"/>
        <v>0</v>
      </c>
      <c r="AC100" s="234">
        <f t="shared" si="69"/>
        <v>0</v>
      </c>
      <c r="AD100" s="92">
        <f t="shared" si="70"/>
        <v>0</v>
      </c>
      <c r="AE100" s="93">
        <f>'Юнит 6'!AE100+'Юнит 7'!AE100+'Юнит 8'!AE100+'Юнит 9'!AE100</f>
        <v>0</v>
      </c>
      <c r="AF100" s="234">
        <f t="shared" si="71"/>
        <v>0</v>
      </c>
      <c r="AG100" s="93">
        <f>'Юнит 6'!AG100+'Юнит 7'!AG100+'Юнит 8'!AG100+'Юнит 9'!AG100</f>
        <v>0</v>
      </c>
      <c r="AH100" s="93">
        <f>'Юнит 6'!AH100+'Юнит 7'!AH100+'Юнит 8'!AH100+'Юнит 9'!AH100</f>
        <v>0</v>
      </c>
      <c r="AI100" s="93">
        <f>'Юнит 6'!AI100+'Юнит 7'!AI100+'Юнит 8'!AI100+'Юнит 9'!AI100</f>
        <v>0</v>
      </c>
      <c r="AJ100" s="93">
        <f>'Юнит 6'!AJ100+'Юнит 7'!AJ100+'Юнит 8'!AJ100+'Юнит 9'!AJ100</f>
        <v>0</v>
      </c>
      <c r="AK100" s="93">
        <f>'Юнит 6'!AK100+'Юнит 7'!AK100+'Юнит 8'!AK100+'Юнит 9'!AK100</f>
        <v>0</v>
      </c>
      <c r="AL100" s="122">
        <f t="shared" si="72"/>
        <v>0</v>
      </c>
      <c r="AM100" s="93">
        <f>'Юнит 6'!AM100+'Юнит 7'!AM100+'Юнит 8'!AM100+'Юнит 9'!AM100</f>
        <v>0</v>
      </c>
      <c r="AN100" s="325">
        <f t="shared" si="51"/>
        <v>0</v>
      </c>
      <c r="AO100" s="95">
        <f t="shared" si="73"/>
        <v>0</v>
      </c>
      <c r="AP100" s="96"/>
      <c r="AQ100" s="97">
        <f t="shared" si="74"/>
        <v>0</v>
      </c>
      <c r="AR100" s="98">
        <f t="shared" si="75"/>
        <v>142.97999999999999</v>
      </c>
      <c r="AS100" s="98">
        <f t="shared" si="76"/>
        <v>0</v>
      </c>
      <c r="AT100" s="98">
        <f t="shared" si="77"/>
        <v>0</v>
      </c>
      <c r="AU100" s="98">
        <f t="shared" si="78"/>
        <v>0</v>
      </c>
      <c r="AV100" s="98">
        <f t="array" ref="AV100">_xlfn.IFS(U100=0,AO100,U100&lt;0,AO100/-U100,U100&gt;0,AO100/U100)</f>
        <v>0</v>
      </c>
      <c r="AW100" s="234">
        <f t="shared" si="79"/>
        <v>0</v>
      </c>
      <c r="AX100" s="234">
        <f t="shared" si="80"/>
        <v>0</v>
      </c>
      <c r="AY100" s="99"/>
      <c r="AZ100" s="94">
        <f t="shared" si="81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61"/>
        <v>0</v>
      </c>
      <c r="F101" s="93"/>
      <c r="G101" s="93"/>
      <c r="H101" s="93"/>
      <c r="I101" s="93"/>
      <c r="J101" s="93"/>
      <c r="K101" s="92">
        <v>123.09</v>
      </c>
      <c r="L101" s="92">
        <f t="shared" si="62"/>
        <v>0</v>
      </c>
      <c r="M101" s="89"/>
      <c r="N101" s="93">
        <f>'Юнит 6'!N101+'Юнит 7'!N101+'Юнит 8'!N101+'Юнит 9'!N101</f>
        <v>2</v>
      </c>
      <c r="O101" s="89">
        <v>900</v>
      </c>
      <c r="P101" s="89">
        <v>100</v>
      </c>
      <c r="Q101" s="233">
        <f t="shared" si="63"/>
        <v>6.25E-2</v>
      </c>
      <c r="R101" s="92">
        <f t="shared" si="64"/>
        <v>6.25E-2</v>
      </c>
      <c r="S101" s="93">
        <f>'Юнит 6'!S101+'Юнит 7'!S101+'Юнит 8'!S101+'Юнит 9'!S101</f>
        <v>2</v>
      </c>
      <c r="T101" s="93">
        <f>'Юнит 6'!T101+'Юнит 7'!T101+'Юнит 8'!T101+'Юнит 9'!T101</f>
        <v>0</v>
      </c>
      <c r="U101" s="92">
        <f t="shared" si="65"/>
        <v>2</v>
      </c>
      <c r="V101" s="93">
        <f>'Юнит 6'!V101+'Юнит 7'!V101+'Юнит 8'!V101+'Юнит 9'!V101</f>
        <v>1254.94</v>
      </c>
      <c r="W101" s="93">
        <f>'Юнит 6'!W101+'Юнит 7'!W101+'Юнит 8'!W101+'Юнит 9'!W101</f>
        <v>0</v>
      </c>
      <c r="X101" s="92">
        <f t="shared" si="66"/>
        <v>1254.94</v>
      </c>
      <c r="Y101" s="93">
        <f>'Юнит 6'!Y101+'Юнит 7'!Y101+'Юнит 8'!Y101+'Юнит 9'!Y101</f>
        <v>1799.94</v>
      </c>
      <c r="Z101" s="93">
        <f>'Юнит 6'!Z101+'Юнит 7'!Z101+'Юнит 8'!Z101+'Юнит 9'!Z101</f>
        <v>0</v>
      </c>
      <c r="AA101" s="232">
        <f t="shared" si="67"/>
        <v>1799.94</v>
      </c>
      <c r="AB101" s="92">
        <f t="shared" si="68"/>
        <v>1800</v>
      </c>
      <c r="AC101" s="234">
        <f t="shared" si="69"/>
        <v>2.1241926233788694E-4</v>
      </c>
      <c r="AD101" s="92">
        <f t="shared" si="70"/>
        <v>246.18</v>
      </c>
      <c r="AE101" s="93">
        <f>'Юнит 6'!AE101+'Юнит 7'!AE101+'Юнит 8'!AE101+'Юнит 9'!AE101</f>
        <v>748.51</v>
      </c>
      <c r="AF101" s="234">
        <f t="shared" si="71"/>
        <v>0.41585275064724375</v>
      </c>
      <c r="AG101" s="93">
        <f>'Юнит 6'!AG101+'Юнит 7'!AG101+'Юнит 8'!AG101+'Юнит 9'!AG101</f>
        <v>116.58</v>
      </c>
      <c r="AH101" s="93">
        <f>'Юнит 6'!AH101+'Юнит 7'!AH101+'Юнит 8'!AH101+'Юнит 9'!AH101</f>
        <v>0</v>
      </c>
      <c r="AI101" s="93">
        <f>'Юнит 6'!AI101+'Юнит 7'!AI101+'Юнит 8'!AI101+'Юнит 9'!AI101</f>
        <v>0</v>
      </c>
      <c r="AJ101" s="93">
        <f>'Юнит 6'!AJ101+'Юнит 7'!AJ101+'Юнит 8'!AJ101+'Юнит 9'!AJ101</f>
        <v>0</v>
      </c>
      <c r="AK101" s="93">
        <f>'Юнит 6'!AK101+'Юнит 7'!AK101+'Юнит 8'!AK101+'Юнит 9'!AK101</f>
        <v>0</v>
      </c>
      <c r="AL101" s="122">
        <f t="shared" si="72"/>
        <v>0</v>
      </c>
      <c r="AM101" s="93">
        <f>'Юнит 6'!AM101+'Юнит 7'!AM101+'Юнит 8'!AM101+'Юнит 9'!AM101</f>
        <v>0</v>
      </c>
      <c r="AN101" s="325">
        <f t="shared" si="51"/>
        <v>70.462257194073175</v>
      </c>
      <c r="AO101" s="95">
        <f t="shared" si="73"/>
        <v>618.20774280592673</v>
      </c>
      <c r="AP101" s="96"/>
      <c r="AQ101" s="97">
        <f t="shared" si="74"/>
        <v>899.97</v>
      </c>
      <c r="AR101" s="98">
        <f t="shared" si="75"/>
        <v>123.09</v>
      </c>
      <c r="AS101" s="98">
        <f t="shared" si="76"/>
        <v>374.255</v>
      </c>
      <c r="AT101" s="98">
        <f t="shared" si="77"/>
        <v>58.29</v>
      </c>
      <c r="AU101" s="98">
        <f t="shared" si="78"/>
        <v>0</v>
      </c>
      <c r="AV101" s="98">
        <f t="array" ref="AV101">_xlfn.IFS(U101=0,AO101,U101&lt;0,AO101/-U101,U101&gt;0,AO101/U101)</f>
        <v>309.10387140296336</v>
      </c>
      <c r="AW101" s="234">
        <f t="shared" si="79"/>
        <v>0.3434601946764485</v>
      </c>
      <c r="AX101" s="234">
        <f t="shared" si="80"/>
        <v>2.5112021399217106</v>
      </c>
      <c r="AY101" s="99"/>
      <c r="AZ101" s="94">
        <f t="shared" si="81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61"/>
        <v>0</v>
      </c>
      <c r="F102" s="93"/>
      <c r="G102" s="93"/>
      <c r="H102" s="93"/>
      <c r="I102" s="93"/>
      <c r="J102" s="93"/>
      <c r="K102" s="92">
        <v>123.09</v>
      </c>
      <c r="L102" s="92">
        <f t="shared" si="62"/>
        <v>0</v>
      </c>
      <c r="M102" s="89"/>
      <c r="N102" s="93">
        <f>'Юнит 6'!N102+'Юнит 7'!N102+'Юнит 8'!N102+'Юнит 9'!N102</f>
        <v>1</v>
      </c>
      <c r="O102" s="89">
        <v>1300</v>
      </c>
      <c r="P102" s="89">
        <v>0</v>
      </c>
      <c r="Q102" s="233">
        <f t="shared" si="63"/>
        <v>3.125E-2</v>
      </c>
      <c r="R102" s="92">
        <f t="shared" si="64"/>
        <v>0</v>
      </c>
      <c r="S102" s="93">
        <f>'Юнит 6'!S102+'Юнит 7'!S102+'Юнит 8'!S102+'Юнит 9'!S102</f>
        <v>0</v>
      </c>
      <c r="T102" s="93">
        <f>'Юнит 6'!T102+'Юнит 7'!T102+'Юнит 8'!T102+'Юнит 9'!T102</f>
        <v>0</v>
      </c>
      <c r="U102" s="92">
        <f t="shared" si="65"/>
        <v>0</v>
      </c>
      <c r="V102" s="93">
        <f>'Юнит 6'!V102+'Юнит 7'!V102+'Юнит 8'!V102+'Юнит 9'!V102</f>
        <v>0</v>
      </c>
      <c r="W102" s="93">
        <f>'Юнит 6'!W102+'Юнит 7'!W102+'Юнит 8'!W102+'Юнит 9'!W102</f>
        <v>0</v>
      </c>
      <c r="X102" s="92">
        <f t="shared" si="66"/>
        <v>0</v>
      </c>
      <c r="Y102" s="93">
        <f>'Юнит 6'!Y102+'Юнит 7'!Y102+'Юнит 8'!Y102+'Юнит 9'!Y102</f>
        <v>0</v>
      </c>
      <c r="Z102" s="93">
        <f>'Юнит 6'!Z102+'Юнит 7'!Z102+'Юнит 8'!Z102+'Юнит 9'!Z102</f>
        <v>0</v>
      </c>
      <c r="AA102" s="232">
        <f t="shared" si="67"/>
        <v>0</v>
      </c>
      <c r="AB102" s="92">
        <f t="shared" si="68"/>
        <v>0</v>
      </c>
      <c r="AC102" s="234">
        <f t="shared" si="69"/>
        <v>0</v>
      </c>
      <c r="AD102" s="92">
        <f t="shared" si="70"/>
        <v>0</v>
      </c>
      <c r="AE102" s="93">
        <f>'Юнит 6'!AE102+'Юнит 7'!AE102+'Юнит 8'!AE102+'Юнит 9'!AE102</f>
        <v>0</v>
      </c>
      <c r="AF102" s="234">
        <f t="shared" si="71"/>
        <v>0</v>
      </c>
      <c r="AG102" s="93">
        <f>'Юнит 6'!AG102+'Юнит 7'!AG102+'Юнит 8'!AG102+'Юнит 9'!AG102</f>
        <v>0</v>
      </c>
      <c r="AH102" s="93">
        <f>'Юнит 6'!AH102+'Юнит 7'!AH102+'Юнит 8'!AH102+'Юнит 9'!AH102</f>
        <v>0</v>
      </c>
      <c r="AI102" s="93">
        <f>'Юнит 6'!AI102+'Юнит 7'!AI102+'Юнит 8'!AI102+'Юнит 9'!AI102</f>
        <v>0</v>
      </c>
      <c r="AJ102" s="93">
        <f>'Юнит 6'!AJ102+'Юнит 7'!AJ102+'Юнит 8'!AJ102+'Юнит 9'!AJ102</f>
        <v>0</v>
      </c>
      <c r="AK102" s="93">
        <f>'Юнит 6'!AK102+'Юнит 7'!AK102+'Юнит 8'!AK102+'Юнит 9'!AK102</f>
        <v>0</v>
      </c>
      <c r="AL102" s="122">
        <f t="shared" si="72"/>
        <v>0</v>
      </c>
      <c r="AM102" s="93">
        <f>'Юнит 6'!AM102+'Юнит 7'!AM102+'Юнит 8'!AM102+'Юнит 9'!AM102</f>
        <v>0</v>
      </c>
      <c r="AN102" s="325">
        <f t="shared" si="51"/>
        <v>0</v>
      </c>
      <c r="AO102" s="95">
        <f t="shared" si="73"/>
        <v>0</v>
      </c>
      <c r="AP102" s="96"/>
      <c r="AQ102" s="97">
        <f t="shared" si="74"/>
        <v>0</v>
      </c>
      <c r="AR102" s="98">
        <f t="shared" si="75"/>
        <v>123.09</v>
      </c>
      <c r="AS102" s="98">
        <f t="shared" si="76"/>
        <v>0</v>
      </c>
      <c r="AT102" s="98">
        <f t="shared" si="77"/>
        <v>0</v>
      </c>
      <c r="AU102" s="98">
        <f t="shared" si="78"/>
        <v>0</v>
      </c>
      <c r="AV102" s="98">
        <f t="array" ref="AV102">_xlfn.IFS(U102=0,AO102,U102&lt;0,AO102/-U102,U102&gt;0,AO102/U102)</f>
        <v>0</v>
      </c>
      <c r="AW102" s="234">
        <f t="shared" si="79"/>
        <v>0</v>
      </c>
      <c r="AX102" s="234">
        <f t="shared" si="80"/>
        <v>0</v>
      </c>
      <c r="AY102" s="99"/>
      <c r="AZ102" s="94">
        <f t="shared" si="81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61"/>
        <v>0</v>
      </c>
      <c r="F103" s="93"/>
      <c r="G103" s="93"/>
      <c r="H103" s="93"/>
      <c r="I103" s="93"/>
      <c r="J103" s="93"/>
      <c r="K103" s="93">
        <v>107.88</v>
      </c>
      <c r="L103" s="92">
        <f t="shared" si="62"/>
        <v>0</v>
      </c>
      <c r="M103" s="89"/>
      <c r="N103" s="93">
        <f>'Юнит 6'!N103+'Юнит 7'!N103+'Юнит 8'!N103+'Юнит 9'!N103</f>
        <v>1</v>
      </c>
      <c r="O103" s="89">
        <v>1200</v>
      </c>
      <c r="P103" s="89">
        <v>0</v>
      </c>
      <c r="Q103" s="233">
        <f t="shared" si="63"/>
        <v>3.125E-2</v>
      </c>
      <c r="R103" s="92">
        <f t="shared" si="64"/>
        <v>0</v>
      </c>
      <c r="S103" s="93">
        <f>'Юнит 6'!S103+'Юнит 7'!S103+'Юнит 8'!S103+'Юнит 9'!S103</f>
        <v>0</v>
      </c>
      <c r="T103" s="93">
        <f>'Юнит 6'!T103+'Юнит 7'!T103+'Юнит 8'!T103+'Юнит 9'!T103</f>
        <v>0</v>
      </c>
      <c r="U103" s="92">
        <f t="shared" si="65"/>
        <v>0</v>
      </c>
      <c r="V103" s="93">
        <f>'Юнит 6'!V103+'Юнит 7'!V103+'Юнит 8'!V103+'Юнит 9'!V103</f>
        <v>0</v>
      </c>
      <c r="W103" s="93">
        <f>'Юнит 6'!W103+'Юнит 7'!W103+'Юнит 8'!W103+'Юнит 9'!W103</f>
        <v>0</v>
      </c>
      <c r="X103" s="92">
        <f t="shared" si="66"/>
        <v>0</v>
      </c>
      <c r="Y103" s="93">
        <f>'Юнит 6'!Y103+'Юнит 7'!Y103+'Юнит 8'!Y103+'Юнит 9'!Y103</f>
        <v>0</v>
      </c>
      <c r="Z103" s="93">
        <f>'Юнит 6'!Z103+'Юнит 7'!Z103+'Юнит 8'!Z103+'Юнит 9'!Z103</f>
        <v>0</v>
      </c>
      <c r="AA103" s="232">
        <f t="shared" si="67"/>
        <v>0</v>
      </c>
      <c r="AB103" s="92">
        <f t="shared" si="68"/>
        <v>0</v>
      </c>
      <c r="AC103" s="234">
        <f t="shared" si="69"/>
        <v>0</v>
      </c>
      <c r="AD103" s="92">
        <f t="shared" si="70"/>
        <v>0</v>
      </c>
      <c r="AE103" s="93">
        <f>'Юнит 6'!AE103+'Юнит 7'!AE103+'Юнит 8'!AE103+'Юнит 9'!AE103</f>
        <v>0</v>
      </c>
      <c r="AF103" s="234">
        <f t="shared" si="71"/>
        <v>0</v>
      </c>
      <c r="AG103" s="93">
        <f>'Юнит 6'!AG103+'Юнит 7'!AG103+'Юнит 8'!AG103+'Юнит 9'!AG103</f>
        <v>0</v>
      </c>
      <c r="AH103" s="93">
        <f>'Юнит 6'!AH103+'Юнит 7'!AH103+'Юнит 8'!AH103+'Юнит 9'!AH103</f>
        <v>0</v>
      </c>
      <c r="AI103" s="93">
        <f>'Юнит 6'!AI103+'Юнит 7'!AI103+'Юнит 8'!AI103+'Юнит 9'!AI103</f>
        <v>0</v>
      </c>
      <c r="AJ103" s="93">
        <f>'Юнит 6'!AJ103+'Юнит 7'!AJ103+'Юнит 8'!AJ103+'Юнит 9'!AJ103</f>
        <v>0</v>
      </c>
      <c r="AK103" s="93">
        <f>'Юнит 6'!AK103+'Юнит 7'!AK103+'Юнит 8'!AK103+'Юнит 9'!AK103</f>
        <v>0</v>
      </c>
      <c r="AL103" s="122">
        <f t="shared" si="72"/>
        <v>0</v>
      </c>
      <c r="AM103" s="93">
        <f>'Юнит 6'!AM103+'Юнит 7'!AM103+'Юнит 8'!AM103+'Юнит 9'!AM103</f>
        <v>336</v>
      </c>
      <c r="AN103" s="325">
        <f t="shared" si="51"/>
        <v>0</v>
      </c>
      <c r="AO103" s="95">
        <f t="shared" si="73"/>
        <v>-336</v>
      </c>
      <c r="AP103" s="96"/>
      <c r="AQ103" s="97">
        <f t="shared" si="74"/>
        <v>0</v>
      </c>
      <c r="AR103" s="98">
        <f t="shared" si="75"/>
        <v>107.88</v>
      </c>
      <c r="AS103" s="98">
        <f t="shared" si="76"/>
        <v>0</v>
      </c>
      <c r="AT103" s="98">
        <f t="shared" si="77"/>
        <v>0</v>
      </c>
      <c r="AU103" s="98">
        <f t="shared" si="78"/>
        <v>0</v>
      </c>
      <c r="AV103" s="98">
        <f t="array" ref="AV103">_xlfn.IFS(U103=0,AO103,U103&lt;0,AO103/-U103,U103&gt;0,AO103/U103)</f>
        <v>-336</v>
      </c>
      <c r="AW103" s="234">
        <f t="shared" si="79"/>
        <v>0</v>
      </c>
      <c r="AX103" s="234">
        <f t="shared" si="80"/>
        <v>-3.1145717463848723</v>
      </c>
      <c r="AY103" s="99"/>
      <c r="AZ103" s="94">
        <f t="shared" si="81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3"/>
      <c r="T104" s="103"/>
      <c r="U104" s="105"/>
      <c r="V104" s="103"/>
      <c r="W104" s="103"/>
      <c r="X104" s="105"/>
      <c r="Y104" s="106"/>
      <c r="Z104" s="106"/>
      <c r="AA104" s="235"/>
      <c r="AB104" s="105"/>
      <c r="AC104" s="237"/>
      <c r="AD104" s="105"/>
      <c r="AE104" s="103"/>
      <c r="AF104" s="237"/>
      <c r="AG104" s="103"/>
      <c r="AH104" s="103"/>
      <c r="AI104" s="103"/>
      <c r="AJ104" s="103"/>
      <c r="AK104" s="103"/>
      <c r="AL104" s="107"/>
      <c r="AM104" s="103"/>
      <c r="AN104" s="108"/>
      <c r="AO104" s="109"/>
      <c r="AP104" s="110"/>
      <c r="AQ104" s="111">
        <f t="shared" ref="AQ104:AX104" si="82">AVERAGE(AQ7:AQ98)</f>
        <v>705.32433657244417</v>
      </c>
      <c r="AR104" s="111">
        <f t="shared" si="82"/>
        <v>141.22217391304349</v>
      </c>
      <c r="AS104" s="111">
        <f t="shared" si="82"/>
        <v>263.0616590140512</v>
      </c>
      <c r="AT104" s="111">
        <f t="shared" si="82"/>
        <v>189.44570517328921</v>
      </c>
      <c r="AU104" s="111">
        <f t="shared" si="82"/>
        <v>126.87432104904731</v>
      </c>
      <c r="AV104" s="111">
        <f t="shared" si="82"/>
        <v>-39.263814672573133</v>
      </c>
      <c r="AW104" s="112">
        <f t="shared" si="82"/>
        <v>1.6939602786738197E-2</v>
      </c>
      <c r="AX104" s="112">
        <f t="shared" si="82"/>
        <v>-0.43184059326426943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83">SUM(E3:E103)</f>
        <v>0</v>
      </c>
      <c r="F105" s="116">
        <f t="shared" si="83"/>
        <v>0</v>
      </c>
      <c r="G105" s="116">
        <f t="shared" si="83"/>
        <v>0</v>
      </c>
      <c r="H105" s="116">
        <f t="shared" si="83"/>
        <v>0</v>
      </c>
      <c r="I105" s="116">
        <f t="shared" si="83"/>
        <v>0</v>
      </c>
      <c r="J105" s="116">
        <f t="shared" si="83"/>
        <v>0</v>
      </c>
      <c r="K105" s="116"/>
      <c r="L105" s="116">
        <f>SUM(L3:L103)</f>
        <v>0</v>
      </c>
      <c r="M105" s="116"/>
      <c r="N105" s="116">
        <f>SUM(N3:N103)</f>
        <v>14517</v>
      </c>
      <c r="O105" s="116"/>
      <c r="P105" s="116"/>
      <c r="Q105" s="212"/>
      <c r="R105" s="116"/>
      <c r="S105" s="116">
        <f t="shared" ref="S105:AE105" si="84">SUM(S3:S103)</f>
        <v>7967</v>
      </c>
      <c r="T105" s="116">
        <f t="shared" si="84"/>
        <v>-171</v>
      </c>
      <c r="U105" s="116">
        <f t="shared" si="84"/>
        <v>7796</v>
      </c>
      <c r="V105" s="116">
        <f t="shared" si="84"/>
        <v>5543477.6099999994</v>
      </c>
      <c r="W105" s="116">
        <f t="shared" si="84"/>
        <v>-118993.17</v>
      </c>
      <c r="X105" s="116">
        <f t="shared" si="84"/>
        <v>5424484.4399999995</v>
      </c>
      <c r="Y105" s="116">
        <f t="shared" si="84"/>
        <v>8658079.7899999991</v>
      </c>
      <c r="Z105" s="116">
        <f t="shared" si="84"/>
        <v>-186633.46</v>
      </c>
      <c r="AA105" s="238">
        <f t="shared" si="84"/>
        <v>8471446.3300000001</v>
      </c>
      <c r="AB105" s="116">
        <f t="shared" si="84"/>
        <v>9835516.5999999996</v>
      </c>
      <c r="AC105" s="239">
        <f t="shared" si="84"/>
        <v>0.99975464757358568</v>
      </c>
      <c r="AD105" s="117">
        <f t="shared" si="84"/>
        <v>974318.92000000051</v>
      </c>
      <c r="AE105" s="116">
        <f t="shared" si="84"/>
        <v>3161035.1400000006</v>
      </c>
      <c r="AF105" s="239">
        <f>AE105/AA105</f>
        <v>0.37313995944302941</v>
      </c>
      <c r="AG105" s="116">
        <f t="shared" ref="AG105:AO105" si="85">SUM(AG3:AG103)</f>
        <v>933157.65999999992</v>
      </c>
      <c r="AH105" s="116">
        <f t="shared" si="85"/>
        <v>541649</v>
      </c>
      <c r="AI105" s="116">
        <f t="shared" si="85"/>
        <v>609161</v>
      </c>
      <c r="AJ105" s="116">
        <f t="shared" si="85"/>
        <v>3624</v>
      </c>
      <c r="AK105" s="116">
        <f t="shared" si="85"/>
        <v>0</v>
      </c>
      <c r="AL105" s="117">
        <f t="shared" si="85"/>
        <v>0</v>
      </c>
      <c r="AM105" s="116">
        <f t="shared" si="85"/>
        <v>2684.1099999999997</v>
      </c>
      <c r="AN105" s="117">
        <f t="shared" si="85"/>
        <v>304573.45989173057</v>
      </c>
      <c r="AO105" s="117">
        <f t="shared" si="85"/>
        <v>1944867.0401082691</v>
      </c>
      <c r="AP105" s="118"/>
      <c r="AQ105" s="116"/>
      <c r="AR105" s="116"/>
      <c r="AS105" s="116"/>
      <c r="AT105" s="116"/>
      <c r="AU105" s="240">
        <f>(AH105+AI105+AJ105)/S105</f>
        <v>144.90197062884397</v>
      </c>
      <c r="AV105" s="116"/>
      <c r="AW105" s="116"/>
      <c r="AX105" s="116"/>
      <c r="AY105" s="119"/>
      <c r="AZ105" s="116">
        <f>SUM(AZ3:AZ103)</f>
        <v>0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89"/>
      <c r="T106" s="89"/>
      <c r="U106" s="93"/>
      <c r="V106" s="89"/>
      <c r="W106" s="89"/>
      <c r="X106" s="93"/>
      <c r="Y106" s="93"/>
      <c r="Z106" s="93"/>
      <c r="AA106" s="241"/>
      <c r="AB106" s="93"/>
      <c r="AC106" s="243"/>
      <c r="AD106" s="93"/>
      <c r="AE106" s="89"/>
      <c r="AF106" s="243"/>
      <c r="AG106" s="89"/>
      <c r="AH106" s="89"/>
      <c r="AI106" s="89"/>
      <c r="AJ106" s="89"/>
      <c r="AK106" s="89"/>
      <c r="AL106" s="122"/>
      <c r="AM106" s="89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6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/>
      <c r="N107" s="93">
        <f>'Юнит 6'!N107+'Юнит 7'!N107+'Юнит 8'!N107+'Юнит 9'!N107</f>
        <v>0</v>
      </c>
      <c r="O107" s="89">
        <v>0</v>
      </c>
      <c r="P107" s="89">
        <v>0</v>
      </c>
      <c r="Q107" s="233">
        <f t="shared" ref="Q107:Q111" si="87">N107/32</f>
        <v>0</v>
      </c>
      <c r="R107" s="92">
        <f t="shared" ref="R107:R111" si="88">U107/32</f>
        <v>0</v>
      </c>
      <c r="S107" s="93">
        <f>'Юнит 6'!S107+'Юнит 7'!S107+'Юнит 8'!S107+'Юнит 9'!S107</f>
        <v>0</v>
      </c>
      <c r="T107" s="93">
        <f>'Юнит 6'!T107+'Юнит 7'!T107+'Юнит 8'!T107+'Юнит 9'!T107</f>
        <v>0</v>
      </c>
      <c r="U107" s="92">
        <f t="shared" ref="U107:U111" si="89">S107+T107</f>
        <v>0</v>
      </c>
      <c r="V107" s="93">
        <f>'Юнит 6'!V107+'Юнит 7'!V107+'Юнит 8'!V107+'Юнит 9'!V107</f>
        <v>0</v>
      </c>
      <c r="W107" s="93">
        <f>'Юнит 6'!W107+'Юнит 7'!W107+'Юнит 8'!W107+'Юнит 9'!W107</f>
        <v>0</v>
      </c>
      <c r="X107" s="92">
        <f t="shared" ref="X107:X111" si="90">V107+W107</f>
        <v>0</v>
      </c>
      <c r="Y107" s="93">
        <f>'Юнит 6'!Y107+'Юнит 7'!Y107+'Юнит 8'!Y107+'Юнит 9'!Y107</f>
        <v>0</v>
      </c>
      <c r="Z107" s="93">
        <f>'Юнит 6'!Z107+'Юнит 7'!Z107+'Юнит 8'!Z107+'Юнит 9'!Z107</f>
        <v>0</v>
      </c>
      <c r="AA107" s="232">
        <f t="shared" ref="AA107:AA111" si="91">Y107+Z107</f>
        <v>0</v>
      </c>
      <c r="AB107" s="92">
        <f t="shared" ref="AB107:AB111" si="92">N107*O107*P107/100</f>
        <v>0</v>
      </c>
      <c r="AC107" s="234">
        <f t="shared" ref="AC107:AC111" si="93">AA107/$AA$126</f>
        <v>0</v>
      </c>
      <c r="AD107" s="92">
        <f t="shared" ref="AD107:AD111" si="94">U107*K107</f>
        <v>0</v>
      </c>
      <c r="AE107" s="93">
        <f>'Юнит 6'!AE107+'Юнит 7'!AE107+'Юнит 8'!AE107+'Юнит 9'!AE107</f>
        <v>0</v>
      </c>
      <c r="AF107" s="234">
        <f t="shared" ref="AF107:AF111" si="95">IF(AA107=0,0,AE107/AA107)</f>
        <v>0</v>
      </c>
      <c r="AG107" s="93">
        <f>'Юнит 6'!AG107+'Юнит 7'!AG107+'Юнит 8'!AG107+'Юнит 9'!AG107</f>
        <v>0</v>
      </c>
      <c r="AH107" s="93">
        <f>'Юнит 6'!AH107+'Юнит 7'!AH107+'Юнит 8'!AH107+'Юнит 9'!AH107</f>
        <v>0</v>
      </c>
      <c r="AI107" s="93">
        <f>'Юнит 6'!AI107+'Юнит 7'!AI107+'Юнит 8'!AI107+'Юнит 9'!AI107</f>
        <v>0</v>
      </c>
      <c r="AJ107" s="93">
        <f>'Юнит 6'!AJ107+'Юнит 7'!AJ107+'Юнит 8'!AJ107+'Юнит 9'!AJ107</f>
        <v>0</v>
      </c>
      <c r="AK107" s="93">
        <f>'Юнит 6'!AK107+'Юнит 7'!AK107+'Юнит 8'!AK107+'Юнит 9'!AK107</f>
        <v>0</v>
      </c>
      <c r="AL107" s="122">
        <f t="shared" ref="AL107:AL111" si="96">IFERROR($AL$126*H107/$H$126,0)</f>
        <v>0</v>
      </c>
      <c r="AM107" s="93">
        <f>'Юнит 6'!AM107+'Юнит 7'!AM107+'Юнит 8'!AM107+'Юнит 9'!AM107</f>
        <v>0</v>
      </c>
      <c r="AN107" s="325">
        <f>304652.46*X107/$X$126</f>
        <v>0</v>
      </c>
      <c r="AO107" s="95">
        <f t="shared" ref="AO107:AO111" si="97">AA107-AD107-AE107-AG107-AH107-AI107-AK107-AL107-AN107-AM107</f>
        <v>0</v>
      </c>
      <c r="AP107" s="96"/>
      <c r="AQ107" s="97">
        <f t="shared" ref="AQ107:AQ111" si="98">IF(U107=0,0,AA107/U107)</f>
        <v>0</v>
      </c>
      <c r="AR107" s="98">
        <f t="shared" ref="AR107:AR111" si="99">K107</f>
        <v>579.17999999999995</v>
      </c>
      <c r="AS107" s="98">
        <f t="shared" ref="AS107:AS111" si="100">IF(U107=0,0,AE107/U107)</f>
        <v>0</v>
      </c>
      <c r="AT107" s="98">
        <f t="shared" ref="AT107:AT111" si="101">IF(S107=0,AG107/1,AG107/S107)</f>
        <v>0</v>
      </c>
      <c r="AU107" s="98">
        <f t="shared" ref="AU107:AU111" si="102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103">IF(AQ107=0,0,AV107/AQ107)</f>
        <v>0</v>
      </c>
      <c r="AX107" s="234">
        <f t="shared" ref="AX107:AX111" si="104">IF(AR107=0,0,AV107/AR107)</f>
        <v>0</v>
      </c>
      <c r="AY107" s="99"/>
      <c r="AZ107" s="94">
        <f t="shared" ref="AZ107:AZ111" si="105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6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106">E108*K108</f>
        <v>1158.3599999999999</v>
      </c>
      <c r="M108" s="89"/>
      <c r="N108" s="93">
        <f>'Юнит 6'!N108+'Юнит 7'!N108+'Юнит 8'!N108+'Юнит 9'!N108</f>
        <v>1</v>
      </c>
      <c r="O108" s="89">
        <v>2079</v>
      </c>
      <c r="P108" s="89">
        <v>100</v>
      </c>
      <c r="Q108" s="233">
        <f t="shared" si="87"/>
        <v>3.125E-2</v>
      </c>
      <c r="R108" s="92">
        <f t="shared" si="88"/>
        <v>3.125E-2</v>
      </c>
      <c r="S108" s="93">
        <f>'Юнит 6'!S108+'Юнит 7'!S108+'Юнит 8'!S108+'Юнит 9'!S108</f>
        <v>1</v>
      </c>
      <c r="T108" s="93">
        <f>'Юнит 6'!T108+'Юнит 7'!T108+'Юнит 8'!T108+'Юнит 9'!T108</f>
        <v>0</v>
      </c>
      <c r="U108" s="92">
        <f t="shared" si="89"/>
        <v>1</v>
      </c>
      <c r="V108" s="93">
        <f>'Юнит 6'!V108+'Юнит 7'!V108+'Юнит 8'!V108+'Юнит 9'!V108</f>
        <v>1407</v>
      </c>
      <c r="W108" s="93">
        <f>'Юнит 6'!W108+'Юнит 7'!W108+'Юнит 8'!W108+'Юнит 9'!W108</f>
        <v>0</v>
      </c>
      <c r="X108" s="92">
        <f t="shared" si="90"/>
        <v>1407</v>
      </c>
      <c r="Y108" s="93">
        <f>'Юнит 6'!Y108+'Юнит 7'!Y108+'Юнит 8'!Y108+'Юнит 9'!Y108</f>
        <v>2079</v>
      </c>
      <c r="Z108" s="93">
        <f>'Юнит 6'!Z108+'Юнит 7'!Z108+'Юнит 8'!Z108+'Юнит 9'!Z108</f>
        <v>0</v>
      </c>
      <c r="AA108" s="232">
        <f t="shared" si="91"/>
        <v>2079</v>
      </c>
      <c r="AB108" s="92">
        <f t="shared" si="92"/>
        <v>2079</v>
      </c>
      <c r="AC108" s="234">
        <f t="shared" si="93"/>
        <v>2.4535242641447324E-4</v>
      </c>
      <c r="AD108" s="92">
        <f t="shared" si="94"/>
        <v>579.17999999999995</v>
      </c>
      <c r="AE108" s="93">
        <f>'Юнит 6'!AE108+'Юнит 7'!AE108+'Юнит 8'!AE108+'Юнит 9'!AE108</f>
        <v>763.08999999999992</v>
      </c>
      <c r="AF108" s="234">
        <f t="shared" si="95"/>
        <v>0.36704665704665701</v>
      </c>
      <c r="AG108" s="93">
        <f>'Юнит 6'!AG108+'Юнит 7'!AG108+'Юнит 8'!AG108+'Юнит 9'!AG108</f>
        <v>124.34</v>
      </c>
      <c r="AH108" s="93">
        <f>'Юнит 6'!AH108+'Юнит 7'!AH108+'Юнит 8'!AH108+'Юнит 9'!AH108</f>
        <v>0</v>
      </c>
      <c r="AI108" s="93">
        <f>'Юнит 6'!AI108+'Юнит 7'!AI108+'Юнит 8'!AI108+'Юнит 9'!AI108</f>
        <v>0</v>
      </c>
      <c r="AJ108" s="93">
        <f>'Юнит 6'!AJ108+'Юнит 7'!AJ108+'Юнит 8'!AJ108+'Юнит 9'!AJ108</f>
        <v>0</v>
      </c>
      <c r="AK108" s="93">
        <f>'Юнит 6'!AK108+'Юнит 7'!AK108+'Юнит 8'!AK108+'Юнит 9'!AK108</f>
        <v>0</v>
      </c>
      <c r="AL108" s="122">
        <f t="shared" si="96"/>
        <v>33389.21</v>
      </c>
      <c r="AM108" s="93">
        <f>'Юнит 6'!AM108+'Юнит 7'!AM108+'Юнит 8'!AM108+'Юнит 9'!AM108</f>
        <v>0</v>
      </c>
      <c r="AN108" s="325">
        <f>304652.46*X108/$X$126</f>
        <v>79.000108269766642</v>
      </c>
      <c r="AO108" s="95">
        <f t="shared" si="97"/>
        <v>-32855.820108269763</v>
      </c>
      <c r="AP108" s="96"/>
      <c r="AQ108" s="97">
        <f t="shared" si="98"/>
        <v>2079</v>
      </c>
      <c r="AR108" s="98">
        <f t="shared" si="99"/>
        <v>579.17999999999995</v>
      </c>
      <c r="AS108" s="98">
        <f t="shared" si="100"/>
        <v>763.08999999999992</v>
      </c>
      <c r="AT108" s="98">
        <f t="shared" si="101"/>
        <v>124.34</v>
      </c>
      <c r="AU108" s="98">
        <f t="shared" si="102"/>
        <v>0</v>
      </c>
      <c r="AV108" s="98">
        <f t="array" ref="AV108">_xlfn.IFS(U108=0,AO108,U108&lt;0,AO108/-U108,U108&gt;0,AO108/U108)</f>
        <v>-32855.820108269763</v>
      </c>
      <c r="AW108" s="234">
        <f t="shared" si="103"/>
        <v>-15.803665275743032</v>
      </c>
      <c r="AX108" s="234">
        <f t="shared" si="104"/>
        <v>-56.728167596031916</v>
      </c>
      <c r="AY108" s="99"/>
      <c r="AZ108" s="94">
        <f t="shared" si="105"/>
        <v>-65711.640216539527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6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6"/>
        <v>1083.3599999999999</v>
      </c>
      <c r="M109" s="89"/>
      <c r="N109" s="93">
        <f>'Юнит 6'!N109+'Юнит 7'!N109+'Юнит 8'!N109+'Юнит 9'!N109</f>
        <v>0</v>
      </c>
      <c r="O109" s="89">
        <v>0</v>
      </c>
      <c r="P109" s="89">
        <v>0</v>
      </c>
      <c r="Q109" s="233">
        <f t="shared" si="87"/>
        <v>0</v>
      </c>
      <c r="R109" s="92">
        <f t="shared" si="88"/>
        <v>0</v>
      </c>
      <c r="S109" s="93">
        <f>'Юнит 6'!S109+'Юнит 7'!S109+'Юнит 8'!S109+'Юнит 9'!S109</f>
        <v>0</v>
      </c>
      <c r="T109" s="93">
        <f>'Юнит 6'!T109+'Юнит 7'!T109+'Юнит 8'!T109+'Юнит 9'!T109</f>
        <v>0</v>
      </c>
      <c r="U109" s="92">
        <f t="shared" si="89"/>
        <v>0</v>
      </c>
      <c r="V109" s="93">
        <f>'Юнит 6'!V109+'Юнит 7'!V109+'Юнит 8'!V109+'Юнит 9'!V109</f>
        <v>0</v>
      </c>
      <c r="W109" s="93">
        <f>'Юнит 6'!W109+'Юнит 7'!W109+'Юнит 8'!W109+'Юнит 9'!W109</f>
        <v>0</v>
      </c>
      <c r="X109" s="92">
        <f t="shared" si="90"/>
        <v>0</v>
      </c>
      <c r="Y109" s="93">
        <f>'Юнит 6'!Y109+'Юнит 7'!Y109+'Юнит 8'!Y109+'Юнит 9'!Y109</f>
        <v>0</v>
      </c>
      <c r="Z109" s="93">
        <f>'Юнит 6'!Z109+'Юнит 7'!Z109+'Юнит 8'!Z109+'Юнит 9'!Z109</f>
        <v>0</v>
      </c>
      <c r="AA109" s="232">
        <f t="shared" si="91"/>
        <v>0</v>
      </c>
      <c r="AB109" s="92">
        <f t="shared" si="92"/>
        <v>0</v>
      </c>
      <c r="AC109" s="234">
        <f t="shared" si="93"/>
        <v>0</v>
      </c>
      <c r="AD109" s="92">
        <f t="shared" si="94"/>
        <v>0</v>
      </c>
      <c r="AE109" s="93">
        <f>'Юнит 6'!AE109+'Юнит 7'!AE109+'Юнит 8'!AE109+'Юнит 9'!AE109</f>
        <v>0</v>
      </c>
      <c r="AF109" s="234">
        <f t="shared" si="95"/>
        <v>0</v>
      </c>
      <c r="AG109" s="93">
        <f>'Юнит 6'!AG109+'Юнит 7'!AG109+'Юнит 8'!AG109+'Юнит 9'!AG109</f>
        <v>0</v>
      </c>
      <c r="AH109" s="93">
        <f>'Юнит 6'!AH109+'Юнит 7'!AH109+'Юнит 8'!AH109+'Юнит 9'!AH109</f>
        <v>0</v>
      </c>
      <c r="AI109" s="93">
        <f>'Юнит 6'!AI109+'Юнит 7'!AI109+'Юнит 8'!AI109+'Юнит 9'!AI109</f>
        <v>0</v>
      </c>
      <c r="AJ109" s="93">
        <f>'Юнит 6'!AJ109+'Юнит 7'!AJ109+'Юнит 8'!AJ109+'Юнит 9'!AJ109</f>
        <v>0</v>
      </c>
      <c r="AK109" s="93">
        <f>'Юнит 6'!AK109+'Юнит 7'!AK109+'Юнит 8'!AK109+'Юнит 9'!AK109</f>
        <v>0</v>
      </c>
      <c r="AL109" s="122">
        <f t="shared" si="96"/>
        <v>0</v>
      </c>
      <c r="AM109" s="93">
        <f>'Юнит 6'!AM109+'Юнит 7'!AM109+'Юнит 8'!AM109+'Юнит 9'!AM109</f>
        <v>0</v>
      </c>
      <c r="AN109" s="325">
        <f>304652.46*X109/$X$126</f>
        <v>0</v>
      </c>
      <c r="AO109" s="95">
        <f t="shared" si="97"/>
        <v>0</v>
      </c>
      <c r="AP109" s="96"/>
      <c r="AQ109" s="97">
        <f t="shared" si="98"/>
        <v>0</v>
      </c>
      <c r="AR109" s="98">
        <f t="shared" si="99"/>
        <v>541.67999999999995</v>
      </c>
      <c r="AS109" s="98">
        <f t="shared" si="100"/>
        <v>0</v>
      </c>
      <c r="AT109" s="98">
        <f t="shared" si="101"/>
        <v>0</v>
      </c>
      <c r="AU109" s="98">
        <f t="shared" si="102"/>
        <v>0</v>
      </c>
      <c r="AV109" s="98">
        <f t="array" ref="AV109">_xlfn.IFS(U109=0,AO109,U109&lt;0,AO109/-U109,U109&gt;0,AO109/U109)</f>
        <v>0</v>
      </c>
      <c r="AW109" s="234">
        <f t="shared" si="103"/>
        <v>0</v>
      </c>
      <c r="AX109" s="234">
        <f t="shared" si="104"/>
        <v>0</v>
      </c>
      <c r="AY109" s="99"/>
      <c r="AZ109" s="94">
        <f t="shared" si="105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6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6"/>
        <v>541.67999999999995</v>
      </c>
      <c r="M110" s="89"/>
      <c r="N110" s="93">
        <f>'Юнит 6'!N110+'Юнит 7'!N110+'Юнит 8'!N110+'Юнит 9'!N110</f>
        <v>0</v>
      </c>
      <c r="O110" s="89">
        <v>0</v>
      </c>
      <c r="P110" s="89">
        <v>0</v>
      </c>
      <c r="Q110" s="233">
        <f t="shared" si="87"/>
        <v>0</v>
      </c>
      <c r="R110" s="92">
        <f t="shared" si="88"/>
        <v>0</v>
      </c>
      <c r="S110" s="93">
        <f>'Юнит 6'!S110+'Юнит 7'!S110+'Юнит 8'!S110+'Юнит 9'!S110</f>
        <v>0</v>
      </c>
      <c r="T110" s="93">
        <f>'Юнит 6'!T110+'Юнит 7'!T110+'Юнит 8'!T110+'Юнит 9'!T110</f>
        <v>0</v>
      </c>
      <c r="U110" s="92">
        <f t="shared" si="89"/>
        <v>0</v>
      </c>
      <c r="V110" s="93">
        <f>'Юнит 6'!V110+'Юнит 7'!V110+'Юнит 8'!V110+'Юнит 9'!V110</f>
        <v>0</v>
      </c>
      <c r="W110" s="93">
        <f>'Юнит 6'!W110+'Юнит 7'!W110+'Юнит 8'!W110+'Юнит 9'!W110</f>
        <v>0</v>
      </c>
      <c r="X110" s="92">
        <f t="shared" si="90"/>
        <v>0</v>
      </c>
      <c r="Y110" s="93">
        <f>'Юнит 6'!Y110+'Юнит 7'!Y110+'Юнит 8'!Y110+'Юнит 9'!Y110</f>
        <v>0</v>
      </c>
      <c r="Z110" s="93">
        <f>'Юнит 6'!Z110+'Юнит 7'!Z110+'Юнит 8'!Z110+'Юнит 9'!Z110</f>
        <v>0</v>
      </c>
      <c r="AA110" s="232">
        <f t="shared" si="91"/>
        <v>0</v>
      </c>
      <c r="AB110" s="92">
        <f t="shared" si="92"/>
        <v>0</v>
      </c>
      <c r="AC110" s="234">
        <f t="shared" si="93"/>
        <v>0</v>
      </c>
      <c r="AD110" s="92">
        <f t="shared" si="94"/>
        <v>0</v>
      </c>
      <c r="AE110" s="93">
        <f>'Юнит 6'!AE110+'Юнит 7'!AE110+'Юнит 8'!AE110+'Юнит 9'!AE110</f>
        <v>0</v>
      </c>
      <c r="AF110" s="234">
        <f t="shared" si="95"/>
        <v>0</v>
      </c>
      <c r="AG110" s="93">
        <f>'Юнит 6'!AG110+'Юнит 7'!AG110+'Юнит 8'!AG110+'Юнит 9'!AG110</f>
        <v>0</v>
      </c>
      <c r="AH110" s="93">
        <f>'Юнит 6'!AH110+'Юнит 7'!AH110+'Юнит 8'!AH110+'Юнит 9'!AH110</f>
        <v>0</v>
      </c>
      <c r="AI110" s="93">
        <f>'Юнит 6'!AI110+'Юнит 7'!AI110+'Юнит 8'!AI110+'Юнит 9'!AI110</f>
        <v>0</v>
      </c>
      <c r="AJ110" s="93">
        <f>'Юнит 6'!AJ110+'Юнит 7'!AJ110+'Юнит 8'!AJ110+'Юнит 9'!AJ110</f>
        <v>0</v>
      </c>
      <c r="AK110" s="93">
        <f>'Юнит 6'!AK110+'Юнит 7'!AK110+'Юнит 8'!AK110+'Юнит 9'!AK110</f>
        <v>0</v>
      </c>
      <c r="AL110" s="122">
        <f t="shared" si="96"/>
        <v>0</v>
      </c>
      <c r="AM110" s="93">
        <f>'Юнит 6'!AM110+'Юнит 7'!AM110+'Юнит 8'!AM110+'Юнит 9'!AM110</f>
        <v>0</v>
      </c>
      <c r="AN110" s="325">
        <f>304652.46*X110/$X$126</f>
        <v>0</v>
      </c>
      <c r="AO110" s="95">
        <f t="shared" si="97"/>
        <v>0</v>
      </c>
      <c r="AP110" s="96"/>
      <c r="AQ110" s="97">
        <f t="shared" si="98"/>
        <v>0</v>
      </c>
      <c r="AR110" s="98">
        <f t="shared" si="99"/>
        <v>541.67999999999995</v>
      </c>
      <c r="AS110" s="98">
        <f t="shared" si="100"/>
        <v>0</v>
      </c>
      <c r="AT110" s="98">
        <f t="shared" si="101"/>
        <v>0</v>
      </c>
      <c r="AU110" s="98">
        <f t="shared" si="102"/>
        <v>0</v>
      </c>
      <c r="AV110" s="98">
        <f t="array" ref="AV110">_xlfn.IFS(U110=0,AO110,U110&lt;0,AO110/-U110,U110&gt;0,AO110/U110)</f>
        <v>0</v>
      </c>
      <c r="AW110" s="234">
        <f t="shared" si="103"/>
        <v>0</v>
      </c>
      <c r="AX110" s="234">
        <f t="shared" si="104"/>
        <v>0</v>
      </c>
      <c r="AY110" s="99"/>
      <c r="AZ110" s="94">
        <f t="shared" si="105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6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6"/>
        <v>541.67999999999995</v>
      </c>
      <c r="M111" s="89"/>
      <c r="N111" s="93">
        <f>'Юнит 6'!N111+'Юнит 7'!N111+'Юнит 8'!N111+'Юнит 9'!N111</f>
        <v>0</v>
      </c>
      <c r="O111" s="89">
        <v>0</v>
      </c>
      <c r="P111" s="89">
        <v>0</v>
      </c>
      <c r="Q111" s="233">
        <f t="shared" si="87"/>
        <v>0</v>
      </c>
      <c r="R111" s="92">
        <f t="shared" si="88"/>
        <v>0</v>
      </c>
      <c r="S111" s="93">
        <f>'Юнит 6'!S111+'Юнит 7'!S111+'Юнит 8'!S111+'Юнит 9'!S111</f>
        <v>0</v>
      </c>
      <c r="T111" s="93">
        <f>'Юнит 6'!T111+'Юнит 7'!T111+'Юнит 8'!T111+'Юнит 9'!T111</f>
        <v>0</v>
      </c>
      <c r="U111" s="92">
        <f t="shared" si="89"/>
        <v>0</v>
      </c>
      <c r="V111" s="93">
        <f>'Юнит 6'!V111+'Юнит 7'!V111+'Юнит 8'!V111+'Юнит 9'!V111</f>
        <v>0</v>
      </c>
      <c r="W111" s="93">
        <f>'Юнит 6'!W111+'Юнит 7'!W111+'Юнит 8'!W111+'Юнит 9'!W111</f>
        <v>0</v>
      </c>
      <c r="X111" s="92">
        <f t="shared" si="90"/>
        <v>0</v>
      </c>
      <c r="Y111" s="93">
        <f>'Юнит 6'!Y111+'Юнит 7'!Y111+'Юнит 8'!Y111+'Юнит 9'!Y111</f>
        <v>0</v>
      </c>
      <c r="Z111" s="93">
        <f>'Юнит 6'!Z111+'Юнит 7'!Z111+'Юнит 8'!Z111+'Юнит 9'!Z111</f>
        <v>0</v>
      </c>
      <c r="AA111" s="232">
        <f t="shared" si="91"/>
        <v>0</v>
      </c>
      <c r="AB111" s="92">
        <f t="shared" si="92"/>
        <v>0</v>
      </c>
      <c r="AC111" s="234">
        <f t="shared" si="93"/>
        <v>0</v>
      </c>
      <c r="AD111" s="92">
        <f t="shared" si="94"/>
        <v>0</v>
      </c>
      <c r="AE111" s="93">
        <f>'Юнит 6'!AE111+'Юнит 7'!AE111+'Юнит 8'!AE111+'Юнит 9'!AE111</f>
        <v>0</v>
      </c>
      <c r="AF111" s="234">
        <f t="shared" si="95"/>
        <v>0</v>
      </c>
      <c r="AG111" s="93">
        <f>'Юнит 6'!AG111+'Юнит 7'!AG111+'Юнит 8'!AG111+'Юнит 9'!AG111</f>
        <v>0</v>
      </c>
      <c r="AH111" s="93">
        <f>'Юнит 6'!AH111+'Юнит 7'!AH111+'Юнит 8'!AH111+'Юнит 9'!AH111</f>
        <v>0</v>
      </c>
      <c r="AI111" s="93">
        <f>'Юнит 6'!AI111+'Юнит 7'!AI111+'Юнит 8'!AI111+'Юнит 9'!AI111</f>
        <v>0</v>
      </c>
      <c r="AJ111" s="93">
        <f>'Юнит 6'!AJ111+'Юнит 7'!AJ111+'Юнит 8'!AJ111+'Юнит 9'!AJ111</f>
        <v>0</v>
      </c>
      <c r="AK111" s="93">
        <f>'Юнит 6'!AK111+'Юнит 7'!AK111+'Юнит 8'!AK111+'Юнит 9'!AK111</f>
        <v>0</v>
      </c>
      <c r="AL111" s="122">
        <f t="shared" si="96"/>
        <v>0</v>
      </c>
      <c r="AM111" s="93">
        <f>'Юнит 6'!AM111+'Юнит 7'!AM111+'Юнит 8'!AM111+'Юнит 9'!AM111</f>
        <v>0</v>
      </c>
      <c r="AN111" s="325">
        <f>304652.46*X111/$X$126</f>
        <v>0</v>
      </c>
      <c r="AO111" s="95">
        <f t="shared" si="97"/>
        <v>0</v>
      </c>
      <c r="AP111" s="96"/>
      <c r="AQ111" s="97">
        <f t="shared" si="98"/>
        <v>0</v>
      </c>
      <c r="AR111" s="98">
        <f t="shared" si="99"/>
        <v>541.67999999999995</v>
      </c>
      <c r="AS111" s="98">
        <f t="shared" si="100"/>
        <v>0</v>
      </c>
      <c r="AT111" s="98">
        <f t="shared" si="101"/>
        <v>0</v>
      </c>
      <c r="AU111" s="98">
        <f t="shared" si="102"/>
        <v>0</v>
      </c>
      <c r="AV111" s="98">
        <f t="array" ref="AV111">_xlfn.IFS(U111=0,AO111,U111&lt;0,AO111/-U111,U111&gt;0,AO111/U111)</f>
        <v>0</v>
      </c>
      <c r="AW111" s="234">
        <f t="shared" si="103"/>
        <v>0</v>
      </c>
      <c r="AX111" s="234">
        <f t="shared" si="104"/>
        <v>0</v>
      </c>
      <c r="AY111" s="99"/>
      <c r="AZ111" s="94">
        <f t="shared" si="105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89"/>
      <c r="T112" s="89"/>
      <c r="U112" s="93"/>
      <c r="V112" s="89"/>
      <c r="W112" s="89"/>
      <c r="X112" s="93"/>
      <c r="Y112" s="89"/>
      <c r="Z112" s="89"/>
      <c r="AA112" s="241"/>
      <c r="AB112" s="93"/>
      <c r="AC112" s="243"/>
      <c r="AD112" s="93"/>
      <c r="AE112" s="89"/>
      <c r="AF112" s="243"/>
      <c r="AG112" s="89"/>
      <c r="AH112" s="89"/>
      <c r="AI112" s="89"/>
      <c r="AJ112" s="89"/>
      <c r="AK112" s="89"/>
      <c r="AL112" s="122"/>
      <c r="AM112" s="89"/>
      <c r="AN112" s="123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107">AVERAGE(AS107:AS111)</f>
        <v>152.61799999999999</v>
      </c>
      <c r="AT112" s="245">
        <f t="shared" si="107"/>
        <v>24.868000000000002</v>
      </c>
      <c r="AU112" s="245">
        <f t="shared" si="107"/>
        <v>0</v>
      </c>
      <c r="AV112" s="245">
        <f t="shared" si="107"/>
        <v>-6571.1640216539527</v>
      </c>
      <c r="AW112" s="246">
        <f t="shared" si="107"/>
        <v>-3.1607330551486066</v>
      </c>
      <c r="AX112" s="246">
        <f t="shared" si="107"/>
        <v>-11.345633519206384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8">SUM(E107:E111)</f>
        <v>7</v>
      </c>
      <c r="F113" s="249">
        <f t="shared" si="108"/>
        <v>0</v>
      </c>
      <c r="G113" s="249">
        <f t="shared" si="108"/>
        <v>0</v>
      </c>
      <c r="H113" s="249">
        <f t="shared" si="108"/>
        <v>1</v>
      </c>
      <c r="I113" s="249">
        <f t="shared" si="108"/>
        <v>0</v>
      </c>
      <c r="J113" s="249">
        <f t="shared" si="108"/>
        <v>6</v>
      </c>
      <c r="K113" s="249"/>
      <c r="L113" s="249">
        <f>SUM(L107:L111)</f>
        <v>3904.2599999999993</v>
      </c>
      <c r="M113" s="249"/>
      <c r="N113" s="249">
        <f>SUM(N107:N111)</f>
        <v>1</v>
      </c>
      <c r="O113" s="249"/>
      <c r="P113" s="249"/>
      <c r="Q113" s="251"/>
      <c r="R113" s="249"/>
      <c r="S113" s="249">
        <f>SUM(S107:S111)</f>
        <v>1</v>
      </c>
      <c r="T113" s="249">
        <f>SUM(T107:T111)</f>
        <v>0</v>
      </c>
      <c r="U113" s="249">
        <f t="shared" ref="U113:AD113" si="109">SUM(U107:U111)</f>
        <v>1</v>
      </c>
      <c r="V113" s="249">
        <f>SUM(V107:V111)</f>
        <v>1407</v>
      </c>
      <c r="W113" s="249">
        <f>SUM(W107:W111)</f>
        <v>0</v>
      </c>
      <c r="X113" s="249">
        <f t="shared" si="109"/>
        <v>1407</v>
      </c>
      <c r="Y113" s="249">
        <f>SUM(Y107:Y111)</f>
        <v>2079</v>
      </c>
      <c r="Z113" s="249">
        <f>SUM(Z107:Z111)</f>
        <v>0</v>
      </c>
      <c r="AA113" s="250">
        <f t="shared" si="109"/>
        <v>2079</v>
      </c>
      <c r="AB113" s="249">
        <f t="shared" si="109"/>
        <v>2079</v>
      </c>
      <c r="AC113" s="252">
        <f t="shared" si="109"/>
        <v>2.4535242641447324E-4</v>
      </c>
      <c r="AD113" s="253">
        <f t="shared" si="109"/>
        <v>579.17999999999995</v>
      </c>
      <c r="AE113" s="249">
        <f>SUM(AE107:AE111)</f>
        <v>763.08999999999992</v>
      </c>
      <c r="AF113" s="252">
        <f>AE113/AA113</f>
        <v>0.36704665704665701</v>
      </c>
      <c r="AG113" s="249">
        <f>SUM(AG107:AG111)</f>
        <v>124.34</v>
      </c>
      <c r="AH113" s="249">
        <f>SUM(AH107:AH111)</f>
        <v>0</v>
      </c>
      <c r="AI113" s="249">
        <f>SUM(AI107:AI111)</f>
        <v>0</v>
      </c>
      <c r="AJ113" s="249">
        <f>SUM(AJ107:AJ111)</f>
        <v>0</v>
      </c>
      <c r="AK113" s="249">
        <f>SUM(AK107:AK111)</f>
        <v>0</v>
      </c>
      <c r="AL113" s="253">
        <f t="shared" ref="AL113:AO113" si="110">SUM(AL107:AL111)</f>
        <v>33389.21</v>
      </c>
      <c r="AM113" s="249">
        <f>SUM(AM107:AM111)</f>
        <v>0</v>
      </c>
      <c r="AN113" s="253">
        <f t="shared" si="110"/>
        <v>79.000108269766642</v>
      </c>
      <c r="AO113" s="253">
        <f t="shared" si="110"/>
        <v>-32855.820108269763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-65711.640216539527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139"/>
      <c r="AI114" s="139"/>
      <c r="AJ114" s="139"/>
      <c r="AK114" s="139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11">E115*K115</f>
        <v>280</v>
      </c>
      <c r="M115" s="89"/>
      <c r="N115" s="93">
        <f>'Юнит 6'!N115+'Юнит 7'!N115+'Юнит 8'!N115+'Юнит 9'!N115</f>
        <v>0</v>
      </c>
      <c r="O115" s="89">
        <v>0</v>
      </c>
      <c r="P115" s="89">
        <v>0</v>
      </c>
      <c r="Q115" s="233">
        <f t="shared" ref="Q115:Q122" si="112">N115/32</f>
        <v>0</v>
      </c>
      <c r="R115" s="92">
        <f t="shared" ref="R115:R122" si="113">U115/32</f>
        <v>0</v>
      </c>
      <c r="S115" s="93">
        <f>'Юнит 6'!S115+'Юнит 7'!S115+'Юнит 8'!S115+'Юнит 9'!S115</f>
        <v>0</v>
      </c>
      <c r="T115" s="93">
        <f>'Юнит 6'!T115+'Юнит 7'!T115+'Юнит 8'!T115+'Юнит 9'!T115</f>
        <v>0</v>
      </c>
      <c r="U115" s="92">
        <f t="shared" ref="U115:U122" si="114">S115+T115</f>
        <v>0</v>
      </c>
      <c r="V115" s="93">
        <f>'Юнит 6'!V115+'Юнит 7'!V115+'Юнит 8'!V115+'Юнит 9'!V115</f>
        <v>0</v>
      </c>
      <c r="W115" s="93">
        <f>'Юнит 6'!W115+'Юнит 7'!W115+'Юнит 8'!W115+'Юнит 9'!W115</f>
        <v>0</v>
      </c>
      <c r="X115" s="92">
        <f t="shared" ref="X115:X122" si="115">V115+W115</f>
        <v>0</v>
      </c>
      <c r="Y115" s="93">
        <f>'Юнит 6'!Y115+'Юнит 7'!Y115+'Юнит 8'!Y115+'Юнит 9'!Y115</f>
        <v>0</v>
      </c>
      <c r="Z115" s="93">
        <f>'Юнит 6'!Z115+'Юнит 7'!Z115+'Юнит 8'!Z115+'Юнит 9'!Z115</f>
        <v>0</v>
      </c>
      <c r="AA115" s="232">
        <f t="shared" ref="AA115:AA122" si="116">Y115+Z115</f>
        <v>0</v>
      </c>
      <c r="AB115" s="92">
        <f t="shared" ref="AB115:AB122" si="117">N115*O115*P115/100</f>
        <v>0</v>
      </c>
      <c r="AC115" s="234">
        <f t="shared" ref="AC115:AC122" si="118">AA115/$AA$126</f>
        <v>0</v>
      </c>
      <c r="AD115" s="92">
        <f t="shared" ref="AD115:AD122" si="119">U115*K115</f>
        <v>0</v>
      </c>
      <c r="AE115" s="93">
        <f>'Юнит 6'!AE115+'Юнит 7'!AE115+'Юнит 8'!AE115+'Юнит 9'!AE115</f>
        <v>0</v>
      </c>
      <c r="AF115" s="234">
        <f t="shared" ref="AF115:AF122" si="120">IF(AA115=0,0,AE115/AA115)</f>
        <v>0</v>
      </c>
      <c r="AG115" s="93">
        <f>'Юнит 6'!AG115+'Юнит 7'!AG115+'Юнит 8'!AG115+'Юнит 9'!AG115</f>
        <v>0</v>
      </c>
      <c r="AH115" s="93">
        <f>'Юнит 6'!AH115+'Юнит 7'!AH115+'Юнит 8'!AH115+'Юнит 9'!AH115</f>
        <v>0</v>
      </c>
      <c r="AI115" s="93">
        <f>'Юнит 6'!AI115+'Юнит 7'!AI115+'Юнит 8'!AI115+'Юнит 9'!AI115</f>
        <v>0</v>
      </c>
      <c r="AJ115" s="93">
        <f>'Юнит 6'!AJ115+'Юнит 7'!AJ115+'Юнит 8'!AJ115+'Юнит 9'!AJ115</f>
        <v>0</v>
      </c>
      <c r="AK115" s="93">
        <f>'Юнит 6'!AK115+'Юнит 7'!AK115+'Юнит 8'!AK115+'Юнит 9'!AK115</f>
        <v>0</v>
      </c>
      <c r="AL115" s="122">
        <f t="shared" ref="AL115:AL122" si="121">IFERROR($AL$126*H115/$H$126,0)</f>
        <v>0</v>
      </c>
      <c r="AM115" s="93">
        <f>'Юнит 6'!AM115+'Юнит 7'!AM115+'Юнит 8'!AM115+'Юнит 9'!AM115</f>
        <v>0</v>
      </c>
      <c r="AN115" s="325">
        <f t="shared" ref="AN115:AN122" si="122">304652.46*X115/$X$126</f>
        <v>0</v>
      </c>
      <c r="AO115" s="95">
        <f t="shared" ref="AO115:AO122" si="123">AA115-AD115-AE115-AG115-AH115-AI115-AK115-AL115-AN115-AM115</f>
        <v>0</v>
      </c>
      <c r="AP115" s="96"/>
      <c r="AQ115" s="97">
        <f t="shared" ref="AQ115:AQ122" si="124">IF(U115=0,0,AA115/U115)</f>
        <v>0</v>
      </c>
      <c r="AR115" s="98">
        <f t="shared" ref="AR115:AR122" si="125">K115</f>
        <v>140</v>
      </c>
      <c r="AS115" s="98">
        <f t="shared" ref="AS115:AS122" si="126">IF(U115=0,0,AE115/U115)</f>
        <v>0</v>
      </c>
      <c r="AT115" s="98">
        <f t="shared" ref="AT115:AT122" si="127">IF(S115=0,AG115/1,AG115/S115)</f>
        <v>0</v>
      </c>
      <c r="AU115" s="98">
        <f t="shared" ref="AU115:AU122" si="128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9">IF(AQ115=0,0,AV115/AQ115)</f>
        <v>0</v>
      </c>
      <c r="AX115" s="234">
        <f t="shared" ref="AX115:AX122" si="130">IF(AR115=0,0,AV115/AR115)</f>
        <v>0</v>
      </c>
      <c r="AY115" s="99"/>
      <c r="AZ115" s="94">
        <f t="shared" ref="AZ115:AZ122" si="131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32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111"/>
        <v>154</v>
      </c>
      <c r="M116" s="89"/>
      <c r="N116" s="93">
        <f>'Юнит 6'!N116+'Юнит 7'!N116+'Юнит 8'!N116+'Юнит 9'!N116</f>
        <v>0</v>
      </c>
      <c r="O116" s="89">
        <v>0</v>
      </c>
      <c r="P116" s="89">
        <v>0</v>
      </c>
      <c r="Q116" s="233">
        <f t="shared" si="112"/>
        <v>0</v>
      </c>
      <c r="R116" s="92">
        <f t="shared" si="113"/>
        <v>0</v>
      </c>
      <c r="S116" s="93">
        <f>'Юнит 6'!S116+'Юнит 7'!S116+'Юнит 8'!S116+'Юнит 9'!S116</f>
        <v>0</v>
      </c>
      <c r="T116" s="93">
        <f>'Юнит 6'!T116+'Юнит 7'!T116+'Юнит 8'!T116+'Юнит 9'!T116</f>
        <v>0</v>
      </c>
      <c r="U116" s="92">
        <f t="shared" si="114"/>
        <v>0</v>
      </c>
      <c r="V116" s="93">
        <f>'Юнит 6'!V116+'Юнит 7'!V116+'Юнит 8'!V116+'Юнит 9'!V116</f>
        <v>0</v>
      </c>
      <c r="W116" s="93">
        <f>'Юнит 6'!W116+'Юнит 7'!W116+'Юнит 8'!W116+'Юнит 9'!W116</f>
        <v>0</v>
      </c>
      <c r="X116" s="92">
        <f t="shared" si="115"/>
        <v>0</v>
      </c>
      <c r="Y116" s="93">
        <f>'Юнит 6'!Y116+'Юнит 7'!Y116+'Юнит 8'!Y116+'Юнит 9'!Y116</f>
        <v>0</v>
      </c>
      <c r="Z116" s="93">
        <f>'Юнит 6'!Z116+'Юнит 7'!Z116+'Юнит 8'!Z116+'Юнит 9'!Z116</f>
        <v>0</v>
      </c>
      <c r="AA116" s="232">
        <f t="shared" si="116"/>
        <v>0</v>
      </c>
      <c r="AB116" s="92">
        <f t="shared" si="117"/>
        <v>0</v>
      </c>
      <c r="AC116" s="234">
        <f t="shared" si="118"/>
        <v>0</v>
      </c>
      <c r="AD116" s="92">
        <f t="shared" si="119"/>
        <v>0</v>
      </c>
      <c r="AE116" s="93">
        <f>'Юнит 6'!AE116+'Юнит 7'!AE116+'Юнит 8'!AE116+'Юнит 9'!AE116</f>
        <v>0</v>
      </c>
      <c r="AF116" s="234">
        <f t="shared" si="120"/>
        <v>0</v>
      </c>
      <c r="AG116" s="93">
        <f>'Юнит 6'!AG116+'Юнит 7'!AG116+'Юнит 8'!AG116+'Юнит 9'!AG116</f>
        <v>0</v>
      </c>
      <c r="AH116" s="93">
        <f>'Юнит 6'!AH116+'Юнит 7'!AH116+'Юнит 8'!AH116+'Юнит 9'!AH116</f>
        <v>0</v>
      </c>
      <c r="AI116" s="93">
        <f>'Юнит 6'!AI116+'Юнит 7'!AI116+'Юнит 8'!AI116+'Юнит 9'!AI116</f>
        <v>0</v>
      </c>
      <c r="AJ116" s="93">
        <f>'Юнит 6'!AJ116+'Юнит 7'!AJ116+'Юнит 8'!AJ116+'Юнит 9'!AJ116</f>
        <v>0</v>
      </c>
      <c r="AK116" s="93">
        <f>'Юнит 6'!AK116+'Юнит 7'!AK116+'Юнит 8'!AK116+'Юнит 9'!AK116</f>
        <v>0</v>
      </c>
      <c r="AL116" s="122">
        <f t="shared" si="121"/>
        <v>0</v>
      </c>
      <c r="AM116" s="93">
        <f>'Юнит 6'!AM116+'Юнит 7'!AM116+'Юнит 8'!AM116+'Юнит 9'!AM116</f>
        <v>0</v>
      </c>
      <c r="AN116" s="325">
        <f t="shared" si="122"/>
        <v>0</v>
      </c>
      <c r="AO116" s="95">
        <f t="shared" si="123"/>
        <v>0</v>
      </c>
      <c r="AP116" s="96"/>
      <c r="AQ116" s="97">
        <f t="shared" si="124"/>
        <v>0</v>
      </c>
      <c r="AR116" s="98">
        <f t="shared" si="125"/>
        <v>154</v>
      </c>
      <c r="AS116" s="98">
        <f t="shared" si="126"/>
        <v>0</v>
      </c>
      <c r="AT116" s="98">
        <f t="shared" si="127"/>
        <v>0</v>
      </c>
      <c r="AU116" s="98">
        <f t="shared" si="128"/>
        <v>0</v>
      </c>
      <c r="AV116" s="98">
        <f t="array" ref="AV116">_xlfn.IFS(U116=0,AO116,U116&lt;0,AO116/-U116,U116&gt;0,AO116/U116)</f>
        <v>0</v>
      </c>
      <c r="AW116" s="234">
        <f t="shared" si="129"/>
        <v>0</v>
      </c>
      <c r="AX116" s="234">
        <f t="shared" si="130"/>
        <v>0</v>
      </c>
      <c r="AY116" s="99"/>
      <c r="AZ116" s="94">
        <f t="shared" si="131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32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111"/>
        <v>220</v>
      </c>
      <c r="M117" s="89"/>
      <c r="N117" s="93">
        <f>'Юнит 6'!N117+'Юнит 7'!N117+'Юнит 8'!N117+'Юнит 9'!N117</f>
        <v>0</v>
      </c>
      <c r="O117" s="89">
        <v>0</v>
      </c>
      <c r="P117" s="89">
        <v>0</v>
      </c>
      <c r="Q117" s="233">
        <f t="shared" si="112"/>
        <v>0</v>
      </c>
      <c r="R117" s="92">
        <f t="shared" si="113"/>
        <v>0</v>
      </c>
      <c r="S117" s="93">
        <f>'Юнит 6'!S117+'Юнит 7'!S117+'Юнит 8'!S117+'Юнит 9'!S117</f>
        <v>0</v>
      </c>
      <c r="T117" s="93">
        <f>'Юнит 6'!T117+'Юнит 7'!T117+'Юнит 8'!T117+'Юнит 9'!T117</f>
        <v>0</v>
      </c>
      <c r="U117" s="92">
        <f t="shared" si="114"/>
        <v>0</v>
      </c>
      <c r="V117" s="93">
        <f>'Юнит 6'!V117+'Юнит 7'!V117+'Юнит 8'!V117+'Юнит 9'!V117</f>
        <v>0</v>
      </c>
      <c r="W117" s="93">
        <f>'Юнит 6'!W117+'Юнит 7'!W117+'Юнит 8'!W117+'Юнит 9'!W117</f>
        <v>0</v>
      </c>
      <c r="X117" s="92">
        <f t="shared" si="115"/>
        <v>0</v>
      </c>
      <c r="Y117" s="93">
        <f>'Юнит 6'!Y117+'Юнит 7'!Y117+'Юнит 8'!Y117+'Юнит 9'!Y117</f>
        <v>0</v>
      </c>
      <c r="Z117" s="93">
        <f>'Юнит 6'!Z117+'Юнит 7'!Z117+'Юнит 8'!Z117+'Юнит 9'!Z117</f>
        <v>0</v>
      </c>
      <c r="AA117" s="232">
        <f t="shared" si="116"/>
        <v>0</v>
      </c>
      <c r="AB117" s="92">
        <f t="shared" si="117"/>
        <v>0</v>
      </c>
      <c r="AC117" s="234">
        <f t="shared" si="118"/>
        <v>0</v>
      </c>
      <c r="AD117" s="92">
        <f t="shared" si="119"/>
        <v>0</v>
      </c>
      <c r="AE117" s="93">
        <f>'Юнит 6'!AE117+'Юнит 7'!AE117+'Юнит 8'!AE117+'Юнит 9'!AE117</f>
        <v>0</v>
      </c>
      <c r="AF117" s="234">
        <f t="shared" si="120"/>
        <v>0</v>
      </c>
      <c r="AG117" s="93">
        <f>'Юнит 6'!AG117+'Юнит 7'!AG117+'Юнит 8'!AG117+'Юнит 9'!AG117</f>
        <v>0</v>
      </c>
      <c r="AH117" s="93">
        <f>'Юнит 6'!AH117+'Юнит 7'!AH117+'Юнит 8'!AH117+'Юнит 9'!AH117</f>
        <v>0</v>
      </c>
      <c r="AI117" s="93">
        <f>'Юнит 6'!AI117+'Юнит 7'!AI117+'Юнит 8'!AI117+'Юнит 9'!AI117</f>
        <v>0</v>
      </c>
      <c r="AJ117" s="93">
        <f>'Юнит 6'!AJ117+'Юнит 7'!AJ117+'Юнит 8'!AJ117+'Юнит 9'!AJ117</f>
        <v>0</v>
      </c>
      <c r="AK117" s="93">
        <f>'Юнит 6'!AK117+'Юнит 7'!AK117+'Юнит 8'!AK117+'Юнит 9'!AK117</f>
        <v>0</v>
      </c>
      <c r="AL117" s="122">
        <f t="shared" si="121"/>
        <v>0</v>
      </c>
      <c r="AM117" s="93">
        <f>'Юнит 6'!AM117+'Юнит 7'!AM117+'Юнит 8'!AM117+'Юнит 9'!AM117</f>
        <v>0</v>
      </c>
      <c r="AN117" s="325">
        <f t="shared" si="122"/>
        <v>0</v>
      </c>
      <c r="AO117" s="95">
        <f t="shared" si="123"/>
        <v>0</v>
      </c>
      <c r="AP117" s="96"/>
      <c r="AQ117" s="97">
        <f t="shared" si="124"/>
        <v>0</v>
      </c>
      <c r="AR117" s="98">
        <f t="shared" si="125"/>
        <v>220</v>
      </c>
      <c r="AS117" s="98">
        <f t="shared" si="126"/>
        <v>0</v>
      </c>
      <c r="AT117" s="98">
        <f t="shared" si="127"/>
        <v>0</v>
      </c>
      <c r="AU117" s="98">
        <f t="shared" si="128"/>
        <v>0</v>
      </c>
      <c r="AV117" s="98">
        <f t="array" ref="AV117">_xlfn.IFS(U117=0,AO117,U117&lt;0,AO117/-U117,U117&gt;0,AO117/U117)</f>
        <v>0</v>
      </c>
      <c r="AW117" s="234">
        <f t="shared" si="129"/>
        <v>0</v>
      </c>
      <c r="AX117" s="234">
        <f t="shared" si="130"/>
        <v>0</v>
      </c>
      <c r="AY117" s="99"/>
      <c r="AZ117" s="94">
        <f t="shared" si="131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32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111"/>
        <v>220</v>
      </c>
      <c r="M118" s="89"/>
      <c r="N118" s="93">
        <f>'Юнит 6'!N118+'Юнит 7'!N118+'Юнит 8'!N118+'Юнит 9'!N118</f>
        <v>0</v>
      </c>
      <c r="O118" s="89">
        <v>0</v>
      </c>
      <c r="P118" s="89">
        <v>0</v>
      </c>
      <c r="Q118" s="233">
        <f t="shared" si="112"/>
        <v>0</v>
      </c>
      <c r="R118" s="92">
        <f t="shared" si="113"/>
        <v>0</v>
      </c>
      <c r="S118" s="93">
        <f>'Юнит 6'!S118+'Юнит 7'!S118+'Юнит 8'!S118+'Юнит 9'!S118</f>
        <v>0</v>
      </c>
      <c r="T118" s="93">
        <f>'Юнит 6'!T118+'Юнит 7'!T118+'Юнит 8'!T118+'Юнит 9'!T118</f>
        <v>0</v>
      </c>
      <c r="U118" s="92">
        <f t="shared" si="114"/>
        <v>0</v>
      </c>
      <c r="V118" s="93">
        <f>'Юнит 6'!V118+'Юнит 7'!V118+'Юнит 8'!V118+'Юнит 9'!V118</f>
        <v>0</v>
      </c>
      <c r="W118" s="93">
        <f>'Юнит 6'!W118+'Юнит 7'!W118+'Юнит 8'!W118+'Юнит 9'!W118</f>
        <v>0</v>
      </c>
      <c r="X118" s="92">
        <f t="shared" si="115"/>
        <v>0</v>
      </c>
      <c r="Y118" s="93">
        <f>'Юнит 6'!Y118+'Юнит 7'!Y118+'Юнит 8'!Y118+'Юнит 9'!Y118</f>
        <v>0</v>
      </c>
      <c r="Z118" s="93">
        <f>'Юнит 6'!Z118+'Юнит 7'!Z118+'Юнит 8'!Z118+'Юнит 9'!Z118</f>
        <v>0</v>
      </c>
      <c r="AA118" s="232">
        <f t="shared" si="116"/>
        <v>0</v>
      </c>
      <c r="AB118" s="92">
        <f t="shared" si="117"/>
        <v>0</v>
      </c>
      <c r="AC118" s="234">
        <f t="shared" si="118"/>
        <v>0</v>
      </c>
      <c r="AD118" s="92">
        <f t="shared" si="119"/>
        <v>0</v>
      </c>
      <c r="AE118" s="93">
        <f>'Юнит 6'!AE118+'Юнит 7'!AE118+'Юнит 8'!AE118+'Юнит 9'!AE118</f>
        <v>0</v>
      </c>
      <c r="AF118" s="234">
        <f t="shared" si="120"/>
        <v>0</v>
      </c>
      <c r="AG118" s="93">
        <f>'Юнит 6'!AG118+'Юнит 7'!AG118+'Юнит 8'!AG118+'Юнит 9'!AG118</f>
        <v>0</v>
      </c>
      <c r="AH118" s="93">
        <f>'Юнит 6'!AH118+'Юнит 7'!AH118+'Юнит 8'!AH118+'Юнит 9'!AH118</f>
        <v>0</v>
      </c>
      <c r="AI118" s="93">
        <f>'Юнит 6'!AI118+'Юнит 7'!AI118+'Юнит 8'!AI118+'Юнит 9'!AI118</f>
        <v>0</v>
      </c>
      <c r="AJ118" s="93">
        <f>'Юнит 6'!AJ118+'Юнит 7'!AJ118+'Юнит 8'!AJ118+'Юнит 9'!AJ118</f>
        <v>0</v>
      </c>
      <c r="AK118" s="93">
        <f>'Юнит 6'!AK118+'Юнит 7'!AK118+'Юнит 8'!AK118+'Юнит 9'!AK118</f>
        <v>0</v>
      </c>
      <c r="AL118" s="122">
        <f t="shared" si="121"/>
        <v>0</v>
      </c>
      <c r="AM118" s="93">
        <f>'Юнит 6'!AM118+'Юнит 7'!AM118+'Юнит 8'!AM118+'Юнит 9'!AM118</f>
        <v>0</v>
      </c>
      <c r="AN118" s="325">
        <f t="shared" si="122"/>
        <v>0</v>
      </c>
      <c r="AO118" s="95">
        <f t="shared" si="123"/>
        <v>0</v>
      </c>
      <c r="AP118" s="96"/>
      <c r="AQ118" s="97">
        <f t="shared" si="124"/>
        <v>0</v>
      </c>
      <c r="AR118" s="98">
        <f t="shared" si="125"/>
        <v>220</v>
      </c>
      <c r="AS118" s="98">
        <f t="shared" si="126"/>
        <v>0</v>
      </c>
      <c r="AT118" s="98">
        <f t="shared" si="127"/>
        <v>0</v>
      </c>
      <c r="AU118" s="98">
        <f t="shared" si="128"/>
        <v>0</v>
      </c>
      <c r="AV118" s="98">
        <f t="array" ref="AV118">_xlfn.IFS(U118=0,AO118,U118&lt;0,AO118/-U118,U118&gt;0,AO118/U118)</f>
        <v>0</v>
      </c>
      <c r="AW118" s="234">
        <f t="shared" si="129"/>
        <v>0</v>
      </c>
      <c r="AX118" s="234">
        <f t="shared" si="130"/>
        <v>0</v>
      </c>
      <c r="AY118" s="99"/>
      <c r="AZ118" s="94">
        <f t="shared" si="131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32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111"/>
        <v>1320</v>
      </c>
      <c r="M119" s="89"/>
      <c r="N119" s="93">
        <f>'Юнит 6'!N119+'Юнит 7'!N119+'Юнит 8'!N119+'Юнит 9'!N119</f>
        <v>0</v>
      </c>
      <c r="O119" s="89">
        <v>0</v>
      </c>
      <c r="P119" s="89">
        <v>0</v>
      </c>
      <c r="Q119" s="233">
        <f t="shared" si="112"/>
        <v>0</v>
      </c>
      <c r="R119" s="92">
        <f t="shared" si="113"/>
        <v>0</v>
      </c>
      <c r="S119" s="93">
        <f>'Юнит 6'!S119+'Юнит 7'!S119+'Юнит 8'!S119+'Юнит 9'!S119</f>
        <v>0</v>
      </c>
      <c r="T119" s="93">
        <f>'Юнит 6'!T119+'Юнит 7'!T119+'Юнит 8'!T119+'Юнит 9'!T119</f>
        <v>0</v>
      </c>
      <c r="U119" s="92">
        <f t="shared" si="114"/>
        <v>0</v>
      </c>
      <c r="V119" s="93">
        <f>'Юнит 6'!V119+'Юнит 7'!V119+'Юнит 8'!V119+'Юнит 9'!V119</f>
        <v>0</v>
      </c>
      <c r="W119" s="93">
        <f>'Юнит 6'!W119+'Юнит 7'!W119+'Юнит 8'!W119+'Юнит 9'!W119</f>
        <v>0</v>
      </c>
      <c r="X119" s="92">
        <f t="shared" si="115"/>
        <v>0</v>
      </c>
      <c r="Y119" s="93">
        <f>'Юнит 6'!Y119+'Юнит 7'!Y119+'Юнит 8'!Y119+'Юнит 9'!Y119</f>
        <v>0</v>
      </c>
      <c r="Z119" s="93">
        <f>'Юнит 6'!Z119+'Юнит 7'!Z119+'Юнит 8'!Z119+'Юнит 9'!Z119</f>
        <v>0</v>
      </c>
      <c r="AA119" s="232">
        <f t="shared" si="116"/>
        <v>0</v>
      </c>
      <c r="AB119" s="92">
        <f t="shared" si="117"/>
        <v>0</v>
      </c>
      <c r="AC119" s="234">
        <f t="shared" si="118"/>
        <v>0</v>
      </c>
      <c r="AD119" s="92">
        <f t="shared" si="119"/>
        <v>0</v>
      </c>
      <c r="AE119" s="93">
        <f>'Юнит 6'!AE119+'Юнит 7'!AE119+'Юнит 8'!AE119+'Юнит 9'!AE119</f>
        <v>0</v>
      </c>
      <c r="AF119" s="234">
        <f t="shared" si="120"/>
        <v>0</v>
      </c>
      <c r="AG119" s="93">
        <f>'Юнит 6'!AG119+'Юнит 7'!AG119+'Юнит 8'!AG119+'Юнит 9'!AG119</f>
        <v>0</v>
      </c>
      <c r="AH119" s="93">
        <f>'Юнит 6'!AH119+'Юнит 7'!AH119+'Юнит 8'!AH119+'Юнит 9'!AH119</f>
        <v>0</v>
      </c>
      <c r="AI119" s="93">
        <f>'Юнит 6'!AI119+'Юнит 7'!AI119+'Юнит 8'!AI119+'Юнит 9'!AI119</f>
        <v>0</v>
      </c>
      <c r="AJ119" s="93">
        <f>'Юнит 6'!AJ119+'Юнит 7'!AJ119+'Юнит 8'!AJ119+'Юнит 9'!AJ119</f>
        <v>0</v>
      </c>
      <c r="AK119" s="93">
        <f>'Юнит 6'!AK119+'Юнит 7'!AK119+'Юнит 8'!AK119+'Юнит 9'!AK119</f>
        <v>0</v>
      </c>
      <c r="AL119" s="122">
        <f t="shared" si="121"/>
        <v>0</v>
      </c>
      <c r="AM119" s="93">
        <f>'Юнит 6'!AM119+'Юнит 7'!AM119+'Юнит 8'!AM119+'Юнит 9'!AM119</f>
        <v>0</v>
      </c>
      <c r="AN119" s="325">
        <f t="shared" si="122"/>
        <v>0</v>
      </c>
      <c r="AO119" s="95">
        <f t="shared" si="123"/>
        <v>0</v>
      </c>
      <c r="AP119" s="96"/>
      <c r="AQ119" s="97">
        <f t="shared" si="124"/>
        <v>0</v>
      </c>
      <c r="AR119" s="98">
        <f t="shared" si="125"/>
        <v>220</v>
      </c>
      <c r="AS119" s="98">
        <f t="shared" si="126"/>
        <v>0</v>
      </c>
      <c r="AT119" s="98">
        <f t="shared" si="127"/>
        <v>0</v>
      </c>
      <c r="AU119" s="98">
        <f t="shared" si="128"/>
        <v>0</v>
      </c>
      <c r="AV119" s="98">
        <f t="array" ref="AV119">_xlfn.IFS(U119=0,AO119,U119&lt;0,AO119/-U119,U119&gt;0,AO119/U119)</f>
        <v>0</v>
      </c>
      <c r="AW119" s="234">
        <f t="shared" si="129"/>
        <v>0</v>
      </c>
      <c r="AX119" s="234">
        <f t="shared" si="130"/>
        <v>0</v>
      </c>
      <c r="AY119" s="99"/>
      <c r="AZ119" s="94">
        <f t="shared" si="131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32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111"/>
        <v>205</v>
      </c>
      <c r="M120" s="89"/>
      <c r="N120" s="93">
        <f>'Юнит 6'!N120+'Юнит 7'!N120+'Юнит 8'!N120+'Юнит 9'!N120</f>
        <v>0</v>
      </c>
      <c r="O120" s="89">
        <v>0</v>
      </c>
      <c r="P120" s="89">
        <v>0</v>
      </c>
      <c r="Q120" s="233">
        <f t="shared" si="112"/>
        <v>0</v>
      </c>
      <c r="R120" s="92">
        <f t="shared" si="113"/>
        <v>0</v>
      </c>
      <c r="S120" s="93">
        <f>'Юнит 6'!S120+'Юнит 7'!S120+'Юнит 8'!S120+'Юнит 9'!S120</f>
        <v>0</v>
      </c>
      <c r="T120" s="93">
        <f>'Юнит 6'!T120+'Юнит 7'!T120+'Юнит 8'!T120+'Юнит 9'!T120</f>
        <v>0</v>
      </c>
      <c r="U120" s="92">
        <f t="shared" si="114"/>
        <v>0</v>
      </c>
      <c r="V120" s="93">
        <f>'Юнит 6'!V120+'Юнит 7'!V120+'Юнит 8'!V120+'Юнит 9'!V120</f>
        <v>0</v>
      </c>
      <c r="W120" s="93">
        <f>'Юнит 6'!W120+'Юнит 7'!W120+'Юнит 8'!W120+'Юнит 9'!W120</f>
        <v>0</v>
      </c>
      <c r="X120" s="92">
        <f t="shared" si="115"/>
        <v>0</v>
      </c>
      <c r="Y120" s="93">
        <f>'Юнит 6'!Y120+'Юнит 7'!Y120+'Юнит 8'!Y120+'Юнит 9'!Y120</f>
        <v>0</v>
      </c>
      <c r="Z120" s="93">
        <f>'Юнит 6'!Z120+'Юнит 7'!Z120+'Юнит 8'!Z120+'Юнит 9'!Z120</f>
        <v>0</v>
      </c>
      <c r="AA120" s="232">
        <f t="shared" si="116"/>
        <v>0</v>
      </c>
      <c r="AB120" s="92">
        <f t="shared" si="117"/>
        <v>0</v>
      </c>
      <c r="AC120" s="234">
        <f t="shared" si="118"/>
        <v>0</v>
      </c>
      <c r="AD120" s="92">
        <f t="shared" si="119"/>
        <v>0</v>
      </c>
      <c r="AE120" s="93">
        <f>'Юнит 6'!AE120+'Юнит 7'!AE120+'Юнит 8'!AE120+'Юнит 9'!AE120</f>
        <v>0</v>
      </c>
      <c r="AF120" s="234">
        <f t="shared" si="120"/>
        <v>0</v>
      </c>
      <c r="AG120" s="93">
        <f>'Юнит 6'!AG120+'Юнит 7'!AG120+'Юнит 8'!AG120+'Юнит 9'!AG120</f>
        <v>0</v>
      </c>
      <c r="AH120" s="93">
        <f>'Юнит 6'!AH120+'Юнит 7'!AH120+'Юнит 8'!AH120+'Юнит 9'!AH120</f>
        <v>0</v>
      </c>
      <c r="AI120" s="93">
        <f>'Юнит 6'!AI120+'Юнит 7'!AI120+'Юнит 8'!AI120+'Юнит 9'!AI120</f>
        <v>0</v>
      </c>
      <c r="AJ120" s="93">
        <f>'Юнит 6'!AJ120+'Юнит 7'!AJ120+'Юнит 8'!AJ120+'Юнит 9'!AJ120</f>
        <v>0</v>
      </c>
      <c r="AK120" s="93">
        <f>'Юнит 6'!AK120+'Юнит 7'!AK120+'Юнит 8'!AK120+'Юнит 9'!AK120</f>
        <v>0</v>
      </c>
      <c r="AL120" s="122">
        <f t="shared" si="121"/>
        <v>0</v>
      </c>
      <c r="AM120" s="93">
        <f>'Юнит 6'!AM120+'Юнит 7'!AM120+'Юнит 8'!AM120+'Юнит 9'!AM120</f>
        <v>0</v>
      </c>
      <c r="AN120" s="325">
        <f t="shared" si="122"/>
        <v>0</v>
      </c>
      <c r="AO120" s="95">
        <f t="shared" si="123"/>
        <v>0</v>
      </c>
      <c r="AP120" s="96"/>
      <c r="AQ120" s="97">
        <f t="shared" si="124"/>
        <v>0</v>
      </c>
      <c r="AR120" s="98">
        <f t="shared" si="125"/>
        <v>205</v>
      </c>
      <c r="AS120" s="98">
        <f t="shared" si="126"/>
        <v>0</v>
      </c>
      <c r="AT120" s="98">
        <f t="shared" si="127"/>
        <v>0</v>
      </c>
      <c r="AU120" s="98">
        <f t="shared" si="128"/>
        <v>0</v>
      </c>
      <c r="AV120" s="98">
        <f t="array" ref="AV120">_xlfn.IFS(U120=0,AO120,U120&lt;0,AO120/-U120,U120&gt;0,AO120/U120)</f>
        <v>0</v>
      </c>
      <c r="AW120" s="234">
        <f t="shared" si="129"/>
        <v>0</v>
      </c>
      <c r="AX120" s="234">
        <f t="shared" si="130"/>
        <v>0</v>
      </c>
      <c r="AY120" s="99"/>
      <c r="AZ120" s="94">
        <f t="shared" si="131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32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111"/>
        <v>205</v>
      </c>
      <c r="M121" s="89"/>
      <c r="N121" s="93">
        <f>'Юнит 6'!N121+'Юнит 7'!N121+'Юнит 8'!N121+'Юнит 9'!N121</f>
        <v>0</v>
      </c>
      <c r="O121" s="89">
        <v>0</v>
      </c>
      <c r="P121" s="89">
        <v>0</v>
      </c>
      <c r="Q121" s="233">
        <f t="shared" si="112"/>
        <v>0</v>
      </c>
      <c r="R121" s="92">
        <f t="shared" si="113"/>
        <v>0</v>
      </c>
      <c r="S121" s="93">
        <f>'Юнит 6'!S121+'Юнит 7'!S121+'Юнит 8'!S121+'Юнит 9'!S121</f>
        <v>0</v>
      </c>
      <c r="T121" s="93">
        <f>'Юнит 6'!T121+'Юнит 7'!T121+'Юнит 8'!T121+'Юнит 9'!T121</f>
        <v>0</v>
      </c>
      <c r="U121" s="92">
        <f t="shared" si="114"/>
        <v>0</v>
      </c>
      <c r="V121" s="93">
        <f>'Юнит 6'!V121+'Юнит 7'!V121+'Юнит 8'!V121+'Юнит 9'!V121</f>
        <v>0</v>
      </c>
      <c r="W121" s="93">
        <f>'Юнит 6'!W121+'Юнит 7'!W121+'Юнит 8'!W121+'Юнит 9'!W121</f>
        <v>0</v>
      </c>
      <c r="X121" s="92">
        <f t="shared" si="115"/>
        <v>0</v>
      </c>
      <c r="Y121" s="93">
        <f>'Юнит 6'!Y121+'Юнит 7'!Y121+'Юнит 8'!Y121+'Юнит 9'!Y121</f>
        <v>0</v>
      </c>
      <c r="Z121" s="93">
        <f>'Юнит 6'!Z121+'Юнит 7'!Z121+'Юнит 8'!Z121+'Юнит 9'!Z121</f>
        <v>0</v>
      </c>
      <c r="AA121" s="232">
        <f t="shared" si="116"/>
        <v>0</v>
      </c>
      <c r="AB121" s="92">
        <f t="shared" si="117"/>
        <v>0</v>
      </c>
      <c r="AC121" s="234">
        <f t="shared" si="118"/>
        <v>0</v>
      </c>
      <c r="AD121" s="92">
        <f t="shared" si="119"/>
        <v>0</v>
      </c>
      <c r="AE121" s="93">
        <f>'Юнит 6'!AE121+'Юнит 7'!AE121+'Юнит 8'!AE121+'Юнит 9'!AE121</f>
        <v>0</v>
      </c>
      <c r="AF121" s="234">
        <f t="shared" si="120"/>
        <v>0</v>
      </c>
      <c r="AG121" s="93">
        <f>'Юнит 6'!AG121+'Юнит 7'!AG121+'Юнит 8'!AG121+'Юнит 9'!AG121</f>
        <v>0</v>
      </c>
      <c r="AH121" s="93">
        <f>'Юнит 6'!AH121+'Юнит 7'!AH121+'Юнит 8'!AH121+'Юнит 9'!AH121</f>
        <v>0</v>
      </c>
      <c r="AI121" s="93">
        <f>'Юнит 6'!AI121+'Юнит 7'!AI121+'Юнит 8'!AI121+'Юнит 9'!AI121</f>
        <v>0</v>
      </c>
      <c r="AJ121" s="93">
        <f>'Юнит 6'!AJ121+'Юнит 7'!AJ121+'Юнит 8'!AJ121+'Юнит 9'!AJ121</f>
        <v>0</v>
      </c>
      <c r="AK121" s="93">
        <f>'Юнит 6'!AK121+'Юнит 7'!AK121+'Юнит 8'!AK121+'Юнит 9'!AK121</f>
        <v>0</v>
      </c>
      <c r="AL121" s="122">
        <f t="shared" si="121"/>
        <v>0</v>
      </c>
      <c r="AM121" s="93">
        <f>'Юнит 6'!AM121+'Юнит 7'!AM121+'Юнит 8'!AM121+'Юнит 9'!AM121</f>
        <v>0</v>
      </c>
      <c r="AN121" s="325">
        <f t="shared" si="122"/>
        <v>0</v>
      </c>
      <c r="AO121" s="95">
        <f t="shared" si="123"/>
        <v>0</v>
      </c>
      <c r="AP121" s="96"/>
      <c r="AQ121" s="97">
        <f t="shared" si="124"/>
        <v>0</v>
      </c>
      <c r="AR121" s="98">
        <f t="shared" si="125"/>
        <v>205</v>
      </c>
      <c r="AS121" s="98">
        <f t="shared" si="126"/>
        <v>0</v>
      </c>
      <c r="AT121" s="98">
        <f t="shared" si="127"/>
        <v>0</v>
      </c>
      <c r="AU121" s="98">
        <f t="shared" si="128"/>
        <v>0</v>
      </c>
      <c r="AV121" s="98">
        <f t="array" ref="AV121">_xlfn.IFS(U121=0,AO121,U121&lt;0,AO121/-U121,U121&gt;0,AO121/U121)</f>
        <v>0</v>
      </c>
      <c r="AW121" s="234">
        <f t="shared" si="129"/>
        <v>0</v>
      </c>
      <c r="AX121" s="234">
        <f t="shared" si="130"/>
        <v>0</v>
      </c>
      <c r="AY121" s="99"/>
      <c r="AZ121" s="94">
        <f t="shared" si="131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32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111"/>
        <v>453</v>
      </c>
      <c r="M122" s="89"/>
      <c r="N122" s="93">
        <f>'Юнит 6'!N122+'Юнит 7'!N122+'Юнит 8'!N122+'Юнит 9'!N122</f>
        <v>0</v>
      </c>
      <c r="O122" s="89">
        <v>0</v>
      </c>
      <c r="P122" s="89">
        <v>0</v>
      </c>
      <c r="Q122" s="233">
        <f t="shared" si="112"/>
        <v>0</v>
      </c>
      <c r="R122" s="92">
        <f t="shared" si="113"/>
        <v>0</v>
      </c>
      <c r="S122" s="93">
        <f>'Юнит 6'!S122+'Юнит 7'!S122+'Юнит 8'!S122+'Юнит 9'!S122</f>
        <v>0</v>
      </c>
      <c r="T122" s="93">
        <f>'Юнит 6'!T122+'Юнит 7'!T122+'Юнит 8'!T122+'Юнит 9'!T122</f>
        <v>0</v>
      </c>
      <c r="U122" s="92">
        <f t="shared" si="114"/>
        <v>0</v>
      </c>
      <c r="V122" s="93">
        <f>'Юнит 6'!V122+'Юнит 7'!V122+'Юнит 8'!V122+'Юнит 9'!V122</f>
        <v>0</v>
      </c>
      <c r="W122" s="93">
        <f>'Юнит 6'!W122+'Юнит 7'!W122+'Юнит 8'!W122+'Юнит 9'!W122</f>
        <v>0</v>
      </c>
      <c r="X122" s="92">
        <f t="shared" si="115"/>
        <v>0</v>
      </c>
      <c r="Y122" s="93">
        <f>'Юнит 6'!Y122+'Юнит 7'!Y122+'Юнит 8'!Y122+'Юнит 9'!Y122</f>
        <v>0</v>
      </c>
      <c r="Z122" s="93">
        <f>'Юнит 6'!Z122+'Юнит 7'!Z122+'Юнит 8'!Z122+'Юнит 9'!Z122</f>
        <v>0</v>
      </c>
      <c r="AA122" s="232">
        <f t="shared" si="116"/>
        <v>0</v>
      </c>
      <c r="AB122" s="92">
        <f t="shared" si="117"/>
        <v>0</v>
      </c>
      <c r="AC122" s="234">
        <f t="shared" si="118"/>
        <v>0</v>
      </c>
      <c r="AD122" s="92">
        <f t="shared" si="119"/>
        <v>0</v>
      </c>
      <c r="AE122" s="93">
        <f>'Юнит 6'!AE122+'Юнит 7'!AE122+'Юнит 8'!AE122+'Юнит 9'!AE122</f>
        <v>0</v>
      </c>
      <c r="AF122" s="234">
        <f t="shared" si="120"/>
        <v>0</v>
      </c>
      <c r="AG122" s="93">
        <f>'Юнит 6'!AG122+'Юнит 7'!AG122+'Юнит 8'!AG122+'Юнит 9'!AG122</f>
        <v>0</v>
      </c>
      <c r="AH122" s="93">
        <f>'Юнит 6'!AH122+'Юнит 7'!AH122+'Юнит 8'!AH122+'Юнит 9'!AH122</f>
        <v>0</v>
      </c>
      <c r="AI122" s="93">
        <f>'Юнит 6'!AI122+'Юнит 7'!AI122+'Юнит 8'!AI122+'Юнит 9'!AI122</f>
        <v>0</v>
      </c>
      <c r="AJ122" s="93">
        <f>'Юнит 6'!AJ122+'Юнит 7'!AJ122+'Юнит 8'!AJ122+'Юнит 9'!AJ122</f>
        <v>0</v>
      </c>
      <c r="AK122" s="93">
        <f>'Юнит 6'!AK122+'Юнит 7'!AK122+'Юнит 8'!AK122+'Юнит 9'!AK122</f>
        <v>0</v>
      </c>
      <c r="AL122" s="122">
        <f t="shared" si="121"/>
        <v>0</v>
      </c>
      <c r="AM122" s="93">
        <f>'Юнит 6'!AM122+'Юнит 7'!AM122+'Юнит 8'!AM122+'Юнит 9'!AM122</f>
        <v>0</v>
      </c>
      <c r="AN122" s="325">
        <f t="shared" si="122"/>
        <v>0</v>
      </c>
      <c r="AO122" s="95">
        <f t="shared" si="123"/>
        <v>0</v>
      </c>
      <c r="AP122" s="96"/>
      <c r="AQ122" s="97">
        <f t="shared" si="124"/>
        <v>0</v>
      </c>
      <c r="AR122" s="98">
        <f t="shared" si="125"/>
        <v>453</v>
      </c>
      <c r="AS122" s="98">
        <f t="shared" si="126"/>
        <v>0</v>
      </c>
      <c r="AT122" s="98">
        <f t="shared" si="127"/>
        <v>0</v>
      </c>
      <c r="AU122" s="98">
        <f t="shared" si="128"/>
        <v>0</v>
      </c>
      <c r="AV122" s="98">
        <f t="array" ref="AV122">_xlfn.IFS(U122=0,AO122,U122&lt;0,AO122/-U122,U122&gt;0,AO122/U122)</f>
        <v>0</v>
      </c>
      <c r="AW122" s="234">
        <f t="shared" si="129"/>
        <v>0</v>
      </c>
      <c r="AX122" s="234">
        <f t="shared" si="130"/>
        <v>0</v>
      </c>
      <c r="AY122" s="99"/>
      <c r="AZ122" s="94">
        <f t="shared" si="131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129"/>
      <c r="T123" s="129"/>
      <c r="U123" s="92"/>
      <c r="V123" s="129"/>
      <c r="W123" s="129"/>
      <c r="X123" s="92"/>
      <c r="Y123" s="92"/>
      <c r="Z123" s="92"/>
      <c r="AA123" s="232"/>
      <c r="AB123" s="92"/>
      <c r="AC123" s="234"/>
      <c r="AD123" s="92"/>
      <c r="AE123" s="129"/>
      <c r="AF123" s="234"/>
      <c r="AG123" s="129"/>
      <c r="AH123" s="129"/>
      <c r="AI123" s="129"/>
      <c r="AJ123" s="129"/>
      <c r="AK123" s="129"/>
      <c r="AL123" s="122"/>
      <c r="AM123" s="129"/>
      <c r="AN123" s="94"/>
      <c r="AO123" s="95"/>
      <c r="AP123" s="96"/>
      <c r="AQ123" s="130">
        <f t="shared" ref="AQ123:AX123" si="133">AVERAGE(AQ115:AQ122)</f>
        <v>0</v>
      </c>
      <c r="AR123" s="130">
        <f t="shared" si="133"/>
        <v>227.125</v>
      </c>
      <c r="AS123" s="130">
        <f t="shared" si="133"/>
        <v>0</v>
      </c>
      <c r="AT123" s="130">
        <f t="shared" si="133"/>
        <v>0</v>
      </c>
      <c r="AU123" s="130">
        <f t="shared" si="133"/>
        <v>0</v>
      </c>
      <c r="AV123" s="130">
        <f t="shared" si="133"/>
        <v>0</v>
      </c>
      <c r="AW123" s="131">
        <f t="shared" si="133"/>
        <v>0</v>
      </c>
      <c r="AX123" s="131">
        <f t="shared" si="133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4">SUM(E115:E122)</f>
        <v>14</v>
      </c>
      <c r="F124" s="134">
        <f t="shared" si="134"/>
        <v>0</v>
      </c>
      <c r="G124" s="134">
        <f t="shared" si="134"/>
        <v>0</v>
      </c>
      <c r="H124" s="134">
        <f t="shared" si="134"/>
        <v>0</v>
      </c>
      <c r="I124" s="134">
        <f t="shared" si="134"/>
        <v>8</v>
      </c>
      <c r="J124" s="134">
        <f t="shared" si="134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>SUM(S115:S122)</f>
        <v>0</v>
      </c>
      <c r="T124" s="134">
        <f>SUM(T115:T122)</f>
        <v>0</v>
      </c>
      <c r="U124" s="134">
        <f t="shared" ref="U124:AD124" si="135">SUM(U115:U122)</f>
        <v>0</v>
      </c>
      <c r="V124" s="134">
        <f>SUM(V115:V122)</f>
        <v>0</v>
      </c>
      <c r="W124" s="134">
        <f>SUM(W115:W122)</f>
        <v>0</v>
      </c>
      <c r="X124" s="134">
        <f t="shared" si="135"/>
        <v>0</v>
      </c>
      <c r="Y124" s="134">
        <f t="shared" si="135"/>
        <v>0</v>
      </c>
      <c r="Z124" s="134">
        <f t="shared" si="135"/>
        <v>0</v>
      </c>
      <c r="AA124" s="264">
        <f t="shared" si="135"/>
        <v>0</v>
      </c>
      <c r="AB124" s="134">
        <f t="shared" si="135"/>
        <v>0</v>
      </c>
      <c r="AC124" s="265">
        <f t="shared" si="135"/>
        <v>0</v>
      </c>
      <c r="AD124" s="135">
        <f t="shared" si="135"/>
        <v>0</v>
      </c>
      <c r="AE124" s="134">
        <f>SUM(AE115:AE122)</f>
        <v>0</v>
      </c>
      <c r="AF124" s="265" t="e">
        <f>AE124/AA124</f>
        <v>#DIV/0!</v>
      </c>
      <c r="AG124" s="134">
        <f>SUM(AG115:AG122)</f>
        <v>0</v>
      </c>
      <c r="AH124" s="134">
        <f>SUM(AH115:AH122)</f>
        <v>0</v>
      </c>
      <c r="AI124" s="134">
        <f>SUM(AI115:AI122)</f>
        <v>0</v>
      </c>
      <c r="AJ124" s="134">
        <f>SUM(AJ115:AJ122)</f>
        <v>0</v>
      </c>
      <c r="AK124" s="134">
        <f>SUM(AK115:AK122)</f>
        <v>0</v>
      </c>
      <c r="AL124" s="136">
        <f t="shared" ref="AL124:AO124" si="136">SUM(AL115:AL122)</f>
        <v>0</v>
      </c>
      <c r="AM124" s="134">
        <f>SUM(AM115:AM122)</f>
        <v>0</v>
      </c>
      <c r="AN124" s="134">
        <f t="shared" si="136"/>
        <v>0</v>
      </c>
      <c r="AO124" s="134">
        <f t="shared" si="136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4"/>
      <c r="T125" s="144"/>
      <c r="U125" s="147"/>
      <c r="V125" s="144"/>
      <c r="W125" s="144"/>
      <c r="X125" s="147"/>
      <c r="Y125" s="146"/>
      <c r="Z125" s="147"/>
      <c r="AA125" s="303"/>
      <c r="AB125" s="147"/>
      <c r="AE125" s="144"/>
      <c r="AG125" s="106">
        <f>'Юнит 6'!AG125+'Юнит 7'!AG125+'Юнит 8'!AG125+'Юнит 9'!AG125</f>
        <v>170</v>
      </c>
      <c r="AH125" s="144"/>
      <c r="AI125" s="144"/>
      <c r="AJ125" s="144"/>
      <c r="AK125" s="144"/>
      <c r="AL125" s="149"/>
      <c r="AM125" s="144"/>
      <c r="AO125" s="95">
        <f t="shared" ref="AO125" si="137">AA125-AD125-AE125-AG125-AH125-AI125-AK125-AL125-AN125-AM125</f>
        <v>-170</v>
      </c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D126" si="138">E105+E113+E124</f>
        <v>21</v>
      </c>
      <c r="F126" s="267">
        <f t="shared" si="138"/>
        <v>0</v>
      </c>
      <c r="G126" s="267">
        <f t="shared" si="138"/>
        <v>0</v>
      </c>
      <c r="H126" s="267">
        <f t="shared" si="138"/>
        <v>1</v>
      </c>
      <c r="I126" s="267">
        <f t="shared" si="138"/>
        <v>8</v>
      </c>
      <c r="J126" s="267">
        <f t="shared" si="138"/>
        <v>12</v>
      </c>
      <c r="K126" s="267">
        <f t="shared" si="138"/>
        <v>0</v>
      </c>
      <c r="L126" s="267">
        <f t="shared" si="138"/>
        <v>6961.2599999999993</v>
      </c>
      <c r="M126" s="267">
        <f t="shared" si="138"/>
        <v>0</v>
      </c>
      <c r="N126" s="267">
        <f t="shared" si="138"/>
        <v>14518</v>
      </c>
      <c r="O126" s="267">
        <f t="shared" si="138"/>
        <v>0</v>
      </c>
      <c r="P126" s="267">
        <f t="shared" si="138"/>
        <v>0</v>
      </c>
      <c r="Q126" s="215">
        <f t="shared" si="138"/>
        <v>0</v>
      </c>
      <c r="R126" s="267">
        <f t="shared" si="138"/>
        <v>0</v>
      </c>
      <c r="S126" s="267">
        <f t="shared" ref="S126:T126" si="139">S105+S113+S124</f>
        <v>7968</v>
      </c>
      <c r="T126" s="267">
        <f t="shared" si="139"/>
        <v>-171</v>
      </c>
      <c r="U126" s="267">
        <f t="shared" si="138"/>
        <v>7797</v>
      </c>
      <c r="V126" s="267">
        <f t="shared" ref="V126:W126" si="140">V105+V113+V124</f>
        <v>5544884.6099999994</v>
      </c>
      <c r="W126" s="267">
        <f t="shared" si="140"/>
        <v>-118993.17</v>
      </c>
      <c r="X126" s="267">
        <f t="shared" si="138"/>
        <v>5425891.4399999995</v>
      </c>
      <c r="Y126" s="267">
        <f t="shared" si="138"/>
        <v>8660158.7899999991</v>
      </c>
      <c r="Z126" s="267">
        <f t="shared" si="138"/>
        <v>-186633.46</v>
      </c>
      <c r="AA126" s="267">
        <f t="shared" si="138"/>
        <v>8473525.3300000001</v>
      </c>
      <c r="AB126" s="267">
        <f t="shared" si="138"/>
        <v>9837595.5999999996</v>
      </c>
      <c r="AC126" s="267">
        <f t="shared" si="138"/>
        <v>1.0000000000000002</v>
      </c>
      <c r="AD126" s="267">
        <f t="shared" si="138"/>
        <v>974898.10000000056</v>
      </c>
      <c r="AE126" s="267">
        <f t="shared" ref="AE126" si="141">AE105+AE113+AE124</f>
        <v>3161798.2300000004</v>
      </c>
      <c r="AF126" s="268">
        <f>AE126/AA126</f>
        <v>0.37313846443650162</v>
      </c>
      <c r="AG126" s="267">
        <f>AG105+AG113+AG124+AG125</f>
        <v>933451.99999999988</v>
      </c>
      <c r="AH126" s="267">
        <f t="shared" ref="AH126" si="142">AH105+AH113+AH124</f>
        <v>541649</v>
      </c>
      <c r="AI126" s="267">
        <f t="shared" ref="AI126:AK126" si="143">AI105+AI113+AI124</f>
        <v>609161</v>
      </c>
      <c r="AJ126" s="267">
        <f t="shared" si="143"/>
        <v>3624</v>
      </c>
      <c r="AK126" s="267">
        <f t="shared" si="143"/>
        <v>0</v>
      </c>
      <c r="AL126" s="267">
        <f>'Юнит 6'!AL126+'Юнит 7'!AL126+'Юнит 8'!AL126+'Юнит 9'!AL126</f>
        <v>33389.21</v>
      </c>
      <c r="AM126" s="267">
        <f t="shared" ref="AM126" si="144">AM105+AM113+AM124</f>
        <v>2684.1099999999997</v>
      </c>
      <c r="AN126" s="267">
        <f>AN105+AN113+AN124</f>
        <v>304652.46000000031</v>
      </c>
      <c r="AO126" s="267">
        <f>AO105+AO113+AO124+AO125</f>
        <v>1911841.2199999993</v>
      </c>
      <c r="AP126" s="155"/>
      <c r="AQ126" s="155"/>
      <c r="AR126" s="155"/>
      <c r="AS126" s="155"/>
      <c r="AT126" s="155"/>
      <c r="AU126" s="155">
        <f>(AH126+AI126)/S126</f>
        <v>144.42896586345381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3"/>
      <c r="AB127" s="147"/>
      <c r="AE127" s="148"/>
      <c r="AG127" s="160"/>
      <c r="AH127" s="338"/>
      <c r="AI127" s="338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AO128" s="339">
        <f>Сводная!AG9+SUM(Сводная!T9:T16)+SUM(Сводная!V9:V16)</f>
        <v>1911841.2199999983</v>
      </c>
    </row>
    <row r="129" spans="3:4">
      <c r="C129" s="162"/>
      <c r="D129" s="162"/>
    </row>
  </sheetData>
  <mergeCells count="8">
    <mergeCell ref="AQ1:AX1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52" priority="23" operator="greaterThan">
      <formula>0.23</formula>
    </cfRule>
  </conditionalFormatting>
  <conditionalFormatting sqref="M123:O123 M106:M112 M3:M104">
    <cfRule type="cellIs" dxfId="51" priority="35" operator="greaterThan">
      <formula>120</formula>
    </cfRule>
  </conditionalFormatting>
  <conditionalFormatting sqref="AC125 AC127">
    <cfRule type="cellIs" dxfId="50" priority="36" operator="greaterThan">
      <formula>0.23</formula>
    </cfRule>
  </conditionalFormatting>
  <conditionalFormatting sqref="AA123:AC123 AA106:AC106 AA112:AC112 AA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{7D6813C0-906A-4291-9BF9-B660E9788AF6}</x14:id>
        </ext>
      </extLst>
    </cfRule>
  </conditionalFormatting>
  <conditionalFormatting sqref="AC106 AC112 AC3:AC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{51F4AD2D-D242-4152-BB21-D6BCECCB4DE8}</x14:id>
        </ext>
      </extLst>
    </cfRule>
  </conditionalFormatting>
  <conditionalFormatting sqref="AC1">
    <cfRule type="cellIs" dxfId="49" priority="34" operator="greaterThan">
      <formula>0.23</formula>
    </cfRule>
  </conditionalFormatting>
  <conditionalFormatting sqref="AV107:AV11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{77ED9978-4049-43DF-8768-5276575852C4}</x14:id>
        </ext>
      </extLst>
    </cfRule>
  </conditionalFormatting>
  <conditionalFormatting sqref="AW107:AX111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{8A319FF2-24EF-4218-BEDF-A95F97F2D5DB}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{0FA119D1-EC81-47F0-9A0A-E2FC9FB6AF98}</x14:id>
        </ext>
      </extLst>
    </cfRule>
  </conditionalFormatting>
  <conditionalFormatting sqref="AZ107:AZ111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{4FA90437-FC26-4327-B5BB-2F982FD567E2}</x14:id>
        </ext>
      </extLst>
    </cfRule>
  </conditionalFormatting>
  <conditionalFormatting sqref="Q123">
    <cfRule type="cellIs" dxfId="48" priority="29" operator="between">
      <formula>0.000001</formula>
      <formula>25</formula>
    </cfRule>
  </conditionalFormatting>
  <conditionalFormatting sqref="AV44:AV9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{9B052581-9E7C-4A91-9F11-63F19C3C5E99}</x14:id>
        </ext>
      </extLst>
    </cfRule>
  </conditionalFormatting>
  <conditionalFormatting sqref="AW44:AX9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{ACB0635C-B1C2-4CF9-A645-B6E231FD79D2}</x14:id>
        </ext>
      </extLst>
    </cfRule>
  </conditionalFormatting>
  <conditionalFormatting sqref="AZ44:AZ9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{CB633F7B-B5EB-4897-BAC6-61AFD16304EA}</x14:id>
        </ext>
      </extLst>
    </cfRule>
  </conditionalFormatting>
  <conditionalFormatting sqref="AV17:AV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{090C2778-E5AD-4138-92CC-FE4713DDAAED}</x14:id>
        </ext>
      </extLst>
    </cfRule>
  </conditionalFormatting>
  <conditionalFormatting sqref="AW17:AX2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{89C72386-76B9-4680-95CF-D7C960349E4E}</x14:id>
        </ext>
      </extLst>
    </cfRule>
  </conditionalFormatting>
  <conditionalFormatting sqref="AZ17:AZ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{A5A9E4BD-2B0B-4DB3-A09B-B80DC65C1867}</x14:id>
        </ext>
      </extLst>
    </cfRule>
  </conditionalFormatting>
  <conditionalFormatting sqref="AZ3:AZ16 AZ106 AZ123 AZ112 AZ26:AZ43 AZ94:AZ10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{C3A6E984-5705-443D-B443-41D0726C256F}</x14:id>
        </ext>
      </extLst>
    </cfRule>
  </conditionalFormatting>
  <conditionalFormatting sqref="AZ115:AZ122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{4B67F0CB-255A-4713-A93E-9AD0DD89C519}</x14:id>
        </ext>
      </extLst>
    </cfRule>
  </conditionalFormatting>
  <conditionalFormatting sqref="AV3:AV16 AV106 AV26:AV43 AV94:AV103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{CC4CDE36-38D5-4B2B-BCC1-D41DAA8FE107}</x14:id>
        </ext>
      </extLst>
    </cfRule>
  </conditionalFormatting>
  <conditionalFormatting sqref="AW106:AX106 AW3:AX16 AW26:AX43 AW94:AX103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{36EBCB53-3A05-4B58-9700-DD7AA88899F5}</x14:id>
        </ext>
      </extLst>
    </cfRule>
  </conditionalFormatting>
  <conditionalFormatting sqref="AZ3:AZ16 AZ106 AZ112 AZ26:AZ43 AZ94:AZ10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{CFEC1055-DCA3-4F12-A611-6E9308ADF546}</x14:id>
        </ext>
      </extLst>
    </cfRule>
  </conditionalFormatting>
  <conditionalFormatting sqref="AZ115:AZ12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{14A1C4D7-3230-4F74-AEA1-1B5CD341E803}</x14:id>
        </ext>
      </extLst>
    </cfRule>
  </conditionalFormatting>
  <conditionalFormatting sqref="AV115:AV12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{48D9F73D-4154-4FDB-AC5C-A7D25F18C83A}</x14:id>
        </ext>
      </extLst>
    </cfRule>
  </conditionalFormatting>
  <conditionalFormatting sqref="AW115:AX12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{41CE1450-82DD-4E6E-A36B-0733BB4A5F4F}</x14:id>
        </ext>
      </extLst>
    </cfRule>
  </conditionalFormatting>
  <conditionalFormatting sqref="M115:M122">
    <cfRule type="cellIs" dxfId="47" priority="24" operator="greaterThan">
      <formula>120</formula>
    </cfRule>
  </conditionalFormatting>
  <conditionalFormatting sqref="AA107:AC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{E06B4A3C-F2AB-44AD-BE6F-217D25753A6C}</x14:id>
        </ext>
      </extLst>
    </cfRule>
  </conditionalFormatting>
  <conditionalFormatting sqref="AA115:AC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{E264F89B-85CB-41D2-86F7-F300DD1089DF}</x14:id>
        </ext>
      </extLst>
    </cfRule>
  </conditionalFormatting>
  <conditionalFormatting sqref="AC115:AC122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{F471D5C3-0F7A-4D60-A46B-2B52DA50810D}</x14:id>
        </ext>
      </extLst>
    </cfRule>
  </conditionalFormatting>
  <conditionalFormatting sqref="AO106 AO123 AO112 AO3:AO104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{5ABB4D02-11A4-4F41-B88A-51283698E1E6}</x14:id>
        </ext>
      </extLst>
    </cfRule>
  </conditionalFormatting>
  <conditionalFormatting sqref="AO106 AO112 AO3:AO10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{8D9BBE8F-1069-44B4-81DC-036E374773F8}</x14:id>
        </ext>
      </extLst>
    </cfRule>
  </conditionalFormatting>
  <conditionalFormatting sqref="AO107:AO111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{1C48A63E-1400-4098-BAE1-3AA8D02DEBCD}</x14:id>
        </ext>
      </extLst>
    </cfRule>
  </conditionalFormatting>
  <conditionalFormatting sqref="AO107:AO11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{4AB3B966-C820-4A7C-81F8-60577D010448}</x14:id>
        </ext>
      </extLst>
    </cfRule>
  </conditionalFormatting>
  <conditionalFormatting sqref="AO115:AO12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{3318FF44-0F63-4B9A-BD89-29AE59FD5AC9}</x14:id>
        </ext>
      </extLst>
    </cfRule>
  </conditionalFormatting>
  <conditionalFormatting sqref="AO115:AO122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{9EA7889E-2918-40E9-AB92-139B2D0BF4F4}</x14:id>
        </ext>
      </extLst>
    </cfRule>
  </conditionalFormatting>
  <conditionalFormatting sqref="S123">
    <cfRule type="cellIs" dxfId="46" priority="13" operator="greaterThan">
      <formula>120</formula>
    </cfRule>
  </conditionalFormatting>
  <conditionalFormatting sqref="T123">
    <cfRule type="cellIs" dxfId="45" priority="12" operator="greaterThan">
      <formula>120</formula>
    </cfRule>
  </conditionalFormatting>
  <conditionalFormatting sqref="V123">
    <cfRule type="cellIs" dxfId="44" priority="11" operator="greaterThan">
      <formula>120</formula>
    </cfRule>
  </conditionalFormatting>
  <conditionalFormatting sqref="W123">
    <cfRule type="cellIs" dxfId="43" priority="10" operator="greaterThan">
      <formula>120</formula>
    </cfRule>
  </conditionalFormatting>
  <conditionalFormatting sqref="AE123">
    <cfRule type="cellIs" dxfId="42" priority="9" operator="greaterThan">
      <formula>120</formula>
    </cfRule>
  </conditionalFormatting>
  <conditionalFormatting sqref="AG123">
    <cfRule type="cellIs" dxfId="41" priority="8" operator="greaterThan">
      <formula>120</formula>
    </cfRule>
  </conditionalFormatting>
  <conditionalFormatting sqref="AH123">
    <cfRule type="cellIs" dxfId="40" priority="7" operator="greaterThan">
      <formula>120</formula>
    </cfRule>
  </conditionalFormatting>
  <conditionalFormatting sqref="AI123">
    <cfRule type="cellIs" dxfId="39" priority="6" operator="greaterThan">
      <formula>120</formula>
    </cfRule>
  </conditionalFormatting>
  <conditionalFormatting sqref="AJ123">
    <cfRule type="cellIs" dxfId="38" priority="5" operator="greaterThan">
      <formula>120</formula>
    </cfRule>
  </conditionalFormatting>
  <conditionalFormatting sqref="AK123">
    <cfRule type="cellIs" dxfId="37" priority="4" operator="greaterThan">
      <formula>120</formula>
    </cfRule>
  </conditionalFormatting>
  <conditionalFormatting sqref="AM123">
    <cfRule type="cellIs" dxfId="36" priority="3" operator="greaterThan">
      <formula>120</formula>
    </cfRule>
  </conditionalFormatting>
  <conditionalFormatting sqref="AO1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{D3D6AF57-8798-4797-8578-0FAC119E8931}</x14:id>
        </ext>
      </extLst>
    </cfRule>
  </conditionalFormatting>
  <conditionalFormatting sqref="AO1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{3E5BB836-DF7A-4D46-B601-6DCB8C72A930}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6813C0-906A-4291-9BF9-B660E9788A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51F4AD2D-D242-4152-BB21-D6BCECCB4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AC106 AC112 AC3:AC104</xm:sqref>
        </x14:conditionalFormatting>
        <x14:conditionalFormatting xmlns:xm="http://schemas.microsoft.com/office/excel/2006/main">
          <x14:cfRule type="dataBar" id="{77ED9978-4049-43DF-8768-527657585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8A319FF2-24EF-4218-BEDF-A95F97F2D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0FA119D1-EC81-47F0-9A0A-E2FC9FB6AF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FA90437-FC26-4327-B5BB-2F982FD567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052581-9E7C-4A91-9F11-63F19C3C5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ACB0635C-B1C2-4CF9-A645-B6E231FD79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CB633F7B-B5EB-4897-BAC6-61AFD16304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090C2778-E5AD-4138-92CC-FE4713DDAA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9C72386-76B9-4680-95CF-D7C960349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A5A9E4BD-2B0B-4DB3-A09B-B80DC65C18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3A6E984-5705-443D-B443-41D0726C2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B67F0CB-255A-4713-A93E-9AD0DD89C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C4CDE36-38D5-4B2B-BCC1-D41DAA8FE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6EBCB53-3A05-4B58-9700-DD7AA88899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CFEC1055-DCA3-4F12-A611-6E9308ADF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4A1C4D7-3230-4F74-AEA1-1B5CD341E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8D9F73D-4154-4FDB-AC5C-A7D25F18C8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41CE1450-82DD-4E6E-A36B-0733BB4A5F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E06B4A3C-F2AB-44AD-BE6F-217D25753A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E264F89B-85CB-41D2-86F7-F300DD108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F471D5C3-0F7A-4D60-A46B-2B52DA508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5ABB4D02-11A4-4F41-B88A-51283698E1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8D9BBE8F-1069-44B4-81DC-036E374773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1C48A63E-1400-4098-BAE1-3AA8D02DEB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4AB3B966-C820-4A7C-81F8-60577D010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318FF44-0F63-4B9A-BD89-29AE59FD5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EA7889E-2918-40E9-AB92-139B2D0BF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3D6AF57-8798-4797-8578-0FAC119E89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3E5BB836-DF7A-4D46-B601-6DCB8C72A9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4970-2E8D-4440-A04C-C1C36053836B}">
  <dimension ref="A1:AZ129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281</v>
      </c>
      <c r="B1" s="73"/>
      <c r="C1" s="72"/>
      <c r="D1" s="72"/>
      <c r="E1" s="222"/>
      <c r="F1" s="539" t="s">
        <v>42</v>
      </c>
      <c r="G1" s="539"/>
      <c r="H1" s="539"/>
      <c r="I1" s="540" t="s">
        <v>115</v>
      </c>
      <c r="J1" s="541"/>
      <c r="M1" s="223" t="s">
        <v>43</v>
      </c>
      <c r="N1" s="539" t="s">
        <v>116</v>
      </c>
      <c r="O1" s="539"/>
      <c r="P1" s="539"/>
      <c r="R1" s="224"/>
      <c r="S1" s="542"/>
      <c r="T1" s="542"/>
      <c r="U1" s="224"/>
      <c r="V1" s="543"/>
      <c r="W1" s="544"/>
      <c r="X1" s="224"/>
      <c r="Y1" s="542"/>
      <c r="Z1" s="542"/>
      <c r="AA1" s="224"/>
      <c r="AB1" s="224"/>
      <c r="AC1" s="224"/>
      <c r="AD1" s="224"/>
      <c r="AE1" s="225"/>
      <c r="AF1" s="224"/>
      <c r="AG1" s="225"/>
      <c r="AH1" s="535"/>
      <c r="AI1" s="535"/>
      <c r="AJ1" s="283" t="s">
        <v>248</v>
      </c>
      <c r="AK1" s="221"/>
      <c r="AL1" s="226" t="s">
        <v>44</v>
      </c>
      <c r="AM1" s="225"/>
      <c r="AQ1" s="536" t="s">
        <v>45</v>
      </c>
      <c r="AR1" s="537"/>
      <c r="AS1" s="537"/>
      <c r="AT1" s="537"/>
      <c r="AU1" s="537"/>
      <c r="AV1" s="537"/>
      <c r="AW1" s="537"/>
      <c r="AX1" s="538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286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4185</v>
      </c>
      <c r="F3" s="93">
        <v>112</v>
      </c>
      <c r="G3" s="93">
        <v>24</v>
      </c>
      <c r="H3" s="93">
        <v>738</v>
      </c>
      <c r="I3" s="93">
        <v>1</v>
      </c>
      <c r="J3" s="93">
        <v>3310</v>
      </c>
      <c r="K3" s="92">
        <v>142.97999999999999</v>
      </c>
      <c r="L3" s="92">
        <f t="shared" ref="L3" si="0">E3*K3</f>
        <v>598371.29999999993</v>
      </c>
      <c r="M3" s="89">
        <v>69</v>
      </c>
      <c r="N3" s="89">
        <v>167</v>
      </c>
      <c r="O3" s="89">
        <v>1478</v>
      </c>
      <c r="P3" s="89">
        <v>65</v>
      </c>
      <c r="Q3" s="233">
        <f>N3/7</f>
        <v>23.857142857142858</v>
      </c>
      <c r="R3" s="92">
        <f>U3/7</f>
        <v>15</v>
      </c>
      <c r="S3" s="93">
        <v>108</v>
      </c>
      <c r="T3" s="93">
        <v>-3</v>
      </c>
      <c r="U3" s="92">
        <f t="shared" ref="U3" si="1">S3+T3</f>
        <v>105</v>
      </c>
      <c r="V3" s="93">
        <v>97320.38</v>
      </c>
      <c r="W3" s="93">
        <v>-2766</v>
      </c>
      <c r="X3" s="92">
        <f t="shared" ref="X3" si="2">V3+W3</f>
        <v>94554.38</v>
      </c>
      <c r="Y3" s="93">
        <v>154790.94000000006</v>
      </c>
      <c r="Z3" s="93">
        <v>-4368</v>
      </c>
      <c r="AA3" s="92">
        <f>Y3+Z3</f>
        <v>150422.94000000006</v>
      </c>
      <c r="AB3" s="92">
        <f>N3*O3*P3/100</f>
        <v>160436.9</v>
      </c>
      <c r="AC3" s="234">
        <f t="shared" ref="AC3" si="3">AA3/$AA$126</f>
        <v>5.3617529725147564E-2</v>
      </c>
      <c r="AD3" s="92">
        <f t="shared" ref="AD3" si="4">U3*K3</f>
        <v>15012.9</v>
      </c>
      <c r="AE3" s="93">
        <v>56677.82000000008</v>
      </c>
      <c r="AF3" s="234">
        <f t="shared" ref="AF3" si="5">IF(AA3=0,0,AE3/AA3)</f>
        <v>0.37678973699091411</v>
      </c>
      <c r="AG3" s="93">
        <v>12016.999999999989</v>
      </c>
      <c r="AH3" s="93">
        <v>33840</v>
      </c>
      <c r="AI3" s="93">
        <v>7853</v>
      </c>
      <c r="AJ3" s="93"/>
      <c r="AK3" s="93"/>
      <c r="AL3" s="122">
        <f t="shared" ref="AL3:AL34" si="6">IFERROR($AL$126*H3/$H$126,0)</f>
        <v>492.46894052776685</v>
      </c>
      <c r="AM3" s="93">
        <v>0</v>
      </c>
      <c r="AN3" s="94">
        <f>X3*5.71%</f>
        <v>5399.0550979999998</v>
      </c>
      <c r="AO3" s="95">
        <f>AA3-AD3-AE3-AG3-AH3-AI3-AK3-AL3-AN3-AM3</f>
        <v>19130.695961472233</v>
      </c>
      <c r="AP3" s="96"/>
      <c r="AQ3" s="97">
        <f t="shared" ref="AQ3:AQ97" si="7">IF(U3=0,0,AA3/U3)</f>
        <v>1432.5994285714291</v>
      </c>
      <c r="AR3" s="98">
        <f t="shared" ref="AR3:AR19" si="8">K3</f>
        <v>142.97999999999999</v>
      </c>
      <c r="AS3" s="98">
        <f t="shared" ref="AS3:AS97" si="9">IF(U3=0,0,AE3/U3)</f>
        <v>539.78876190476262</v>
      </c>
      <c r="AT3" s="98">
        <f t="shared" ref="AT3:AT97" si="10">IF(S3=0,AG3/1,AG3/S3)</f>
        <v>111.26851851851842</v>
      </c>
      <c r="AU3" s="98">
        <f>IF(S3=0,0,(AH3+AI3+AJ3)/S3)</f>
        <v>386.0462962962963</v>
      </c>
      <c r="AV3" s="98">
        <f>_xlfn.IFS(U3=0,AO3,U3&lt;0,AO3/-U3,U3&gt;0,AO3/U3)</f>
        <v>182.19710439497365</v>
      </c>
      <c r="AW3" s="234">
        <f t="shared" ref="AW3" si="11">IF(AQ3=0,0,AV3/AQ3)</f>
        <v>0.12717937810198515</v>
      </c>
      <c r="AX3" s="234">
        <f t="shared" ref="AX3" si="12">IF(AR3=0,0,AV3/AR3)</f>
        <v>1.2742838466566908</v>
      </c>
      <c r="AY3" s="99"/>
      <c r="AZ3" s="94">
        <f t="shared" ref="AZ3:AZ97" si="13">AV3*E3</f>
        <v>762494.88189296471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7571</v>
      </c>
      <c r="F4" s="93">
        <v>448</v>
      </c>
      <c r="G4" s="93">
        <v>102</v>
      </c>
      <c r="H4" s="93">
        <v>1385</v>
      </c>
      <c r="I4" s="93">
        <v>0</v>
      </c>
      <c r="J4" s="93">
        <v>5636</v>
      </c>
      <c r="K4" s="92">
        <v>123.09</v>
      </c>
      <c r="L4" s="92">
        <f>E4*K4</f>
        <v>931914.39</v>
      </c>
      <c r="M4" s="89">
        <v>8</v>
      </c>
      <c r="N4" s="89">
        <v>724</v>
      </c>
      <c r="O4" s="89">
        <v>1228</v>
      </c>
      <c r="P4" s="89">
        <v>68</v>
      </c>
      <c r="Q4" s="233">
        <f t="shared" ref="Q4:Q67" si="14">N4/7</f>
        <v>103.42857142857143</v>
      </c>
      <c r="R4" s="92">
        <f t="shared" ref="R4:R67" si="15">U4/7</f>
        <v>77.285714285714292</v>
      </c>
      <c r="S4" s="93">
        <v>552</v>
      </c>
      <c r="T4" s="93">
        <v>-11</v>
      </c>
      <c r="U4" s="92">
        <f t="shared" ref="U4:U67" si="16">S4+T4</f>
        <v>541</v>
      </c>
      <c r="V4" s="93">
        <v>396666.31999999989</v>
      </c>
      <c r="W4" s="93">
        <v>-7634.77</v>
      </c>
      <c r="X4" s="92">
        <f t="shared" ref="X4:X67" si="17">V4+W4</f>
        <v>389031.54999999987</v>
      </c>
      <c r="Y4" s="93">
        <v>624283.68000000028</v>
      </c>
      <c r="Z4" s="93">
        <v>-11368.26</v>
      </c>
      <c r="AA4" s="92">
        <f t="shared" ref="AA4:AA67" si="18">Y4+Z4</f>
        <v>612915.42000000027</v>
      </c>
      <c r="AB4" s="92">
        <f t="shared" ref="AB4:AB67" si="19">N4*O4*P4/100</f>
        <v>604568.96</v>
      </c>
      <c r="AC4" s="234">
        <f t="shared" ref="AC4:AC67" si="20">AA4/$AA$126</f>
        <v>0.21847073824545182</v>
      </c>
      <c r="AD4" s="92">
        <f t="shared" ref="AD4:AD67" si="21">U4*K4</f>
        <v>66591.69</v>
      </c>
      <c r="AE4" s="93">
        <v>229993.12000000043</v>
      </c>
      <c r="AF4" s="234">
        <f t="shared" ref="AF4:AF67" si="22">IF(AA4=0,0,AE4/AA4)</f>
        <v>0.37524446684666596</v>
      </c>
      <c r="AG4" s="93">
        <v>52213.610000000132</v>
      </c>
      <c r="AH4" s="93">
        <v>2000</v>
      </c>
      <c r="AI4" s="93">
        <v>5787</v>
      </c>
      <c r="AJ4" s="93"/>
      <c r="AK4" s="93"/>
      <c r="AL4" s="122">
        <f t="shared" si="6"/>
        <v>924.21339109885787</v>
      </c>
      <c r="AM4" s="93">
        <v>10</v>
      </c>
      <c r="AN4" s="94">
        <f t="shared" ref="AN4:AN67" si="23">X4*5.71%</f>
        <v>22213.701504999994</v>
      </c>
      <c r="AO4" s="95">
        <f>AA4-AD4-AE4-AG4-AH4-AI4-AK4-AL4-AN4-AM4</f>
        <v>233182.08510390078</v>
      </c>
      <c r="AP4" s="96"/>
      <c r="AQ4" s="97">
        <f t="shared" si="7"/>
        <v>1132.9305360443627</v>
      </c>
      <c r="AR4" s="98">
        <f t="shared" si="8"/>
        <v>123.09</v>
      </c>
      <c r="AS4" s="98">
        <f t="shared" si="9"/>
        <v>425.12591497227436</v>
      </c>
      <c r="AT4" s="98">
        <f t="shared" si="10"/>
        <v>94.589873188406031</v>
      </c>
      <c r="AU4" s="98">
        <f t="shared" ref="AU4:AU70" si="24">IF(S4=0,0,(AH4+AI4+AJ4)/S4)</f>
        <v>14.106884057971014</v>
      </c>
      <c r="AV4" s="98">
        <f t="array" ref="AV4">_xlfn.IFS(U4=0,AO4,U4&lt;0,AO4/-U4,U4&gt;0,AO4/U4)</f>
        <v>431.02049002569458</v>
      </c>
      <c r="AW4" s="234">
        <f>IF(AQ4=0,0,AV4/AQ4)</f>
        <v>0.38044741165738771</v>
      </c>
      <c r="AX4" s="234">
        <f>IF(AR4=0,0,AV4/AR4)</f>
        <v>3.5016694290819284</v>
      </c>
      <c r="AY4" s="99"/>
      <c r="AZ4" s="94">
        <f t="shared" si="13"/>
        <v>3263256.1299845339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5500</v>
      </c>
      <c r="F5" s="93">
        <v>123</v>
      </c>
      <c r="G5" s="93">
        <v>18</v>
      </c>
      <c r="H5" s="93">
        <v>616</v>
      </c>
      <c r="I5" s="93">
        <v>0</v>
      </c>
      <c r="J5" s="93">
        <v>4743</v>
      </c>
      <c r="K5" s="92">
        <v>123.09</v>
      </c>
      <c r="L5" s="92">
        <f>E5*K5</f>
        <v>676995</v>
      </c>
      <c r="M5" s="89">
        <v>34</v>
      </c>
      <c r="N5" s="89">
        <v>183</v>
      </c>
      <c r="O5" s="89">
        <v>1209</v>
      </c>
      <c r="P5" s="89">
        <v>75</v>
      </c>
      <c r="Q5" s="233">
        <f t="shared" si="14"/>
        <v>26.142857142857142</v>
      </c>
      <c r="R5" s="92">
        <f t="shared" si="15"/>
        <v>21</v>
      </c>
      <c r="S5" s="93">
        <v>151</v>
      </c>
      <c r="T5" s="93">
        <v>-4</v>
      </c>
      <c r="U5" s="92">
        <f t="shared" si="16"/>
        <v>147</v>
      </c>
      <c r="V5" s="93">
        <v>110029.98999999996</v>
      </c>
      <c r="W5" s="93">
        <v>-2069</v>
      </c>
      <c r="X5" s="92">
        <f t="shared" si="17"/>
        <v>107960.98999999996</v>
      </c>
      <c r="Y5" s="93">
        <v>173788.62999999998</v>
      </c>
      <c r="Z5" s="93">
        <v>-3396.92</v>
      </c>
      <c r="AA5" s="92">
        <f t="shared" si="18"/>
        <v>170391.70999999996</v>
      </c>
      <c r="AB5" s="92">
        <f t="shared" si="19"/>
        <v>165935.25</v>
      </c>
      <c r="AC5" s="234">
        <f t="shared" si="20"/>
        <v>6.0735301250219663E-2</v>
      </c>
      <c r="AD5" s="92">
        <f t="shared" si="21"/>
        <v>18094.23</v>
      </c>
      <c r="AE5" s="93">
        <v>63330.300000000017</v>
      </c>
      <c r="AF5" s="234">
        <f t="shared" si="22"/>
        <v>0.37167477220576067</v>
      </c>
      <c r="AG5" s="93">
        <v>13067.259999999975</v>
      </c>
      <c r="AH5" s="93">
        <v>7376</v>
      </c>
      <c r="AI5" s="93">
        <v>2876</v>
      </c>
      <c r="AJ5" s="93"/>
      <c r="AK5" s="93"/>
      <c r="AL5" s="122">
        <f t="shared" si="6"/>
        <v>411.05808586057498</v>
      </c>
      <c r="AM5" s="93">
        <v>10</v>
      </c>
      <c r="AN5" s="94">
        <f t="shared" si="23"/>
        <v>6164.5725289999973</v>
      </c>
      <c r="AO5" s="95">
        <f t="shared" ref="AO5:AO68" si="25">AA5-AD5-AE5-AG5-AH5-AI5-AK5-AL5-AN5-AM5</f>
        <v>59062.289385139382</v>
      </c>
      <c r="AP5" s="96"/>
      <c r="AQ5" s="97">
        <f t="shared" si="7"/>
        <v>1159.1272789115644</v>
      </c>
      <c r="AR5" s="98">
        <f t="shared" si="8"/>
        <v>123.09</v>
      </c>
      <c r="AS5" s="98">
        <f t="shared" si="9"/>
        <v>430.81836734693889</v>
      </c>
      <c r="AT5" s="98">
        <f t="shared" si="10"/>
        <v>86.538145695364065</v>
      </c>
      <c r="AU5" s="98">
        <f t="shared" si="24"/>
        <v>67.894039735099341</v>
      </c>
      <c r="AV5" s="98">
        <f t="array" ref="AV5">_xlfn.IFS(U5=0,AO5,U5&lt;0,AO5/-U5,U5&gt;0,AO5/U5)</f>
        <v>401.7842815315604</v>
      </c>
      <c r="AW5" s="234">
        <f>IF(AQ5=0,0,AV5/AQ5)</f>
        <v>0.34662654295293704</v>
      </c>
      <c r="AX5" s="234">
        <f>IF(AR5=0,0,AV5/AR5)</f>
        <v>3.2641504714563361</v>
      </c>
      <c r="AY5" s="99"/>
      <c r="AZ5" s="94">
        <f t="shared" si="13"/>
        <v>2209813.5484235822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428</v>
      </c>
      <c r="F6" s="93">
        <v>96</v>
      </c>
      <c r="G6" s="93">
        <v>20</v>
      </c>
      <c r="H6" s="93">
        <v>321</v>
      </c>
      <c r="I6" s="93">
        <v>0</v>
      </c>
      <c r="J6" s="93">
        <v>-9</v>
      </c>
      <c r="K6" s="92">
        <v>123.09</v>
      </c>
      <c r="L6" s="92">
        <f t="shared" ref="L6" si="27">E6*K6</f>
        <v>52682.520000000004</v>
      </c>
      <c r="M6" s="89">
        <v>24</v>
      </c>
      <c r="N6" s="89">
        <v>156</v>
      </c>
      <c r="O6" s="89">
        <v>1105</v>
      </c>
      <c r="P6" s="89">
        <v>72</v>
      </c>
      <c r="Q6" s="233">
        <f t="shared" si="14"/>
        <v>22.285714285714285</v>
      </c>
      <c r="R6" s="92">
        <f t="shared" si="15"/>
        <v>17.285714285714285</v>
      </c>
      <c r="S6" s="93">
        <v>125</v>
      </c>
      <c r="T6" s="93">
        <v>-4</v>
      </c>
      <c r="U6" s="92">
        <f t="shared" si="16"/>
        <v>121</v>
      </c>
      <c r="V6" s="93">
        <v>83610.859999999986</v>
      </c>
      <c r="W6" s="93">
        <v>-2609</v>
      </c>
      <c r="X6" s="92">
        <f t="shared" si="17"/>
        <v>81001.859999999986</v>
      </c>
      <c r="Y6" s="93">
        <v>132996.94000000006</v>
      </c>
      <c r="Z6" s="93">
        <v>-4285</v>
      </c>
      <c r="AA6" s="92">
        <f t="shared" si="18"/>
        <v>128711.94000000006</v>
      </c>
      <c r="AB6" s="92">
        <f t="shared" si="19"/>
        <v>124113.60000000001</v>
      </c>
      <c r="AC6" s="234">
        <f t="shared" si="20"/>
        <v>4.5878748739596568E-2</v>
      </c>
      <c r="AD6" s="92">
        <f t="shared" si="21"/>
        <v>14893.890000000001</v>
      </c>
      <c r="AE6" s="93">
        <v>48321.770000000091</v>
      </c>
      <c r="AF6" s="234">
        <f t="shared" si="22"/>
        <v>0.37542569865701714</v>
      </c>
      <c r="AG6" s="93">
        <v>12313.01999999998</v>
      </c>
      <c r="AH6" s="93">
        <v>10500</v>
      </c>
      <c r="AI6" s="93">
        <v>1258</v>
      </c>
      <c r="AJ6" s="93"/>
      <c r="AK6" s="93"/>
      <c r="AL6" s="122">
        <f t="shared" si="6"/>
        <v>214.20397006695549</v>
      </c>
      <c r="AM6" s="93">
        <v>0</v>
      </c>
      <c r="AN6" s="94">
        <f t="shared" si="23"/>
        <v>4625.2062059999989</v>
      </c>
      <c r="AO6" s="95">
        <f t="shared" si="25"/>
        <v>36585.849823933037</v>
      </c>
      <c r="AP6" s="96"/>
      <c r="AQ6" s="97">
        <f t="shared" si="7"/>
        <v>1063.7350413223146</v>
      </c>
      <c r="AR6" s="98">
        <f t="shared" si="8"/>
        <v>123.09</v>
      </c>
      <c r="AS6" s="98">
        <f t="shared" si="9"/>
        <v>399.35347107438093</v>
      </c>
      <c r="AT6" s="98">
        <f t="shared" si="10"/>
        <v>98.504159999999843</v>
      </c>
      <c r="AU6" s="98">
        <f t="shared" si="24"/>
        <v>94.063999999999993</v>
      </c>
      <c r="AV6" s="98">
        <f t="array" ref="AV6">_xlfn.IFS(U6=0,AO6,U6&lt;0,AO6/-U6,U6&gt;0,AO6/U6)</f>
        <v>302.36239523911598</v>
      </c>
      <c r="AW6" s="234">
        <f t="shared" ref="AW6" si="28">IF(AQ6=0,0,AV6/AQ6)</f>
        <v>0.28424596679945169</v>
      </c>
      <c r="AX6" s="234">
        <f t="shared" ref="AX6" si="29">IF(AR6=0,0,AV6/AR6)</f>
        <v>2.4564334652621334</v>
      </c>
      <c r="AY6" s="99"/>
      <c r="AZ6" s="94">
        <f t="shared" si="13"/>
        <v>129411.10516234164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5336</v>
      </c>
      <c r="F7" s="93">
        <v>162</v>
      </c>
      <c r="G7" s="93">
        <v>34</v>
      </c>
      <c r="H7" s="93">
        <v>1090</v>
      </c>
      <c r="I7" s="93">
        <v>3</v>
      </c>
      <c r="J7" s="93">
        <v>4047</v>
      </c>
      <c r="K7" s="92">
        <v>117.24</v>
      </c>
      <c r="L7" s="92">
        <f>E7*K7</f>
        <v>625592.64</v>
      </c>
      <c r="M7" s="89">
        <v>13</v>
      </c>
      <c r="N7" s="89">
        <v>246</v>
      </c>
      <c r="O7" s="89">
        <v>1399</v>
      </c>
      <c r="P7" s="89">
        <v>64</v>
      </c>
      <c r="Q7" s="233">
        <f t="shared" si="14"/>
        <v>35.142857142857146</v>
      </c>
      <c r="R7" s="92">
        <f t="shared" si="15"/>
        <v>25.714285714285715</v>
      </c>
      <c r="S7" s="93">
        <v>186</v>
      </c>
      <c r="T7" s="93">
        <v>-6</v>
      </c>
      <c r="U7" s="92">
        <f t="shared" si="16"/>
        <v>180</v>
      </c>
      <c r="V7" s="93">
        <v>150454.06000000003</v>
      </c>
      <c r="W7" s="93">
        <v>-4474</v>
      </c>
      <c r="X7" s="92">
        <f t="shared" si="17"/>
        <v>145980.06000000003</v>
      </c>
      <c r="Y7" s="93">
        <v>240722.91999999998</v>
      </c>
      <c r="Z7" s="93">
        <v>-7029.14</v>
      </c>
      <c r="AA7" s="92">
        <f t="shared" si="18"/>
        <v>233693.77999999997</v>
      </c>
      <c r="AB7" s="92">
        <f t="shared" si="19"/>
        <v>220258.56</v>
      </c>
      <c r="AC7" s="234">
        <f t="shared" si="20"/>
        <v>8.3299018060224647E-2</v>
      </c>
      <c r="AD7" s="92">
        <f t="shared" si="21"/>
        <v>21103.200000000001</v>
      </c>
      <c r="AE7" s="93">
        <v>87712.870000000024</v>
      </c>
      <c r="AF7" s="234">
        <f t="shared" si="22"/>
        <v>0.37533249708229305</v>
      </c>
      <c r="AG7" s="93">
        <v>18798.139999999981</v>
      </c>
      <c r="AH7" s="93">
        <v>20069</v>
      </c>
      <c r="AI7" s="93">
        <v>7000</v>
      </c>
      <c r="AJ7" s="93"/>
      <c r="AK7" s="93"/>
      <c r="AL7" s="122">
        <f t="shared" si="6"/>
        <v>727.35927530523827</v>
      </c>
      <c r="AM7" s="93">
        <v>0</v>
      </c>
      <c r="AN7" s="94">
        <f t="shared" si="23"/>
        <v>8335.4614260000017</v>
      </c>
      <c r="AO7" s="95">
        <f t="shared" si="25"/>
        <v>69947.749298694718</v>
      </c>
      <c r="AP7" s="96"/>
      <c r="AQ7" s="97">
        <f t="shared" si="7"/>
        <v>1298.2987777777776</v>
      </c>
      <c r="AR7" s="98">
        <f t="shared" si="8"/>
        <v>117.24</v>
      </c>
      <c r="AS7" s="98">
        <f t="shared" si="9"/>
        <v>487.29372222222236</v>
      </c>
      <c r="AT7" s="98">
        <f t="shared" si="10"/>
        <v>101.0652688172042</v>
      </c>
      <c r="AU7" s="98">
        <f t="shared" si="24"/>
        <v>145.53225806451613</v>
      </c>
      <c r="AV7" s="98">
        <f t="array" ref="AV7">_xlfn.IFS(U7=0,AO7,U7&lt;0,AO7/-U7,U7&gt;0,AO7/U7)</f>
        <v>388.59860721497068</v>
      </c>
      <c r="AW7" s="234">
        <f>IF(AQ7=0,0,AV7/AQ7)</f>
        <v>0.29931369717540079</v>
      </c>
      <c r="AX7" s="234">
        <f>IF(AR7=0,0,AV7/AR7)</f>
        <v>3.3145565269103607</v>
      </c>
      <c r="AY7" s="99"/>
      <c r="AZ7" s="94">
        <f t="shared" si="13"/>
        <v>2073562.1680990835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410</v>
      </c>
      <c r="F8" s="93">
        <v>71</v>
      </c>
      <c r="G8" s="93">
        <v>26</v>
      </c>
      <c r="H8" s="93">
        <v>313</v>
      </c>
      <c r="I8" s="93">
        <v>0</v>
      </c>
      <c r="J8" s="93">
        <v>0</v>
      </c>
      <c r="K8" s="92">
        <v>169.89</v>
      </c>
      <c r="L8" s="92">
        <f>E8*K8</f>
        <v>69654.899999999994</v>
      </c>
      <c r="M8" s="89">
        <v>44</v>
      </c>
      <c r="N8" s="89">
        <v>87</v>
      </c>
      <c r="O8" s="89">
        <v>1456</v>
      </c>
      <c r="P8" s="89">
        <v>53</v>
      </c>
      <c r="Q8" s="233">
        <f t="shared" si="14"/>
        <v>12.428571428571429</v>
      </c>
      <c r="R8" s="92">
        <f t="shared" si="15"/>
        <v>8.8571428571428577</v>
      </c>
      <c r="S8" s="93">
        <v>63</v>
      </c>
      <c r="T8" s="93">
        <v>-1</v>
      </c>
      <c r="U8" s="92">
        <f t="shared" si="16"/>
        <v>62</v>
      </c>
      <c r="V8" s="93">
        <v>54269.81</v>
      </c>
      <c r="W8" s="93">
        <v>-787</v>
      </c>
      <c r="X8" s="92">
        <f t="shared" si="17"/>
        <v>53482.81</v>
      </c>
      <c r="Y8" s="93">
        <v>87165.549999999988</v>
      </c>
      <c r="Z8" s="93">
        <v>-1325</v>
      </c>
      <c r="AA8" s="92">
        <f t="shared" si="18"/>
        <v>85840.549999999988</v>
      </c>
      <c r="AB8" s="92">
        <f t="shared" si="19"/>
        <v>67136.160000000003</v>
      </c>
      <c r="AC8" s="234">
        <f t="shared" si="20"/>
        <v>3.0597449041004074E-2</v>
      </c>
      <c r="AD8" s="92">
        <f t="shared" si="21"/>
        <v>10533.179999999998</v>
      </c>
      <c r="AE8" s="93">
        <v>32290.699999999983</v>
      </c>
      <c r="AF8" s="234">
        <f t="shared" si="22"/>
        <v>0.37617070254093182</v>
      </c>
      <c r="AG8" s="93">
        <v>8841.2399999999907</v>
      </c>
      <c r="AH8" s="93">
        <v>9567</v>
      </c>
      <c r="AI8" s="93">
        <v>3005</v>
      </c>
      <c r="AJ8" s="93"/>
      <c r="AK8" s="93"/>
      <c r="AL8" s="122">
        <f t="shared" si="6"/>
        <v>208.8655533674675</v>
      </c>
      <c r="AM8" s="93">
        <v>0</v>
      </c>
      <c r="AN8" s="94">
        <f t="shared" si="23"/>
        <v>3053.8684509999998</v>
      </c>
      <c r="AO8" s="95">
        <f t="shared" si="25"/>
        <v>18340.695995632555</v>
      </c>
      <c r="AP8" s="96"/>
      <c r="AQ8" s="97">
        <f t="shared" si="7"/>
        <v>1384.5249999999999</v>
      </c>
      <c r="AR8" s="98">
        <f t="shared" si="8"/>
        <v>169.89</v>
      </c>
      <c r="AS8" s="98">
        <f t="shared" si="9"/>
        <v>520.81774193548358</v>
      </c>
      <c r="AT8" s="98">
        <f t="shared" si="10"/>
        <v>140.33714285714271</v>
      </c>
      <c r="AU8" s="98">
        <f t="shared" si="24"/>
        <v>199.55555555555554</v>
      </c>
      <c r="AV8" s="98">
        <f t="array" ref="AV8">_xlfn.IFS(U8=0,AO8,U8&lt;0,AO8/-U8,U8&gt;0,AO8/U8)</f>
        <v>295.81767734891218</v>
      </c>
      <c r="AW8" s="234">
        <f>IF(AQ8=0,0,AV8/AQ8)</f>
        <v>0.21366004756065235</v>
      </c>
      <c r="AX8" s="234">
        <f>IF(AR8=0,0,AV8/AR8)</f>
        <v>1.7412306630697052</v>
      </c>
      <c r="AY8" s="99"/>
      <c r="AZ8" s="94">
        <f t="shared" si="13"/>
        <v>121285.24771305399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11561</v>
      </c>
      <c r="F9" s="93">
        <v>164</v>
      </c>
      <c r="G9" s="93">
        <v>68</v>
      </c>
      <c r="H9" s="93">
        <v>897</v>
      </c>
      <c r="I9" s="93">
        <v>0</v>
      </c>
      <c r="J9" s="93">
        <v>10432</v>
      </c>
      <c r="K9" s="92">
        <v>123.09</v>
      </c>
      <c r="L9" s="92">
        <f>E9*K9</f>
        <v>1423043.49</v>
      </c>
      <c r="M9" s="89">
        <v>23</v>
      </c>
      <c r="N9" s="89">
        <v>244</v>
      </c>
      <c r="O9" s="89">
        <v>1477</v>
      </c>
      <c r="P9" s="89">
        <v>49</v>
      </c>
      <c r="Q9" s="233">
        <f t="shared" si="14"/>
        <v>34.857142857142854</v>
      </c>
      <c r="R9" s="92">
        <f t="shared" si="15"/>
        <v>19.285714285714285</v>
      </c>
      <c r="S9" s="93">
        <v>140</v>
      </c>
      <c r="T9" s="93">
        <v>-5</v>
      </c>
      <c r="U9" s="92">
        <f t="shared" si="16"/>
        <v>135</v>
      </c>
      <c r="V9" s="93">
        <v>128275.04000000002</v>
      </c>
      <c r="W9" s="93">
        <v>-4412</v>
      </c>
      <c r="X9" s="92">
        <f t="shared" si="17"/>
        <v>123863.04000000002</v>
      </c>
      <c r="Y9" s="93">
        <v>204728.83000000002</v>
      </c>
      <c r="Z9" s="93">
        <v>-7150</v>
      </c>
      <c r="AA9" s="92">
        <f t="shared" si="18"/>
        <v>197578.83000000002</v>
      </c>
      <c r="AB9" s="92">
        <f t="shared" si="19"/>
        <v>176590.12</v>
      </c>
      <c r="AC9" s="234">
        <f t="shared" si="20"/>
        <v>7.0426018734807833E-2</v>
      </c>
      <c r="AD9" s="92">
        <f t="shared" si="21"/>
        <v>16617.150000000001</v>
      </c>
      <c r="AE9" s="93">
        <v>74254.290000000037</v>
      </c>
      <c r="AF9" s="234">
        <f t="shared" si="22"/>
        <v>0.3758210836656945</v>
      </c>
      <c r="AG9" s="93">
        <v>22253.539999999983</v>
      </c>
      <c r="AH9" s="93">
        <v>21156</v>
      </c>
      <c r="AI9" s="93">
        <v>7000</v>
      </c>
      <c r="AJ9" s="93"/>
      <c r="AK9" s="93"/>
      <c r="AL9" s="122">
        <f t="shared" si="6"/>
        <v>598.56997243009062</v>
      </c>
      <c r="AM9" s="93">
        <v>0</v>
      </c>
      <c r="AN9" s="94">
        <f t="shared" si="23"/>
        <v>7072.579584000001</v>
      </c>
      <c r="AO9" s="95">
        <f t="shared" si="25"/>
        <v>48626.700443569913</v>
      </c>
      <c r="AP9" s="96"/>
      <c r="AQ9" s="97">
        <f t="shared" si="7"/>
        <v>1463.546888888889</v>
      </c>
      <c r="AR9" s="98">
        <f t="shared" si="8"/>
        <v>123.09</v>
      </c>
      <c r="AS9" s="98">
        <f t="shared" si="9"/>
        <v>550.03177777777807</v>
      </c>
      <c r="AT9" s="98">
        <f t="shared" si="10"/>
        <v>158.95385714285703</v>
      </c>
      <c r="AU9" s="98">
        <f t="shared" si="24"/>
        <v>201.11428571428573</v>
      </c>
      <c r="AV9" s="98">
        <f t="array" ref="AV9">_xlfn.IFS(U9=0,AO9,U9&lt;0,AO9/-U9,U9&gt;0,AO9/U9)</f>
        <v>360.19778106348082</v>
      </c>
      <c r="AW9" s="234">
        <f>IF(AQ9=0,0,AV9/AQ9)</f>
        <v>0.24611290816718526</v>
      </c>
      <c r="AX9" s="234">
        <f>IF(AR9=0,0,AV9/AR9)</f>
        <v>2.9262960521852368</v>
      </c>
      <c r="AY9" s="99"/>
      <c r="AZ9" s="94">
        <f t="shared" si="13"/>
        <v>4164246.5468749017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10398</v>
      </c>
      <c r="F10" s="93">
        <v>145</v>
      </c>
      <c r="G10" s="93">
        <v>38</v>
      </c>
      <c r="H10" s="93">
        <v>987</v>
      </c>
      <c r="I10" s="93">
        <v>0</v>
      </c>
      <c r="J10" s="93">
        <v>9228</v>
      </c>
      <c r="K10" s="92">
        <v>123.09</v>
      </c>
      <c r="L10" s="92">
        <f>E10*K10</f>
        <v>1279889.82</v>
      </c>
      <c r="M10" s="89">
        <v>17</v>
      </c>
      <c r="N10" s="89">
        <v>238</v>
      </c>
      <c r="O10" s="89">
        <v>1193</v>
      </c>
      <c r="P10" s="89">
        <v>65</v>
      </c>
      <c r="Q10" s="233">
        <f t="shared" si="14"/>
        <v>34</v>
      </c>
      <c r="R10" s="92">
        <f t="shared" si="15"/>
        <v>22.285714285714285</v>
      </c>
      <c r="S10" s="93">
        <v>158</v>
      </c>
      <c r="T10" s="93">
        <v>-2</v>
      </c>
      <c r="U10" s="92">
        <f t="shared" si="16"/>
        <v>156</v>
      </c>
      <c r="V10" s="93">
        <v>113141.21999999997</v>
      </c>
      <c r="W10" s="93">
        <v>-1409</v>
      </c>
      <c r="X10" s="92">
        <f t="shared" si="17"/>
        <v>111732.21999999997</v>
      </c>
      <c r="Y10" s="93">
        <v>178970.74999999997</v>
      </c>
      <c r="Z10" s="93">
        <v>-2151.6</v>
      </c>
      <c r="AA10" s="92">
        <f t="shared" si="18"/>
        <v>176819.14999999997</v>
      </c>
      <c r="AB10" s="92">
        <f t="shared" si="19"/>
        <v>184557.1</v>
      </c>
      <c r="AC10" s="234">
        <f t="shared" si="20"/>
        <v>6.3026331163985497E-2</v>
      </c>
      <c r="AD10" s="92">
        <f t="shared" si="21"/>
        <v>19202.04</v>
      </c>
      <c r="AE10" s="93">
        <v>66464.940000000031</v>
      </c>
      <c r="AF10" s="234">
        <f t="shared" si="22"/>
        <v>0.37589220398356199</v>
      </c>
      <c r="AG10" s="93">
        <v>16667.639999999967</v>
      </c>
      <c r="AH10" s="93">
        <v>22000</v>
      </c>
      <c r="AI10" s="93">
        <v>7000</v>
      </c>
      <c r="AJ10" s="93"/>
      <c r="AK10" s="93"/>
      <c r="AL10" s="122">
        <f t="shared" si="6"/>
        <v>658.6271602993304</v>
      </c>
      <c r="AM10" s="93">
        <v>10</v>
      </c>
      <c r="AN10" s="94">
        <f t="shared" si="23"/>
        <v>6379.9097619999984</v>
      </c>
      <c r="AO10" s="95">
        <f t="shared" si="25"/>
        <v>38435.99307770063</v>
      </c>
      <c r="AP10" s="96"/>
      <c r="AQ10" s="97">
        <f t="shared" si="7"/>
        <v>1133.4560897435895</v>
      </c>
      <c r="AR10" s="98">
        <f t="shared" si="8"/>
        <v>123.09</v>
      </c>
      <c r="AS10" s="98">
        <f t="shared" si="9"/>
        <v>426.05730769230792</v>
      </c>
      <c r="AT10" s="98">
        <f t="shared" si="10"/>
        <v>105.49139240506308</v>
      </c>
      <c r="AU10" s="98">
        <f t="shared" si="24"/>
        <v>183.54430379746836</v>
      </c>
      <c r="AV10" s="98">
        <f t="array" ref="AV10">_xlfn.IFS(U10=0,AO10,U10&lt;0,AO10/-U10,U10&gt;0,AO10/U10)</f>
        <v>246.38457101090148</v>
      </c>
      <c r="AW10" s="234">
        <f>IF(AQ10=0,0,AV10/AQ10)</f>
        <v>0.21737460607462847</v>
      </c>
      <c r="AX10" s="234">
        <f>IF(AR10=0,0,AV10/AR10)</f>
        <v>2.0016619628800183</v>
      </c>
      <c r="AY10" s="99"/>
      <c r="AZ10" s="94">
        <f t="shared" si="13"/>
        <v>2561906.7693713536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2813</v>
      </c>
      <c r="F11" s="93">
        <v>73</v>
      </c>
      <c r="G11" s="93">
        <v>13</v>
      </c>
      <c r="H11" s="93">
        <v>385</v>
      </c>
      <c r="I11" s="93">
        <v>0</v>
      </c>
      <c r="J11" s="93">
        <v>2342</v>
      </c>
      <c r="K11" s="92">
        <v>123.09</v>
      </c>
      <c r="L11" s="92">
        <f t="shared" ref="L11" si="31">E11*K11</f>
        <v>346252.17</v>
      </c>
      <c r="M11" s="89">
        <v>59</v>
      </c>
      <c r="N11" s="89">
        <v>117</v>
      </c>
      <c r="O11" s="89">
        <v>1217</v>
      </c>
      <c r="P11" s="89">
        <v>75</v>
      </c>
      <c r="Q11" s="233">
        <f t="shared" si="14"/>
        <v>16.714285714285715</v>
      </c>
      <c r="R11" s="92">
        <f t="shared" si="15"/>
        <v>10.857142857142858</v>
      </c>
      <c r="S11" s="93">
        <v>76</v>
      </c>
      <c r="T11" s="93">
        <v>0</v>
      </c>
      <c r="U11" s="92">
        <f t="shared" si="16"/>
        <v>76</v>
      </c>
      <c r="V11" s="93">
        <v>57586.420000000006</v>
      </c>
      <c r="W11" s="93">
        <v>0</v>
      </c>
      <c r="X11" s="92">
        <f t="shared" si="17"/>
        <v>57586.420000000006</v>
      </c>
      <c r="Y11" s="93">
        <v>91273.94</v>
      </c>
      <c r="Z11" s="93">
        <v>0</v>
      </c>
      <c r="AA11" s="92">
        <f t="shared" si="18"/>
        <v>91273.94</v>
      </c>
      <c r="AB11" s="92">
        <f t="shared" si="19"/>
        <v>106791.75</v>
      </c>
      <c r="AC11" s="234">
        <f t="shared" si="20"/>
        <v>3.2534154638124563E-2</v>
      </c>
      <c r="AD11" s="92">
        <f t="shared" si="21"/>
        <v>9354.84</v>
      </c>
      <c r="AE11" s="93">
        <v>33732.960000000014</v>
      </c>
      <c r="AF11" s="234">
        <f t="shared" si="22"/>
        <v>0.36957931256172366</v>
      </c>
      <c r="AG11" s="93">
        <v>7186.809999999994</v>
      </c>
      <c r="AH11" s="93">
        <v>4816</v>
      </c>
      <c r="AI11" s="93">
        <v>2740</v>
      </c>
      <c r="AJ11" s="93"/>
      <c r="AK11" s="93"/>
      <c r="AL11" s="122">
        <f t="shared" si="6"/>
        <v>256.91130366285938</v>
      </c>
      <c r="AM11" s="93">
        <v>0</v>
      </c>
      <c r="AN11" s="94">
        <f t="shared" si="23"/>
        <v>3288.1845820000003</v>
      </c>
      <c r="AO11" s="95">
        <f t="shared" si="25"/>
        <v>29898.234114337138</v>
      </c>
      <c r="AP11" s="96"/>
      <c r="AQ11" s="97">
        <f t="shared" si="7"/>
        <v>1200.9728947368421</v>
      </c>
      <c r="AR11" s="98">
        <f t="shared" si="8"/>
        <v>123.09</v>
      </c>
      <c r="AS11" s="98">
        <f t="shared" si="9"/>
        <v>443.85473684210547</v>
      </c>
      <c r="AT11" s="98">
        <f t="shared" si="10"/>
        <v>94.563289473684137</v>
      </c>
      <c r="AU11" s="98">
        <f t="shared" si="24"/>
        <v>99.421052631578945</v>
      </c>
      <c r="AV11" s="98">
        <f t="array" ref="AV11">_xlfn.IFS(U11=0,AO11,U11&lt;0,AO11/-U11,U11&gt;0,AO11/U11)</f>
        <v>393.39781729390972</v>
      </c>
      <c r="AW11" s="234">
        <f t="shared" ref="AW11:AW28" si="32">IF(AQ11=0,0,AV11/AQ11)</f>
        <v>0.3275659417610014</v>
      </c>
      <c r="AX11" s="234">
        <f t="shared" ref="AX11:AX28" si="33">IF(AR11=0,0,AV11/AR11)</f>
        <v>3.1960176886335989</v>
      </c>
      <c r="AY11" s="99"/>
      <c r="AZ11" s="94">
        <f t="shared" si="13"/>
        <v>1106628.0600477681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3321</v>
      </c>
      <c r="F12" s="93">
        <v>109</v>
      </c>
      <c r="G12" s="93">
        <v>35</v>
      </c>
      <c r="H12" s="93">
        <v>570</v>
      </c>
      <c r="I12" s="93">
        <v>1</v>
      </c>
      <c r="J12" s="93">
        <v>2606</v>
      </c>
      <c r="K12" s="92">
        <v>117.24</v>
      </c>
      <c r="L12" s="92">
        <f>E12*K12</f>
        <v>389354.04</v>
      </c>
      <c r="M12" s="89">
        <v>48</v>
      </c>
      <c r="N12" s="89">
        <v>158</v>
      </c>
      <c r="O12" s="89">
        <v>1319</v>
      </c>
      <c r="P12" s="89">
        <v>50</v>
      </c>
      <c r="Q12" s="233">
        <f t="shared" si="14"/>
        <v>22.571428571428573</v>
      </c>
      <c r="R12" s="92">
        <f t="shared" si="15"/>
        <v>11.285714285714286</v>
      </c>
      <c r="S12" s="93">
        <v>79</v>
      </c>
      <c r="T12" s="93">
        <v>0</v>
      </c>
      <c r="U12" s="92">
        <f t="shared" si="16"/>
        <v>79</v>
      </c>
      <c r="V12" s="93">
        <v>63249.079999999994</v>
      </c>
      <c r="W12" s="93">
        <v>0</v>
      </c>
      <c r="X12" s="92">
        <f t="shared" si="17"/>
        <v>63249.079999999994</v>
      </c>
      <c r="Y12" s="93">
        <v>100740.64</v>
      </c>
      <c r="Z12" s="93">
        <v>0</v>
      </c>
      <c r="AA12" s="92">
        <f t="shared" si="18"/>
        <v>100740.64</v>
      </c>
      <c r="AB12" s="92">
        <f t="shared" si="19"/>
        <v>104201</v>
      </c>
      <c r="AC12" s="234">
        <f t="shared" si="20"/>
        <v>3.5908514085221228E-2</v>
      </c>
      <c r="AD12" s="92">
        <f t="shared" si="21"/>
        <v>9261.9599999999991</v>
      </c>
      <c r="AE12" s="93">
        <v>37818.6</v>
      </c>
      <c r="AF12" s="234">
        <f t="shared" si="22"/>
        <v>0.37540559599383128</v>
      </c>
      <c r="AG12" s="93">
        <v>12261.959999999988</v>
      </c>
      <c r="AH12" s="93">
        <v>6697</v>
      </c>
      <c r="AI12" s="93">
        <v>2012</v>
      </c>
      <c r="AJ12" s="93"/>
      <c r="AK12" s="93"/>
      <c r="AL12" s="122">
        <f t="shared" si="6"/>
        <v>380.3621898385191</v>
      </c>
      <c r="AM12" s="93">
        <v>10</v>
      </c>
      <c r="AN12" s="94">
        <f t="shared" si="23"/>
        <v>3611.5224679999997</v>
      </c>
      <c r="AO12" s="95">
        <f t="shared" si="25"/>
        <v>28687.23534216149</v>
      </c>
      <c r="AP12" s="96"/>
      <c r="AQ12" s="97">
        <f t="shared" si="7"/>
        <v>1275.1979746835443</v>
      </c>
      <c r="AR12" s="98">
        <f t="shared" si="8"/>
        <v>117.24</v>
      </c>
      <c r="AS12" s="98">
        <f t="shared" si="9"/>
        <v>478.7164556962025</v>
      </c>
      <c r="AT12" s="98">
        <f t="shared" si="10"/>
        <v>155.21468354430365</v>
      </c>
      <c r="AU12" s="98">
        <f t="shared" si="24"/>
        <v>110.24050632911393</v>
      </c>
      <c r="AV12" s="98">
        <f t="array" ref="AV12">_xlfn.IFS(U12=0,AO12,U12&lt;0,AO12/-U12,U12&gt;0,AO12/U12)</f>
        <v>363.12956129318343</v>
      </c>
      <c r="AW12" s="234">
        <f t="shared" si="32"/>
        <v>0.28476328264503276</v>
      </c>
      <c r="AX12" s="234">
        <f t="shared" si="33"/>
        <v>3.0973179912417557</v>
      </c>
      <c r="AY12" s="99"/>
      <c r="AZ12" s="94">
        <f t="shared" si="13"/>
        <v>1205953.2730546622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4212</v>
      </c>
      <c r="F13" s="93">
        <v>155</v>
      </c>
      <c r="G13" s="93">
        <v>38</v>
      </c>
      <c r="H13" s="93">
        <v>473</v>
      </c>
      <c r="I13" s="93">
        <v>1</v>
      </c>
      <c r="J13" s="93">
        <v>3545</v>
      </c>
      <c r="K13" s="92">
        <v>123.09</v>
      </c>
      <c r="L13" s="92">
        <f t="shared" ref="L13:L28" si="34">E13*K13</f>
        <v>518455.08</v>
      </c>
      <c r="M13" s="89">
        <v>38</v>
      </c>
      <c r="N13" s="89">
        <v>234</v>
      </c>
      <c r="O13" s="89">
        <v>1482</v>
      </c>
      <c r="P13" s="89">
        <v>52</v>
      </c>
      <c r="Q13" s="233">
        <f t="shared" si="14"/>
        <v>33.428571428571431</v>
      </c>
      <c r="R13" s="92">
        <f t="shared" si="15"/>
        <v>17.428571428571427</v>
      </c>
      <c r="S13" s="93">
        <v>126</v>
      </c>
      <c r="T13" s="93">
        <v>-4</v>
      </c>
      <c r="U13" s="92">
        <f t="shared" si="16"/>
        <v>122</v>
      </c>
      <c r="V13" s="93">
        <v>114324.19</v>
      </c>
      <c r="W13" s="93">
        <v>-3696</v>
      </c>
      <c r="X13" s="92">
        <f t="shared" si="17"/>
        <v>110628.19</v>
      </c>
      <c r="Y13" s="93">
        <v>181123.09999999998</v>
      </c>
      <c r="Z13" s="93">
        <v>-5616</v>
      </c>
      <c r="AA13" s="92">
        <f t="shared" si="18"/>
        <v>175507.09999999998</v>
      </c>
      <c r="AB13" s="92">
        <f t="shared" si="19"/>
        <v>180329.76</v>
      </c>
      <c r="AC13" s="234">
        <f t="shared" si="20"/>
        <v>6.2558657284749519E-2</v>
      </c>
      <c r="AD13" s="92">
        <f t="shared" si="21"/>
        <v>15016.98</v>
      </c>
      <c r="AE13" s="93">
        <v>65802.28999999995</v>
      </c>
      <c r="AF13" s="234">
        <f t="shared" si="22"/>
        <v>0.37492665538887004</v>
      </c>
      <c r="AG13" s="93">
        <v>18008.319999999985</v>
      </c>
      <c r="AH13" s="93">
        <v>21500</v>
      </c>
      <c r="AI13" s="93">
        <v>8284</v>
      </c>
      <c r="AJ13" s="93"/>
      <c r="AK13" s="93"/>
      <c r="AL13" s="122">
        <f t="shared" si="6"/>
        <v>315.63388735722725</v>
      </c>
      <c r="AM13" s="93">
        <v>1322.11</v>
      </c>
      <c r="AN13" s="94">
        <f t="shared" si="23"/>
        <v>6316.8696490000002</v>
      </c>
      <c r="AO13" s="95">
        <f t="shared" si="25"/>
        <v>38940.896463642814</v>
      </c>
      <c r="AP13" s="96"/>
      <c r="AQ13" s="97">
        <f t="shared" si="7"/>
        <v>1438.5827868852457</v>
      </c>
      <c r="AR13" s="98">
        <f t="shared" si="8"/>
        <v>123.09</v>
      </c>
      <c r="AS13" s="98">
        <f t="shared" si="9"/>
        <v>539.36303278688479</v>
      </c>
      <c r="AT13" s="98">
        <f t="shared" si="10"/>
        <v>142.92317460317449</v>
      </c>
      <c r="AU13" s="98">
        <f t="shared" si="24"/>
        <v>236.38095238095238</v>
      </c>
      <c r="AV13" s="98">
        <f t="array" ref="AV13">_xlfn.IFS(U13=0,AO13,U13&lt;0,AO13/-U13,U13&gt;0,AO13/U13)</f>
        <v>319.18767593149846</v>
      </c>
      <c r="AW13" s="234">
        <f t="shared" si="32"/>
        <v>0.22187647373606434</v>
      </c>
      <c r="AX13" s="234">
        <f t="shared" si="33"/>
        <v>2.5931243474815049</v>
      </c>
      <c r="AY13" s="99"/>
      <c r="AZ13" s="94">
        <f t="shared" si="13"/>
        <v>1344418.4910234716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2990</v>
      </c>
      <c r="F14" s="93">
        <v>41</v>
      </c>
      <c r="G14" s="93">
        <v>12</v>
      </c>
      <c r="H14" s="93">
        <v>431</v>
      </c>
      <c r="I14" s="93">
        <v>2</v>
      </c>
      <c r="J14" s="93">
        <v>2504</v>
      </c>
      <c r="K14" s="92">
        <v>123.09</v>
      </c>
      <c r="L14" s="92">
        <f t="shared" si="34"/>
        <v>368039.10000000003</v>
      </c>
      <c r="M14" s="89">
        <v>87</v>
      </c>
      <c r="N14" s="89">
        <v>69</v>
      </c>
      <c r="O14" s="89">
        <v>1139</v>
      </c>
      <c r="P14" s="89">
        <v>69</v>
      </c>
      <c r="Q14" s="233">
        <f t="shared" si="14"/>
        <v>9.8571428571428577</v>
      </c>
      <c r="R14" s="92">
        <f t="shared" si="15"/>
        <v>5.5714285714285712</v>
      </c>
      <c r="S14" s="93">
        <v>39</v>
      </c>
      <c r="T14" s="93">
        <v>0</v>
      </c>
      <c r="U14" s="92">
        <f t="shared" si="16"/>
        <v>39</v>
      </c>
      <c r="V14" s="93">
        <v>26814.41</v>
      </c>
      <c r="W14" s="93">
        <v>0</v>
      </c>
      <c r="X14" s="92">
        <f t="shared" si="17"/>
        <v>26814.41</v>
      </c>
      <c r="Y14" s="93">
        <v>43159.549999999996</v>
      </c>
      <c r="Z14" s="93">
        <v>0</v>
      </c>
      <c r="AA14" s="92">
        <f t="shared" si="18"/>
        <v>43159.549999999996</v>
      </c>
      <c r="AB14" s="92">
        <f t="shared" si="19"/>
        <v>54227.79</v>
      </c>
      <c r="AC14" s="234">
        <f t="shared" si="20"/>
        <v>1.5384012937448181E-2</v>
      </c>
      <c r="AD14" s="92">
        <f t="shared" si="21"/>
        <v>4800.51</v>
      </c>
      <c r="AE14" s="93">
        <v>16242.199999999997</v>
      </c>
      <c r="AF14" s="234">
        <f t="shared" si="22"/>
        <v>0.3763292249339949</v>
      </c>
      <c r="AG14" s="93">
        <v>4819.2099999999991</v>
      </c>
      <c r="AH14" s="93">
        <v>2894</v>
      </c>
      <c r="AI14" s="93">
        <v>1564</v>
      </c>
      <c r="AJ14" s="93"/>
      <c r="AK14" s="93"/>
      <c r="AL14" s="122">
        <f t="shared" si="6"/>
        <v>287.60719968491532</v>
      </c>
      <c r="AM14" s="93">
        <v>0</v>
      </c>
      <c r="AN14" s="94">
        <f t="shared" si="23"/>
        <v>1531.102811</v>
      </c>
      <c r="AO14" s="95">
        <f t="shared" si="25"/>
        <v>11020.919989315082</v>
      </c>
      <c r="AP14" s="96"/>
      <c r="AQ14" s="97">
        <f t="shared" si="7"/>
        <v>1106.655128205128</v>
      </c>
      <c r="AR14" s="98">
        <f t="shared" si="8"/>
        <v>123.09</v>
      </c>
      <c r="AS14" s="98">
        <f t="shared" si="9"/>
        <v>416.46666666666658</v>
      </c>
      <c r="AT14" s="98">
        <f t="shared" si="10"/>
        <v>123.56948717948715</v>
      </c>
      <c r="AU14" s="98">
        <f t="shared" si="24"/>
        <v>114.30769230769231</v>
      </c>
      <c r="AV14" s="98">
        <f t="array" ref="AV14">_xlfn.IFS(U14=0,AO14,U14&lt;0,AO14/-U14,U14&gt;0,AO14/U14)</f>
        <v>282.58769203372003</v>
      </c>
      <c r="AW14" s="234">
        <f t="shared" si="32"/>
        <v>0.25535298651897631</v>
      </c>
      <c r="AX14" s="234">
        <f t="shared" si="33"/>
        <v>2.2957810710351776</v>
      </c>
      <c r="AY14" s="99"/>
      <c r="AZ14" s="94">
        <f t="shared" si="13"/>
        <v>844937.19918082294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938</v>
      </c>
      <c r="F15" s="93">
        <v>25</v>
      </c>
      <c r="G15" s="93">
        <v>3</v>
      </c>
      <c r="H15" s="93">
        <v>546</v>
      </c>
      <c r="I15" s="93">
        <v>0</v>
      </c>
      <c r="J15" s="93">
        <v>364</v>
      </c>
      <c r="K15" s="92">
        <v>123.09</v>
      </c>
      <c r="L15" s="92">
        <f t="shared" si="34"/>
        <v>115458.42</v>
      </c>
      <c r="M15" s="89">
        <v>143</v>
      </c>
      <c r="N15" s="89">
        <v>43</v>
      </c>
      <c r="O15" s="89">
        <v>1139</v>
      </c>
      <c r="P15" s="89">
        <v>59</v>
      </c>
      <c r="Q15" s="233">
        <f t="shared" si="14"/>
        <v>6.1428571428571432</v>
      </c>
      <c r="R15" s="92">
        <f t="shared" si="15"/>
        <v>4</v>
      </c>
      <c r="S15" s="93">
        <v>28</v>
      </c>
      <c r="T15" s="93">
        <v>0</v>
      </c>
      <c r="U15" s="92">
        <f t="shared" si="16"/>
        <v>28</v>
      </c>
      <c r="V15" s="93">
        <v>18900</v>
      </c>
      <c r="W15" s="93">
        <v>0</v>
      </c>
      <c r="X15" s="92">
        <f t="shared" si="17"/>
        <v>18900</v>
      </c>
      <c r="Y15" s="93">
        <v>30594</v>
      </c>
      <c r="Z15" s="93">
        <v>0</v>
      </c>
      <c r="AA15" s="92">
        <f t="shared" si="18"/>
        <v>30594</v>
      </c>
      <c r="AB15" s="92">
        <f t="shared" si="19"/>
        <v>28896.43</v>
      </c>
      <c r="AC15" s="234">
        <f t="shared" si="20"/>
        <v>1.0905083389615731E-2</v>
      </c>
      <c r="AD15" s="92">
        <f t="shared" si="21"/>
        <v>3446.52</v>
      </c>
      <c r="AE15" s="93">
        <v>11457.069999999996</v>
      </c>
      <c r="AF15" s="234">
        <f t="shared" si="22"/>
        <v>0.37448748120546499</v>
      </c>
      <c r="AG15" s="93">
        <v>2537.8499999999995</v>
      </c>
      <c r="AH15" s="93">
        <v>857</v>
      </c>
      <c r="AI15" s="93">
        <v>2049</v>
      </c>
      <c r="AJ15" s="93"/>
      <c r="AK15" s="93"/>
      <c r="AL15" s="122">
        <f t="shared" si="6"/>
        <v>364.34693974005512</v>
      </c>
      <c r="AM15" s="93">
        <v>0</v>
      </c>
      <c r="AN15" s="94">
        <f t="shared" si="23"/>
        <v>1079.19</v>
      </c>
      <c r="AO15" s="95">
        <f t="shared" si="25"/>
        <v>8803.0230602599495</v>
      </c>
      <c r="AP15" s="96"/>
      <c r="AQ15" s="97">
        <f t="shared" si="7"/>
        <v>1092.6428571428571</v>
      </c>
      <c r="AR15" s="98">
        <f t="shared" si="8"/>
        <v>123.09</v>
      </c>
      <c r="AS15" s="98">
        <f t="shared" si="9"/>
        <v>409.18107142857127</v>
      </c>
      <c r="AT15" s="98">
        <f t="shared" si="10"/>
        <v>90.637499999999974</v>
      </c>
      <c r="AU15" s="98">
        <f t="shared" si="24"/>
        <v>103.78571428571429</v>
      </c>
      <c r="AV15" s="98">
        <f t="array" ref="AV15">_xlfn.IFS(U15=0,AO15,U15&lt;0,AO15/-U15,U15&gt;0,AO15/U15)</f>
        <v>314.39368072356962</v>
      </c>
      <c r="AW15" s="234">
        <f t="shared" si="32"/>
        <v>0.28773691116754752</v>
      </c>
      <c r="AX15" s="234">
        <f t="shared" si="33"/>
        <v>2.5541772745435827</v>
      </c>
      <c r="AY15" s="99"/>
      <c r="AZ15" s="94">
        <f t="shared" si="13"/>
        <v>294901.27251870831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3437</v>
      </c>
      <c r="F16" s="93">
        <v>133</v>
      </c>
      <c r="G16" s="93">
        <v>23</v>
      </c>
      <c r="H16" s="93">
        <v>253</v>
      </c>
      <c r="I16" s="93">
        <v>2</v>
      </c>
      <c r="J16" s="93">
        <v>3026</v>
      </c>
      <c r="K16" s="92">
        <v>117.24</v>
      </c>
      <c r="L16" s="92">
        <f t="shared" si="34"/>
        <v>402953.88</v>
      </c>
      <c r="M16" s="89">
        <v>23</v>
      </c>
      <c r="N16" s="89">
        <v>195</v>
      </c>
      <c r="O16" s="89">
        <v>1122</v>
      </c>
      <c r="P16" s="89">
        <v>72</v>
      </c>
      <c r="Q16" s="233">
        <f t="shared" si="14"/>
        <v>27.857142857142858</v>
      </c>
      <c r="R16" s="92">
        <f t="shared" si="15"/>
        <v>14</v>
      </c>
      <c r="S16" s="93">
        <v>99</v>
      </c>
      <c r="T16" s="93">
        <v>-1</v>
      </c>
      <c r="U16" s="92">
        <f t="shared" si="16"/>
        <v>98</v>
      </c>
      <c r="V16" s="93">
        <v>67470.700000000012</v>
      </c>
      <c r="W16" s="93">
        <v>-725</v>
      </c>
      <c r="X16" s="92">
        <f t="shared" si="17"/>
        <v>66745.700000000012</v>
      </c>
      <c r="Y16" s="93">
        <v>106387.88</v>
      </c>
      <c r="Z16" s="93">
        <v>-926</v>
      </c>
      <c r="AA16" s="92">
        <f t="shared" si="18"/>
        <v>105461.88</v>
      </c>
      <c r="AB16" s="92">
        <f t="shared" si="19"/>
        <v>157528.79999999999</v>
      </c>
      <c r="AC16" s="234">
        <f t="shared" si="20"/>
        <v>3.7591377257816812E-2</v>
      </c>
      <c r="AD16" s="92">
        <f t="shared" si="21"/>
        <v>11489.519999999999</v>
      </c>
      <c r="AE16" s="93">
        <v>39522.94999999999</v>
      </c>
      <c r="AF16" s="234">
        <f t="shared" si="22"/>
        <v>0.37476052958661449</v>
      </c>
      <c r="AG16" s="93">
        <v>10725.339999999987</v>
      </c>
      <c r="AH16" s="93">
        <v>5956</v>
      </c>
      <c r="AI16" s="93">
        <v>2572</v>
      </c>
      <c r="AJ16" s="93"/>
      <c r="AK16" s="93"/>
      <c r="AL16" s="122">
        <f t="shared" si="6"/>
        <v>168.82742812130758</v>
      </c>
      <c r="AM16" s="93">
        <v>0</v>
      </c>
      <c r="AN16" s="94">
        <f t="shared" si="23"/>
        <v>3811.1794700000005</v>
      </c>
      <c r="AO16" s="95">
        <f t="shared" si="25"/>
        <v>31216.063101878713</v>
      </c>
      <c r="AP16" s="96"/>
      <c r="AQ16" s="97">
        <f t="shared" si="7"/>
        <v>1076.1416326530614</v>
      </c>
      <c r="AR16" s="98">
        <f t="shared" si="8"/>
        <v>117.24</v>
      </c>
      <c r="AS16" s="98">
        <f t="shared" si="9"/>
        <v>403.29540816326522</v>
      </c>
      <c r="AT16" s="98">
        <f t="shared" si="10"/>
        <v>108.33676767676755</v>
      </c>
      <c r="AU16" s="98">
        <f t="shared" si="24"/>
        <v>86.141414141414145</v>
      </c>
      <c r="AV16" s="98">
        <f t="array" ref="AV16">_xlfn.IFS(U16=0,AO16,U16&lt;0,AO16/-U16,U16&gt;0,AO16/U16)</f>
        <v>318.53125614161951</v>
      </c>
      <c r="AW16" s="234">
        <f t="shared" si="32"/>
        <v>0.29599380460388824</v>
      </c>
      <c r="AX16" s="234">
        <f t="shared" si="33"/>
        <v>2.7169162072809581</v>
      </c>
      <c r="AY16" s="99"/>
      <c r="AZ16" s="94">
        <f t="shared" si="13"/>
        <v>1094791.9273587463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2270</v>
      </c>
      <c r="F17" s="93">
        <v>30</v>
      </c>
      <c r="G17" s="93">
        <v>11</v>
      </c>
      <c r="H17" s="93">
        <v>231</v>
      </c>
      <c r="I17" s="93">
        <v>1</v>
      </c>
      <c r="J17" s="93">
        <v>1997</v>
      </c>
      <c r="K17" s="93">
        <v>123.09</v>
      </c>
      <c r="L17" s="92">
        <f t="shared" si="34"/>
        <v>279414.3</v>
      </c>
      <c r="M17" s="89">
        <v>20</v>
      </c>
      <c r="N17" s="89">
        <v>45</v>
      </c>
      <c r="O17" s="89">
        <v>1475</v>
      </c>
      <c r="P17" s="89">
        <v>38</v>
      </c>
      <c r="Q17" s="233">
        <f t="shared" si="14"/>
        <v>6.4285714285714288</v>
      </c>
      <c r="R17" s="92">
        <f t="shared" si="15"/>
        <v>3.4285714285714284</v>
      </c>
      <c r="S17" s="93">
        <v>25</v>
      </c>
      <c r="T17" s="93">
        <v>-1</v>
      </c>
      <c r="U17" s="92">
        <f t="shared" si="16"/>
        <v>24</v>
      </c>
      <c r="V17" s="93">
        <v>23082.229999999996</v>
      </c>
      <c r="W17" s="93">
        <v>-947</v>
      </c>
      <c r="X17" s="92">
        <f t="shared" si="17"/>
        <v>22135.229999999996</v>
      </c>
      <c r="Y17" s="93">
        <v>34930.71</v>
      </c>
      <c r="Z17" s="93">
        <v>-1480</v>
      </c>
      <c r="AA17" s="92">
        <f t="shared" si="18"/>
        <v>33450.71</v>
      </c>
      <c r="AB17" s="92">
        <f t="shared" si="19"/>
        <v>25222.5</v>
      </c>
      <c r="AC17" s="234">
        <f t="shared" si="20"/>
        <v>1.1923343858006565E-2</v>
      </c>
      <c r="AD17" s="92">
        <f t="shared" si="21"/>
        <v>2954.16</v>
      </c>
      <c r="AE17" s="93">
        <v>12503.939999999999</v>
      </c>
      <c r="AF17" s="234">
        <f t="shared" si="22"/>
        <v>0.37380193125945604</v>
      </c>
      <c r="AG17" s="93">
        <v>4133.74</v>
      </c>
      <c r="AH17" s="93">
        <v>3617</v>
      </c>
      <c r="AI17" s="93">
        <v>850</v>
      </c>
      <c r="AJ17" s="93"/>
      <c r="AK17" s="93"/>
      <c r="AL17" s="122">
        <f t="shared" si="6"/>
        <v>154.14678219771562</v>
      </c>
      <c r="AM17" s="93">
        <v>0</v>
      </c>
      <c r="AN17" s="94">
        <f t="shared" si="23"/>
        <v>1263.9216329999997</v>
      </c>
      <c r="AO17" s="95">
        <f t="shared" si="25"/>
        <v>7973.801584802286</v>
      </c>
      <c r="AP17" s="96"/>
      <c r="AQ17" s="97">
        <f t="shared" si="7"/>
        <v>1393.7795833333332</v>
      </c>
      <c r="AR17" s="98">
        <f t="shared" si="8"/>
        <v>123.09</v>
      </c>
      <c r="AS17" s="98">
        <f t="shared" si="9"/>
        <v>520.99749999999995</v>
      </c>
      <c r="AT17" s="98">
        <f t="shared" si="10"/>
        <v>165.34959999999998</v>
      </c>
      <c r="AU17" s="98">
        <f t="shared" si="24"/>
        <v>178.68</v>
      </c>
      <c r="AV17" s="98">
        <f t="array" ref="AV17">_xlfn.IFS(U17=0,AO17,U17&lt;0,AO17/-U17,U17&gt;0,AO17/U17)</f>
        <v>332.24173270009527</v>
      </c>
      <c r="AW17" s="234">
        <f t="shared" si="32"/>
        <v>0.23837465885783252</v>
      </c>
      <c r="AX17" s="234">
        <f t="shared" si="33"/>
        <v>2.6991772906011477</v>
      </c>
      <c r="AY17" s="99"/>
      <c r="AZ17" s="94">
        <f t="shared" si="13"/>
        <v>754188.7332292163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2139</v>
      </c>
      <c r="F18" s="93">
        <v>74</v>
      </c>
      <c r="G18" s="93">
        <v>24</v>
      </c>
      <c r="H18" s="93">
        <v>240</v>
      </c>
      <c r="I18" s="93">
        <v>2</v>
      </c>
      <c r="J18" s="93">
        <v>1799</v>
      </c>
      <c r="K18" s="93">
        <v>123.09</v>
      </c>
      <c r="L18" s="92">
        <f t="shared" si="34"/>
        <v>263289.51</v>
      </c>
      <c r="M18" s="89">
        <v>38</v>
      </c>
      <c r="N18" s="89">
        <v>119</v>
      </c>
      <c r="O18" s="89">
        <v>1422</v>
      </c>
      <c r="P18" s="89">
        <v>49</v>
      </c>
      <c r="Q18" s="233">
        <f t="shared" si="14"/>
        <v>17</v>
      </c>
      <c r="R18" s="92">
        <f t="shared" si="15"/>
        <v>8.5714285714285712</v>
      </c>
      <c r="S18" s="93">
        <v>62</v>
      </c>
      <c r="T18" s="93">
        <v>-2</v>
      </c>
      <c r="U18" s="92">
        <f t="shared" si="16"/>
        <v>60</v>
      </c>
      <c r="V18" s="93">
        <v>53842.58</v>
      </c>
      <c r="W18" s="93">
        <v>-1636</v>
      </c>
      <c r="X18" s="92">
        <f t="shared" si="17"/>
        <v>52206.58</v>
      </c>
      <c r="Y18" s="93">
        <v>85241.050000000017</v>
      </c>
      <c r="Z18" s="93">
        <v>-2672</v>
      </c>
      <c r="AA18" s="92">
        <f t="shared" si="18"/>
        <v>82569.050000000017</v>
      </c>
      <c r="AB18" s="92">
        <f t="shared" si="19"/>
        <v>82916.820000000007</v>
      </c>
      <c r="AC18" s="234">
        <f t="shared" si="20"/>
        <v>2.9431338682465551E-2</v>
      </c>
      <c r="AD18" s="92">
        <f t="shared" si="21"/>
        <v>7385.4000000000005</v>
      </c>
      <c r="AE18" s="93">
        <v>31004.170000000016</v>
      </c>
      <c r="AF18" s="234">
        <f t="shared" si="22"/>
        <v>0.37549384424309118</v>
      </c>
      <c r="AG18" s="93">
        <v>9194.5299999999952</v>
      </c>
      <c r="AH18" s="93">
        <v>9736</v>
      </c>
      <c r="AI18" s="93">
        <v>1186</v>
      </c>
      <c r="AJ18" s="93"/>
      <c r="AK18" s="93"/>
      <c r="AL18" s="122">
        <f t="shared" si="6"/>
        <v>160.15250098463963</v>
      </c>
      <c r="AM18" s="93">
        <v>0</v>
      </c>
      <c r="AN18" s="94">
        <f t="shared" si="23"/>
        <v>2980.9957180000001</v>
      </c>
      <c r="AO18" s="95">
        <f t="shared" si="25"/>
        <v>20921.801781015369</v>
      </c>
      <c r="AP18" s="96"/>
      <c r="AQ18" s="97">
        <f t="shared" si="7"/>
        <v>1376.1508333333336</v>
      </c>
      <c r="AR18" s="98">
        <f t="shared" si="8"/>
        <v>123.09</v>
      </c>
      <c r="AS18" s="98">
        <f t="shared" si="9"/>
        <v>516.73616666666692</v>
      </c>
      <c r="AT18" s="98">
        <f t="shared" si="10"/>
        <v>148.29887096774186</v>
      </c>
      <c r="AU18" s="98">
        <f t="shared" si="24"/>
        <v>176.16129032258064</v>
      </c>
      <c r="AV18" s="98">
        <f t="array" ref="AV18">_xlfn.IFS(U18=0,AO18,U18&lt;0,AO18/-U18,U18&gt;0,AO18/U18)</f>
        <v>348.69669635025616</v>
      </c>
      <c r="AW18" s="234">
        <f t="shared" si="32"/>
        <v>0.25338552134262615</v>
      </c>
      <c r="AX18" s="234">
        <f t="shared" si="33"/>
        <v>2.8328596665062649</v>
      </c>
      <c r="AY18" s="99"/>
      <c r="AZ18" s="94">
        <f t="shared" si="13"/>
        <v>745862.23349319794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6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28</v>
      </c>
      <c r="N21" s="89">
        <v>1</v>
      </c>
      <c r="O21" s="89">
        <v>838</v>
      </c>
      <c r="P21" s="89">
        <v>0</v>
      </c>
      <c r="Q21" s="233">
        <f t="shared" si="14"/>
        <v>0.14285714285714285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79.58</v>
      </c>
      <c r="AH21" s="93"/>
      <c r="AI21" s="93"/>
      <c r="AJ21" s="93"/>
      <c r="AK21" s="93"/>
      <c r="AL21" s="122">
        <f t="shared" si="6"/>
        <v>0</v>
      </c>
      <c r="AM21" s="93">
        <v>0</v>
      </c>
      <c r="AN21" s="94">
        <f t="shared" si="23"/>
        <v>0</v>
      </c>
      <c r="AO21" s="95">
        <f t="shared" si="25"/>
        <v>-79.58</v>
      </c>
      <c r="AP21" s="96"/>
      <c r="AQ21" s="97">
        <f t="shared" si="7"/>
        <v>0</v>
      </c>
      <c r="AR21" s="98">
        <f t="shared" ref="AR21:AR98" si="35">K21</f>
        <v>117.24</v>
      </c>
      <c r="AS21" s="98">
        <f t="shared" si="9"/>
        <v>0</v>
      </c>
      <c r="AT21" s="98">
        <f t="shared" si="10"/>
        <v>79.58</v>
      </c>
      <c r="AU21" s="98">
        <f t="shared" si="24"/>
        <v>0</v>
      </c>
      <c r="AV21" s="98">
        <f t="array" ref="AV21">_xlfn.IFS(U21=0,AO21,U21&lt;0,AO21/-U21,U21&gt;0,AO21/U21)</f>
        <v>-79.58</v>
      </c>
      <c r="AW21" s="234">
        <f t="shared" si="32"/>
        <v>0</v>
      </c>
      <c r="AX21" s="234">
        <f t="shared" si="33"/>
        <v>-0.67877857386557494</v>
      </c>
      <c r="AY21" s="99"/>
      <c r="AZ21" s="94">
        <f t="shared" si="13"/>
        <v>-25624.76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322</v>
      </c>
      <c r="F22" s="93">
        <v>1</v>
      </c>
      <c r="G22" s="93" t="s">
        <v>100</v>
      </c>
      <c r="H22" s="93" t="s">
        <v>100</v>
      </c>
      <c r="I22" s="93">
        <v>1</v>
      </c>
      <c r="J22" s="93">
        <v>320</v>
      </c>
      <c r="K22" s="93">
        <v>117.24</v>
      </c>
      <c r="L22" s="92">
        <f t="shared" si="34"/>
        <v>37751.279999999999</v>
      </c>
      <c r="M22" s="89">
        <v>13</v>
      </c>
      <c r="N22" s="89">
        <v>1</v>
      </c>
      <c r="O22" s="89">
        <v>838</v>
      </c>
      <c r="P22" s="89">
        <v>0</v>
      </c>
      <c r="Q22" s="233">
        <f t="shared" si="14"/>
        <v>0.14285714285714285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6"/>
        <v>0</v>
      </c>
      <c r="AM22" s="93">
        <v>0</v>
      </c>
      <c r="AN22" s="94">
        <f t="shared" si="23"/>
        <v>0</v>
      </c>
      <c r="AO22" s="95">
        <f t="shared" si="25"/>
        <v>0</v>
      </c>
      <c r="AP22" s="96"/>
      <c r="AQ22" s="97">
        <f t="shared" si="7"/>
        <v>0</v>
      </c>
      <c r="AR22" s="98">
        <f t="shared" si="35"/>
        <v>117.24</v>
      </c>
      <c r="AS22" s="98">
        <f t="shared" si="9"/>
        <v>0</v>
      </c>
      <c r="AT22" s="98">
        <f t="shared" si="10"/>
        <v>0</v>
      </c>
      <c r="AU22" s="98">
        <f t="shared" si="24"/>
        <v>0</v>
      </c>
      <c r="AV22" s="98">
        <f t="array" ref="AV22">_xlfn.IFS(U22=0,AO22,U22&lt;0,AO22/-U22,U22&gt;0,AO22/U22)</f>
        <v>0</v>
      </c>
      <c r="AW22" s="234">
        <f t="shared" si="32"/>
        <v>0</v>
      </c>
      <c r="AX22" s="234">
        <f t="shared" si="33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5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912</v>
      </c>
      <c r="F26" s="93">
        <v>117</v>
      </c>
      <c r="G26" s="93">
        <v>34</v>
      </c>
      <c r="H26" s="93">
        <v>285</v>
      </c>
      <c r="I26" s="93">
        <v>476</v>
      </c>
      <c r="J26" s="93">
        <v>0</v>
      </c>
      <c r="K26" s="93">
        <v>123.09</v>
      </c>
      <c r="L26" s="92">
        <f t="shared" si="34"/>
        <v>112258.08</v>
      </c>
      <c r="M26" s="89">
        <v>36</v>
      </c>
      <c r="N26" s="89">
        <v>147</v>
      </c>
      <c r="O26" s="89">
        <v>699</v>
      </c>
      <c r="P26" s="89">
        <v>35</v>
      </c>
      <c r="Q26" s="233">
        <f t="shared" si="14"/>
        <v>21</v>
      </c>
      <c r="R26" s="92">
        <f t="shared" si="15"/>
        <v>5.2857142857142856</v>
      </c>
      <c r="S26" s="93">
        <v>39</v>
      </c>
      <c r="T26" s="93">
        <v>-2</v>
      </c>
      <c r="U26" s="92">
        <f t="shared" si="16"/>
        <v>37</v>
      </c>
      <c r="V26" s="93">
        <v>17913.900000000001</v>
      </c>
      <c r="W26" s="93">
        <v>-931</v>
      </c>
      <c r="X26" s="92">
        <f t="shared" si="17"/>
        <v>16982.900000000001</v>
      </c>
      <c r="Y26" s="93">
        <v>27260.16</v>
      </c>
      <c r="Z26" s="93">
        <v>-1398</v>
      </c>
      <c r="AA26" s="92">
        <f t="shared" si="18"/>
        <v>25862.16</v>
      </c>
      <c r="AB26" s="92">
        <f t="shared" si="19"/>
        <v>35963.550000000003</v>
      </c>
      <c r="AC26" s="234">
        <f t="shared" si="20"/>
        <v>9.2184418982671247E-3</v>
      </c>
      <c r="AD26" s="92">
        <f t="shared" si="21"/>
        <v>4554.33</v>
      </c>
      <c r="AE26" s="93">
        <v>9753.7199999999993</v>
      </c>
      <c r="AF26" s="234">
        <f t="shared" si="22"/>
        <v>0.37714251245835612</v>
      </c>
      <c r="AG26" s="93">
        <v>10042.769999999993</v>
      </c>
      <c r="AH26" s="93">
        <v>6500</v>
      </c>
      <c r="AI26" s="93">
        <v>1127</v>
      </c>
      <c r="AJ26" s="93"/>
      <c r="AK26" s="93"/>
      <c r="AL26" s="122">
        <f t="shared" si="6"/>
        <v>190.18109491925955</v>
      </c>
      <c r="AM26" s="93">
        <v>0</v>
      </c>
      <c r="AN26" s="94">
        <f t="shared" si="23"/>
        <v>969.72359000000006</v>
      </c>
      <c r="AO26" s="95">
        <f t="shared" si="25"/>
        <v>-7275.5646849192508</v>
      </c>
      <c r="AP26" s="96"/>
      <c r="AQ26" s="97">
        <f t="shared" si="7"/>
        <v>698.97729729729724</v>
      </c>
      <c r="AR26" s="98">
        <f t="shared" si="35"/>
        <v>123.09</v>
      </c>
      <c r="AS26" s="98">
        <f t="shared" si="9"/>
        <v>263.61405405405401</v>
      </c>
      <c r="AT26" s="98">
        <f t="shared" si="10"/>
        <v>257.50692307692287</v>
      </c>
      <c r="AU26" s="98">
        <f t="shared" si="24"/>
        <v>195.56410256410257</v>
      </c>
      <c r="AV26" s="98">
        <f t="array" ref="AV26">_xlfn.IFS(U26=0,AO26,U26&lt;0,AO26/-U26,U26&gt;0,AO26/U26)</f>
        <v>-196.63688337619595</v>
      </c>
      <c r="AW26" s="234">
        <f t="shared" si="32"/>
        <v>-0.28132084423417264</v>
      </c>
      <c r="AX26" s="234">
        <f t="shared" si="33"/>
        <v>-1.597504942531448</v>
      </c>
      <c r="AY26" s="99"/>
      <c r="AZ26" s="94">
        <f t="shared" si="13"/>
        <v>-179332.83763909072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369</v>
      </c>
      <c r="F27" s="93">
        <v>14</v>
      </c>
      <c r="G27" s="93">
        <v>1</v>
      </c>
      <c r="H27" s="93">
        <v>34</v>
      </c>
      <c r="I27" s="93">
        <v>320</v>
      </c>
      <c r="J27" s="93">
        <v>0</v>
      </c>
      <c r="K27" s="93">
        <v>181.59</v>
      </c>
      <c r="L27" s="92">
        <f t="shared" si="34"/>
        <v>67006.710000000006</v>
      </c>
      <c r="M27" s="89">
        <v>40</v>
      </c>
      <c r="N27" s="89">
        <v>21</v>
      </c>
      <c r="O27" s="89">
        <v>478</v>
      </c>
      <c r="P27" s="89">
        <v>71</v>
      </c>
      <c r="Q27" s="233">
        <f t="shared" si="14"/>
        <v>3</v>
      </c>
      <c r="R27" s="92">
        <f t="shared" si="15"/>
        <v>1.2857142857142858</v>
      </c>
      <c r="S27" s="93">
        <v>9</v>
      </c>
      <c r="T27" s="93">
        <v>0</v>
      </c>
      <c r="U27" s="92">
        <f t="shared" si="16"/>
        <v>9</v>
      </c>
      <c r="V27" s="93">
        <v>2600.91</v>
      </c>
      <c r="W27" s="93">
        <v>0</v>
      </c>
      <c r="X27" s="92">
        <f t="shared" si="17"/>
        <v>2600.91</v>
      </c>
      <c r="Y27" s="93">
        <v>4302.3</v>
      </c>
      <c r="Z27" s="93">
        <v>0</v>
      </c>
      <c r="AA27" s="92">
        <f t="shared" si="18"/>
        <v>4302.3</v>
      </c>
      <c r="AB27" s="92">
        <f t="shared" si="19"/>
        <v>7126.98</v>
      </c>
      <c r="AC27" s="234">
        <f t="shared" si="20"/>
        <v>1.5335340350115633E-3</v>
      </c>
      <c r="AD27" s="92">
        <f t="shared" si="21"/>
        <v>1634.31</v>
      </c>
      <c r="AE27" s="93">
        <v>1611.1799999999998</v>
      </c>
      <c r="AF27" s="234">
        <f t="shared" si="22"/>
        <v>0.37449271319991628</v>
      </c>
      <c r="AG27" s="93">
        <v>823.43</v>
      </c>
      <c r="AH27" s="93"/>
      <c r="AI27" s="93"/>
      <c r="AJ27" s="93"/>
      <c r="AK27" s="93"/>
      <c r="AL27" s="122">
        <f t="shared" si="6"/>
        <v>22.688270972823943</v>
      </c>
      <c r="AM27" s="93">
        <v>0</v>
      </c>
      <c r="AN27" s="94">
        <f t="shared" si="23"/>
        <v>148.51196099999999</v>
      </c>
      <c r="AO27" s="95">
        <f t="shared" si="25"/>
        <v>62.179768027176522</v>
      </c>
      <c r="AP27" s="96"/>
      <c r="AQ27" s="97">
        <f t="shared" si="7"/>
        <v>478.03333333333336</v>
      </c>
      <c r="AR27" s="98">
        <f t="shared" si="35"/>
        <v>181.59</v>
      </c>
      <c r="AS27" s="98">
        <f t="shared" si="9"/>
        <v>179.01999999999998</v>
      </c>
      <c r="AT27" s="98">
        <f t="shared" si="10"/>
        <v>91.49222222222221</v>
      </c>
      <c r="AU27" s="98">
        <f t="shared" si="24"/>
        <v>0</v>
      </c>
      <c r="AV27" s="98">
        <f t="array" ref="AV27">_xlfn.IFS(U27=0,AO27,U27&lt;0,AO27/-U27,U27&gt;0,AO27/U27)</f>
        <v>6.9088631141307246</v>
      </c>
      <c r="AW27" s="234">
        <f t="shared" si="32"/>
        <v>1.445268066549904E-2</v>
      </c>
      <c r="AX27" s="234">
        <f t="shared" si="33"/>
        <v>3.8046495479545812E-2</v>
      </c>
      <c r="AY27" s="99"/>
      <c r="AZ27" s="94">
        <f t="shared" si="13"/>
        <v>2549.3704891142374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1384</v>
      </c>
      <c r="F28" s="93">
        <v>189</v>
      </c>
      <c r="G28" s="93">
        <v>64</v>
      </c>
      <c r="H28" s="93">
        <v>586</v>
      </c>
      <c r="I28" s="93">
        <v>0</v>
      </c>
      <c r="J28" s="93">
        <v>545</v>
      </c>
      <c r="K28" s="93">
        <v>133.62</v>
      </c>
      <c r="L28" s="92">
        <f t="shared" si="34"/>
        <v>184930.08000000002</v>
      </c>
      <c r="M28" s="89">
        <v>36</v>
      </c>
      <c r="N28" s="89">
        <v>252</v>
      </c>
      <c r="O28" s="89">
        <v>1295</v>
      </c>
      <c r="P28" s="89">
        <v>37</v>
      </c>
      <c r="Q28" s="233">
        <f t="shared" si="14"/>
        <v>36</v>
      </c>
      <c r="R28" s="92">
        <f t="shared" si="15"/>
        <v>12.428571428571429</v>
      </c>
      <c r="S28" s="93">
        <v>91</v>
      </c>
      <c r="T28" s="93">
        <v>-4</v>
      </c>
      <c r="U28" s="92">
        <f t="shared" si="16"/>
        <v>87</v>
      </c>
      <c r="V28" s="93">
        <v>68934.73</v>
      </c>
      <c r="W28" s="93">
        <v>-2770</v>
      </c>
      <c r="X28" s="92">
        <f t="shared" si="17"/>
        <v>66164.73</v>
      </c>
      <c r="Y28" s="93">
        <v>110667.09999999999</v>
      </c>
      <c r="Z28" s="93">
        <v>-4544</v>
      </c>
      <c r="AA28" s="92">
        <f t="shared" si="18"/>
        <v>106123.09999999999</v>
      </c>
      <c r="AB28" s="92">
        <f t="shared" si="19"/>
        <v>120745.8</v>
      </c>
      <c r="AC28" s="234">
        <f t="shared" si="20"/>
        <v>3.7827065930068939E-2</v>
      </c>
      <c r="AD28" s="92">
        <f t="shared" si="21"/>
        <v>11624.94</v>
      </c>
      <c r="AE28" s="93">
        <v>39472.22</v>
      </c>
      <c r="AF28" s="234">
        <f t="shared" si="22"/>
        <v>0.37194748362986008</v>
      </c>
      <c r="AG28" s="93">
        <v>20244.389999999981</v>
      </c>
      <c r="AH28" s="93">
        <v>11000</v>
      </c>
      <c r="AI28" s="93">
        <v>4000</v>
      </c>
      <c r="AJ28" s="93"/>
      <c r="AK28" s="93"/>
      <c r="AL28" s="122">
        <f t="shared" si="6"/>
        <v>391.03902323749503</v>
      </c>
      <c r="AM28" s="93">
        <v>10</v>
      </c>
      <c r="AN28" s="94">
        <f t="shared" si="23"/>
        <v>3778.0060829999998</v>
      </c>
      <c r="AO28" s="95">
        <f t="shared" si="25"/>
        <v>15602.504893762507</v>
      </c>
      <c r="AP28" s="96"/>
      <c r="AQ28" s="97">
        <f t="shared" si="7"/>
        <v>1219.8057471264367</v>
      </c>
      <c r="AR28" s="98">
        <f t="shared" si="35"/>
        <v>133.62</v>
      </c>
      <c r="AS28" s="98">
        <f t="shared" si="9"/>
        <v>453.70367816091954</v>
      </c>
      <c r="AT28" s="98">
        <f t="shared" si="10"/>
        <v>222.46582417582397</v>
      </c>
      <c r="AU28" s="98">
        <f t="shared" si="24"/>
        <v>164.83516483516485</v>
      </c>
      <c r="AV28" s="98">
        <f>_xlfn.IFS(U28=0,AO28,U28&lt;0,AO28/-U28,U28&gt;0,AO28/U28)</f>
        <v>179.33913670991387</v>
      </c>
      <c r="AW28" s="234">
        <f t="shared" si="32"/>
        <v>0.14702270187887942</v>
      </c>
      <c r="AX28" s="234">
        <f t="shared" si="33"/>
        <v>1.3421578858697341</v>
      </c>
      <c r="AY28" s="99"/>
      <c r="AZ28" s="94">
        <f t="shared" si="13"/>
        <v>248205.3652065208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>
        <v>1</v>
      </c>
      <c r="G30" s="93" t="s">
        <v>100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2</v>
      </c>
      <c r="O30" s="89">
        <v>558</v>
      </c>
      <c r="P30" s="89">
        <v>0</v>
      </c>
      <c r="Q30" s="233">
        <f t="shared" si="14"/>
        <v>0.2857142857142857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97.32</v>
      </c>
      <c r="AH30" s="93"/>
      <c r="AI30" s="93">
        <v>34</v>
      </c>
      <c r="AJ30" s="93">
        <v>26</v>
      </c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-131.32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97.32</v>
      </c>
      <c r="AU30" s="98">
        <f t="shared" si="24"/>
        <v>0</v>
      </c>
      <c r="AV30" s="98">
        <f t="array" ref="AV30">_xlfn.IFS(U30=0,AO30,U30&lt;0,AO30/-U30,U30&gt;0,AO30/U30)</f>
        <v>-131.32</v>
      </c>
      <c r="AW30" s="234">
        <f>IF(AQ30=0,0,AV30/AQ30)</f>
        <v>0</v>
      </c>
      <c r="AX30" s="234">
        <f>IF(AR30=0,0,AV30/AR30)</f>
        <v>-1.1789209085196157</v>
      </c>
      <c r="AY30" s="99"/>
      <c r="AZ30" s="94">
        <f t="shared" si="13"/>
        <v>-131.32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>
        <v>1</v>
      </c>
      <c r="G31" s="93" t="s">
        <v>100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105.54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160</v>
      </c>
      <c r="F33" s="93">
        <v>3</v>
      </c>
      <c r="G33" s="93">
        <v>1</v>
      </c>
      <c r="H33" s="93">
        <v>136</v>
      </c>
      <c r="I33" s="93">
        <v>20</v>
      </c>
      <c r="J33" s="93">
        <v>0</v>
      </c>
      <c r="K33" s="93">
        <v>123.09</v>
      </c>
      <c r="L33" s="92">
        <f>E33*K33</f>
        <v>19694.400000000001</v>
      </c>
      <c r="M33" s="89">
        <v>228</v>
      </c>
      <c r="N33" s="89">
        <v>3</v>
      </c>
      <c r="O33" s="89">
        <v>2325</v>
      </c>
      <c r="P33" s="89">
        <v>0</v>
      </c>
      <c r="Q33" s="233">
        <f t="shared" si="14"/>
        <v>0.42857142857142855</v>
      </c>
      <c r="R33" s="92">
        <f t="shared" si="15"/>
        <v>0.2857142857142857</v>
      </c>
      <c r="S33" s="93">
        <v>2</v>
      </c>
      <c r="T33" s="93">
        <v>0</v>
      </c>
      <c r="U33" s="92">
        <f t="shared" si="16"/>
        <v>2</v>
      </c>
      <c r="V33" s="93">
        <v>2914</v>
      </c>
      <c r="W33" s="93">
        <v>0</v>
      </c>
      <c r="X33" s="92">
        <f t="shared" si="17"/>
        <v>2914</v>
      </c>
      <c r="Y33" s="93">
        <v>4716</v>
      </c>
      <c r="Z33" s="93">
        <v>0</v>
      </c>
      <c r="AA33" s="92">
        <f t="shared" si="18"/>
        <v>4716</v>
      </c>
      <c r="AB33" s="92">
        <f t="shared" si="19"/>
        <v>0</v>
      </c>
      <c r="AC33" s="234">
        <f t="shared" si="20"/>
        <v>1.680995399928999E-3</v>
      </c>
      <c r="AD33" s="92">
        <f t="shared" si="21"/>
        <v>246.18</v>
      </c>
      <c r="AE33" s="93">
        <v>1778.96</v>
      </c>
      <c r="AF33" s="234">
        <f t="shared" si="22"/>
        <v>0.37721798134011875</v>
      </c>
      <c r="AG33" s="93">
        <v>183.10999999999999</v>
      </c>
      <c r="AH33" s="93">
        <v>894</v>
      </c>
      <c r="AI33" s="93"/>
      <c r="AJ33" s="93"/>
      <c r="AK33" s="93"/>
      <c r="AL33" s="122">
        <f t="shared" si="6"/>
        <v>90.753083891295773</v>
      </c>
      <c r="AM33" s="93">
        <v>0</v>
      </c>
      <c r="AN33" s="94">
        <f t="shared" si="23"/>
        <v>166.38939999999999</v>
      </c>
      <c r="AO33" s="95">
        <f t="shared" si="25"/>
        <v>1356.6075161087037</v>
      </c>
      <c r="AP33" s="96"/>
      <c r="AQ33" s="97">
        <f t="shared" si="7"/>
        <v>2358</v>
      </c>
      <c r="AR33" s="98">
        <f t="shared" si="35"/>
        <v>123.09</v>
      </c>
      <c r="AS33" s="98">
        <f t="shared" si="9"/>
        <v>889.48</v>
      </c>
      <c r="AT33" s="98">
        <f t="shared" si="10"/>
        <v>91.554999999999993</v>
      </c>
      <c r="AU33" s="98">
        <f t="shared" si="24"/>
        <v>447</v>
      </c>
      <c r="AV33" s="98">
        <f t="array" ref="AV33">_xlfn.IFS(U33=0,AO33,U33&lt;0,AO33/-U33,U33&gt;0,AO33/U33)</f>
        <v>678.30375805435187</v>
      </c>
      <c r="AW33" s="234">
        <f>IF(AQ33=0,0,AV33/AQ33)</f>
        <v>0.28766062682542487</v>
      </c>
      <c r="AX33" s="234">
        <f>IF(AR33=0,0,AV33/AR33)</f>
        <v>5.5106325294853509</v>
      </c>
      <c r="AY33" s="99"/>
      <c r="AZ33" s="94">
        <f t="shared" si="13"/>
        <v>108528.6012886963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>
        <v>1</v>
      </c>
      <c r="G34" s="93" t="s">
        <v>100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0.42857142857142855</v>
      </c>
      <c r="S34" s="93">
        <v>3</v>
      </c>
      <c r="T34" s="93">
        <v>0</v>
      </c>
      <c r="U34" s="92">
        <f t="shared" si="16"/>
        <v>3</v>
      </c>
      <c r="V34" s="93">
        <v>783</v>
      </c>
      <c r="W34" s="93">
        <v>0</v>
      </c>
      <c r="X34" s="92">
        <f t="shared" si="17"/>
        <v>783</v>
      </c>
      <c r="Y34" s="93">
        <v>1317</v>
      </c>
      <c r="Z34" s="93">
        <v>0</v>
      </c>
      <c r="AA34" s="92">
        <f t="shared" si="18"/>
        <v>1317</v>
      </c>
      <c r="AB34" s="92">
        <f t="shared" si="19"/>
        <v>0</v>
      </c>
      <c r="AC34" s="234">
        <f t="shared" si="20"/>
        <v>4.6943828280459959E-4</v>
      </c>
      <c r="AD34" s="92">
        <f t="shared" si="21"/>
        <v>351.71999999999997</v>
      </c>
      <c r="AE34" s="93">
        <v>497.71000000000004</v>
      </c>
      <c r="AF34" s="234">
        <f t="shared" si="22"/>
        <v>0.37791192103264998</v>
      </c>
      <c r="AG34" s="93">
        <v>246.23000000000002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44.709299999999999</v>
      </c>
      <c r="AO34" s="95">
        <f t="shared" si="25"/>
        <v>176.63069999999993</v>
      </c>
      <c r="AP34" s="96"/>
      <c r="AQ34" s="97">
        <f t="shared" si="7"/>
        <v>439</v>
      </c>
      <c r="AR34" s="98">
        <f t="shared" si="35"/>
        <v>117.24</v>
      </c>
      <c r="AS34" s="98">
        <f t="shared" si="9"/>
        <v>165.90333333333334</v>
      </c>
      <c r="AT34" s="98">
        <f t="shared" si="10"/>
        <v>82.076666666666668</v>
      </c>
      <c r="AU34" s="98">
        <f t="shared" si="24"/>
        <v>0</v>
      </c>
      <c r="AV34" s="98">
        <f t="array" ref="AV34">_xlfn.IFS(U34=0,AO34,U34&lt;0,AO34/-U34,U34&gt;0,AO34/U34)</f>
        <v>58.876899999999978</v>
      </c>
      <c r="AW34" s="234">
        <f>IF(AQ34=0,0,AV34/AQ34)</f>
        <v>0.13411594533029608</v>
      </c>
      <c r="AX34" s="234">
        <f>IF(AR34=0,0,AV34/AR34)</f>
        <v>0.50219123166154878</v>
      </c>
      <c r="AY34" s="99"/>
      <c r="AZ34" s="94">
        <f t="shared" si="13"/>
        <v>117.75379999999996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ref="AL35:AL66" si="43">IFERROR($AL$126*H35/$H$126,0)</f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43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8</v>
      </c>
      <c r="F37" s="93">
        <v>5</v>
      </c>
      <c r="G37" s="93">
        <v>2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2"/>
        <v>1359.12</v>
      </c>
      <c r="M37" s="89">
        <v>17</v>
      </c>
      <c r="N37" s="89">
        <v>7</v>
      </c>
      <c r="O37" s="89">
        <v>998</v>
      </c>
      <c r="P37" s="89">
        <v>33</v>
      </c>
      <c r="Q37" s="233">
        <f t="shared" si="14"/>
        <v>1</v>
      </c>
      <c r="R37" s="92">
        <f t="shared" si="15"/>
        <v>0.5714285714285714</v>
      </c>
      <c r="S37" s="93">
        <v>4</v>
      </c>
      <c r="T37" s="93">
        <v>0</v>
      </c>
      <c r="U37" s="92">
        <f t="shared" si="16"/>
        <v>4</v>
      </c>
      <c r="V37" s="93">
        <v>2640</v>
      </c>
      <c r="W37" s="93">
        <v>0</v>
      </c>
      <c r="X37" s="92">
        <f t="shared" si="17"/>
        <v>2640</v>
      </c>
      <c r="Y37" s="93">
        <v>3962.06</v>
      </c>
      <c r="Z37" s="93">
        <v>0</v>
      </c>
      <c r="AA37" s="92">
        <f t="shared" si="18"/>
        <v>3962.06</v>
      </c>
      <c r="AB37" s="92">
        <f t="shared" si="19"/>
        <v>2305.38</v>
      </c>
      <c r="AC37" s="234">
        <f t="shared" si="20"/>
        <v>1.4122571319428942E-3</v>
      </c>
      <c r="AD37" s="92">
        <f t="shared" si="21"/>
        <v>679.56</v>
      </c>
      <c r="AE37" s="93">
        <v>1483.88</v>
      </c>
      <c r="AF37" s="234">
        <f t="shared" si="22"/>
        <v>0.37452234443698484</v>
      </c>
      <c r="AG37" s="93">
        <v>435.71999999999997</v>
      </c>
      <c r="AH37" s="93"/>
      <c r="AI37" s="93"/>
      <c r="AJ37" s="93"/>
      <c r="AK37" s="93"/>
      <c r="AL37" s="122">
        <f t="shared" si="43"/>
        <v>0</v>
      </c>
      <c r="AM37" s="93">
        <v>0</v>
      </c>
      <c r="AN37" s="94">
        <f t="shared" si="23"/>
        <v>150.744</v>
      </c>
      <c r="AO37" s="95">
        <f t="shared" si="25"/>
        <v>1212.1559999999999</v>
      </c>
      <c r="AP37" s="96"/>
      <c r="AQ37" s="97">
        <f t="shared" si="7"/>
        <v>990.51499999999999</v>
      </c>
      <c r="AR37" s="98">
        <f t="shared" si="35"/>
        <v>169.89</v>
      </c>
      <c r="AS37" s="98">
        <f t="shared" si="9"/>
        <v>370.97</v>
      </c>
      <c r="AT37" s="98">
        <f t="shared" si="10"/>
        <v>108.92999999999999</v>
      </c>
      <c r="AU37" s="98">
        <f t="shared" si="24"/>
        <v>0</v>
      </c>
      <c r="AV37" s="98">
        <f t="array" ref="AV37">_xlfn.IFS(U37=0,AO37,U37&lt;0,AO37/-U37,U37&gt;0,AO37/U37)</f>
        <v>303.03899999999999</v>
      </c>
      <c r="AW37" s="234">
        <f t="shared" si="44"/>
        <v>0.30594084895231266</v>
      </c>
      <c r="AX37" s="234">
        <f t="shared" si="45"/>
        <v>1.7837365354052623</v>
      </c>
      <c r="AY37" s="99"/>
      <c r="AZ37" s="94">
        <f t="shared" si="13"/>
        <v>2424.3119999999999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2</v>
      </c>
      <c r="G38" s="93" t="s">
        <v>100</v>
      </c>
      <c r="H38" s="93">
        <v>45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687</v>
      </c>
      <c r="N38" s="89">
        <v>2</v>
      </c>
      <c r="O38" s="89">
        <v>1197</v>
      </c>
      <c r="P38" s="89">
        <v>0</v>
      </c>
      <c r="Q38" s="233">
        <f t="shared" si="14"/>
        <v>0.2857142857142857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0</v>
      </c>
      <c r="AH38" s="93"/>
      <c r="AI38" s="93"/>
      <c r="AJ38" s="93"/>
      <c r="AK38" s="93"/>
      <c r="AL38" s="122">
        <f t="shared" si="43"/>
        <v>30.028593934619931</v>
      </c>
      <c r="AM38" s="93">
        <v>0</v>
      </c>
      <c r="AN38" s="94">
        <f t="shared" si="23"/>
        <v>0</v>
      </c>
      <c r="AO38" s="95">
        <f t="shared" si="25"/>
        <v>-30.028593934619931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0</v>
      </c>
      <c r="AU38" s="98">
        <f t="shared" si="24"/>
        <v>0</v>
      </c>
      <c r="AV38" s="98">
        <f t="array" ref="AV38">_xlfn.IFS(U38=0,AO38,U38&lt;0,AO38/-U38,U38&gt;0,AO38/U38)</f>
        <v>-30.028593934619931</v>
      </c>
      <c r="AW38" s="234">
        <f t="shared" si="44"/>
        <v>0</v>
      </c>
      <c r="AX38" s="234">
        <f t="shared" si="45"/>
        <v>-0.28452334597896467</v>
      </c>
      <c r="AY38" s="99"/>
      <c r="AZ38" s="94">
        <f t="shared" si="13"/>
        <v>-1441.3725088617566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39</v>
      </c>
      <c r="F39" s="93">
        <v>5</v>
      </c>
      <c r="G39" s="93">
        <v>3</v>
      </c>
      <c r="H39" s="93">
        <v>30</v>
      </c>
      <c r="I39" s="93">
        <v>0</v>
      </c>
      <c r="J39" s="93">
        <v>1</v>
      </c>
      <c r="K39" s="92">
        <v>105.54</v>
      </c>
      <c r="L39" s="92">
        <f t="shared" si="42"/>
        <v>4116.0600000000004</v>
      </c>
      <c r="M39" s="89">
        <v>56</v>
      </c>
      <c r="N39" s="89">
        <v>6</v>
      </c>
      <c r="O39" s="89">
        <v>1077</v>
      </c>
      <c r="P39" s="89">
        <v>0</v>
      </c>
      <c r="Q39" s="233">
        <f t="shared" si="14"/>
        <v>0.8571428571428571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663</v>
      </c>
      <c r="W39" s="93">
        <v>0</v>
      </c>
      <c r="X39" s="92">
        <f t="shared" si="17"/>
        <v>663</v>
      </c>
      <c r="Y39" s="93">
        <v>1077</v>
      </c>
      <c r="Z39" s="93">
        <v>0</v>
      </c>
      <c r="AA39" s="92">
        <f t="shared" si="18"/>
        <v>1077</v>
      </c>
      <c r="AB39" s="92">
        <f t="shared" si="19"/>
        <v>0</v>
      </c>
      <c r="AC39" s="234">
        <f t="shared" si="20"/>
        <v>3.8389144311355635E-4</v>
      </c>
      <c r="AD39" s="92">
        <f t="shared" si="21"/>
        <v>105.54</v>
      </c>
      <c r="AE39" s="93">
        <v>406.15999999999997</v>
      </c>
      <c r="AF39" s="234">
        <f t="shared" si="22"/>
        <v>0.37712163416898792</v>
      </c>
      <c r="AG39" s="93">
        <v>801.98</v>
      </c>
      <c r="AH39" s="93"/>
      <c r="AI39" s="93"/>
      <c r="AJ39" s="93"/>
      <c r="AK39" s="93"/>
      <c r="AL39" s="122">
        <f t="shared" si="43"/>
        <v>20.019062623079954</v>
      </c>
      <c r="AM39" s="93">
        <v>0</v>
      </c>
      <c r="AN39" s="94">
        <f t="shared" si="23"/>
        <v>37.857300000000002</v>
      </c>
      <c r="AO39" s="95">
        <f t="shared" si="25"/>
        <v>-294.55636262307991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406.15999999999997</v>
      </c>
      <c r="AT39" s="98">
        <f t="shared" si="10"/>
        <v>801.98</v>
      </c>
      <c r="AU39" s="98">
        <f t="shared" si="24"/>
        <v>0</v>
      </c>
      <c r="AV39" s="98">
        <f t="array" ref="AV39">_xlfn.IFS(U39=0,AO39,U39&lt;0,AO39/-U39,U39&gt;0,AO39/U39)</f>
        <v>-294.55636262307991</v>
      </c>
      <c r="AW39" s="234">
        <f t="shared" si="44"/>
        <v>-0.2734970869295078</v>
      </c>
      <c r="AX39" s="234">
        <f t="shared" si="45"/>
        <v>-2.7909452588883825</v>
      </c>
      <c r="AY39" s="99"/>
      <c r="AZ39" s="94">
        <f t="shared" si="13"/>
        <v>-11487.698142300116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2</v>
      </c>
      <c r="G40" s="93">
        <v>1</v>
      </c>
      <c r="H40" s="93">
        <v>43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999</v>
      </c>
      <c r="N40" s="89">
        <v>1</v>
      </c>
      <c r="O40" s="89">
        <v>1197</v>
      </c>
      <c r="P40" s="89">
        <v>0</v>
      </c>
      <c r="Q40" s="233">
        <f t="shared" si="14"/>
        <v>0.14285714285714285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22"/>
        <v>0</v>
      </c>
      <c r="AG40" s="93">
        <v>97.32</v>
      </c>
      <c r="AH40" s="93"/>
      <c r="AI40" s="93"/>
      <c r="AJ40" s="93"/>
      <c r="AK40" s="93"/>
      <c r="AL40" s="122">
        <f t="shared" si="43"/>
        <v>28.693989759747932</v>
      </c>
      <c r="AM40" s="93">
        <v>0</v>
      </c>
      <c r="AN40" s="94">
        <f t="shared" si="23"/>
        <v>0</v>
      </c>
      <c r="AO40" s="95">
        <f t="shared" si="25"/>
        <v>-126.01398975974793</v>
      </c>
      <c r="AP40" s="96"/>
      <c r="AQ40" s="97">
        <f t="shared" si="7"/>
        <v>0</v>
      </c>
      <c r="AR40" s="98">
        <f t="shared" si="35"/>
        <v>105.54</v>
      </c>
      <c r="AS40" s="98">
        <f t="shared" si="9"/>
        <v>0</v>
      </c>
      <c r="AT40" s="98">
        <f t="shared" si="10"/>
        <v>97.32</v>
      </c>
      <c r="AU40" s="98">
        <f t="shared" si="24"/>
        <v>0</v>
      </c>
      <c r="AV40" s="98">
        <f t="array" ref="AV40">_xlfn.IFS(U40=0,AO40,U40&lt;0,AO40/-U40,U40&gt;0,AO40/U40)</f>
        <v>-126.01398975974793</v>
      </c>
      <c r="AW40" s="234">
        <f t="shared" si="44"/>
        <v>0</v>
      </c>
      <c r="AX40" s="234">
        <f t="shared" si="45"/>
        <v>-1.1939927019115779</v>
      </c>
      <c r="AY40" s="99"/>
      <c r="AZ40" s="94">
        <f t="shared" si="13"/>
        <v>-5922.6575187081526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46</v>
      </c>
      <c r="F41" s="93">
        <v>1</v>
      </c>
      <c r="G41" s="93" t="s">
        <v>100</v>
      </c>
      <c r="H41" s="93">
        <v>44</v>
      </c>
      <c r="I41" s="93">
        <v>0</v>
      </c>
      <c r="J41" s="93">
        <v>1</v>
      </c>
      <c r="K41" s="92">
        <v>123.09</v>
      </c>
      <c r="L41" s="92">
        <f t="shared" si="42"/>
        <v>5662.14</v>
      </c>
      <c r="M41" s="89">
        <v>999</v>
      </c>
      <c r="N41" s="89">
        <v>2</v>
      </c>
      <c r="O41" s="89">
        <v>1218</v>
      </c>
      <c r="P41" s="89">
        <v>100</v>
      </c>
      <c r="Q41" s="233">
        <f t="shared" si="14"/>
        <v>0.2857142857142857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725</v>
      </c>
      <c r="W41" s="93">
        <v>0</v>
      </c>
      <c r="X41" s="92">
        <f t="shared" si="17"/>
        <v>725</v>
      </c>
      <c r="Y41" s="93">
        <v>1181.46</v>
      </c>
      <c r="Z41" s="93">
        <v>0</v>
      </c>
      <c r="AA41" s="92">
        <f t="shared" si="18"/>
        <v>1181.46</v>
      </c>
      <c r="AB41" s="92">
        <f t="shared" si="19"/>
        <v>2436</v>
      </c>
      <c r="AC41" s="234">
        <f t="shared" si="20"/>
        <v>4.2112570508908294E-4</v>
      </c>
      <c r="AD41" s="92">
        <f t="shared" si="21"/>
        <v>123.09</v>
      </c>
      <c r="AE41" s="93">
        <v>451.84000000000003</v>
      </c>
      <c r="AF41" s="234">
        <f t="shared" si="22"/>
        <v>0.38244206320992674</v>
      </c>
      <c r="AG41" s="93">
        <v>47.32</v>
      </c>
      <c r="AH41" s="93"/>
      <c r="AI41" s="93"/>
      <c r="AJ41" s="93"/>
      <c r="AK41" s="93"/>
      <c r="AL41" s="122">
        <f t="shared" si="43"/>
        <v>29.361291847183928</v>
      </c>
      <c r="AM41" s="93">
        <v>0</v>
      </c>
      <c r="AN41" s="94">
        <f t="shared" si="23"/>
        <v>41.397500000000001</v>
      </c>
      <c r="AO41" s="95">
        <f t="shared" si="25"/>
        <v>488.45120815281615</v>
      </c>
      <c r="AP41" s="96"/>
      <c r="AQ41" s="97">
        <f t="shared" si="7"/>
        <v>1181.46</v>
      </c>
      <c r="AR41" s="98">
        <f t="shared" si="35"/>
        <v>123.09</v>
      </c>
      <c r="AS41" s="98">
        <f t="shared" si="9"/>
        <v>451.84000000000003</v>
      </c>
      <c r="AT41" s="98">
        <f t="shared" si="10"/>
        <v>47.32</v>
      </c>
      <c r="AU41" s="98">
        <f t="shared" si="24"/>
        <v>0</v>
      </c>
      <c r="AV41" s="98">
        <f t="array" ref="AV41">_xlfn.IFS(U41=0,AO41,U41&lt;0,AO41/-U41,U41&gt;0,AO41/U41)</f>
        <v>488.45120815281615</v>
      </c>
      <c r="AW41" s="234">
        <f t="shared" si="44"/>
        <v>0.41343016958070194</v>
      </c>
      <c r="AX41" s="234">
        <f t="shared" si="45"/>
        <v>3.9682444402698525</v>
      </c>
      <c r="AY41" s="99"/>
      <c r="AZ41" s="94">
        <f t="shared" si="13"/>
        <v>22468.755575029543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4</v>
      </c>
      <c r="G42" s="93">
        <v>1</v>
      </c>
      <c r="H42" s="93">
        <v>41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191</v>
      </c>
      <c r="N42" s="89">
        <v>2</v>
      </c>
      <c r="O42" s="89">
        <v>1176</v>
      </c>
      <c r="P42" s="89">
        <v>0</v>
      </c>
      <c r="Q42" s="233">
        <f t="shared" si="14"/>
        <v>0.2857142857142857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109.16</v>
      </c>
      <c r="AH42" s="93"/>
      <c r="AI42" s="93"/>
      <c r="AJ42" s="93"/>
      <c r="AK42" s="93"/>
      <c r="AL42" s="122">
        <f t="shared" si="43"/>
        <v>27.359385584875934</v>
      </c>
      <c r="AM42" s="93">
        <v>0</v>
      </c>
      <c r="AN42" s="94">
        <f t="shared" si="23"/>
        <v>0</v>
      </c>
      <c r="AO42" s="95">
        <f t="shared" si="25"/>
        <v>-136.51938558487592</v>
      </c>
      <c r="AP42" s="96"/>
      <c r="AQ42" s="97">
        <f t="shared" si="7"/>
        <v>0</v>
      </c>
      <c r="AR42" s="98">
        <f t="shared" si="35"/>
        <v>123.09</v>
      </c>
      <c r="AS42" s="98">
        <f t="shared" si="9"/>
        <v>0</v>
      </c>
      <c r="AT42" s="98">
        <f t="shared" si="10"/>
        <v>109.16</v>
      </c>
      <c r="AU42" s="98">
        <f t="shared" si="24"/>
        <v>0</v>
      </c>
      <c r="AV42" s="98">
        <f t="array" ref="AV42">_xlfn.IFS(U42=0,AO42,U42&lt;0,AO42/-U42,U42&gt;0,AO42/U42)</f>
        <v>-136.51938558487592</v>
      </c>
      <c r="AW42" s="234">
        <f t="shared" si="44"/>
        <v>0</v>
      </c>
      <c r="AX42" s="234">
        <f t="shared" si="45"/>
        <v>-1.1091021657720035</v>
      </c>
      <c r="AY42" s="99"/>
      <c r="AZ42" s="94">
        <f t="shared" si="13"/>
        <v>-6416.4111224891685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43</v>
      </c>
      <c r="F43" s="93">
        <v>26</v>
      </c>
      <c r="G43" s="93">
        <v>1</v>
      </c>
      <c r="H43" s="93">
        <v>15</v>
      </c>
      <c r="I43" s="93">
        <v>0</v>
      </c>
      <c r="J43" s="93">
        <v>1</v>
      </c>
      <c r="K43" s="92">
        <v>123.09</v>
      </c>
      <c r="L43" s="92">
        <f t="shared" si="42"/>
        <v>5292.87</v>
      </c>
      <c r="M43" s="89">
        <v>36</v>
      </c>
      <c r="N43" s="89">
        <v>28</v>
      </c>
      <c r="O43" s="89">
        <v>1102</v>
      </c>
      <c r="P43" s="89">
        <v>67</v>
      </c>
      <c r="Q43" s="233">
        <f t="shared" si="14"/>
        <v>4</v>
      </c>
      <c r="R43" s="92">
        <f t="shared" si="15"/>
        <v>0.2857142857142857</v>
      </c>
      <c r="S43" s="93">
        <v>2</v>
      </c>
      <c r="T43" s="93">
        <v>0</v>
      </c>
      <c r="U43" s="92">
        <f t="shared" si="16"/>
        <v>2</v>
      </c>
      <c r="V43" s="93">
        <v>1512.54</v>
      </c>
      <c r="W43" s="93">
        <v>0</v>
      </c>
      <c r="X43" s="92">
        <f t="shared" si="17"/>
        <v>1512.54</v>
      </c>
      <c r="Y43" s="93">
        <v>2203.81</v>
      </c>
      <c r="Z43" s="93">
        <v>0</v>
      </c>
      <c r="AA43" s="92">
        <f t="shared" si="18"/>
        <v>2203.81</v>
      </c>
      <c r="AB43" s="92">
        <f t="shared" si="19"/>
        <v>20673.52</v>
      </c>
      <c r="AC43" s="234">
        <f t="shared" si="20"/>
        <v>7.8553741991465795E-4</v>
      </c>
      <c r="AD43" s="92">
        <f t="shared" si="21"/>
        <v>246.18</v>
      </c>
      <c r="AE43" s="93">
        <v>824.67000000000007</v>
      </c>
      <c r="AF43" s="234">
        <f t="shared" si="22"/>
        <v>0.37420195025886993</v>
      </c>
      <c r="AG43" s="93">
        <v>625.06999999999994</v>
      </c>
      <c r="AH43" s="93">
        <v>2000</v>
      </c>
      <c r="AI43" s="93">
        <v>1000</v>
      </c>
      <c r="AJ43" s="93"/>
      <c r="AK43" s="93"/>
      <c r="AL43" s="122">
        <f t="shared" si="43"/>
        <v>10.009531311539977</v>
      </c>
      <c r="AM43" s="93">
        <v>0</v>
      </c>
      <c r="AN43" s="94">
        <f t="shared" si="23"/>
        <v>86.366033999999999</v>
      </c>
      <c r="AO43" s="95">
        <f t="shared" si="25"/>
        <v>-2588.4855653115401</v>
      </c>
      <c r="AP43" s="96"/>
      <c r="AQ43" s="97">
        <f t="shared" si="7"/>
        <v>1101.905</v>
      </c>
      <c r="AR43" s="98">
        <f t="shared" si="35"/>
        <v>123.09</v>
      </c>
      <c r="AS43" s="98">
        <f t="shared" si="9"/>
        <v>412.33500000000004</v>
      </c>
      <c r="AT43" s="98">
        <f t="shared" si="10"/>
        <v>312.53499999999997</v>
      </c>
      <c r="AU43" s="98">
        <f t="shared" si="24"/>
        <v>1500</v>
      </c>
      <c r="AV43" s="98">
        <f t="array" ref="AV43">_xlfn.IFS(U43=0,AO43,U43&lt;0,AO43/-U43,U43&gt;0,AO43/U43)</f>
        <v>-1294.24278265577</v>
      </c>
      <c r="AW43" s="234">
        <f t="shared" si="44"/>
        <v>-1.174550240407086</v>
      </c>
      <c r="AX43" s="234">
        <f t="shared" si="45"/>
        <v>-10.514605432250955</v>
      </c>
      <c r="AY43" s="99"/>
      <c r="AZ43" s="94">
        <f t="shared" si="13"/>
        <v>-55652.439654198111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1720</v>
      </c>
      <c r="F44" s="93">
        <v>20</v>
      </c>
      <c r="G44" s="93">
        <v>8</v>
      </c>
      <c r="H44" s="93">
        <v>151</v>
      </c>
      <c r="I44" s="93">
        <v>0</v>
      </c>
      <c r="J44" s="93">
        <v>1541</v>
      </c>
      <c r="K44" s="92">
        <v>111.39</v>
      </c>
      <c r="L44" s="92">
        <f t="shared" si="42"/>
        <v>191590.8</v>
      </c>
      <c r="M44" s="89">
        <v>87</v>
      </c>
      <c r="N44" s="89">
        <v>35</v>
      </c>
      <c r="O44" s="89">
        <v>995</v>
      </c>
      <c r="P44" s="89">
        <v>65</v>
      </c>
      <c r="Q44" s="233">
        <f t="shared" si="14"/>
        <v>5</v>
      </c>
      <c r="R44" s="92">
        <f t="shared" si="15"/>
        <v>2.5714285714285716</v>
      </c>
      <c r="S44" s="93">
        <v>18</v>
      </c>
      <c r="T44" s="93">
        <v>0</v>
      </c>
      <c r="U44" s="92">
        <f t="shared" si="16"/>
        <v>18</v>
      </c>
      <c r="V44" s="93">
        <v>12166.960000000001</v>
      </c>
      <c r="W44" s="93">
        <v>0</v>
      </c>
      <c r="X44" s="92">
        <f t="shared" si="17"/>
        <v>12166.960000000001</v>
      </c>
      <c r="Y44" s="93">
        <v>17912.080000000002</v>
      </c>
      <c r="Z44" s="93">
        <v>0</v>
      </c>
      <c r="AA44" s="92">
        <f t="shared" si="18"/>
        <v>17912.080000000002</v>
      </c>
      <c r="AB44" s="92">
        <f t="shared" si="19"/>
        <v>22636.25</v>
      </c>
      <c r="AC44" s="234">
        <f t="shared" si="20"/>
        <v>6.3846743178880882E-3</v>
      </c>
      <c r="AD44" s="92">
        <f t="shared" si="21"/>
        <v>2005.02</v>
      </c>
      <c r="AE44" s="93">
        <v>6759.2999999999993</v>
      </c>
      <c r="AF44" s="234">
        <f t="shared" si="22"/>
        <v>0.37735985993809756</v>
      </c>
      <c r="AG44" s="93">
        <v>2135.6499999999992</v>
      </c>
      <c r="AH44" s="93">
        <v>330</v>
      </c>
      <c r="AI44" s="93">
        <v>1336</v>
      </c>
      <c r="AJ44" s="93"/>
      <c r="AK44" s="93"/>
      <c r="AL44" s="122">
        <f t="shared" si="43"/>
        <v>100.76261520283576</v>
      </c>
      <c r="AM44" s="93">
        <v>0</v>
      </c>
      <c r="AN44" s="94">
        <f t="shared" si="23"/>
        <v>694.73341600000003</v>
      </c>
      <c r="AO44" s="95">
        <f t="shared" si="25"/>
        <v>4550.6139687971663</v>
      </c>
      <c r="AP44" s="96"/>
      <c r="AQ44" s="97">
        <f t="shared" si="7"/>
        <v>995.1155555555556</v>
      </c>
      <c r="AR44" s="98">
        <f t="shared" si="35"/>
        <v>111.39</v>
      </c>
      <c r="AS44" s="98">
        <f t="shared" si="9"/>
        <v>375.51666666666665</v>
      </c>
      <c r="AT44" s="98">
        <f t="shared" si="10"/>
        <v>118.64722222222218</v>
      </c>
      <c r="AU44" s="98">
        <f t="shared" si="24"/>
        <v>92.555555555555557</v>
      </c>
      <c r="AV44" s="98">
        <f t="array" ref="AV44">_xlfn.IFS(U44=0,AO44,U44&lt;0,AO44/-U44,U44&gt;0,AO44/U44)</f>
        <v>252.81188715539813</v>
      </c>
      <c r="AW44" s="234">
        <f t="shared" si="44"/>
        <v>0.25405279391322316</v>
      </c>
      <c r="AX44" s="234">
        <f t="shared" si="45"/>
        <v>2.2696102626393584</v>
      </c>
      <c r="AY44" s="99"/>
      <c r="AZ44" s="94">
        <f t="shared" si="13"/>
        <v>434836.4459072848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277</v>
      </c>
      <c r="F45" s="93">
        <v>81</v>
      </c>
      <c r="G45" s="93">
        <v>32</v>
      </c>
      <c r="H45" s="93">
        <v>59</v>
      </c>
      <c r="I45" s="93">
        <v>0</v>
      </c>
      <c r="J45" s="93">
        <v>105</v>
      </c>
      <c r="K45" s="92">
        <v>107.88</v>
      </c>
      <c r="L45" s="92">
        <f t="shared" si="42"/>
        <v>29882.76</v>
      </c>
      <c r="M45" s="89">
        <v>20</v>
      </c>
      <c r="N45" s="89">
        <v>109</v>
      </c>
      <c r="O45" s="89">
        <v>1496</v>
      </c>
      <c r="P45" s="89">
        <v>34</v>
      </c>
      <c r="Q45" s="233">
        <f t="shared" si="14"/>
        <v>15.571428571428571</v>
      </c>
      <c r="R45" s="92">
        <f t="shared" si="15"/>
        <v>7</v>
      </c>
      <c r="S45" s="93">
        <v>55</v>
      </c>
      <c r="T45" s="93">
        <v>-6</v>
      </c>
      <c r="U45" s="92">
        <f t="shared" si="16"/>
        <v>49</v>
      </c>
      <c r="V45" s="93">
        <v>46410.459999999992</v>
      </c>
      <c r="W45" s="93">
        <v>-4930</v>
      </c>
      <c r="X45" s="92">
        <f t="shared" si="17"/>
        <v>41480.459999999992</v>
      </c>
      <c r="Y45" s="93">
        <v>72526.28</v>
      </c>
      <c r="Z45" s="93">
        <v>-7852</v>
      </c>
      <c r="AA45" s="92">
        <f t="shared" si="18"/>
        <v>64674.28</v>
      </c>
      <c r="AB45" s="92">
        <f t="shared" si="19"/>
        <v>55441.760000000002</v>
      </c>
      <c r="AC45" s="234">
        <f t="shared" si="20"/>
        <v>2.3052834430390173E-2</v>
      </c>
      <c r="AD45" s="92">
        <f t="shared" si="21"/>
        <v>5286.12</v>
      </c>
      <c r="AE45" s="93">
        <v>24300.989999999991</v>
      </c>
      <c r="AF45" s="234">
        <f t="shared" si="22"/>
        <v>0.37574426804596806</v>
      </c>
      <c r="AG45" s="93">
        <v>11196.86999999999</v>
      </c>
      <c r="AH45" s="93">
        <v>11807</v>
      </c>
      <c r="AI45" s="93">
        <v>2008</v>
      </c>
      <c r="AJ45" s="93"/>
      <c r="AK45" s="93"/>
      <c r="AL45" s="122">
        <f t="shared" si="43"/>
        <v>39.370823158723908</v>
      </c>
      <c r="AM45" s="93">
        <v>0</v>
      </c>
      <c r="AN45" s="94">
        <f t="shared" si="23"/>
        <v>2368.5342659999997</v>
      </c>
      <c r="AO45" s="95">
        <f t="shared" si="25"/>
        <v>7667.3949108412935</v>
      </c>
      <c r="AP45" s="96"/>
      <c r="AQ45" s="97">
        <f t="shared" si="7"/>
        <v>1319.8832653061224</v>
      </c>
      <c r="AR45" s="98">
        <f t="shared" si="35"/>
        <v>107.88</v>
      </c>
      <c r="AS45" s="98">
        <f t="shared" si="9"/>
        <v>495.93857142857127</v>
      </c>
      <c r="AT45" s="98">
        <f t="shared" si="10"/>
        <v>203.57945454545435</v>
      </c>
      <c r="AU45" s="98">
        <f t="shared" si="24"/>
        <v>251.18181818181819</v>
      </c>
      <c r="AV45" s="98">
        <f t="array" ref="AV45">_xlfn.IFS(U45=0,AO45,U45&lt;0,AO45/-U45,U45&gt;0,AO45/U45)</f>
        <v>156.4774471600264</v>
      </c>
      <c r="AW45" s="234">
        <f t="shared" si="44"/>
        <v>0.11855400494356171</v>
      </c>
      <c r="AX45" s="234">
        <f t="shared" si="45"/>
        <v>1.4504768924733631</v>
      </c>
      <c r="AY45" s="99"/>
      <c r="AZ45" s="94">
        <f t="shared" si="13"/>
        <v>43344.25286332731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43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305</v>
      </c>
      <c r="F47" s="93">
        <v>14</v>
      </c>
      <c r="G47" s="93" t="s">
        <v>100</v>
      </c>
      <c r="H47" s="93">
        <v>111</v>
      </c>
      <c r="I47" s="93">
        <v>0</v>
      </c>
      <c r="J47" s="93">
        <v>180</v>
      </c>
      <c r="K47" s="92">
        <v>123.09</v>
      </c>
      <c r="L47" s="92">
        <f t="shared" si="42"/>
        <v>37542.450000000004</v>
      </c>
      <c r="M47" s="89">
        <v>87</v>
      </c>
      <c r="N47" s="89">
        <v>21</v>
      </c>
      <c r="O47" s="89">
        <v>1056</v>
      </c>
      <c r="P47" s="89">
        <v>100</v>
      </c>
      <c r="Q47" s="233">
        <f t="shared" si="14"/>
        <v>3</v>
      </c>
      <c r="R47" s="92">
        <f t="shared" si="15"/>
        <v>2.2857142857142856</v>
      </c>
      <c r="S47" s="93">
        <v>17</v>
      </c>
      <c r="T47" s="93">
        <v>-1</v>
      </c>
      <c r="U47" s="92">
        <f t="shared" si="16"/>
        <v>16</v>
      </c>
      <c r="V47" s="93">
        <v>11370.39</v>
      </c>
      <c r="W47" s="93">
        <v>-614</v>
      </c>
      <c r="X47" s="92">
        <f t="shared" si="17"/>
        <v>10756.39</v>
      </c>
      <c r="Y47" s="93">
        <v>17802.03</v>
      </c>
      <c r="Z47" s="93">
        <v>-1027</v>
      </c>
      <c r="AA47" s="92">
        <f t="shared" si="18"/>
        <v>16775.03</v>
      </c>
      <c r="AB47" s="92">
        <f t="shared" si="19"/>
        <v>22176</v>
      </c>
      <c r="AC47" s="234">
        <f t="shared" si="20"/>
        <v>5.9793783425935018E-3</v>
      </c>
      <c r="AD47" s="92">
        <f t="shared" si="21"/>
        <v>1969.44</v>
      </c>
      <c r="AE47" s="93">
        <v>6325.079999999999</v>
      </c>
      <c r="AF47" s="234">
        <f t="shared" si="22"/>
        <v>0.37705327501649771</v>
      </c>
      <c r="AG47" s="93">
        <v>1761.3099999999995</v>
      </c>
      <c r="AH47" s="93"/>
      <c r="AI47" s="93"/>
      <c r="AJ47" s="93"/>
      <c r="AK47" s="93"/>
      <c r="AL47" s="122">
        <f t="shared" si="43"/>
        <v>74.070531705395823</v>
      </c>
      <c r="AM47" s="93">
        <v>0</v>
      </c>
      <c r="AN47" s="94">
        <f t="shared" si="23"/>
        <v>614.18986899999993</v>
      </c>
      <c r="AO47" s="95">
        <f t="shared" si="25"/>
        <v>6030.9395992946029</v>
      </c>
      <c r="AP47" s="96"/>
      <c r="AQ47" s="97">
        <f t="shared" si="7"/>
        <v>1048.4393749999999</v>
      </c>
      <c r="AR47" s="98">
        <f t="shared" si="35"/>
        <v>123.09</v>
      </c>
      <c r="AS47" s="98">
        <f t="shared" si="9"/>
        <v>395.31749999999994</v>
      </c>
      <c r="AT47" s="98">
        <f t="shared" si="10"/>
        <v>103.60647058823527</v>
      </c>
      <c r="AU47" s="98">
        <f t="shared" si="24"/>
        <v>0</v>
      </c>
      <c r="AV47" s="98">
        <f t="array" ref="AV47">_xlfn.IFS(U47=0,AO47,U47&lt;0,AO47/-U47,U47&gt;0,AO47/U47)</f>
        <v>376.93372495591268</v>
      </c>
      <c r="AW47" s="234">
        <f t="shared" si="44"/>
        <v>0.35951885625805757</v>
      </c>
      <c r="AX47" s="234">
        <f t="shared" si="45"/>
        <v>3.0622611500196006</v>
      </c>
      <c r="AY47" s="99"/>
      <c r="AZ47" s="94">
        <f t="shared" si="13"/>
        <v>114964.78611155337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321</v>
      </c>
      <c r="F48" s="93">
        <v>30</v>
      </c>
      <c r="G48" s="93">
        <v>15</v>
      </c>
      <c r="H48" s="93">
        <v>265</v>
      </c>
      <c r="I48" s="93">
        <v>0</v>
      </c>
      <c r="J48" s="93">
        <v>11</v>
      </c>
      <c r="K48" s="92">
        <v>107.88</v>
      </c>
      <c r="L48" s="92">
        <f t="shared" si="42"/>
        <v>34629.479999999996</v>
      </c>
      <c r="M48" s="89">
        <v>72</v>
      </c>
      <c r="N48" s="89">
        <v>51</v>
      </c>
      <c r="O48" s="89">
        <v>1334</v>
      </c>
      <c r="P48" s="89">
        <v>40</v>
      </c>
      <c r="Q48" s="233">
        <f t="shared" si="14"/>
        <v>7.2857142857142856</v>
      </c>
      <c r="R48" s="92">
        <f t="shared" si="15"/>
        <v>3.8571428571428572</v>
      </c>
      <c r="S48" s="93">
        <v>29</v>
      </c>
      <c r="T48" s="93">
        <v>-2</v>
      </c>
      <c r="U48" s="92">
        <f t="shared" si="16"/>
        <v>27</v>
      </c>
      <c r="V48" s="93">
        <v>24087.859999999997</v>
      </c>
      <c r="W48" s="93">
        <v>-1410</v>
      </c>
      <c r="X48" s="92">
        <f t="shared" si="17"/>
        <v>22677.859999999997</v>
      </c>
      <c r="Y48" s="93">
        <v>37662.639999999999</v>
      </c>
      <c r="Z48" s="93">
        <v>-2351.7200000000003</v>
      </c>
      <c r="AA48" s="92">
        <f t="shared" si="18"/>
        <v>35310.92</v>
      </c>
      <c r="AB48" s="92">
        <f t="shared" si="19"/>
        <v>27213.599999999999</v>
      </c>
      <c r="AC48" s="234">
        <f t="shared" si="20"/>
        <v>1.2586406719096879E-2</v>
      </c>
      <c r="AD48" s="92">
        <f t="shared" si="21"/>
        <v>2912.7599999999998</v>
      </c>
      <c r="AE48" s="93">
        <v>13193.04</v>
      </c>
      <c r="AF48" s="234">
        <f t="shared" si="22"/>
        <v>0.3736249296251698</v>
      </c>
      <c r="AG48" s="93">
        <v>6403.2799999999952</v>
      </c>
      <c r="AH48" s="93">
        <v>5762</v>
      </c>
      <c r="AI48" s="93">
        <v>305</v>
      </c>
      <c r="AJ48" s="93"/>
      <c r="AK48" s="93"/>
      <c r="AL48" s="122">
        <f t="shared" si="43"/>
        <v>176.8350531705396</v>
      </c>
      <c r="AM48" s="93">
        <v>0</v>
      </c>
      <c r="AN48" s="94">
        <f t="shared" si="23"/>
        <v>1294.9058059999998</v>
      </c>
      <c r="AO48" s="95">
        <f t="shared" si="25"/>
        <v>5263.099140829464</v>
      </c>
      <c r="AP48" s="96"/>
      <c r="AQ48" s="97">
        <f t="shared" si="7"/>
        <v>1307.8118518518518</v>
      </c>
      <c r="AR48" s="98">
        <f t="shared" si="35"/>
        <v>107.88</v>
      </c>
      <c r="AS48" s="98">
        <f t="shared" si="9"/>
        <v>488.63111111111112</v>
      </c>
      <c r="AT48" s="98">
        <f t="shared" si="10"/>
        <v>220.8027586206895</v>
      </c>
      <c r="AU48" s="98">
        <f t="shared" si="24"/>
        <v>209.20689655172413</v>
      </c>
      <c r="AV48" s="98">
        <f t="array" ref="AV48">_xlfn.IFS(U48=0,AO48,U48&lt;0,AO48/-U48,U48&gt;0,AO48/U48)</f>
        <v>194.92959780849867</v>
      </c>
      <c r="AW48" s="234">
        <f t="shared" si="44"/>
        <v>0.14905018449900101</v>
      </c>
      <c r="AX48" s="234">
        <f t="shared" si="45"/>
        <v>1.8069113627039179</v>
      </c>
      <c r="AY48" s="99"/>
      <c r="AZ48" s="94">
        <f t="shared" si="13"/>
        <v>62572.400896528074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95</v>
      </c>
      <c r="F49" s="93">
        <v>54</v>
      </c>
      <c r="G49" s="93">
        <v>19</v>
      </c>
      <c r="H49" s="93">
        <v>20</v>
      </c>
      <c r="I49" s="93">
        <v>0</v>
      </c>
      <c r="J49" s="93">
        <v>2</v>
      </c>
      <c r="K49" s="92">
        <v>123.09</v>
      </c>
      <c r="L49" s="92">
        <f t="shared" si="42"/>
        <v>11693.550000000001</v>
      </c>
      <c r="M49" s="89">
        <v>21</v>
      </c>
      <c r="N49" s="89">
        <v>68</v>
      </c>
      <c r="O49" s="89">
        <v>1473</v>
      </c>
      <c r="P49" s="89">
        <v>61</v>
      </c>
      <c r="Q49" s="233">
        <f t="shared" si="14"/>
        <v>9.7142857142857135</v>
      </c>
      <c r="R49" s="92">
        <f t="shared" si="15"/>
        <v>5.1428571428571432</v>
      </c>
      <c r="S49" s="93">
        <v>36</v>
      </c>
      <c r="T49" s="93">
        <v>0</v>
      </c>
      <c r="U49" s="92">
        <f t="shared" si="16"/>
        <v>36</v>
      </c>
      <c r="V49" s="93">
        <v>31770.51</v>
      </c>
      <c r="W49" s="93">
        <v>0</v>
      </c>
      <c r="X49" s="92">
        <f t="shared" si="17"/>
        <v>31770.51</v>
      </c>
      <c r="Y49" s="93">
        <v>50431.619999999995</v>
      </c>
      <c r="Z49" s="93">
        <v>0</v>
      </c>
      <c r="AA49" s="92">
        <f t="shared" si="18"/>
        <v>50431.619999999995</v>
      </c>
      <c r="AB49" s="92">
        <f t="shared" si="19"/>
        <v>61100.04</v>
      </c>
      <c r="AC49" s="234">
        <f t="shared" si="20"/>
        <v>1.7976107131248364E-2</v>
      </c>
      <c r="AD49" s="92">
        <f t="shared" si="21"/>
        <v>4431.24</v>
      </c>
      <c r="AE49" s="93">
        <v>18906.179999999993</v>
      </c>
      <c r="AF49" s="234">
        <f t="shared" si="22"/>
        <v>0.37488742181988194</v>
      </c>
      <c r="AG49" s="93">
        <v>6325.5099999999975</v>
      </c>
      <c r="AH49" s="93">
        <v>7000</v>
      </c>
      <c r="AI49" s="93">
        <v>2085</v>
      </c>
      <c r="AJ49" s="93"/>
      <c r="AK49" s="93"/>
      <c r="AL49" s="122">
        <f t="shared" si="43"/>
        <v>13.346041748719969</v>
      </c>
      <c r="AM49" s="93">
        <v>0</v>
      </c>
      <c r="AN49" s="94">
        <f t="shared" si="23"/>
        <v>1814.0961209999998</v>
      </c>
      <c r="AO49" s="95">
        <f t="shared" si="25"/>
        <v>9856.2478372512851</v>
      </c>
      <c r="AP49" s="96"/>
      <c r="AQ49" s="97">
        <f t="shared" si="7"/>
        <v>1400.8783333333331</v>
      </c>
      <c r="AR49" s="98">
        <f t="shared" si="35"/>
        <v>123.09</v>
      </c>
      <c r="AS49" s="98">
        <f t="shared" si="9"/>
        <v>525.17166666666651</v>
      </c>
      <c r="AT49" s="98">
        <f t="shared" si="10"/>
        <v>175.70861111111105</v>
      </c>
      <c r="AU49" s="98">
        <f t="shared" si="24"/>
        <v>252.36111111111111</v>
      </c>
      <c r="AV49" s="98">
        <f t="array" ref="AV49">_xlfn.IFS(U49=0,AO49,U49&lt;0,AO49/-U49,U49&gt;0,AO49/U49)</f>
        <v>273.78466214586905</v>
      </c>
      <c r="AW49" s="234">
        <f t="shared" si="44"/>
        <v>0.19543785897124238</v>
      </c>
      <c r="AX49" s="234">
        <f t="shared" si="45"/>
        <v>2.2242640518796737</v>
      </c>
      <c r="AY49" s="99"/>
      <c r="AZ49" s="94">
        <f t="shared" si="13"/>
        <v>26009.54290385756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192</v>
      </c>
      <c r="F50" s="93">
        <v>23</v>
      </c>
      <c r="G50" s="93">
        <v>6</v>
      </c>
      <c r="H50" s="93">
        <v>162</v>
      </c>
      <c r="I50" s="93">
        <v>0</v>
      </c>
      <c r="J50" s="93">
        <v>1</v>
      </c>
      <c r="K50" s="92">
        <v>134.79</v>
      </c>
      <c r="L50" s="92">
        <f t="shared" si="42"/>
        <v>25879.68</v>
      </c>
      <c r="M50" s="89">
        <v>97</v>
      </c>
      <c r="N50" s="89">
        <v>31</v>
      </c>
      <c r="O50" s="89">
        <v>1218</v>
      </c>
      <c r="P50" s="89">
        <v>58</v>
      </c>
      <c r="Q50" s="233">
        <f t="shared" si="14"/>
        <v>4.4285714285714288</v>
      </c>
      <c r="R50" s="92">
        <f t="shared" si="15"/>
        <v>2</v>
      </c>
      <c r="S50" s="93">
        <v>14</v>
      </c>
      <c r="T50" s="93">
        <v>0</v>
      </c>
      <c r="U50" s="92">
        <f t="shared" si="16"/>
        <v>14</v>
      </c>
      <c r="V50" s="93">
        <v>10895.769999999999</v>
      </c>
      <c r="W50" s="93">
        <v>0</v>
      </c>
      <c r="X50" s="92">
        <f t="shared" si="17"/>
        <v>10895.769999999999</v>
      </c>
      <c r="Y50" s="93">
        <v>16956.599999999999</v>
      </c>
      <c r="Z50" s="93">
        <v>0</v>
      </c>
      <c r="AA50" s="92">
        <f t="shared" si="18"/>
        <v>16956.599999999999</v>
      </c>
      <c r="AB50" s="92">
        <f t="shared" si="19"/>
        <v>21899.64</v>
      </c>
      <c r="AC50" s="234">
        <f t="shared" si="20"/>
        <v>6.0440980912714291E-3</v>
      </c>
      <c r="AD50" s="92">
        <f t="shared" si="21"/>
        <v>1887.06</v>
      </c>
      <c r="AE50" s="93">
        <v>6294.7199999999975</v>
      </c>
      <c r="AF50" s="234">
        <f t="shared" si="22"/>
        <v>0.37122536357524494</v>
      </c>
      <c r="AG50" s="93">
        <v>1842.6599999999994</v>
      </c>
      <c r="AH50" s="93">
        <v>1607</v>
      </c>
      <c r="AI50" s="93">
        <v>848</v>
      </c>
      <c r="AJ50" s="93"/>
      <c r="AK50" s="93"/>
      <c r="AL50" s="122">
        <f t="shared" si="43"/>
        <v>108.10293816463175</v>
      </c>
      <c r="AM50" s="93">
        <v>0</v>
      </c>
      <c r="AN50" s="94">
        <f t="shared" si="23"/>
        <v>622.14846699999987</v>
      </c>
      <c r="AO50" s="95">
        <f t="shared" si="25"/>
        <v>3746.9085948353695</v>
      </c>
      <c r="AP50" s="96"/>
      <c r="AQ50" s="97">
        <f t="shared" si="7"/>
        <v>1211.1857142857141</v>
      </c>
      <c r="AR50" s="98">
        <f t="shared" si="35"/>
        <v>134.79</v>
      </c>
      <c r="AS50" s="98">
        <f t="shared" si="9"/>
        <v>449.62285714285696</v>
      </c>
      <c r="AT50" s="98">
        <f t="shared" si="10"/>
        <v>131.61857142857139</v>
      </c>
      <c r="AU50" s="98">
        <f t="shared" si="24"/>
        <v>175.35714285714286</v>
      </c>
      <c r="AV50" s="98">
        <f t="array" ref="AV50">_xlfn.IFS(U50=0,AO50,U50&lt;0,AO50/-U50,U50&gt;0,AO50/U50)</f>
        <v>267.63632820252639</v>
      </c>
      <c r="AW50" s="234">
        <f t="shared" si="44"/>
        <v>0.22097051265202752</v>
      </c>
      <c r="AX50" s="234">
        <f t="shared" si="45"/>
        <v>1.9855800000187434</v>
      </c>
      <c r="AY50" s="99"/>
      <c r="AZ50" s="94">
        <f t="shared" si="13"/>
        <v>51386.17501488507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7</v>
      </c>
      <c r="F51" s="93">
        <v>1</v>
      </c>
      <c r="G51" s="93">
        <v>2</v>
      </c>
      <c r="H51" s="93">
        <v>3</v>
      </c>
      <c r="I51" s="93">
        <v>0</v>
      </c>
      <c r="J51" s="93">
        <v>1</v>
      </c>
      <c r="K51" s="92">
        <v>144.15</v>
      </c>
      <c r="L51" s="92">
        <f t="shared" si="42"/>
        <v>1009.0500000000001</v>
      </c>
      <c r="M51" s="89">
        <v>999</v>
      </c>
      <c r="N51" s="89">
        <v>1</v>
      </c>
      <c r="O51" s="89">
        <v>1119</v>
      </c>
      <c r="P51" s="89">
        <v>0</v>
      </c>
      <c r="Q51" s="233">
        <f t="shared" si="14"/>
        <v>0.14285714285714285</v>
      </c>
      <c r="R51" s="92">
        <f t="shared" si="15"/>
        <v>0.2857142857142857</v>
      </c>
      <c r="S51" s="93">
        <v>2</v>
      </c>
      <c r="T51" s="93">
        <v>0</v>
      </c>
      <c r="U51" s="92">
        <f t="shared" si="16"/>
        <v>2</v>
      </c>
      <c r="V51" s="93">
        <v>1385</v>
      </c>
      <c r="W51" s="93">
        <v>0</v>
      </c>
      <c r="X51" s="92">
        <f t="shared" si="17"/>
        <v>1385</v>
      </c>
      <c r="Y51" s="93">
        <v>2238</v>
      </c>
      <c r="Z51" s="93">
        <v>0</v>
      </c>
      <c r="AA51" s="92">
        <f t="shared" si="18"/>
        <v>2238</v>
      </c>
      <c r="AB51" s="92">
        <f t="shared" si="19"/>
        <v>0</v>
      </c>
      <c r="AC51" s="234">
        <f t="shared" si="20"/>
        <v>7.977242801189778E-4</v>
      </c>
      <c r="AD51" s="92">
        <f t="shared" si="21"/>
        <v>288.3</v>
      </c>
      <c r="AE51" s="93">
        <v>839.26</v>
      </c>
      <c r="AF51" s="234">
        <f t="shared" si="22"/>
        <v>0.37500446827524575</v>
      </c>
      <c r="AG51" s="93">
        <v>396.64000000000004</v>
      </c>
      <c r="AH51" s="93"/>
      <c r="AI51" s="93"/>
      <c r="AJ51" s="93"/>
      <c r="AK51" s="93"/>
      <c r="AL51" s="122">
        <f t="shared" si="43"/>
        <v>2.0019062623079948</v>
      </c>
      <c r="AM51" s="93">
        <v>0</v>
      </c>
      <c r="AN51" s="94">
        <f t="shared" si="23"/>
        <v>79.083500000000001</v>
      </c>
      <c r="AO51" s="95">
        <f t="shared" si="25"/>
        <v>632.71459373769198</v>
      </c>
      <c r="AP51" s="96"/>
      <c r="AQ51" s="97">
        <f t="shared" si="7"/>
        <v>1119</v>
      </c>
      <c r="AR51" s="98">
        <f t="shared" si="35"/>
        <v>144.15</v>
      </c>
      <c r="AS51" s="98">
        <f t="shared" si="9"/>
        <v>419.63</v>
      </c>
      <c r="AT51" s="98">
        <f t="shared" si="10"/>
        <v>198.32000000000002</v>
      </c>
      <c r="AU51" s="98">
        <f t="shared" si="24"/>
        <v>0</v>
      </c>
      <c r="AV51" s="98">
        <f t="array" ref="AV51">_xlfn.IFS(U51=0,AO51,U51&lt;0,AO51/-U51,U51&gt;0,AO51/U51)</f>
        <v>316.35729686884599</v>
      </c>
      <c r="AW51" s="234">
        <f t="shared" si="44"/>
        <v>0.2827142956826148</v>
      </c>
      <c r="AX51" s="234">
        <f t="shared" si="45"/>
        <v>2.1946395897942836</v>
      </c>
      <c r="AY51" s="99"/>
      <c r="AZ51" s="94">
        <f t="shared" si="13"/>
        <v>2214.5010780819221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6</v>
      </c>
      <c r="G52" s="93" t="s">
        <v>100</v>
      </c>
      <c r="H52" s="93">
        <v>44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204</v>
      </c>
      <c r="N52" s="89">
        <v>7</v>
      </c>
      <c r="O52" s="89">
        <v>1106</v>
      </c>
      <c r="P52" s="89">
        <v>0</v>
      </c>
      <c r="Q52" s="233">
        <f t="shared" si="14"/>
        <v>1</v>
      </c>
      <c r="R52" s="92">
        <f t="shared" si="15"/>
        <v>0</v>
      </c>
      <c r="S52" s="93">
        <v>0</v>
      </c>
      <c r="T52" s="93">
        <v>0</v>
      </c>
      <c r="U52" s="92">
        <f t="shared" si="16"/>
        <v>0</v>
      </c>
      <c r="V52" s="93">
        <v>0</v>
      </c>
      <c r="W52" s="93">
        <v>0</v>
      </c>
      <c r="X52" s="92">
        <f t="shared" si="17"/>
        <v>0</v>
      </c>
      <c r="Y52" s="93">
        <v>0</v>
      </c>
      <c r="Z52" s="93">
        <v>0</v>
      </c>
      <c r="AA52" s="92">
        <f t="shared" si="18"/>
        <v>0</v>
      </c>
      <c r="AB52" s="92">
        <f t="shared" si="19"/>
        <v>0</v>
      </c>
      <c r="AC52" s="234">
        <f t="shared" si="20"/>
        <v>0</v>
      </c>
      <c r="AD52" s="92">
        <f t="shared" si="21"/>
        <v>0</v>
      </c>
      <c r="AE52" s="93">
        <v>0</v>
      </c>
      <c r="AF52" s="234">
        <f t="shared" si="22"/>
        <v>0</v>
      </c>
      <c r="AG52" s="93">
        <v>202.04000000000002</v>
      </c>
      <c r="AH52" s="93"/>
      <c r="AI52" s="93"/>
      <c r="AJ52" s="93"/>
      <c r="AK52" s="93"/>
      <c r="AL52" s="122">
        <f t="shared" si="43"/>
        <v>29.361291847183928</v>
      </c>
      <c r="AM52" s="93">
        <v>0</v>
      </c>
      <c r="AN52" s="94">
        <f t="shared" si="23"/>
        <v>0</v>
      </c>
      <c r="AO52" s="95">
        <f t="shared" si="25"/>
        <v>-231.40129184718396</v>
      </c>
      <c r="AP52" s="96"/>
      <c r="AQ52" s="97">
        <f t="shared" si="7"/>
        <v>0</v>
      </c>
      <c r="AR52" s="98">
        <f t="shared" si="35"/>
        <v>96.18</v>
      </c>
      <c r="AS52" s="98">
        <f t="shared" si="9"/>
        <v>0</v>
      </c>
      <c r="AT52" s="98">
        <f t="shared" si="10"/>
        <v>202.04000000000002</v>
      </c>
      <c r="AU52" s="98">
        <f t="shared" si="24"/>
        <v>0</v>
      </c>
      <c r="AV52" s="98">
        <f t="array" ref="AV52">_xlfn.IFS(U52=0,AO52,U52&lt;0,AO52/-U52,U52&gt;0,AO52/U52)</f>
        <v>-231.40129184718396</v>
      </c>
      <c r="AW52" s="234">
        <f t="shared" si="44"/>
        <v>0</v>
      </c>
      <c r="AX52" s="234">
        <f t="shared" si="45"/>
        <v>-2.4059190252358489</v>
      </c>
      <c r="AY52" s="99"/>
      <c r="AZ52" s="94">
        <f t="shared" si="13"/>
        <v>-11801.465884206382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 t="s">
        <v>100</v>
      </c>
      <c r="G53" s="93">
        <v>1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701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109.16</v>
      </c>
      <c r="AH53" s="93"/>
      <c r="AI53" s="93"/>
      <c r="AJ53" s="93"/>
      <c r="AK53" s="93"/>
      <c r="AL53" s="122">
        <f t="shared" si="43"/>
        <v>30.695896022055926</v>
      </c>
      <c r="AM53" s="93">
        <v>0</v>
      </c>
      <c r="AN53" s="94">
        <f t="shared" si="23"/>
        <v>0</v>
      </c>
      <c r="AO53" s="95">
        <f t="shared" si="25"/>
        <v>-139.85589602205593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109.16</v>
      </c>
      <c r="AU53" s="98">
        <f t="shared" si="24"/>
        <v>0</v>
      </c>
      <c r="AV53" s="98">
        <f t="array" ref="AV53">_xlfn.IFS(U53=0,AO53,U53&lt;0,AO53/-U53,U53&gt;0,AO53/U53)</f>
        <v>-139.85589602205593</v>
      </c>
      <c r="AW53" s="234">
        <f t="shared" si="44"/>
        <v>0</v>
      </c>
      <c r="AX53" s="234">
        <f t="shared" si="45"/>
        <v>-1.454105801851278</v>
      </c>
      <c r="AY53" s="99"/>
      <c r="AZ53" s="94">
        <f t="shared" si="13"/>
        <v>-6713.0830090586842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6">SUM(F54:J54)</f>
        <v>48</v>
      </c>
      <c r="F54" s="93">
        <v>1</v>
      </c>
      <c r="G54" s="93">
        <v>1</v>
      </c>
      <c r="H54" s="93">
        <v>45</v>
      </c>
      <c r="I54" s="93">
        <v>0</v>
      </c>
      <c r="J54" s="93">
        <v>1</v>
      </c>
      <c r="K54" s="93">
        <v>123.09</v>
      </c>
      <c r="L54" s="92">
        <f t="shared" si="42"/>
        <v>5908.32</v>
      </c>
      <c r="M54" s="89">
        <v>246</v>
      </c>
      <c r="N54" s="89">
        <v>3</v>
      </c>
      <c r="O54" s="89">
        <v>998</v>
      </c>
      <c r="P54" s="89">
        <v>50</v>
      </c>
      <c r="Q54" s="233">
        <f t="shared" si="14"/>
        <v>0.42857142857142855</v>
      </c>
      <c r="R54" s="92">
        <f t="shared" si="15"/>
        <v>0.42857142857142855</v>
      </c>
      <c r="S54" s="93">
        <v>3</v>
      </c>
      <c r="T54" s="93">
        <v>0</v>
      </c>
      <c r="U54" s="92">
        <f t="shared" si="16"/>
        <v>3</v>
      </c>
      <c r="V54" s="93">
        <v>1910</v>
      </c>
      <c r="W54" s="93">
        <v>0</v>
      </c>
      <c r="X54" s="92">
        <f t="shared" si="17"/>
        <v>1910</v>
      </c>
      <c r="Y54" s="93">
        <v>2994</v>
      </c>
      <c r="Z54" s="93">
        <v>0</v>
      </c>
      <c r="AA54" s="92">
        <f t="shared" si="18"/>
        <v>2994</v>
      </c>
      <c r="AB54" s="92">
        <f t="shared" si="19"/>
        <v>1497</v>
      </c>
      <c r="AC54" s="234">
        <f t="shared" si="20"/>
        <v>1.0671968251457639E-3</v>
      </c>
      <c r="AD54" s="92">
        <f t="shared" si="21"/>
        <v>369.27</v>
      </c>
      <c r="AE54" s="93">
        <v>1131.8000000000002</v>
      </c>
      <c r="AF54" s="234">
        <f t="shared" si="22"/>
        <v>0.37802271209084842</v>
      </c>
      <c r="AG54" s="93">
        <v>441.35</v>
      </c>
      <c r="AH54" s="93"/>
      <c r="AI54" s="93"/>
      <c r="AJ54" s="93"/>
      <c r="AK54" s="93"/>
      <c r="AL54" s="122">
        <f t="shared" si="43"/>
        <v>30.028593934619931</v>
      </c>
      <c r="AM54" s="93">
        <v>0</v>
      </c>
      <c r="AN54" s="94">
        <f t="shared" si="23"/>
        <v>109.06099999999999</v>
      </c>
      <c r="AO54" s="95">
        <f t="shared" si="25"/>
        <v>912.49040606537994</v>
      </c>
      <c r="AP54" s="96"/>
      <c r="AQ54" s="97">
        <f t="shared" si="7"/>
        <v>998</v>
      </c>
      <c r="AR54" s="98">
        <f t="shared" si="35"/>
        <v>123.09</v>
      </c>
      <c r="AS54" s="98">
        <f t="shared" si="9"/>
        <v>377.26666666666671</v>
      </c>
      <c r="AT54" s="98">
        <f t="shared" si="10"/>
        <v>147.11666666666667</v>
      </c>
      <c r="AU54" s="98">
        <f t="shared" si="24"/>
        <v>0</v>
      </c>
      <c r="AV54" s="98">
        <f t="array" ref="AV54">_xlfn.IFS(U54=0,AO54,U54&lt;0,AO54/-U54,U54&gt;0,AO54/U54)</f>
        <v>304.16346868846</v>
      </c>
      <c r="AW54" s="234">
        <f t="shared" si="44"/>
        <v>0.30477301471789581</v>
      </c>
      <c r="AX54" s="234">
        <f t="shared" si="45"/>
        <v>2.4710656323702982</v>
      </c>
      <c r="AY54" s="99"/>
      <c r="AZ54" s="94">
        <f t="shared" si="13"/>
        <v>14599.846497046081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97.32</v>
      </c>
      <c r="AH55" s="93"/>
      <c r="AI55" s="93"/>
      <c r="AJ55" s="93"/>
      <c r="AK55" s="93"/>
      <c r="AL55" s="122">
        <f t="shared" si="43"/>
        <v>0</v>
      </c>
      <c r="AM55" s="93">
        <v>0</v>
      </c>
      <c r="AN55" s="94">
        <f t="shared" si="23"/>
        <v>0</v>
      </c>
      <c r="AO55" s="95">
        <f t="shared" si="25"/>
        <v>-97.32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97.32</v>
      </c>
      <c r="AU55" s="98">
        <f t="shared" si="24"/>
        <v>0</v>
      </c>
      <c r="AV55" s="98">
        <f t="array" ref="AV55">_xlfn.IFS(U55=0,AO55,U55&lt;0,AO55/-U55,U55&gt;0,AO55/U55)</f>
        <v>-97.32</v>
      </c>
      <c r="AW55" s="234">
        <f t="shared" si="44"/>
        <v>0</v>
      </c>
      <c r="AX55" s="234">
        <f t="shared" si="45"/>
        <v>-0.61520955812630373</v>
      </c>
      <c r="AY55" s="99"/>
      <c r="AZ55" s="94">
        <f t="shared" si="13"/>
        <v>-194.64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2"/>
        <v>152.34</v>
      </c>
      <c r="M56" s="89">
        <v>999</v>
      </c>
      <c r="N56" s="89">
        <v>1</v>
      </c>
      <c r="O56" s="89">
        <v>1049</v>
      </c>
      <c r="P56" s="89">
        <v>100</v>
      </c>
      <c r="Q56" s="233">
        <f t="shared" si="14"/>
        <v>0.14285714285714285</v>
      </c>
      <c r="R56" s="92">
        <f t="shared" si="15"/>
        <v>0.14285714285714285</v>
      </c>
      <c r="S56" s="93">
        <v>1</v>
      </c>
      <c r="T56" s="93">
        <v>0</v>
      </c>
      <c r="U56" s="92">
        <f t="shared" si="16"/>
        <v>1</v>
      </c>
      <c r="V56" s="93">
        <v>660</v>
      </c>
      <c r="W56" s="93">
        <v>0</v>
      </c>
      <c r="X56" s="92">
        <f t="shared" si="17"/>
        <v>660</v>
      </c>
      <c r="Y56" s="93">
        <v>1049</v>
      </c>
      <c r="Z56" s="93">
        <v>0</v>
      </c>
      <c r="AA56" s="92">
        <f t="shared" si="18"/>
        <v>1049</v>
      </c>
      <c r="AB56" s="92">
        <f t="shared" si="19"/>
        <v>1049</v>
      </c>
      <c r="AC56" s="234">
        <f t="shared" si="20"/>
        <v>3.7391097848293468E-4</v>
      </c>
      <c r="AD56" s="92">
        <f t="shared" si="21"/>
        <v>152.34</v>
      </c>
      <c r="AE56" s="93">
        <v>396.16999999999996</v>
      </c>
      <c r="AF56" s="234">
        <f t="shared" si="22"/>
        <v>0.37766444232602475</v>
      </c>
      <c r="AG56" s="93">
        <v>62.11</v>
      </c>
      <c r="AH56" s="93"/>
      <c r="AI56" s="93"/>
      <c r="AJ56" s="93"/>
      <c r="AK56" s="93"/>
      <c r="AL56" s="122">
        <f t="shared" si="43"/>
        <v>0</v>
      </c>
      <c r="AM56" s="93">
        <v>0</v>
      </c>
      <c r="AN56" s="94">
        <f t="shared" si="23"/>
        <v>37.686</v>
      </c>
      <c r="AO56" s="95">
        <f t="shared" si="25"/>
        <v>400.69400000000002</v>
      </c>
      <c r="AP56" s="96"/>
      <c r="AQ56" s="97">
        <f t="shared" si="7"/>
        <v>1049</v>
      </c>
      <c r="AR56" s="98">
        <f t="shared" si="35"/>
        <v>152.34</v>
      </c>
      <c r="AS56" s="98">
        <f t="shared" si="9"/>
        <v>396.16999999999996</v>
      </c>
      <c r="AT56" s="98">
        <f t="shared" si="10"/>
        <v>62.11</v>
      </c>
      <c r="AU56" s="98">
        <f t="shared" si="24"/>
        <v>0</v>
      </c>
      <c r="AV56" s="98">
        <f t="array" ref="AV56">_xlfn.IFS(U56=0,AO56,U56&lt;0,AO56/-U56,U56&gt;0,AO56/U56)</f>
        <v>400.69400000000002</v>
      </c>
      <c r="AW56" s="234">
        <f t="shared" si="44"/>
        <v>0.3819771210676835</v>
      </c>
      <c r="AX56" s="234">
        <f t="shared" si="45"/>
        <v>2.6302612577130104</v>
      </c>
      <c r="AY56" s="99"/>
      <c r="AZ56" s="94">
        <f t="shared" si="13"/>
        <v>400.69400000000002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43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41</v>
      </c>
      <c r="F58" s="93">
        <v>9</v>
      </c>
      <c r="G58" s="93">
        <v>3</v>
      </c>
      <c r="H58" s="93">
        <v>28</v>
      </c>
      <c r="I58" s="93">
        <v>0</v>
      </c>
      <c r="J58" s="93">
        <v>1</v>
      </c>
      <c r="K58" s="93">
        <v>169.89</v>
      </c>
      <c r="L58" s="92">
        <f t="shared" si="42"/>
        <v>6965.49</v>
      </c>
      <c r="M58" s="89">
        <v>50</v>
      </c>
      <c r="N58" s="89">
        <v>10</v>
      </c>
      <c r="O58" s="89">
        <v>1039</v>
      </c>
      <c r="P58" s="89">
        <v>33</v>
      </c>
      <c r="Q58" s="233">
        <f t="shared" si="14"/>
        <v>1.4285714285714286</v>
      </c>
      <c r="R58" s="92">
        <f t="shared" si="15"/>
        <v>0.14285714285714285</v>
      </c>
      <c r="S58" s="93">
        <v>1</v>
      </c>
      <c r="T58" s="93">
        <v>0</v>
      </c>
      <c r="U58" s="92">
        <f t="shared" si="16"/>
        <v>1</v>
      </c>
      <c r="V58" s="93">
        <v>602</v>
      </c>
      <c r="W58" s="93">
        <v>0</v>
      </c>
      <c r="X58" s="92">
        <f t="shared" si="17"/>
        <v>602</v>
      </c>
      <c r="Y58" s="93">
        <v>1039</v>
      </c>
      <c r="Z58" s="93">
        <v>0</v>
      </c>
      <c r="AA58" s="92">
        <f t="shared" si="18"/>
        <v>1039</v>
      </c>
      <c r="AB58" s="92">
        <f t="shared" si="19"/>
        <v>3428.7</v>
      </c>
      <c r="AC58" s="234">
        <f t="shared" si="20"/>
        <v>3.7034652682914121E-4</v>
      </c>
      <c r="AD58" s="92">
        <f t="shared" si="21"/>
        <v>169.89</v>
      </c>
      <c r="AE58" s="93">
        <v>390.32000000000005</v>
      </c>
      <c r="AF58" s="234">
        <f t="shared" si="22"/>
        <v>0.37566891241578448</v>
      </c>
      <c r="AG58" s="93">
        <v>760.87000000000012</v>
      </c>
      <c r="AH58" s="93">
        <v>1003</v>
      </c>
      <c r="AI58" s="93">
        <v>898</v>
      </c>
      <c r="AJ58" s="93"/>
      <c r="AK58" s="93"/>
      <c r="AL58" s="122">
        <f t="shared" si="43"/>
        <v>18.684458448207955</v>
      </c>
      <c r="AM58" s="93">
        <v>0</v>
      </c>
      <c r="AN58" s="94">
        <f t="shared" si="23"/>
        <v>34.374200000000002</v>
      </c>
      <c r="AO58" s="95">
        <f t="shared" si="25"/>
        <v>-2236.1386584482079</v>
      </c>
      <c r="AP58" s="96"/>
      <c r="AQ58" s="97">
        <f t="shared" si="7"/>
        <v>1039</v>
      </c>
      <c r="AR58" s="98">
        <f t="shared" si="35"/>
        <v>169.89</v>
      </c>
      <c r="AS58" s="98">
        <f t="shared" si="9"/>
        <v>390.32000000000005</v>
      </c>
      <c r="AT58" s="98">
        <f t="shared" si="10"/>
        <v>760.87000000000012</v>
      </c>
      <c r="AU58" s="98">
        <f t="shared" si="24"/>
        <v>1901</v>
      </c>
      <c r="AV58" s="98">
        <f t="array" ref="AV58">_xlfn.IFS(U58=0,AO58,U58&lt;0,AO58/-U58,U58&gt;0,AO58/U58)</f>
        <v>-2236.1386584482079</v>
      </c>
      <c r="AW58" s="234">
        <f t="shared" si="44"/>
        <v>-2.152202751153232</v>
      </c>
      <c r="AX58" s="234">
        <f t="shared" si="45"/>
        <v>-13.162273579658651</v>
      </c>
      <c r="AY58" s="99"/>
      <c r="AZ58" s="94">
        <f t="shared" si="13"/>
        <v>-91681.684996376527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43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69</v>
      </c>
      <c r="F60" s="93">
        <v>1</v>
      </c>
      <c r="G60" s="93">
        <v>3</v>
      </c>
      <c r="H60" s="93">
        <v>24</v>
      </c>
      <c r="I60" s="93">
        <v>0</v>
      </c>
      <c r="J60" s="93">
        <v>41</v>
      </c>
      <c r="K60" s="93">
        <v>158.19</v>
      </c>
      <c r="L60" s="92">
        <f t="shared" si="42"/>
        <v>10915.11</v>
      </c>
      <c r="M60" s="89">
        <v>379</v>
      </c>
      <c r="N60" s="89">
        <v>3</v>
      </c>
      <c r="O60" s="89">
        <v>1049</v>
      </c>
      <c r="P60" s="89">
        <v>50</v>
      </c>
      <c r="Q60" s="233">
        <f t="shared" si="14"/>
        <v>0.42857142857142855</v>
      </c>
      <c r="R60" s="92">
        <f t="shared" si="15"/>
        <v>0</v>
      </c>
      <c r="S60" s="93">
        <v>1</v>
      </c>
      <c r="T60" s="93">
        <v>-1</v>
      </c>
      <c r="U60" s="92">
        <f t="shared" si="16"/>
        <v>0</v>
      </c>
      <c r="V60" s="93">
        <v>660</v>
      </c>
      <c r="W60" s="93">
        <v>-643</v>
      </c>
      <c r="X60" s="92">
        <f t="shared" si="17"/>
        <v>17</v>
      </c>
      <c r="Y60" s="93">
        <v>1049</v>
      </c>
      <c r="Z60" s="93">
        <v>-1049</v>
      </c>
      <c r="AA60" s="92">
        <f t="shared" si="18"/>
        <v>0</v>
      </c>
      <c r="AB60" s="92">
        <f t="shared" si="19"/>
        <v>1573.5</v>
      </c>
      <c r="AC60" s="234">
        <f t="shared" si="20"/>
        <v>0</v>
      </c>
      <c r="AD60" s="92">
        <f t="shared" si="21"/>
        <v>0</v>
      </c>
      <c r="AE60" s="93">
        <v>0.67999999999994998</v>
      </c>
      <c r="AF60" s="234">
        <f t="shared" si="22"/>
        <v>0</v>
      </c>
      <c r="AG60" s="93">
        <v>206.48000000000002</v>
      </c>
      <c r="AH60" s="93"/>
      <c r="AI60" s="93"/>
      <c r="AJ60" s="93"/>
      <c r="AK60" s="93"/>
      <c r="AL60" s="122">
        <f t="shared" si="43"/>
        <v>16.015250098463959</v>
      </c>
      <c r="AM60" s="93">
        <v>0</v>
      </c>
      <c r="AN60" s="94">
        <f t="shared" si="23"/>
        <v>0.97070000000000001</v>
      </c>
      <c r="AO60" s="95">
        <f t="shared" si="25"/>
        <v>-224.14595009846391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206.48000000000002</v>
      </c>
      <c r="AU60" s="98">
        <f t="shared" si="24"/>
        <v>0</v>
      </c>
      <c r="AV60" s="98">
        <f t="array" ref="AV60">_xlfn.IFS(U60=0,AO60,U60&lt;0,AO60/-U60,U60&gt;0,AO60/U60)</f>
        <v>-224.14595009846391</v>
      </c>
      <c r="AW60" s="234">
        <f t="shared" si="44"/>
        <v>0</v>
      </c>
      <c r="AX60" s="234">
        <f t="shared" si="45"/>
        <v>-1.4169413369901001</v>
      </c>
      <c r="AY60" s="99"/>
      <c r="AZ60" s="94">
        <f t="shared" si="13"/>
        <v>-15466.070556794009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484</v>
      </c>
      <c r="F61" s="93" t="s">
        <v>100</v>
      </c>
      <c r="G61" s="93" t="s">
        <v>100</v>
      </c>
      <c r="H61" s="93">
        <v>163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4"/>
        <v>0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0</v>
      </c>
      <c r="AH61" s="93"/>
      <c r="AI61" s="93"/>
      <c r="AJ61" s="93"/>
      <c r="AK61" s="93"/>
      <c r="AL61" s="122">
        <f t="shared" si="43"/>
        <v>108.77024025206774</v>
      </c>
      <c r="AM61" s="93">
        <v>0</v>
      </c>
      <c r="AN61" s="94">
        <f t="shared" si="23"/>
        <v>0</v>
      </c>
      <c r="AO61" s="95">
        <f t="shared" si="25"/>
        <v>-108.77024025206774</v>
      </c>
      <c r="AP61" s="96"/>
      <c r="AQ61" s="97">
        <f t="shared" si="7"/>
        <v>0</v>
      </c>
      <c r="AR61" s="98">
        <f t="shared" si="35"/>
        <v>128.94</v>
      </c>
      <c r="AS61" s="98">
        <f t="shared" si="9"/>
        <v>0</v>
      </c>
      <c r="AT61" s="98">
        <f t="shared" si="10"/>
        <v>0</v>
      </c>
      <c r="AU61" s="98">
        <f t="shared" si="24"/>
        <v>0</v>
      </c>
      <c r="AV61" s="98">
        <f t="array" ref="AV61">_xlfn.IFS(U61=0,AO61,U61&lt;0,AO61/-U61,U61&gt;0,AO61/U61)</f>
        <v>-108.77024025206774</v>
      </c>
      <c r="AW61" s="234">
        <f t="shared" si="44"/>
        <v>0</v>
      </c>
      <c r="AX61" s="234">
        <f t="shared" si="45"/>
        <v>-0.84357251630268137</v>
      </c>
      <c r="AY61" s="99"/>
      <c r="AZ61" s="94">
        <f t="shared" si="13"/>
        <v>-52644.796282000782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43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43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43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16</v>
      </c>
      <c r="N65" s="89">
        <v>1</v>
      </c>
      <c r="O65" s="89">
        <v>998</v>
      </c>
      <c r="P65" s="89">
        <v>0</v>
      </c>
      <c r="Q65" s="233">
        <f t="shared" si="14"/>
        <v>0.14285714285714285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43"/>
        <v>0</v>
      </c>
      <c r="AM65" s="93">
        <v>0</v>
      </c>
      <c r="AN65" s="94">
        <f t="shared" si="23"/>
        <v>0</v>
      </c>
      <c r="AO65" s="95">
        <f t="shared" si="25"/>
        <v>0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4"/>
        <v>0</v>
      </c>
      <c r="AX65" s="234">
        <f t="shared" si="45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40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43"/>
        <v>0.66730208743599839</v>
      </c>
      <c r="AM66" s="93">
        <v>0</v>
      </c>
      <c r="AN66" s="94">
        <f t="shared" si="23"/>
        <v>0</v>
      </c>
      <c r="AO66" s="95">
        <f t="shared" si="25"/>
        <v>-0.66730208743599839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-0.66730208743599839</v>
      </c>
      <c r="AW66" s="234">
        <f t="shared" si="44"/>
        <v>0</v>
      </c>
      <c r="AX66" s="234">
        <f t="shared" si="45"/>
        <v>-6.8546696192706563E-3</v>
      </c>
      <c r="AY66" s="99"/>
      <c r="AZ66" s="94">
        <f t="shared" si="13"/>
        <v>-1.3346041748719968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3</v>
      </c>
      <c r="F67" s="93">
        <v>1</v>
      </c>
      <c r="G67" s="93">
        <v>1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485.09999999999997</v>
      </c>
      <c r="M67" s="89">
        <v>20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85.14</v>
      </c>
      <c r="AH67" s="93"/>
      <c r="AI67" s="93"/>
      <c r="AJ67" s="93"/>
      <c r="AK67" s="93"/>
      <c r="AL67" s="122">
        <f t="shared" ref="AL67:AL98" si="47">IFERROR($AL$126*H67/$H$126,0)</f>
        <v>0</v>
      </c>
      <c r="AM67" s="93">
        <v>0</v>
      </c>
      <c r="AN67" s="94">
        <f t="shared" si="23"/>
        <v>0</v>
      </c>
      <c r="AO67" s="95">
        <f t="shared" si="25"/>
        <v>-85.14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85.14</v>
      </c>
      <c r="AU67" s="98">
        <f t="shared" si="24"/>
        <v>0</v>
      </c>
      <c r="AV67" s="98">
        <f t="array" ref="AV67">_xlfn.IFS(U67=0,AO67,U67&lt;0,AO67/-U67,U67&gt;0,AO67/U67)</f>
        <v>-85.14</v>
      </c>
      <c r="AW67" s="234">
        <f t="shared" si="44"/>
        <v>0</v>
      </c>
      <c r="AX67" s="234">
        <f t="shared" si="45"/>
        <v>-0.52653061224489806</v>
      </c>
      <c r="AY67" s="99"/>
      <c r="AZ67" s="94">
        <f t="shared" si="13"/>
        <v>-255.42000000000002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8">N68/7</f>
        <v>0</v>
      </c>
      <c r="R68" s="92">
        <f t="shared" ref="R68:R103" si="49">U68/7</f>
        <v>0</v>
      </c>
      <c r="S68" s="93">
        <v>0</v>
      </c>
      <c r="T68" s="93">
        <v>0</v>
      </c>
      <c r="U68" s="92">
        <f t="shared" ref="U68:U103" si="50">S68+T68</f>
        <v>0</v>
      </c>
      <c r="V68" s="93">
        <v>0</v>
      </c>
      <c r="W68" s="93">
        <v>0</v>
      </c>
      <c r="X68" s="92">
        <f t="shared" ref="X68:X103" si="51">V68+W68</f>
        <v>0</v>
      </c>
      <c r="Y68" s="93">
        <v>0</v>
      </c>
      <c r="Z68" s="93">
        <v>0</v>
      </c>
      <c r="AA68" s="92">
        <f t="shared" ref="AA68:AA103" si="52">Y68+Z68</f>
        <v>0</v>
      </c>
      <c r="AB68" s="92">
        <f t="shared" ref="AB68:AB103" si="53">N68*O68*P68/100</f>
        <v>0</v>
      </c>
      <c r="AC68" s="234">
        <f t="shared" ref="AC68:AC103" si="54">AA68/$AA$126</f>
        <v>0</v>
      </c>
      <c r="AD68" s="92">
        <f t="shared" ref="AD68:AD103" si="55">U68*K68</f>
        <v>0</v>
      </c>
      <c r="AE68" s="93">
        <v>0</v>
      </c>
      <c r="AF68" s="234">
        <f t="shared" ref="AF68:AF103" si="56">IF(AA68=0,0,AE68/AA68)</f>
        <v>0</v>
      </c>
      <c r="AG68" s="93">
        <v>0</v>
      </c>
      <c r="AH68" s="93"/>
      <c r="AI68" s="93"/>
      <c r="AJ68" s="93"/>
      <c r="AK68" s="93"/>
      <c r="AL68" s="122">
        <f t="shared" si="47"/>
        <v>0</v>
      </c>
      <c r="AM68" s="93">
        <v>0</v>
      </c>
      <c r="AN68" s="94">
        <f t="shared" ref="AN68:AN98" si="57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13</v>
      </c>
      <c r="F69" s="93">
        <v>1</v>
      </c>
      <c r="G69" s="93" t="s">
        <v>100</v>
      </c>
      <c r="H69" s="93">
        <v>11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351</v>
      </c>
      <c r="N69" s="89">
        <v>1</v>
      </c>
      <c r="O69" s="89">
        <v>998</v>
      </c>
      <c r="P69" s="89">
        <v>0</v>
      </c>
      <c r="Q69" s="233">
        <f t="shared" si="48"/>
        <v>0.14285714285714285</v>
      </c>
      <c r="R69" s="92">
        <f t="shared" si="49"/>
        <v>0</v>
      </c>
      <c r="S69" s="93">
        <v>0</v>
      </c>
      <c r="T69" s="93">
        <v>0</v>
      </c>
      <c r="U69" s="92">
        <f t="shared" si="50"/>
        <v>0</v>
      </c>
      <c r="V69" s="93">
        <v>0</v>
      </c>
      <c r="W69" s="93">
        <v>0</v>
      </c>
      <c r="X69" s="92">
        <f t="shared" si="51"/>
        <v>0</v>
      </c>
      <c r="Y69" s="93">
        <v>0</v>
      </c>
      <c r="Z69" s="93">
        <v>0</v>
      </c>
      <c r="AA69" s="92">
        <f t="shared" si="52"/>
        <v>0</v>
      </c>
      <c r="AB69" s="92">
        <f t="shared" si="53"/>
        <v>0</v>
      </c>
      <c r="AC69" s="234">
        <f t="shared" si="54"/>
        <v>0</v>
      </c>
      <c r="AD69" s="92">
        <f t="shared" si="55"/>
        <v>0</v>
      </c>
      <c r="AE69" s="93">
        <v>0</v>
      </c>
      <c r="AF69" s="234">
        <f t="shared" si="56"/>
        <v>0</v>
      </c>
      <c r="AG69" s="93">
        <v>0</v>
      </c>
      <c r="AH69" s="93"/>
      <c r="AI69" s="93"/>
      <c r="AJ69" s="93"/>
      <c r="AK69" s="93"/>
      <c r="AL69" s="122">
        <f t="shared" si="47"/>
        <v>7.340322961795982</v>
      </c>
      <c r="AM69" s="93">
        <v>0</v>
      </c>
      <c r="AN69" s="94">
        <f t="shared" si="57"/>
        <v>0</v>
      </c>
      <c r="AO69" s="95">
        <f t="shared" ref="AO69:AO98" si="58">AA69-AD69-AE69-AG69-AH69-AI69-AK69-AL69-AN69-AM69</f>
        <v>-7.340322961795982</v>
      </c>
      <c r="AP69" s="96"/>
      <c r="AQ69" s="97">
        <f t="shared" si="7"/>
        <v>0</v>
      </c>
      <c r="AR69" s="98">
        <f t="shared" si="35"/>
        <v>140.63999999999999</v>
      </c>
      <c r="AS69" s="98">
        <f t="shared" si="9"/>
        <v>0</v>
      </c>
      <c r="AT69" s="98">
        <f t="shared" si="10"/>
        <v>0</v>
      </c>
      <c r="AU69" s="98">
        <f t="shared" si="24"/>
        <v>0</v>
      </c>
      <c r="AV69" s="98">
        <f t="array" ref="AV69">_xlfn.IFS(U69=0,AO69,U69&lt;0,AO69/-U69,U69&gt;0,AO69/U69)</f>
        <v>-7.340322961795982</v>
      </c>
      <c r="AW69" s="234">
        <f t="shared" si="44"/>
        <v>0</v>
      </c>
      <c r="AX69" s="234">
        <f t="shared" si="45"/>
        <v>-5.2192284995705225E-2</v>
      </c>
      <c r="AY69" s="99"/>
      <c r="AZ69" s="94">
        <f t="shared" si="13"/>
        <v>-95.424198503347768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7</v>
      </c>
      <c r="F70" s="93">
        <v>2</v>
      </c>
      <c r="G70" s="93" t="s">
        <v>100</v>
      </c>
      <c r="H70" s="93">
        <v>4</v>
      </c>
      <c r="I70" s="93">
        <v>0</v>
      </c>
      <c r="J70" s="93">
        <v>1</v>
      </c>
      <c r="K70" s="93">
        <v>117.24</v>
      </c>
      <c r="L70" s="92">
        <f t="shared" si="42"/>
        <v>820.68</v>
      </c>
      <c r="M70" s="89">
        <v>42</v>
      </c>
      <c r="N70" s="89">
        <v>2</v>
      </c>
      <c r="O70" s="89">
        <v>1048</v>
      </c>
      <c r="P70" s="89">
        <v>100</v>
      </c>
      <c r="Q70" s="233">
        <f t="shared" si="48"/>
        <v>0.2857142857142857</v>
      </c>
      <c r="R70" s="92">
        <f t="shared" si="49"/>
        <v>0.14285714285714285</v>
      </c>
      <c r="S70" s="93">
        <v>1</v>
      </c>
      <c r="T70" s="93">
        <v>0</v>
      </c>
      <c r="U70" s="92">
        <f t="shared" si="50"/>
        <v>1</v>
      </c>
      <c r="V70" s="93">
        <v>649</v>
      </c>
      <c r="W70" s="93">
        <v>0</v>
      </c>
      <c r="X70" s="92">
        <f t="shared" si="51"/>
        <v>649</v>
      </c>
      <c r="Y70" s="93">
        <v>1048</v>
      </c>
      <c r="Z70" s="93">
        <v>0</v>
      </c>
      <c r="AA70" s="92">
        <f t="shared" si="52"/>
        <v>1048</v>
      </c>
      <c r="AB70" s="92">
        <f t="shared" si="53"/>
        <v>2096</v>
      </c>
      <c r="AC70" s="234">
        <f t="shared" si="54"/>
        <v>3.7355453331755533E-4</v>
      </c>
      <c r="AD70" s="92">
        <f t="shared" si="55"/>
        <v>117.24</v>
      </c>
      <c r="AE70" s="93">
        <v>395.38</v>
      </c>
      <c r="AF70" s="234">
        <f t="shared" si="56"/>
        <v>0.37727099236641221</v>
      </c>
      <c r="AG70" s="93">
        <v>155</v>
      </c>
      <c r="AH70" s="93"/>
      <c r="AI70" s="93"/>
      <c r="AJ70" s="93"/>
      <c r="AK70" s="93"/>
      <c r="AL70" s="122">
        <f t="shared" si="47"/>
        <v>2.6692083497439936</v>
      </c>
      <c r="AM70" s="93">
        <v>0</v>
      </c>
      <c r="AN70" s="94">
        <f t="shared" si="57"/>
        <v>37.057899999999997</v>
      </c>
      <c r="AO70" s="95">
        <f t="shared" si="58"/>
        <v>340.65289165025598</v>
      </c>
      <c r="AP70" s="96"/>
      <c r="AQ70" s="97">
        <f t="shared" si="7"/>
        <v>1048</v>
      </c>
      <c r="AR70" s="98">
        <f t="shared" si="35"/>
        <v>117.24</v>
      </c>
      <c r="AS70" s="98">
        <f t="shared" si="9"/>
        <v>395.38</v>
      </c>
      <c r="AT70" s="98">
        <f t="shared" si="10"/>
        <v>155</v>
      </c>
      <c r="AU70" s="98">
        <f t="shared" si="24"/>
        <v>0</v>
      </c>
      <c r="AV70" s="98">
        <f t="array" ref="AV70">_xlfn.IFS(U70=0,AO70,U70&lt;0,AO70/-U70,U70&gt;0,AO70/U70)</f>
        <v>340.65289165025598</v>
      </c>
      <c r="AW70" s="234">
        <f t="shared" si="44"/>
        <v>0.32505046913192365</v>
      </c>
      <c r="AX70" s="234">
        <f t="shared" si="45"/>
        <v>2.9056029652870694</v>
      </c>
      <c r="AY70" s="99"/>
      <c r="AZ70" s="94">
        <f t="shared" si="13"/>
        <v>2384.5702415517917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16</v>
      </c>
      <c r="F71" s="93">
        <v>4</v>
      </c>
      <c r="G71" s="93">
        <v>2</v>
      </c>
      <c r="H71" s="93">
        <v>9</v>
      </c>
      <c r="I71" s="93">
        <v>0</v>
      </c>
      <c r="J71" s="93">
        <v>1</v>
      </c>
      <c r="K71" s="93">
        <v>123.09</v>
      </c>
      <c r="L71" s="92">
        <f t="shared" si="42"/>
        <v>1969.44</v>
      </c>
      <c r="M71" s="89">
        <v>36</v>
      </c>
      <c r="N71" s="89">
        <v>11</v>
      </c>
      <c r="O71" s="89">
        <v>702</v>
      </c>
      <c r="P71" s="89">
        <v>57</v>
      </c>
      <c r="Q71" s="233">
        <f t="shared" si="48"/>
        <v>1.5714285714285714</v>
      </c>
      <c r="R71" s="92">
        <f t="shared" si="49"/>
        <v>0.5714285714285714</v>
      </c>
      <c r="S71" s="93">
        <v>4</v>
      </c>
      <c r="T71" s="93">
        <v>0</v>
      </c>
      <c r="U71" s="92">
        <f t="shared" si="50"/>
        <v>4</v>
      </c>
      <c r="V71" s="93">
        <v>1911.65</v>
      </c>
      <c r="W71" s="93">
        <v>0</v>
      </c>
      <c r="X71" s="92">
        <f t="shared" si="51"/>
        <v>1911.65</v>
      </c>
      <c r="Y71" s="93">
        <v>2786.84</v>
      </c>
      <c r="Z71" s="93">
        <v>0</v>
      </c>
      <c r="AA71" s="92">
        <f t="shared" si="52"/>
        <v>2786.84</v>
      </c>
      <c r="AB71" s="92">
        <f t="shared" si="53"/>
        <v>4401.54</v>
      </c>
      <c r="AC71" s="234">
        <f t="shared" si="54"/>
        <v>9.9335564468577852E-4</v>
      </c>
      <c r="AD71" s="92">
        <f t="shared" si="55"/>
        <v>492.36</v>
      </c>
      <c r="AE71" s="93">
        <v>1050.5400000000002</v>
      </c>
      <c r="AF71" s="234">
        <f t="shared" si="56"/>
        <v>0.3769645907192376</v>
      </c>
      <c r="AG71" s="93">
        <v>1120.78</v>
      </c>
      <c r="AH71" s="93"/>
      <c r="AI71" s="93"/>
      <c r="AJ71" s="93"/>
      <c r="AK71" s="93"/>
      <c r="AL71" s="122">
        <f t="shared" si="47"/>
        <v>6.0057187869239854</v>
      </c>
      <c r="AM71" s="93">
        <v>0</v>
      </c>
      <c r="AN71" s="94">
        <f t="shared" si="57"/>
        <v>109.155215</v>
      </c>
      <c r="AO71" s="95">
        <f t="shared" si="58"/>
        <v>7.9990662130758778</v>
      </c>
      <c r="AP71" s="96"/>
      <c r="AQ71" s="97">
        <f t="shared" si="7"/>
        <v>696.71</v>
      </c>
      <c r="AR71" s="98">
        <f t="shared" si="35"/>
        <v>123.09</v>
      </c>
      <c r="AS71" s="98">
        <f t="shared" si="9"/>
        <v>262.63500000000005</v>
      </c>
      <c r="AT71" s="98">
        <f t="shared" si="10"/>
        <v>280.19499999999999</v>
      </c>
      <c r="AU71" s="98">
        <f t="shared" ref="AU71:AU98" si="59">IF(S71=0,0,(AH71+AI71+AJ71)/S71)</f>
        <v>0</v>
      </c>
      <c r="AV71" s="98">
        <f t="array" ref="AV71">_xlfn.IFS(U71=0,AO71,U71&lt;0,AO71/-U71,U71&gt;0,AO71/U71)</f>
        <v>1.9997665532689695</v>
      </c>
      <c r="AW71" s="234">
        <f t="shared" si="44"/>
        <v>2.8702997707352692E-3</v>
      </c>
      <c r="AX71" s="234">
        <f t="shared" si="45"/>
        <v>1.6246377067746929E-2</v>
      </c>
      <c r="AY71" s="99"/>
      <c r="AZ71" s="94">
        <f t="shared" si="13"/>
        <v>31.996264852303511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8</v>
      </c>
      <c r="F72" s="93">
        <v>5</v>
      </c>
      <c r="G72" s="93">
        <v>2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984.72</v>
      </c>
      <c r="M72" s="89">
        <v>10</v>
      </c>
      <c r="N72" s="89">
        <v>4</v>
      </c>
      <c r="O72" s="89">
        <v>837</v>
      </c>
      <c r="P72" s="89">
        <v>0</v>
      </c>
      <c r="Q72" s="233">
        <f t="shared" si="48"/>
        <v>0.5714285714285714</v>
      </c>
      <c r="R72" s="92">
        <f t="shared" si="49"/>
        <v>0</v>
      </c>
      <c r="S72" s="93">
        <v>0</v>
      </c>
      <c r="T72" s="93">
        <v>0</v>
      </c>
      <c r="U72" s="92">
        <f t="shared" si="50"/>
        <v>0</v>
      </c>
      <c r="V72" s="93">
        <v>0</v>
      </c>
      <c r="W72" s="93">
        <v>0</v>
      </c>
      <c r="X72" s="92">
        <f t="shared" si="51"/>
        <v>0</v>
      </c>
      <c r="Y72" s="93">
        <v>0</v>
      </c>
      <c r="Z72" s="93">
        <v>0</v>
      </c>
      <c r="AA72" s="92">
        <f t="shared" si="52"/>
        <v>0</v>
      </c>
      <c r="AB72" s="92">
        <f t="shared" si="53"/>
        <v>0</v>
      </c>
      <c r="AC72" s="234">
        <f t="shared" si="54"/>
        <v>0</v>
      </c>
      <c r="AD72" s="92">
        <f t="shared" si="55"/>
        <v>0</v>
      </c>
      <c r="AE72" s="93">
        <v>0</v>
      </c>
      <c r="AF72" s="234">
        <f t="shared" si="56"/>
        <v>0</v>
      </c>
      <c r="AG72" s="93">
        <v>574.61</v>
      </c>
      <c r="AH72" s="93"/>
      <c r="AI72" s="93"/>
      <c r="AJ72" s="93"/>
      <c r="AK72" s="93"/>
      <c r="AL72" s="122">
        <f t="shared" si="47"/>
        <v>0</v>
      </c>
      <c r="AM72" s="93">
        <v>0</v>
      </c>
      <c r="AN72" s="94">
        <f t="shared" si="57"/>
        <v>0</v>
      </c>
      <c r="AO72" s="95">
        <f t="shared" si="58"/>
        <v>-574.61</v>
      </c>
      <c r="AP72" s="96"/>
      <c r="AQ72" s="97">
        <f t="shared" si="7"/>
        <v>0</v>
      </c>
      <c r="AR72" s="98">
        <f t="shared" si="35"/>
        <v>123.09</v>
      </c>
      <c r="AS72" s="98">
        <f t="shared" si="9"/>
        <v>0</v>
      </c>
      <c r="AT72" s="98">
        <f t="shared" si="10"/>
        <v>574.61</v>
      </c>
      <c r="AU72" s="98">
        <f t="shared" si="59"/>
        <v>0</v>
      </c>
      <c r="AV72" s="98">
        <f t="array" ref="AV72">_xlfn.IFS(U72=0,AO72,U72&lt;0,AO72/-U72,U72&gt;0,AO72/U72)</f>
        <v>-574.61</v>
      </c>
      <c r="AW72" s="234">
        <f t="shared" si="44"/>
        <v>0</v>
      </c>
      <c r="AX72" s="234">
        <f t="shared" si="45"/>
        <v>-4.6682102526606544</v>
      </c>
      <c r="AY72" s="99"/>
      <c r="AZ72" s="94">
        <f t="shared" si="13"/>
        <v>-4596.88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9</v>
      </c>
      <c r="F73" s="93">
        <v>7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1107.81</v>
      </c>
      <c r="M73" s="89">
        <v>12</v>
      </c>
      <c r="N73" s="89">
        <v>5</v>
      </c>
      <c r="O73" s="89">
        <v>807</v>
      </c>
      <c r="P73" s="89">
        <v>0</v>
      </c>
      <c r="Q73" s="233">
        <f t="shared" si="48"/>
        <v>0.7142857142857143</v>
      </c>
      <c r="R73" s="92">
        <f t="shared" si="49"/>
        <v>0</v>
      </c>
      <c r="S73" s="93">
        <v>0</v>
      </c>
      <c r="T73" s="93">
        <v>0</v>
      </c>
      <c r="U73" s="92">
        <f t="shared" si="50"/>
        <v>0</v>
      </c>
      <c r="V73" s="93">
        <v>0</v>
      </c>
      <c r="W73" s="93">
        <v>0</v>
      </c>
      <c r="X73" s="92">
        <f t="shared" si="51"/>
        <v>0</v>
      </c>
      <c r="Y73" s="93">
        <v>0</v>
      </c>
      <c r="Z73" s="93">
        <v>0</v>
      </c>
      <c r="AA73" s="92">
        <f t="shared" si="52"/>
        <v>0</v>
      </c>
      <c r="AB73" s="92">
        <f t="shared" si="53"/>
        <v>0</v>
      </c>
      <c r="AC73" s="234">
        <f t="shared" si="54"/>
        <v>0</v>
      </c>
      <c r="AD73" s="92">
        <f t="shared" si="55"/>
        <v>0</v>
      </c>
      <c r="AE73" s="93">
        <v>0</v>
      </c>
      <c r="AF73" s="234">
        <f t="shared" si="56"/>
        <v>0</v>
      </c>
      <c r="AG73" s="93">
        <v>455.1</v>
      </c>
      <c r="AH73" s="93"/>
      <c r="AI73" s="93"/>
      <c r="AJ73" s="93"/>
      <c r="AK73" s="93"/>
      <c r="AL73" s="122">
        <f t="shared" si="47"/>
        <v>0</v>
      </c>
      <c r="AM73" s="93">
        <v>0</v>
      </c>
      <c r="AN73" s="94">
        <f t="shared" si="57"/>
        <v>0</v>
      </c>
      <c r="AO73" s="95">
        <f t="shared" si="58"/>
        <v>-455.1</v>
      </c>
      <c r="AP73" s="96"/>
      <c r="AQ73" s="97">
        <f t="shared" si="7"/>
        <v>0</v>
      </c>
      <c r="AR73" s="98">
        <f t="shared" si="35"/>
        <v>123.09</v>
      </c>
      <c r="AS73" s="98">
        <f t="shared" si="9"/>
        <v>0</v>
      </c>
      <c r="AT73" s="98">
        <f t="shared" si="10"/>
        <v>455.1</v>
      </c>
      <c r="AU73" s="98">
        <f t="shared" si="59"/>
        <v>0</v>
      </c>
      <c r="AV73" s="98">
        <f t="array" ref="AV73">_xlfn.IFS(U73=0,AO73,U73&lt;0,AO73/-U73,U73&gt;0,AO73/U73)</f>
        <v>-455.1</v>
      </c>
      <c r="AW73" s="234">
        <f t="shared" si="44"/>
        <v>0</v>
      </c>
      <c r="AX73" s="234">
        <f t="shared" si="45"/>
        <v>-3.6972946624421157</v>
      </c>
      <c r="AY73" s="99"/>
      <c r="AZ73" s="94">
        <f t="shared" si="13"/>
        <v>-4095.9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8"/>
        <v>0</v>
      </c>
      <c r="R74" s="92">
        <f t="shared" si="49"/>
        <v>0</v>
      </c>
      <c r="S74" s="93">
        <v>0</v>
      </c>
      <c r="T74" s="93">
        <v>0</v>
      </c>
      <c r="U74" s="92">
        <f t="shared" si="50"/>
        <v>0</v>
      </c>
      <c r="V74" s="93">
        <v>0</v>
      </c>
      <c r="W74" s="93">
        <v>0</v>
      </c>
      <c r="X74" s="92">
        <f t="shared" si="51"/>
        <v>0</v>
      </c>
      <c r="Y74" s="93">
        <v>0</v>
      </c>
      <c r="Z74" s="93">
        <v>0</v>
      </c>
      <c r="AA74" s="92">
        <f t="shared" si="52"/>
        <v>0</v>
      </c>
      <c r="AB74" s="92">
        <f t="shared" si="53"/>
        <v>0</v>
      </c>
      <c r="AC74" s="234">
        <f t="shared" si="54"/>
        <v>0</v>
      </c>
      <c r="AD74" s="92">
        <f t="shared" si="55"/>
        <v>0</v>
      </c>
      <c r="AE74" s="93">
        <v>0</v>
      </c>
      <c r="AF74" s="234">
        <f t="shared" si="56"/>
        <v>0</v>
      </c>
      <c r="AG74" s="93">
        <v>0</v>
      </c>
      <c r="AH74" s="93"/>
      <c r="AI74" s="93"/>
      <c r="AJ74" s="93"/>
      <c r="AK74" s="93"/>
      <c r="AL74" s="122">
        <f t="shared" si="47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33</v>
      </c>
      <c r="F75" s="93">
        <v>3</v>
      </c>
      <c r="G75" s="93">
        <v>2</v>
      </c>
      <c r="H75" s="93">
        <v>27</v>
      </c>
      <c r="I75" s="93">
        <v>0</v>
      </c>
      <c r="J75" s="93">
        <v>1</v>
      </c>
      <c r="K75" s="93">
        <v>134.79</v>
      </c>
      <c r="L75" s="92">
        <f t="shared" si="42"/>
        <v>4448.07</v>
      </c>
      <c r="M75" s="89">
        <v>29</v>
      </c>
      <c r="N75" s="89">
        <v>3</v>
      </c>
      <c r="O75" s="89">
        <v>763</v>
      </c>
      <c r="P75" s="89">
        <v>0</v>
      </c>
      <c r="Q75" s="233">
        <f t="shared" si="48"/>
        <v>0.42857142857142855</v>
      </c>
      <c r="R75" s="92">
        <f t="shared" si="49"/>
        <v>0</v>
      </c>
      <c r="S75" s="93">
        <v>0</v>
      </c>
      <c r="T75" s="93">
        <v>0</v>
      </c>
      <c r="U75" s="92">
        <f t="shared" si="50"/>
        <v>0</v>
      </c>
      <c r="V75" s="93">
        <v>0</v>
      </c>
      <c r="W75" s="93">
        <v>0</v>
      </c>
      <c r="X75" s="92">
        <f t="shared" si="51"/>
        <v>0</v>
      </c>
      <c r="Y75" s="93">
        <v>0</v>
      </c>
      <c r="Z75" s="93">
        <v>0</v>
      </c>
      <c r="AA75" s="92">
        <f t="shared" si="52"/>
        <v>0</v>
      </c>
      <c r="AB75" s="92">
        <f t="shared" si="53"/>
        <v>0</v>
      </c>
      <c r="AC75" s="234">
        <f t="shared" si="54"/>
        <v>0</v>
      </c>
      <c r="AD75" s="92">
        <f t="shared" si="55"/>
        <v>0</v>
      </c>
      <c r="AE75" s="93">
        <v>0</v>
      </c>
      <c r="AF75" s="234">
        <f t="shared" si="56"/>
        <v>0</v>
      </c>
      <c r="AG75" s="93">
        <v>115.07</v>
      </c>
      <c r="AH75" s="93"/>
      <c r="AI75" s="93"/>
      <c r="AJ75" s="93"/>
      <c r="AK75" s="93"/>
      <c r="AL75" s="122">
        <f t="shared" si="47"/>
        <v>18.017156360771956</v>
      </c>
      <c r="AM75" s="93">
        <v>0</v>
      </c>
      <c r="AN75" s="94">
        <f t="shared" si="57"/>
        <v>0</v>
      </c>
      <c r="AO75" s="95">
        <f t="shared" si="58"/>
        <v>-133.08715636077196</v>
      </c>
      <c r="AP75" s="96"/>
      <c r="AQ75" s="97">
        <f t="shared" si="7"/>
        <v>0</v>
      </c>
      <c r="AR75" s="98">
        <f t="shared" si="35"/>
        <v>134.79</v>
      </c>
      <c r="AS75" s="98">
        <f t="shared" si="9"/>
        <v>0</v>
      </c>
      <c r="AT75" s="98">
        <f t="shared" si="10"/>
        <v>115.07</v>
      </c>
      <c r="AU75" s="98">
        <f t="shared" si="59"/>
        <v>0</v>
      </c>
      <c r="AV75" s="98">
        <f t="array" ref="AV75">_xlfn.IFS(U75=0,AO75,U75&lt;0,AO75/-U75,U75&gt;0,AO75/U75)</f>
        <v>-133.08715636077196</v>
      </c>
      <c r="AW75" s="234">
        <f t="shared" si="44"/>
        <v>0</v>
      </c>
      <c r="AX75" s="234">
        <f t="shared" si="45"/>
        <v>-0.98736669160005908</v>
      </c>
      <c r="AY75" s="99"/>
      <c r="AZ75" s="94">
        <f t="shared" si="13"/>
        <v>-4391.8761599054742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49</v>
      </c>
      <c r="F76" s="93">
        <v>1</v>
      </c>
      <c r="G76" s="93">
        <v>1</v>
      </c>
      <c r="H76" s="93">
        <v>46</v>
      </c>
      <c r="I76" s="93">
        <v>0</v>
      </c>
      <c r="J76" s="93">
        <v>1</v>
      </c>
      <c r="K76" s="93">
        <v>123.09</v>
      </c>
      <c r="L76" s="92">
        <f t="shared" si="42"/>
        <v>6031.41</v>
      </c>
      <c r="M76" s="89">
        <v>282</v>
      </c>
      <c r="N76" s="89">
        <v>3</v>
      </c>
      <c r="O76" s="89">
        <v>1050</v>
      </c>
      <c r="P76" s="89">
        <v>0</v>
      </c>
      <c r="Q76" s="233">
        <f t="shared" si="48"/>
        <v>0.42857142857142855</v>
      </c>
      <c r="R76" s="92">
        <f t="shared" si="49"/>
        <v>-0.2857142857142857</v>
      </c>
      <c r="S76" s="93">
        <v>0</v>
      </c>
      <c r="T76" s="93">
        <v>-2</v>
      </c>
      <c r="U76" s="92">
        <f t="shared" si="50"/>
        <v>-2</v>
      </c>
      <c r="V76" s="93">
        <v>0</v>
      </c>
      <c r="W76" s="93">
        <v>-1339</v>
      </c>
      <c r="X76" s="92">
        <f t="shared" si="51"/>
        <v>-1339</v>
      </c>
      <c r="Y76" s="93">
        <v>0</v>
      </c>
      <c r="Z76" s="93">
        <v>-2100</v>
      </c>
      <c r="AA76" s="92">
        <f t="shared" si="52"/>
        <v>-2100</v>
      </c>
      <c r="AB76" s="92">
        <f t="shared" si="53"/>
        <v>0</v>
      </c>
      <c r="AC76" s="234">
        <f t="shared" si="54"/>
        <v>-7.4853484729662796E-4</v>
      </c>
      <c r="AD76" s="92">
        <f t="shared" si="55"/>
        <v>-246.18</v>
      </c>
      <c r="AE76" s="93">
        <v>-799.8</v>
      </c>
      <c r="AF76" s="234">
        <f t="shared" si="56"/>
        <v>0.38085714285714284</v>
      </c>
      <c r="AG76" s="93">
        <v>498.17</v>
      </c>
      <c r="AH76" s="93"/>
      <c r="AI76" s="93"/>
      <c r="AJ76" s="93"/>
      <c r="AK76" s="93"/>
      <c r="AL76" s="122">
        <f t="shared" si="47"/>
        <v>30.695896022055926</v>
      </c>
      <c r="AM76" s="93">
        <v>0</v>
      </c>
      <c r="AN76" s="94">
        <f t="shared" si="57"/>
        <v>-76.45689999999999</v>
      </c>
      <c r="AO76" s="95">
        <f t="shared" si="58"/>
        <v>-1506.428996022056</v>
      </c>
      <c r="AP76" s="96"/>
      <c r="AQ76" s="97">
        <f t="shared" si="7"/>
        <v>1050</v>
      </c>
      <c r="AR76" s="98">
        <f t="shared" si="35"/>
        <v>123.09</v>
      </c>
      <c r="AS76" s="98">
        <f t="shared" si="9"/>
        <v>399.9</v>
      </c>
      <c r="AT76" s="98">
        <f t="shared" si="10"/>
        <v>498.17</v>
      </c>
      <c r="AU76" s="98">
        <f t="shared" si="59"/>
        <v>0</v>
      </c>
      <c r="AV76" s="98">
        <f t="array" ref="AV76">_xlfn.IFS(U76=0,AO76,U76&lt;0,AO76/-U76,U76&gt;0,AO76/U76)</f>
        <v>-753.21449801102801</v>
      </c>
      <c r="AW76" s="234">
        <f t="shared" si="44"/>
        <v>-0.71734714096288377</v>
      </c>
      <c r="AX76" s="234">
        <f t="shared" si="45"/>
        <v>-6.1192176294664717</v>
      </c>
      <c r="AY76" s="99"/>
      <c r="AZ76" s="94">
        <f t="shared" si="13"/>
        <v>-36907.510402540371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43</v>
      </c>
      <c r="F77" s="93">
        <v>1</v>
      </c>
      <c r="G77" s="93" t="s">
        <v>100</v>
      </c>
      <c r="H77" s="93">
        <v>38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581</v>
      </c>
      <c r="N77" s="89">
        <v>2</v>
      </c>
      <c r="O77" s="89">
        <v>1150</v>
      </c>
      <c r="P77" s="89">
        <v>0</v>
      </c>
      <c r="Q77" s="233">
        <f t="shared" si="48"/>
        <v>0.2857142857142857</v>
      </c>
      <c r="R77" s="92">
        <f t="shared" si="49"/>
        <v>0</v>
      </c>
      <c r="S77" s="93">
        <v>0</v>
      </c>
      <c r="T77" s="93">
        <v>0</v>
      </c>
      <c r="U77" s="92">
        <f t="shared" si="50"/>
        <v>0</v>
      </c>
      <c r="V77" s="93">
        <v>0</v>
      </c>
      <c r="W77" s="93">
        <v>0</v>
      </c>
      <c r="X77" s="92">
        <f t="shared" si="51"/>
        <v>0</v>
      </c>
      <c r="Y77" s="93">
        <v>0</v>
      </c>
      <c r="Z77" s="93">
        <v>0</v>
      </c>
      <c r="AA77" s="92">
        <f t="shared" si="52"/>
        <v>0</v>
      </c>
      <c r="AB77" s="92">
        <f t="shared" si="53"/>
        <v>0</v>
      </c>
      <c r="AC77" s="234">
        <f t="shared" si="54"/>
        <v>0</v>
      </c>
      <c r="AD77" s="92">
        <f t="shared" si="55"/>
        <v>0</v>
      </c>
      <c r="AE77" s="93">
        <v>0</v>
      </c>
      <c r="AF77" s="234">
        <f t="shared" si="56"/>
        <v>0</v>
      </c>
      <c r="AG77" s="93">
        <v>115.07</v>
      </c>
      <c r="AH77" s="93"/>
      <c r="AI77" s="93"/>
      <c r="AJ77" s="93"/>
      <c r="AK77" s="93"/>
      <c r="AL77" s="122">
        <f t="shared" si="47"/>
        <v>25.35747932256794</v>
      </c>
      <c r="AM77" s="93">
        <v>0</v>
      </c>
      <c r="AN77" s="94">
        <f t="shared" si="57"/>
        <v>0</v>
      </c>
      <c r="AO77" s="95">
        <f t="shared" si="58"/>
        <v>-140.42747932256793</v>
      </c>
      <c r="AP77" s="96"/>
      <c r="AQ77" s="97">
        <f t="shared" si="7"/>
        <v>0</v>
      </c>
      <c r="AR77" s="98">
        <f t="shared" si="35"/>
        <v>123.09</v>
      </c>
      <c r="AS77" s="98">
        <f t="shared" si="9"/>
        <v>0</v>
      </c>
      <c r="AT77" s="98">
        <f t="shared" si="10"/>
        <v>115.07</v>
      </c>
      <c r="AU77" s="98">
        <f t="shared" si="59"/>
        <v>0</v>
      </c>
      <c r="AV77" s="98">
        <f t="array" ref="AV77">_xlfn.IFS(U77=0,AO77,U77&lt;0,AO77/-U77,U77&gt;0,AO77/U77)</f>
        <v>-140.42747932256793</v>
      </c>
      <c r="AW77" s="234">
        <f t="shared" si="44"/>
        <v>0</v>
      </c>
      <c r="AX77" s="234">
        <f t="shared" si="45"/>
        <v>-1.1408520539651306</v>
      </c>
      <c r="AY77" s="99"/>
      <c r="AZ77" s="94">
        <f t="shared" si="13"/>
        <v>-6038.3816108704214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26</v>
      </c>
      <c r="F78" s="93">
        <v>5</v>
      </c>
      <c r="G78" s="93" t="s">
        <v>100</v>
      </c>
      <c r="H78" s="93">
        <v>20</v>
      </c>
      <c r="I78" s="93">
        <v>0</v>
      </c>
      <c r="J78" s="93">
        <v>1</v>
      </c>
      <c r="K78" s="93">
        <v>123.09</v>
      </c>
      <c r="L78" s="92">
        <f t="shared" si="42"/>
        <v>3200.34</v>
      </c>
      <c r="M78" s="89">
        <v>71</v>
      </c>
      <c r="N78" s="89">
        <v>7</v>
      </c>
      <c r="O78" s="89">
        <v>1000</v>
      </c>
      <c r="P78" s="89">
        <v>33</v>
      </c>
      <c r="Q78" s="233">
        <f t="shared" si="48"/>
        <v>1</v>
      </c>
      <c r="R78" s="92">
        <f t="shared" si="49"/>
        <v>0.2857142857142857</v>
      </c>
      <c r="S78" s="93">
        <v>2</v>
      </c>
      <c r="T78" s="93">
        <v>0</v>
      </c>
      <c r="U78" s="92">
        <f t="shared" si="50"/>
        <v>2</v>
      </c>
      <c r="V78" s="93">
        <v>1334</v>
      </c>
      <c r="W78" s="93">
        <v>0</v>
      </c>
      <c r="X78" s="92">
        <f t="shared" si="51"/>
        <v>1334</v>
      </c>
      <c r="Y78" s="93">
        <v>2150</v>
      </c>
      <c r="Z78" s="93">
        <v>0</v>
      </c>
      <c r="AA78" s="92">
        <f t="shared" si="52"/>
        <v>2150</v>
      </c>
      <c r="AB78" s="92">
        <f t="shared" si="53"/>
        <v>2310</v>
      </c>
      <c r="AC78" s="234">
        <f t="shared" si="54"/>
        <v>7.6635710556559539E-4</v>
      </c>
      <c r="AD78" s="92">
        <f t="shared" si="55"/>
        <v>246.18</v>
      </c>
      <c r="AE78" s="93">
        <v>788.13999999999987</v>
      </c>
      <c r="AF78" s="234">
        <f t="shared" si="56"/>
        <v>0.36657674418604647</v>
      </c>
      <c r="AG78" s="93">
        <v>406.16999999999996</v>
      </c>
      <c r="AH78" s="93"/>
      <c r="AI78" s="93"/>
      <c r="AJ78" s="93"/>
      <c r="AK78" s="93"/>
      <c r="AL78" s="122">
        <f t="shared" si="47"/>
        <v>13.346041748719969</v>
      </c>
      <c r="AM78" s="93">
        <v>0</v>
      </c>
      <c r="AN78" s="94">
        <f t="shared" si="57"/>
        <v>76.171399999999991</v>
      </c>
      <c r="AO78" s="95">
        <f t="shared" si="58"/>
        <v>619.99255825128023</v>
      </c>
      <c r="AP78" s="96"/>
      <c r="AQ78" s="97">
        <f t="shared" si="7"/>
        <v>1075</v>
      </c>
      <c r="AR78" s="98">
        <f t="shared" si="35"/>
        <v>123.09</v>
      </c>
      <c r="AS78" s="98">
        <f t="shared" si="9"/>
        <v>394.06999999999994</v>
      </c>
      <c r="AT78" s="98">
        <f t="shared" si="10"/>
        <v>203.08499999999998</v>
      </c>
      <c r="AU78" s="98">
        <f t="shared" si="59"/>
        <v>0</v>
      </c>
      <c r="AV78" s="98">
        <f t="array" ref="AV78">_xlfn.IFS(U78=0,AO78,U78&lt;0,AO78/-U78,U78&gt;0,AO78/U78)</f>
        <v>309.99627912564011</v>
      </c>
      <c r="AW78" s="234">
        <f t="shared" si="44"/>
        <v>0.2883686317447815</v>
      </c>
      <c r="AX78" s="234">
        <f t="shared" si="45"/>
        <v>2.5184521823514512</v>
      </c>
      <c r="AY78" s="99"/>
      <c r="AZ78" s="94">
        <f t="shared" si="13"/>
        <v>8059.9032572666429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49</v>
      </c>
      <c r="F79" s="93">
        <v>2</v>
      </c>
      <c r="G79" s="93" t="s">
        <v>100</v>
      </c>
      <c r="H79" s="93">
        <v>46</v>
      </c>
      <c r="I79" s="93">
        <v>0</v>
      </c>
      <c r="J79" s="93">
        <v>1</v>
      </c>
      <c r="K79" s="93">
        <v>164.04</v>
      </c>
      <c r="L79" s="92">
        <f t="shared" si="42"/>
        <v>8037.96</v>
      </c>
      <c r="M79" s="89">
        <v>719</v>
      </c>
      <c r="N79" s="89">
        <v>2</v>
      </c>
      <c r="O79" s="89">
        <v>1500</v>
      </c>
      <c r="P79" s="89">
        <v>0</v>
      </c>
      <c r="Q79" s="233">
        <f t="shared" si="48"/>
        <v>0.2857142857142857</v>
      </c>
      <c r="R79" s="92">
        <f t="shared" si="49"/>
        <v>0</v>
      </c>
      <c r="S79" s="93">
        <v>1</v>
      </c>
      <c r="T79" s="93">
        <v>-1</v>
      </c>
      <c r="U79" s="92">
        <f t="shared" si="50"/>
        <v>0</v>
      </c>
      <c r="V79" s="93">
        <v>901</v>
      </c>
      <c r="W79" s="93">
        <v>-901</v>
      </c>
      <c r="X79" s="92">
        <f t="shared" si="51"/>
        <v>0</v>
      </c>
      <c r="Y79" s="93">
        <v>1455</v>
      </c>
      <c r="Z79" s="93">
        <v>-1455</v>
      </c>
      <c r="AA79" s="92">
        <f t="shared" si="52"/>
        <v>0</v>
      </c>
      <c r="AB79" s="92">
        <f t="shared" si="53"/>
        <v>0</v>
      </c>
      <c r="AC79" s="234">
        <f t="shared" si="54"/>
        <v>0</v>
      </c>
      <c r="AD79" s="92">
        <f t="shared" si="55"/>
        <v>0</v>
      </c>
      <c r="AE79" s="93">
        <v>0</v>
      </c>
      <c r="AF79" s="234">
        <f t="shared" si="56"/>
        <v>0</v>
      </c>
      <c r="AG79" s="93">
        <v>203.53</v>
      </c>
      <c r="AH79" s="93"/>
      <c r="AI79" s="93"/>
      <c r="AJ79" s="93"/>
      <c r="AK79" s="93"/>
      <c r="AL79" s="122">
        <f t="shared" si="47"/>
        <v>30.695896022055926</v>
      </c>
      <c r="AM79" s="93">
        <v>0</v>
      </c>
      <c r="AN79" s="94">
        <f t="shared" si="57"/>
        <v>0</v>
      </c>
      <c r="AO79" s="95">
        <f t="shared" si="58"/>
        <v>-234.22589602205593</v>
      </c>
      <c r="AP79" s="96"/>
      <c r="AQ79" s="97">
        <f t="shared" si="7"/>
        <v>0</v>
      </c>
      <c r="AR79" s="98">
        <f t="shared" si="35"/>
        <v>164.04</v>
      </c>
      <c r="AS79" s="98">
        <f t="shared" si="9"/>
        <v>0</v>
      </c>
      <c r="AT79" s="98">
        <f t="shared" si="10"/>
        <v>203.53</v>
      </c>
      <c r="AU79" s="98">
        <f t="shared" si="59"/>
        <v>0</v>
      </c>
      <c r="AV79" s="98">
        <f t="array" ref="AV79">_xlfn.IFS(U79=0,AO79,U79&lt;0,AO79/-U79,U79&gt;0,AO79/U79)</f>
        <v>-234.22589602205593</v>
      </c>
      <c r="AW79" s="234">
        <f t="shared" si="44"/>
        <v>0</v>
      </c>
      <c r="AX79" s="234">
        <f t="shared" si="45"/>
        <v>-1.4278584249088999</v>
      </c>
      <c r="AY79" s="99"/>
      <c r="AZ79" s="94">
        <f t="shared" si="13"/>
        <v>-11477.068905080741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44</v>
      </c>
      <c r="F80" s="93">
        <v>4</v>
      </c>
      <c r="G80" s="93">
        <v>2</v>
      </c>
      <c r="H80" s="93">
        <v>37</v>
      </c>
      <c r="I80" s="93">
        <v>0</v>
      </c>
      <c r="J80" s="93">
        <v>1</v>
      </c>
      <c r="K80" s="93">
        <v>164.04</v>
      </c>
      <c r="L80" s="92">
        <f t="shared" si="42"/>
        <v>7217.7599999999993</v>
      </c>
      <c r="M80" s="89">
        <v>118</v>
      </c>
      <c r="N80" s="89">
        <v>6</v>
      </c>
      <c r="O80" s="89">
        <v>987</v>
      </c>
      <c r="P80" s="89">
        <v>33</v>
      </c>
      <c r="Q80" s="233">
        <f t="shared" si="48"/>
        <v>0.8571428571428571</v>
      </c>
      <c r="R80" s="92">
        <f t="shared" si="49"/>
        <v>0.42857142857142855</v>
      </c>
      <c r="S80" s="93">
        <v>3</v>
      </c>
      <c r="T80" s="93">
        <v>0</v>
      </c>
      <c r="U80" s="92">
        <f t="shared" si="50"/>
        <v>3</v>
      </c>
      <c r="V80" s="93">
        <v>1956</v>
      </c>
      <c r="W80" s="93">
        <v>0</v>
      </c>
      <c r="X80" s="92">
        <f t="shared" si="51"/>
        <v>1956</v>
      </c>
      <c r="Y80" s="93">
        <v>3045</v>
      </c>
      <c r="Z80" s="93">
        <v>0</v>
      </c>
      <c r="AA80" s="92">
        <f t="shared" si="52"/>
        <v>3045</v>
      </c>
      <c r="AB80" s="92">
        <f t="shared" si="53"/>
        <v>1954.26</v>
      </c>
      <c r="AC80" s="234">
        <f t="shared" si="54"/>
        <v>1.0853755285801106E-3</v>
      </c>
      <c r="AD80" s="92">
        <f t="shared" si="55"/>
        <v>492.12</v>
      </c>
      <c r="AE80" s="93">
        <v>1162.7800000000002</v>
      </c>
      <c r="AF80" s="234">
        <f t="shared" si="56"/>
        <v>0.38186535303776692</v>
      </c>
      <c r="AG80" s="93">
        <v>375.08</v>
      </c>
      <c r="AH80" s="93"/>
      <c r="AI80" s="93"/>
      <c r="AJ80" s="93"/>
      <c r="AK80" s="93"/>
      <c r="AL80" s="122">
        <f t="shared" si="47"/>
        <v>24.690177235131941</v>
      </c>
      <c r="AM80" s="93">
        <v>0</v>
      </c>
      <c r="AN80" s="94">
        <f t="shared" si="57"/>
        <v>111.68759999999999</v>
      </c>
      <c r="AO80" s="95">
        <f t="shared" si="58"/>
        <v>878.64222276486805</v>
      </c>
      <c r="AP80" s="96"/>
      <c r="AQ80" s="97">
        <f t="shared" si="7"/>
        <v>1015</v>
      </c>
      <c r="AR80" s="98">
        <f t="shared" si="35"/>
        <v>164.04</v>
      </c>
      <c r="AS80" s="98">
        <f t="shared" si="9"/>
        <v>387.59333333333342</v>
      </c>
      <c r="AT80" s="98">
        <f t="shared" si="10"/>
        <v>125.02666666666666</v>
      </c>
      <c r="AU80" s="98">
        <f t="shared" si="59"/>
        <v>0</v>
      </c>
      <c r="AV80" s="98">
        <f t="array" ref="AV80">_xlfn.IFS(U80=0,AO80,U80&lt;0,AO80/-U80,U80&gt;0,AO80/U80)</f>
        <v>292.8807409216227</v>
      </c>
      <c r="AW80" s="234">
        <f t="shared" si="44"/>
        <v>0.2885524541099731</v>
      </c>
      <c r="AX80" s="234">
        <f t="shared" si="45"/>
        <v>1.785422707398334</v>
      </c>
      <c r="AY80" s="99"/>
      <c r="AZ80" s="94">
        <f t="shared" si="13"/>
        <v>12886.752600551399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34</v>
      </c>
      <c r="F81" s="93">
        <v>10</v>
      </c>
      <c r="G81" s="93">
        <v>3</v>
      </c>
      <c r="H81" s="93">
        <v>20</v>
      </c>
      <c r="I81" s="93">
        <v>0</v>
      </c>
      <c r="J81" s="93">
        <v>1</v>
      </c>
      <c r="K81" s="93">
        <v>128.94</v>
      </c>
      <c r="L81" s="92">
        <f t="shared" si="42"/>
        <v>4383.96</v>
      </c>
      <c r="M81" s="89">
        <v>33</v>
      </c>
      <c r="N81" s="89">
        <v>14</v>
      </c>
      <c r="O81" s="89">
        <v>1167</v>
      </c>
      <c r="P81" s="89">
        <v>50</v>
      </c>
      <c r="Q81" s="233">
        <f t="shared" si="48"/>
        <v>2</v>
      </c>
      <c r="R81" s="92">
        <f t="shared" si="49"/>
        <v>0.7142857142857143</v>
      </c>
      <c r="S81" s="93">
        <v>5</v>
      </c>
      <c r="T81" s="93">
        <v>0</v>
      </c>
      <c r="U81" s="92">
        <f t="shared" si="50"/>
        <v>5</v>
      </c>
      <c r="V81" s="93">
        <v>3552</v>
      </c>
      <c r="W81" s="93">
        <v>0</v>
      </c>
      <c r="X81" s="92">
        <f t="shared" si="51"/>
        <v>3552</v>
      </c>
      <c r="Y81" s="93">
        <v>5835</v>
      </c>
      <c r="Z81" s="93">
        <v>0</v>
      </c>
      <c r="AA81" s="92">
        <f t="shared" si="52"/>
        <v>5835</v>
      </c>
      <c r="AB81" s="92">
        <f t="shared" si="53"/>
        <v>8169</v>
      </c>
      <c r="AC81" s="234">
        <f t="shared" si="54"/>
        <v>2.079857539988488E-3</v>
      </c>
      <c r="AD81" s="92">
        <f t="shared" si="55"/>
        <v>644.70000000000005</v>
      </c>
      <c r="AE81" s="93">
        <v>2166.8000000000002</v>
      </c>
      <c r="AF81" s="234">
        <f t="shared" si="56"/>
        <v>0.37134532990574126</v>
      </c>
      <c r="AG81" s="93">
        <v>1067.8899999999999</v>
      </c>
      <c r="AH81" s="93">
        <v>2176</v>
      </c>
      <c r="AI81" s="93">
        <v>944</v>
      </c>
      <c r="AJ81" s="93"/>
      <c r="AK81" s="93"/>
      <c r="AL81" s="122">
        <f t="shared" si="47"/>
        <v>13.346041748719969</v>
      </c>
      <c r="AM81" s="93">
        <v>0</v>
      </c>
      <c r="AN81" s="94">
        <f t="shared" si="57"/>
        <v>202.8192</v>
      </c>
      <c r="AO81" s="95">
        <f t="shared" si="58"/>
        <v>-1380.5552417487197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433.36</v>
      </c>
      <c r="AT81" s="98">
        <f t="shared" si="10"/>
        <v>213.57799999999997</v>
      </c>
      <c r="AU81" s="98">
        <f t="shared" si="59"/>
        <v>624</v>
      </c>
      <c r="AV81" s="98">
        <f t="array" ref="AV81">_xlfn.IFS(U81=0,AO81,U81&lt;0,AO81/-U81,U81&gt;0,AO81/U81)</f>
        <v>-276.11104834974395</v>
      </c>
      <c r="AW81" s="234">
        <f t="shared" si="44"/>
        <v>-0.23659901315316534</v>
      </c>
      <c r="AX81" s="234">
        <f t="shared" si="45"/>
        <v>-2.1413917197901657</v>
      </c>
      <c r="AY81" s="99"/>
      <c r="AZ81" s="94">
        <f t="shared" si="13"/>
        <v>-9387.7756438912947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8"/>
        <v>0</v>
      </c>
      <c r="R82" s="92">
        <f t="shared" si="49"/>
        <v>0</v>
      </c>
      <c r="S82" s="93">
        <v>0</v>
      </c>
      <c r="T82" s="93">
        <v>0</v>
      </c>
      <c r="U82" s="92">
        <f t="shared" si="50"/>
        <v>0</v>
      </c>
      <c r="V82" s="93">
        <v>0</v>
      </c>
      <c r="W82" s="93">
        <v>0</v>
      </c>
      <c r="X82" s="92">
        <f t="shared" si="51"/>
        <v>0</v>
      </c>
      <c r="Y82" s="93">
        <v>0</v>
      </c>
      <c r="Z82" s="93">
        <v>0</v>
      </c>
      <c r="AA82" s="92">
        <f t="shared" si="52"/>
        <v>0</v>
      </c>
      <c r="AB82" s="92">
        <f t="shared" si="53"/>
        <v>0</v>
      </c>
      <c r="AC82" s="234">
        <f t="shared" si="54"/>
        <v>0</v>
      </c>
      <c r="AD82" s="92">
        <f t="shared" si="55"/>
        <v>0</v>
      </c>
      <c r="AE82" s="93">
        <v>0</v>
      </c>
      <c r="AF82" s="234">
        <f t="shared" si="56"/>
        <v>0</v>
      </c>
      <c r="AG82" s="93">
        <v>0</v>
      </c>
      <c r="AH82" s="93"/>
      <c r="AI82" s="93"/>
      <c r="AJ82" s="93"/>
      <c r="AK82" s="93"/>
      <c r="AL82" s="122">
        <f t="shared" si="47"/>
        <v>32.030500196927918</v>
      </c>
      <c r="AM82" s="93">
        <v>0</v>
      </c>
      <c r="AN82" s="94">
        <f t="shared" si="57"/>
        <v>0</v>
      </c>
      <c r="AO82" s="95">
        <f t="shared" si="58"/>
        <v>-32.030500196927918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0</v>
      </c>
      <c r="AU82" s="98">
        <f t="shared" si="59"/>
        <v>0</v>
      </c>
      <c r="AV82" s="98">
        <f t="array" ref="AV82">_xlfn.IFS(U82=0,AO82,U82&lt;0,AO82/-U82,U82&gt;0,AO82/U82)</f>
        <v>-32.030500196927918</v>
      </c>
      <c r="AW82" s="234">
        <f t="shared" si="44"/>
        <v>0</v>
      </c>
      <c r="AX82" s="234">
        <f t="shared" si="45"/>
        <v>-0.24841399253085092</v>
      </c>
      <c r="AY82" s="99"/>
      <c r="AZ82" s="94">
        <f t="shared" si="13"/>
        <v>-1569.494509649468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>
        <v>4</v>
      </c>
      <c r="G83" s="93">
        <v>1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42"/>
        <v>5908.32</v>
      </c>
      <c r="M83" s="89">
        <v>202</v>
      </c>
      <c r="N83" s="89">
        <v>4</v>
      </c>
      <c r="O83" s="89">
        <v>1375</v>
      </c>
      <c r="P83" s="89">
        <v>0</v>
      </c>
      <c r="Q83" s="233">
        <f t="shared" si="48"/>
        <v>0.5714285714285714</v>
      </c>
      <c r="R83" s="92">
        <f t="shared" si="49"/>
        <v>0.2857142857142857</v>
      </c>
      <c r="S83" s="93">
        <v>2</v>
      </c>
      <c r="T83" s="93">
        <v>0</v>
      </c>
      <c r="U83" s="92">
        <f t="shared" si="50"/>
        <v>2</v>
      </c>
      <c r="V83" s="93">
        <v>1617</v>
      </c>
      <c r="W83" s="93">
        <v>0</v>
      </c>
      <c r="X83" s="92">
        <f t="shared" si="51"/>
        <v>1617</v>
      </c>
      <c r="Y83" s="93">
        <v>2750</v>
      </c>
      <c r="Z83" s="93">
        <v>0</v>
      </c>
      <c r="AA83" s="92">
        <f t="shared" si="52"/>
        <v>2750</v>
      </c>
      <c r="AB83" s="92">
        <f t="shared" si="53"/>
        <v>0</v>
      </c>
      <c r="AC83" s="234">
        <f t="shared" si="54"/>
        <v>9.8022420479320325E-4</v>
      </c>
      <c r="AD83" s="92">
        <f t="shared" si="55"/>
        <v>246.18</v>
      </c>
      <c r="AE83" s="93">
        <v>1034.04</v>
      </c>
      <c r="AF83" s="234">
        <f t="shared" si="56"/>
        <v>0.37601454545454543</v>
      </c>
      <c r="AG83" s="93">
        <v>212.69</v>
      </c>
      <c r="AH83" s="93"/>
      <c r="AI83" s="93"/>
      <c r="AJ83" s="93"/>
      <c r="AK83" s="93"/>
      <c r="AL83" s="122">
        <f t="shared" si="47"/>
        <v>28.026687672311933</v>
      </c>
      <c r="AM83" s="93">
        <v>0</v>
      </c>
      <c r="AN83" s="94">
        <f t="shared" si="57"/>
        <v>92.330699999999993</v>
      </c>
      <c r="AO83" s="95">
        <f t="shared" si="58"/>
        <v>1136.7326123276882</v>
      </c>
      <c r="AP83" s="96"/>
      <c r="AQ83" s="97">
        <f t="shared" si="7"/>
        <v>1375</v>
      </c>
      <c r="AR83" s="98">
        <f t="shared" si="35"/>
        <v>123.09</v>
      </c>
      <c r="AS83" s="98">
        <f t="shared" si="9"/>
        <v>517.02</v>
      </c>
      <c r="AT83" s="98">
        <f t="shared" si="10"/>
        <v>106.345</v>
      </c>
      <c r="AU83" s="98">
        <f t="shared" si="59"/>
        <v>0</v>
      </c>
      <c r="AV83" s="98">
        <f t="array" ref="AV83">_xlfn.IFS(U83=0,AO83,U83&lt;0,AO83/-U83,U83&gt;0,AO83/U83)</f>
        <v>568.36630616384411</v>
      </c>
      <c r="AW83" s="234">
        <f t="shared" si="44"/>
        <v>0.41335731357370481</v>
      </c>
      <c r="AX83" s="234">
        <f t="shared" si="45"/>
        <v>4.617485629733074</v>
      </c>
      <c r="AY83" s="99"/>
      <c r="AZ83" s="94">
        <f t="shared" si="13"/>
        <v>27281.582695864519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8"/>
        <v>0</v>
      </c>
      <c r="R84" s="92">
        <f t="shared" si="49"/>
        <v>0</v>
      </c>
      <c r="S84" s="93">
        <v>0</v>
      </c>
      <c r="T84" s="93">
        <v>0</v>
      </c>
      <c r="U84" s="92">
        <f t="shared" si="50"/>
        <v>0</v>
      </c>
      <c r="V84" s="93">
        <v>0</v>
      </c>
      <c r="W84" s="93">
        <v>0</v>
      </c>
      <c r="X84" s="92">
        <f t="shared" si="51"/>
        <v>0</v>
      </c>
      <c r="Y84" s="93">
        <v>0</v>
      </c>
      <c r="Z84" s="93">
        <v>0</v>
      </c>
      <c r="AA84" s="92">
        <f t="shared" si="52"/>
        <v>0</v>
      </c>
      <c r="AB84" s="92">
        <f t="shared" si="53"/>
        <v>0</v>
      </c>
      <c r="AC84" s="234">
        <f t="shared" si="54"/>
        <v>0</v>
      </c>
      <c r="AD84" s="92">
        <f t="shared" si="55"/>
        <v>0</v>
      </c>
      <c r="AE84" s="93">
        <v>0</v>
      </c>
      <c r="AF84" s="234">
        <f t="shared" si="56"/>
        <v>0</v>
      </c>
      <c r="AG84" s="93">
        <v>0</v>
      </c>
      <c r="AH84" s="93"/>
      <c r="AI84" s="93"/>
      <c r="AJ84" s="93"/>
      <c r="AK84" s="93"/>
      <c r="AL84" s="122">
        <f t="shared" si="47"/>
        <v>32.030500196927918</v>
      </c>
      <c r="AM84" s="93">
        <v>0</v>
      </c>
      <c r="AN84" s="94">
        <f t="shared" si="57"/>
        <v>0</v>
      </c>
      <c r="AO84" s="95">
        <f t="shared" si="58"/>
        <v>-32.030500196927918</v>
      </c>
      <c r="AP84" s="96"/>
      <c r="AQ84" s="97">
        <f t="shared" si="7"/>
        <v>0</v>
      </c>
      <c r="AR84" s="98">
        <f t="shared" si="35"/>
        <v>146.49</v>
      </c>
      <c r="AS84" s="98">
        <f t="shared" si="9"/>
        <v>0</v>
      </c>
      <c r="AT84" s="98">
        <f t="shared" si="10"/>
        <v>0</v>
      </c>
      <c r="AU84" s="98">
        <f t="shared" si="59"/>
        <v>0</v>
      </c>
      <c r="AV84" s="98">
        <f t="array" ref="AV84">_xlfn.IFS(U84=0,AO84,U84&lt;0,AO84/-U84,U84&gt;0,AO84/U84)</f>
        <v>-32.030500196927918</v>
      </c>
      <c r="AW84" s="234">
        <f t="shared" si="44"/>
        <v>0</v>
      </c>
      <c r="AX84" s="234">
        <f t="shared" si="45"/>
        <v>-0.21865315173000147</v>
      </c>
      <c r="AY84" s="99"/>
      <c r="AZ84" s="94">
        <f t="shared" si="13"/>
        <v>-1569.494509649468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44</v>
      </c>
      <c r="F85" s="93">
        <v>3</v>
      </c>
      <c r="G85" s="93">
        <v>1</v>
      </c>
      <c r="H85" s="93">
        <v>39</v>
      </c>
      <c r="I85" s="93">
        <v>0</v>
      </c>
      <c r="J85" s="93">
        <v>1</v>
      </c>
      <c r="K85" s="93">
        <v>103.2</v>
      </c>
      <c r="L85" s="92">
        <f t="shared" si="42"/>
        <v>4540.8</v>
      </c>
      <c r="M85" s="89">
        <v>999</v>
      </c>
      <c r="N85" s="89">
        <v>4</v>
      </c>
      <c r="O85" s="89">
        <v>1008</v>
      </c>
      <c r="P85" s="89">
        <v>0</v>
      </c>
      <c r="Q85" s="233">
        <f t="shared" si="48"/>
        <v>0.5714285714285714</v>
      </c>
      <c r="R85" s="92">
        <f t="shared" si="49"/>
        <v>0</v>
      </c>
      <c r="S85" s="93">
        <v>0</v>
      </c>
      <c r="T85" s="93">
        <v>0</v>
      </c>
      <c r="U85" s="92">
        <f t="shared" si="50"/>
        <v>0</v>
      </c>
      <c r="V85" s="93">
        <v>0</v>
      </c>
      <c r="W85" s="93">
        <v>0</v>
      </c>
      <c r="X85" s="92">
        <f t="shared" si="51"/>
        <v>0</v>
      </c>
      <c r="Y85" s="93">
        <v>0</v>
      </c>
      <c r="Z85" s="93">
        <v>0</v>
      </c>
      <c r="AA85" s="92">
        <f t="shared" si="52"/>
        <v>0</v>
      </c>
      <c r="AB85" s="92">
        <f t="shared" si="53"/>
        <v>0</v>
      </c>
      <c r="AC85" s="234">
        <f t="shared" si="54"/>
        <v>0</v>
      </c>
      <c r="AD85" s="92">
        <f t="shared" si="55"/>
        <v>0</v>
      </c>
      <c r="AE85" s="93">
        <v>0</v>
      </c>
      <c r="AF85" s="234">
        <f t="shared" si="56"/>
        <v>0</v>
      </c>
      <c r="AG85" s="93">
        <v>529.79999999999995</v>
      </c>
      <c r="AH85" s="93"/>
      <c r="AI85" s="93"/>
      <c r="AJ85" s="93"/>
      <c r="AK85" s="93"/>
      <c r="AL85" s="122">
        <f t="shared" si="47"/>
        <v>26.024781410003936</v>
      </c>
      <c r="AM85" s="93">
        <v>20</v>
      </c>
      <c r="AN85" s="94">
        <f t="shared" si="57"/>
        <v>0</v>
      </c>
      <c r="AO85" s="95">
        <f t="shared" si="58"/>
        <v>-575.82478141000388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529.79999999999995</v>
      </c>
      <c r="AU85" s="98">
        <f t="shared" si="59"/>
        <v>0</v>
      </c>
      <c r="AV85" s="98">
        <f t="array" ref="AV85">_xlfn.IFS(U85=0,AO85,U85&lt;0,AO85/-U85,U85&gt;0,AO85/U85)</f>
        <v>-575.82478141000388</v>
      </c>
      <c r="AW85" s="234">
        <f t="shared" si="44"/>
        <v>0</v>
      </c>
      <c r="AX85" s="234">
        <f t="shared" si="45"/>
        <v>-5.5796974942829829</v>
      </c>
      <c r="AY85" s="99"/>
      <c r="AZ85" s="94">
        <f t="shared" si="13"/>
        <v>-25336.29038204017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47</v>
      </c>
      <c r="F86" s="93" t="s">
        <v>100</v>
      </c>
      <c r="G86" s="93" t="s">
        <v>100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7050</v>
      </c>
      <c r="M86" s="89">
        <v>705</v>
      </c>
      <c r="N86" s="89">
        <v>0</v>
      </c>
      <c r="O86" s="89">
        <v>0</v>
      </c>
      <c r="P86" s="89">
        <v>0</v>
      </c>
      <c r="Q86" s="233">
        <f t="shared" si="48"/>
        <v>0</v>
      </c>
      <c r="R86" s="92">
        <f t="shared" si="49"/>
        <v>0.14285714285714285</v>
      </c>
      <c r="S86" s="93">
        <v>1</v>
      </c>
      <c r="T86" s="93">
        <v>0</v>
      </c>
      <c r="U86" s="92">
        <f t="shared" si="50"/>
        <v>1</v>
      </c>
      <c r="V86" s="93">
        <v>980.62</v>
      </c>
      <c r="W86" s="93">
        <v>0</v>
      </c>
      <c r="X86" s="92">
        <f t="shared" si="51"/>
        <v>980.62</v>
      </c>
      <c r="Y86" s="93">
        <v>1365.03</v>
      </c>
      <c r="Z86" s="93">
        <v>0</v>
      </c>
      <c r="AA86" s="92">
        <f t="shared" si="52"/>
        <v>1365.03</v>
      </c>
      <c r="AB86" s="92">
        <f t="shared" si="53"/>
        <v>0</v>
      </c>
      <c r="AC86" s="234">
        <f t="shared" si="54"/>
        <v>4.8655834409776959E-4</v>
      </c>
      <c r="AD86" s="92">
        <f t="shared" si="55"/>
        <v>150</v>
      </c>
      <c r="AE86" s="93">
        <v>503.72</v>
      </c>
      <c r="AF86" s="234">
        <f t="shared" si="56"/>
        <v>0.36901753075023996</v>
      </c>
      <c r="AG86" s="93">
        <v>59.16</v>
      </c>
      <c r="AH86" s="93"/>
      <c r="AI86" s="93"/>
      <c r="AJ86" s="93"/>
      <c r="AK86" s="93"/>
      <c r="AL86" s="122">
        <f t="shared" si="47"/>
        <v>30.695896022055926</v>
      </c>
      <c r="AM86" s="93">
        <v>0</v>
      </c>
      <c r="AN86" s="94">
        <f t="shared" si="57"/>
        <v>55.993401999999996</v>
      </c>
      <c r="AO86" s="95">
        <f t="shared" si="58"/>
        <v>565.46070197794415</v>
      </c>
      <c r="AP86" s="96"/>
      <c r="AQ86" s="97">
        <f t="shared" si="7"/>
        <v>1365.03</v>
      </c>
      <c r="AR86" s="98">
        <f t="shared" si="35"/>
        <v>150</v>
      </c>
      <c r="AS86" s="98">
        <f t="shared" si="9"/>
        <v>503.72</v>
      </c>
      <c r="AT86" s="98">
        <f t="shared" si="10"/>
        <v>59.16</v>
      </c>
      <c r="AU86" s="98">
        <f t="shared" si="59"/>
        <v>0</v>
      </c>
      <c r="AV86" s="98">
        <f t="array" ref="AV86">_xlfn.IFS(U86=0,AO86,U86&lt;0,AO86/-U86,U86&gt;0,AO86/U86)</f>
        <v>565.46070197794415</v>
      </c>
      <c r="AW86" s="234">
        <f t="shared" si="44"/>
        <v>0.41424782017827022</v>
      </c>
      <c r="AX86" s="234">
        <f t="shared" si="45"/>
        <v>3.7697380131862945</v>
      </c>
      <c r="AY86" s="99"/>
      <c r="AZ86" s="94">
        <f t="shared" si="13"/>
        <v>26576.652992963376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45</v>
      </c>
      <c r="F87" s="93">
        <v>10</v>
      </c>
      <c r="G87" s="93" t="s">
        <v>100</v>
      </c>
      <c r="H87" s="93">
        <v>34</v>
      </c>
      <c r="I87" s="93">
        <v>0</v>
      </c>
      <c r="J87" s="93">
        <v>1</v>
      </c>
      <c r="K87" s="93">
        <v>150</v>
      </c>
      <c r="L87" s="92">
        <f t="shared" si="42"/>
        <v>6750</v>
      </c>
      <c r="M87" s="89">
        <v>110</v>
      </c>
      <c r="N87" s="89">
        <v>10</v>
      </c>
      <c r="O87" s="89">
        <v>1056</v>
      </c>
      <c r="P87" s="89">
        <v>0</v>
      </c>
      <c r="Q87" s="233">
        <f t="shared" si="48"/>
        <v>1.4285714285714286</v>
      </c>
      <c r="R87" s="92">
        <f t="shared" si="49"/>
        <v>0.14285714285714285</v>
      </c>
      <c r="S87" s="93">
        <v>1</v>
      </c>
      <c r="T87" s="93">
        <v>0</v>
      </c>
      <c r="U87" s="92">
        <f t="shared" si="50"/>
        <v>1</v>
      </c>
      <c r="V87" s="93">
        <v>992.17</v>
      </c>
      <c r="W87" s="93">
        <v>0</v>
      </c>
      <c r="X87" s="92">
        <f t="shared" si="51"/>
        <v>992.17</v>
      </c>
      <c r="Y87" s="93">
        <v>1353.25</v>
      </c>
      <c r="Z87" s="93">
        <v>0</v>
      </c>
      <c r="AA87" s="92">
        <f t="shared" si="52"/>
        <v>1353.25</v>
      </c>
      <c r="AB87" s="92">
        <f t="shared" si="53"/>
        <v>0</v>
      </c>
      <c r="AC87" s="234">
        <f t="shared" si="54"/>
        <v>4.8235942004960086E-4</v>
      </c>
      <c r="AD87" s="92">
        <f t="shared" si="55"/>
        <v>150</v>
      </c>
      <c r="AE87" s="93">
        <v>499.84000000000003</v>
      </c>
      <c r="AF87" s="234">
        <f t="shared" si="56"/>
        <v>0.36936264548309627</v>
      </c>
      <c r="AG87" s="93">
        <v>155.89999999999998</v>
      </c>
      <c r="AH87" s="93">
        <v>1000</v>
      </c>
      <c r="AI87" s="93">
        <v>1000</v>
      </c>
      <c r="AJ87" s="93"/>
      <c r="AK87" s="93"/>
      <c r="AL87" s="122">
        <f t="shared" si="47"/>
        <v>22.688270972823943</v>
      </c>
      <c r="AM87" s="93">
        <v>0</v>
      </c>
      <c r="AN87" s="94">
        <f t="shared" si="57"/>
        <v>56.652906999999999</v>
      </c>
      <c r="AO87" s="95">
        <f t="shared" si="58"/>
        <v>-1531.831177972824</v>
      </c>
      <c r="AP87" s="96"/>
      <c r="AQ87" s="97">
        <f t="shared" si="7"/>
        <v>1353.25</v>
      </c>
      <c r="AR87" s="98">
        <f t="shared" si="35"/>
        <v>150</v>
      </c>
      <c r="AS87" s="98">
        <f t="shared" si="9"/>
        <v>499.84000000000003</v>
      </c>
      <c r="AT87" s="98">
        <f t="shared" si="10"/>
        <v>155.89999999999998</v>
      </c>
      <c r="AU87" s="98">
        <f t="shared" si="59"/>
        <v>2000</v>
      </c>
      <c r="AV87" s="98">
        <f t="array" ref="AV87">_xlfn.IFS(U87=0,AO87,U87&lt;0,AO87/-U87,U87&gt;0,AO87/U87)</f>
        <v>-1531.831177972824</v>
      </c>
      <c r="AW87" s="234">
        <f t="shared" si="44"/>
        <v>-1.131964661350692</v>
      </c>
      <c r="AX87" s="234">
        <f t="shared" si="45"/>
        <v>-10.21220785315216</v>
      </c>
      <c r="AY87" s="99"/>
      <c r="AZ87" s="94">
        <f t="shared" si="13"/>
        <v>-68932.403008777081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14</v>
      </c>
      <c r="F88" s="93">
        <v>8</v>
      </c>
      <c r="G88" s="93">
        <v>5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2"/>
        <v>2100</v>
      </c>
      <c r="M88" s="89">
        <v>17</v>
      </c>
      <c r="N88" s="89">
        <v>15</v>
      </c>
      <c r="O88" s="89">
        <v>1257</v>
      </c>
      <c r="P88" s="89">
        <v>13</v>
      </c>
      <c r="Q88" s="233">
        <f t="shared" si="48"/>
        <v>2.1428571428571428</v>
      </c>
      <c r="R88" s="92">
        <f t="shared" si="49"/>
        <v>0.5714285714285714</v>
      </c>
      <c r="S88" s="93">
        <v>4</v>
      </c>
      <c r="T88" s="93">
        <v>0</v>
      </c>
      <c r="U88" s="92">
        <f t="shared" si="50"/>
        <v>4</v>
      </c>
      <c r="V88" s="93">
        <v>3134</v>
      </c>
      <c r="W88" s="93">
        <v>0</v>
      </c>
      <c r="X88" s="92">
        <f t="shared" si="51"/>
        <v>3134</v>
      </c>
      <c r="Y88" s="93">
        <v>5028</v>
      </c>
      <c r="Z88" s="93">
        <v>0</v>
      </c>
      <c r="AA88" s="92">
        <f t="shared" si="52"/>
        <v>5028</v>
      </c>
      <c r="AB88" s="92">
        <f t="shared" si="53"/>
        <v>2451.15</v>
      </c>
      <c r="AC88" s="234">
        <f t="shared" si="54"/>
        <v>1.792206291527355E-3</v>
      </c>
      <c r="AD88" s="92">
        <f t="shared" si="55"/>
        <v>600</v>
      </c>
      <c r="AE88" s="93">
        <v>1891.9899999999998</v>
      </c>
      <c r="AF88" s="234">
        <f t="shared" si="56"/>
        <v>0.37629077167859981</v>
      </c>
      <c r="AG88" s="93">
        <v>1321.77</v>
      </c>
      <c r="AH88" s="93"/>
      <c r="AI88" s="93"/>
      <c r="AJ88" s="93"/>
      <c r="AK88" s="93"/>
      <c r="AL88" s="122">
        <f t="shared" si="47"/>
        <v>0</v>
      </c>
      <c r="AM88" s="93">
        <v>0</v>
      </c>
      <c r="AN88" s="94">
        <f t="shared" si="57"/>
        <v>178.95140000000001</v>
      </c>
      <c r="AO88" s="95">
        <f t="shared" si="58"/>
        <v>1035.2886000000003</v>
      </c>
      <c r="AP88" s="96"/>
      <c r="AQ88" s="97">
        <f t="shared" si="7"/>
        <v>1257</v>
      </c>
      <c r="AR88" s="98">
        <f t="shared" si="35"/>
        <v>150</v>
      </c>
      <c r="AS88" s="98">
        <f t="shared" si="9"/>
        <v>472.99749999999995</v>
      </c>
      <c r="AT88" s="98">
        <f t="shared" si="10"/>
        <v>330.4425</v>
      </c>
      <c r="AU88" s="98">
        <f t="shared" si="59"/>
        <v>0</v>
      </c>
      <c r="AV88" s="98">
        <f t="array" ref="AV88">_xlfn.IFS(U88=0,AO88,U88&lt;0,AO88/-U88,U88&gt;0,AO88/U88)</f>
        <v>258.82215000000008</v>
      </c>
      <c r="AW88" s="234">
        <f t="shared" si="44"/>
        <v>0.20590465393794755</v>
      </c>
      <c r="AX88" s="234">
        <f t="shared" si="45"/>
        <v>1.7254810000000005</v>
      </c>
      <c r="AY88" s="99"/>
      <c r="AZ88" s="94">
        <f t="shared" si="13"/>
        <v>3623.5101000000013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39</v>
      </c>
      <c r="F89" s="93" t="s">
        <v>100</v>
      </c>
      <c r="G89" s="93">
        <v>1</v>
      </c>
      <c r="H89" s="93">
        <v>37</v>
      </c>
      <c r="I89" s="93">
        <v>0</v>
      </c>
      <c r="J89" s="93">
        <v>1</v>
      </c>
      <c r="K89" s="93">
        <v>169.89</v>
      </c>
      <c r="L89" s="92">
        <f t="shared" si="42"/>
        <v>6625.7099999999991</v>
      </c>
      <c r="M89" s="89">
        <v>154</v>
      </c>
      <c r="N89" s="89">
        <v>1</v>
      </c>
      <c r="O89" s="89">
        <v>1504</v>
      </c>
      <c r="P89" s="89">
        <v>100</v>
      </c>
      <c r="Q89" s="233">
        <f t="shared" si="48"/>
        <v>0.14285714285714285</v>
      </c>
      <c r="R89" s="92">
        <f t="shared" si="49"/>
        <v>0.2857142857142857</v>
      </c>
      <c r="S89" s="93">
        <v>2</v>
      </c>
      <c r="T89" s="93">
        <v>0</v>
      </c>
      <c r="U89" s="92">
        <f t="shared" si="50"/>
        <v>2</v>
      </c>
      <c r="V89" s="93">
        <v>1793</v>
      </c>
      <c r="W89" s="93">
        <v>0</v>
      </c>
      <c r="X89" s="92">
        <f t="shared" si="51"/>
        <v>1793</v>
      </c>
      <c r="Y89" s="93">
        <v>2962.88</v>
      </c>
      <c r="Z89" s="93">
        <v>0</v>
      </c>
      <c r="AA89" s="92">
        <f t="shared" si="52"/>
        <v>2962.88</v>
      </c>
      <c r="AB89" s="92">
        <f t="shared" si="53"/>
        <v>1504</v>
      </c>
      <c r="AC89" s="234">
        <f t="shared" si="54"/>
        <v>1.0561042515991588E-3</v>
      </c>
      <c r="AD89" s="92">
        <f t="shared" si="55"/>
        <v>339.78</v>
      </c>
      <c r="AE89" s="93">
        <v>1111.3800000000001</v>
      </c>
      <c r="AF89" s="234">
        <f t="shared" si="56"/>
        <v>0.37510125283507939</v>
      </c>
      <c r="AG89" s="93">
        <v>233.39</v>
      </c>
      <c r="AH89" s="93"/>
      <c r="AI89" s="93"/>
      <c r="AJ89" s="93"/>
      <c r="AK89" s="93"/>
      <c r="AL89" s="122">
        <f t="shared" si="47"/>
        <v>24.690177235131941</v>
      </c>
      <c r="AM89" s="93">
        <v>0</v>
      </c>
      <c r="AN89" s="94">
        <f t="shared" si="57"/>
        <v>102.38029999999999</v>
      </c>
      <c r="AO89" s="95">
        <f t="shared" si="58"/>
        <v>1151.2595227648685</v>
      </c>
      <c r="AP89" s="96"/>
      <c r="AQ89" s="97">
        <f t="shared" si="7"/>
        <v>1481.44</v>
      </c>
      <c r="AR89" s="98">
        <f t="shared" si="35"/>
        <v>169.89</v>
      </c>
      <c r="AS89" s="98">
        <f t="shared" si="9"/>
        <v>555.69000000000005</v>
      </c>
      <c r="AT89" s="98">
        <f t="shared" si="10"/>
        <v>116.69499999999999</v>
      </c>
      <c r="AU89" s="98">
        <f t="shared" si="59"/>
        <v>0</v>
      </c>
      <c r="AV89" s="98">
        <f t="array" ref="AV89">_xlfn.IFS(U89=0,AO89,U89&lt;0,AO89/-U89,U89&gt;0,AO89/U89)</f>
        <v>575.62976138243425</v>
      </c>
      <c r="AW89" s="234">
        <f t="shared" si="44"/>
        <v>0.38856096864026501</v>
      </c>
      <c r="AX89" s="234">
        <f t="shared" si="45"/>
        <v>3.3882498168369786</v>
      </c>
      <c r="AY89" s="99"/>
      <c r="AZ89" s="94">
        <f t="shared" si="13"/>
        <v>22449.560693914937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8"/>
        <v>0</v>
      </c>
      <c r="R90" s="92">
        <f t="shared" si="49"/>
        <v>0</v>
      </c>
      <c r="S90" s="93">
        <v>0</v>
      </c>
      <c r="T90" s="93">
        <v>0</v>
      </c>
      <c r="U90" s="92">
        <f t="shared" si="50"/>
        <v>0</v>
      </c>
      <c r="V90" s="93">
        <v>0</v>
      </c>
      <c r="W90" s="93">
        <v>0</v>
      </c>
      <c r="X90" s="92">
        <f t="shared" si="51"/>
        <v>0</v>
      </c>
      <c r="Y90" s="93">
        <v>0</v>
      </c>
      <c r="Z90" s="93">
        <v>0</v>
      </c>
      <c r="AA90" s="92">
        <f t="shared" si="52"/>
        <v>0</v>
      </c>
      <c r="AB90" s="92">
        <f t="shared" si="53"/>
        <v>0</v>
      </c>
      <c r="AC90" s="234">
        <f t="shared" si="54"/>
        <v>0</v>
      </c>
      <c r="AD90" s="92">
        <f t="shared" si="55"/>
        <v>0</v>
      </c>
      <c r="AE90" s="93">
        <v>0</v>
      </c>
      <c r="AF90" s="234">
        <f t="shared" si="56"/>
        <v>0</v>
      </c>
      <c r="AG90" s="93">
        <v>0</v>
      </c>
      <c r="AH90" s="93"/>
      <c r="AI90" s="93"/>
      <c r="AJ90" s="93"/>
      <c r="AK90" s="93"/>
      <c r="AL90" s="122">
        <f t="shared" si="47"/>
        <v>33.365104371799923</v>
      </c>
      <c r="AM90" s="93">
        <v>0</v>
      </c>
      <c r="AN90" s="94">
        <f t="shared" si="57"/>
        <v>0</v>
      </c>
      <c r="AO90" s="95">
        <f t="shared" si="58"/>
        <v>-33.365104371799923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-33.365104371799923</v>
      </c>
      <c r="AW90" s="234">
        <f t="shared" si="44"/>
        <v>0</v>
      </c>
      <c r="AX90" s="234">
        <f t="shared" si="45"/>
        <v>-0.30927979580830484</v>
      </c>
      <c r="AY90" s="99"/>
      <c r="AZ90" s="94">
        <f t="shared" si="13"/>
        <v>-1701.6203229617961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41</v>
      </c>
      <c r="F91" s="93">
        <v>2</v>
      </c>
      <c r="G91" s="93">
        <v>3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2"/>
        <v>3847.44</v>
      </c>
      <c r="M91" s="89">
        <v>130</v>
      </c>
      <c r="N91" s="89">
        <v>4</v>
      </c>
      <c r="O91" s="89">
        <v>1075</v>
      </c>
      <c r="P91" s="89">
        <v>0</v>
      </c>
      <c r="Q91" s="233">
        <f t="shared" si="48"/>
        <v>0.5714285714285714</v>
      </c>
      <c r="R91" s="92">
        <f t="shared" si="49"/>
        <v>0</v>
      </c>
      <c r="S91" s="93">
        <v>0</v>
      </c>
      <c r="T91" s="93">
        <v>0</v>
      </c>
      <c r="U91" s="92">
        <f t="shared" si="50"/>
        <v>0</v>
      </c>
      <c r="V91" s="93">
        <v>0</v>
      </c>
      <c r="W91" s="93">
        <v>0</v>
      </c>
      <c r="X91" s="92">
        <f t="shared" si="51"/>
        <v>0</v>
      </c>
      <c r="Y91" s="93">
        <v>0</v>
      </c>
      <c r="Z91" s="93">
        <v>0</v>
      </c>
      <c r="AA91" s="92">
        <f t="shared" si="52"/>
        <v>0</v>
      </c>
      <c r="AB91" s="92">
        <f t="shared" si="53"/>
        <v>0</v>
      </c>
      <c r="AC91" s="234">
        <f t="shared" si="54"/>
        <v>0</v>
      </c>
      <c r="AD91" s="92">
        <f t="shared" si="55"/>
        <v>0</v>
      </c>
      <c r="AE91" s="93">
        <v>0</v>
      </c>
      <c r="AF91" s="234">
        <f t="shared" si="56"/>
        <v>0</v>
      </c>
      <c r="AG91" s="93">
        <v>808.18999999999994</v>
      </c>
      <c r="AH91" s="93"/>
      <c r="AI91" s="93"/>
      <c r="AJ91" s="93"/>
      <c r="AK91" s="93"/>
      <c r="AL91" s="122">
        <f t="shared" si="47"/>
        <v>20.019062623079954</v>
      </c>
      <c r="AM91" s="93">
        <v>0</v>
      </c>
      <c r="AN91" s="94">
        <f t="shared" si="57"/>
        <v>0</v>
      </c>
      <c r="AO91" s="95">
        <f t="shared" si="58"/>
        <v>-828.20906262307994</v>
      </c>
      <c r="AP91" s="96"/>
      <c r="AQ91" s="97">
        <f t="shared" si="7"/>
        <v>0</v>
      </c>
      <c r="AR91" s="98">
        <f t="shared" si="35"/>
        <v>93.84</v>
      </c>
      <c r="AS91" s="98">
        <f t="shared" si="9"/>
        <v>0</v>
      </c>
      <c r="AT91" s="98">
        <f t="shared" si="10"/>
        <v>808.18999999999994</v>
      </c>
      <c r="AU91" s="98">
        <f t="shared" si="59"/>
        <v>0</v>
      </c>
      <c r="AV91" s="98">
        <f t="array" ref="AV91">_xlfn.IFS(U91=0,AO91,U91&lt;0,AO91/-U91,U91&gt;0,AO91/U91)</f>
        <v>-828.20906262307994</v>
      </c>
      <c r="AW91" s="234">
        <f t="shared" si="44"/>
        <v>0</v>
      </c>
      <c r="AX91" s="234">
        <f t="shared" si="45"/>
        <v>-8.8257572743294954</v>
      </c>
      <c r="AY91" s="99"/>
      <c r="AZ91" s="94">
        <f t="shared" si="13"/>
        <v>-33956.571567546278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1</v>
      </c>
      <c r="G92" s="93">
        <v>1</v>
      </c>
      <c r="H92" s="93">
        <v>47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2</v>
      </c>
      <c r="O92" s="89">
        <v>1350</v>
      </c>
      <c r="P92" s="89">
        <v>0</v>
      </c>
      <c r="Q92" s="233">
        <f t="shared" si="48"/>
        <v>0.2857142857142857</v>
      </c>
      <c r="R92" s="92">
        <f t="shared" si="49"/>
        <v>0</v>
      </c>
      <c r="S92" s="93">
        <v>0</v>
      </c>
      <c r="T92" s="93">
        <v>0</v>
      </c>
      <c r="U92" s="92">
        <f t="shared" si="50"/>
        <v>0</v>
      </c>
      <c r="V92" s="93">
        <v>0</v>
      </c>
      <c r="W92" s="93">
        <v>0</v>
      </c>
      <c r="X92" s="92">
        <f t="shared" si="51"/>
        <v>0</v>
      </c>
      <c r="Y92" s="93">
        <v>0</v>
      </c>
      <c r="Z92" s="93">
        <v>0</v>
      </c>
      <c r="AA92" s="92">
        <f t="shared" si="52"/>
        <v>0</v>
      </c>
      <c r="AB92" s="92">
        <f t="shared" si="53"/>
        <v>0</v>
      </c>
      <c r="AC92" s="234">
        <f t="shared" si="54"/>
        <v>0</v>
      </c>
      <c r="AD92" s="92">
        <f t="shared" si="55"/>
        <v>0</v>
      </c>
      <c r="AE92" s="93">
        <v>0</v>
      </c>
      <c r="AF92" s="234">
        <f t="shared" si="56"/>
        <v>0</v>
      </c>
      <c r="AG92" s="93">
        <v>109.16</v>
      </c>
      <c r="AH92" s="93"/>
      <c r="AI92" s="93"/>
      <c r="AJ92" s="93"/>
      <c r="AK92" s="93"/>
      <c r="AL92" s="122">
        <f t="shared" si="47"/>
        <v>31.363198109491925</v>
      </c>
      <c r="AM92" s="93">
        <v>0</v>
      </c>
      <c r="AN92" s="94">
        <f t="shared" si="57"/>
        <v>0</v>
      </c>
      <c r="AO92" s="95">
        <f t="shared" si="58"/>
        <v>-140.52319810949191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109.16</v>
      </c>
      <c r="AU92" s="98">
        <f t="shared" si="59"/>
        <v>0</v>
      </c>
      <c r="AV92" s="98">
        <f t="array" ref="AV92">_xlfn.IFS(U92=0,AO92,U92&lt;0,AO92/-U92,U92&gt;0,AO92/U92)</f>
        <v>-140.52319810949191</v>
      </c>
      <c r="AW92" s="234">
        <f t="shared" si="44"/>
        <v>0</v>
      </c>
      <c r="AX92" s="234">
        <f t="shared" si="45"/>
        <v>-1.0075514312002001</v>
      </c>
      <c r="AY92" s="99"/>
      <c r="AZ92" s="94">
        <f t="shared" si="13"/>
        <v>-7026.1599054745957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49</v>
      </c>
      <c r="F93" s="93">
        <v>2</v>
      </c>
      <c r="G93" s="93" t="s">
        <v>100</v>
      </c>
      <c r="H93" s="93">
        <v>46</v>
      </c>
      <c r="I93" s="93">
        <v>0</v>
      </c>
      <c r="J93" s="93">
        <v>1</v>
      </c>
      <c r="K93" s="93">
        <v>139.47</v>
      </c>
      <c r="L93" s="92">
        <f t="shared" si="42"/>
        <v>6834.03</v>
      </c>
      <c r="M93" s="89">
        <v>715</v>
      </c>
      <c r="N93" s="89">
        <v>2</v>
      </c>
      <c r="O93" s="89">
        <v>1296</v>
      </c>
      <c r="P93" s="89">
        <v>0</v>
      </c>
      <c r="Q93" s="233">
        <f t="shared" si="48"/>
        <v>0.2857142857142857</v>
      </c>
      <c r="R93" s="92">
        <f t="shared" si="49"/>
        <v>0</v>
      </c>
      <c r="S93" s="93">
        <v>0</v>
      </c>
      <c r="T93" s="93">
        <v>0</v>
      </c>
      <c r="U93" s="92">
        <f t="shared" si="50"/>
        <v>0</v>
      </c>
      <c r="V93" s="93">
        <v>0</v>
      </c>
      <c r="W93" s="93">
        <v>0</v>
      </c>
      <c r="X93" s="92">
        <f t="shared" si="51"/>
        <v>0</v>
      </c>
      <c r="Y93" s="93">
        <v>0</v>
      </c>
      <c r="Z93" s="93">
        <v>0</v>
      </c>
      <c r="AA93" s="92">
        <f t="shared" si="52"/>
        <v>0</v>
      </c>
      <c r="AB93" s="92">
        <f t="shared" si="53"/>
        <v>0</v>
      </c>
      <c r="AC93" s="234">
        <f t="shared" si="54"/>
        <v>0</v>
      </c>
      <c r="AD93" s="92">
        <f t="shared" si="55"/>
        <v>0</v>
      </c>
      <c r="AE93" s="93">
        <v>0</v>
      </c>
      <c r="AF93" s="234">
        <f t="shared" si="56"/>
        <v>0</v>
      </c>
      <c r="AG93" s="93">
        <v>0</v>
      </c>
      <c r="AH93" s="93"/>
      <c r="AI93" s="93"/>
      <c r="AJ93" s="93"/>
      <c r="AK93" s="93"/>
      <c r="AL93" s="122">
        <f t="shared" si="47"/>
        <v>30.695896022055926</v>
      </c>
      <c r="AM93" s="93">
        <v>0</v>
      </c>
      <c r="AN93" s="94">
        <f t="shared" si="57"/>
        <v>0</v>
      </c>
      <c r="AO93" s="95">
        <f t="shared" si="58"/>
        <v>-30.695896022055926</v>
      </c>
      <c r="AP93" s="96"/>
      <c r="AQ93" s="97">
        <f t="shared" si="7"/>
        <v>0</v>
      </c>
      <c r="AR93" s="98">
        <f t="shared" si="35"/>
        <v>139.47</v>
      </c>
      <c r="AS93" s="98">
        <f t="shared" si="9"/>
        <v>0</v>
      </c>
      <c r="AT93" s="98">
        <f t="shared" si="10"/>
        <v>0</v>
      </c>
      <c r="AU93" s="98">
        <f t="shared" si="59"/>
        <v>0</v>
      </c>
      <c r="AV93" s="98">
        <f t="array" ref="AV93">_xlfn.IFS(U93=0,AO93,U93&lt;0,AO93/-U93,U93&gt;0,AO93/U93)</f>
        <v>-30.695896022055926</v>
      </c>
      <c r="AW93" s="234">
        <f t="shared" si="44"/>
        <v>0</v>
      </c>
      <c r="AX93" s="234">
        <f t="shared" si="45"/>
        <v>-0.22008959648710064</v>
      </c>
      <c r="AY93" s="99"/>
      <c r="AZ93" s="94">
        <f t="shared" si="13"/>
        <v>-1504.0989050807405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16</v>
      </c>
      <c r="N94" s="89">
        <v>1</v>
      </c>
      <c r="O94" s="89">
        <v>1297</v>
      </c>
      <c r="P94" s="89">
        <v>0</v>
      </c>
      <c r="Q94" s="233">
        <f t="shared" si="48"/>
        <v>0.14285714285714285</v>
      </c>
      <c r="R94" s="92">
        <f t="shared" si="49"/>
        <v>0</v>
      </c>
      <c r="S94" s="93">
        <v>0</v>
      </c>
      <c r="T94" s="93">
        <v>0</v>
      </c>
      <c r="U94" s="92">
        <f t="shared" si="50"/>
        <v>0</v>
      </c>
      <c r="V94" s="93">
        <v>0</v>
      </c>
      <c r="W94" s="93">
        <v>0</v>
      </c>
      <c r="X94" s="92">
        <f t="shared" si="51"/>
        <v>0</v>
      </c>
      <c r="Y94" s="93">
        <v>0</v>
      </c>
      <c r="Z94" s="93">
        <v>0</v>
      </c>
      <c r="AA94" s="92">
        <f t="shared" si="52"/>
        <v>0</v>
      </c>
      <c r="AB94" s="92">
        <f t="shared" si="53"/>
        <v>0</v>
      </c>
      <c r="AC94" s="234">
        <f t="shared" si="54"/>
        <v>0</v>
      </c>
      <c r="AD94" s="92">
        <f t="shared" si="55"/>
        <v>0</v>
      </c>
      <c r="AE94" s="93">
        <v>0</v>
      </c>
      <c r="AF94" s="234">
        <f t="shared" si="56"/>
        <v>0</v>
      </c>
      <c r="AG94" s="93">
        <v>0</v>
      </c>
      <c r="AH94" s="93"/>
      <c r="AI94" s="93"/>
      <c r="AJ94" s="93"/>
      <c r="AK94" s="93"/>
      <c r="AL94" s="122">
        <f t="shared" si="47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8"/>
        <v>0</v>
      </c>
      <c r="R95" s="92">
        <f t="shared" si="49"/>
        <v>0</v>
      </c>
      <c r="S95" s="93">
        <v>0</v>
      </c>
      <c r="T95" s="93">
        <v>0</v>
      </c>
      <c r="U95" s="92">
        <f t="shared" si="50"/>
        <v>0</v>
      </c>
      <c r="V95" s="93">
        <v>0</v>
      </c>
      <c r="W95" s="93">
        <v>0</v>
      </c>
      <c r="X95" s="92">
        <f t="shared" si="51"/>
        <v>0</v>
      </c>
      <c r="Y95" s="93">
        <v>0</v>
      </c>
      <c r="Z95" s="93">
        <v>0</v>
      </c>
      <c r="AA95" s="92">
        <f t="shared" si="52"/>
        <v>0</v>
      </c>
      <c r="AB95" s="92">
        <f t="shared" si="53"/>
        <v>0</v>
      </c>
      <c r="AC95" s="234">
        <f t="shared" si="54"/>
        <v>0</v>
      </c>
      <c r="AD95" s="92">
        <f t="shared" si="55"/>
        <v>0</v>
      </c>
      <c r="AE95" s="93">
        <v>0</v>
      </c>
      <c r="AF95" s="234">
        <f t="shared" si="56"/>
        <v>0</v>
      </c>
      <c r="AG95" s="93">
        <v>0</v>
      </c>
      <c r="AH95" s="93"/>
      <c r="AI95" s="93"/>
      <c r="AJ95" s="93"/>
      <c r="AK95" s="93"/>
      <c r="AL95" s="122">
        <f t="shared" si="47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8"/>
        <v>0</v>
      </c>
      <c r="R96" s="92">
        <f t="shared" si="49"/>
        <v>0</v>
      </c>
      <c r="S96" s="93">
        <v>0</v>
      </c>
      <c r="T96" s="93">
        <v>0</v>
      </c>
      <c r="U96" s="92">
        <f t="shared" si="50"/>
        <v>0</v>
      </c>
      <c r="V96" s="93">
        <v>0</v>
      </c>
      <c r="W96" s="93">
        <v>0</v>
      </c>
      <c r="X96" s="92">
        <f t="shared" si="51"/>
        <v>0</v>
      </c>
      <c r="Y96" s="93">
        <v>0</v>
      </c>
      <c r="Z96" s="93">
        <v>0</v>
      </c>
      <c r="AA96" s="92">
        <f t="shared" si="52"/>
        <v>0</v>
      </c>
      <c r="AB96" s="92">
        <f t="shared" si="53"/>
        <v>0</v>
      </c>
      <c r="AC96" s="234">
        <f t="shared" si="54"/>
        <v>0</v>
      </c>
      <c r="AD96" s="92">
        <f t="shared" si="55"/>
        <v>0</v>
      </c>
      <c r="AE96" s="93">
        <v>0</v>
      </c>
      <c r="AF96" s="234">
        <f t="shared" si="56"/>
        <v>0</v>
      </c>
      <c r="AG96" s="93">
        <v>0</v>
      </c>
      <c r="AH96" s="93"/>
      <c r="AI96" s="93"/>
      <c r="AJ96" s="93"/>
      <c r="AK96" s="93"/>
      <c r="AL96" s="122">
        <f t="shared" si="47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114</v>
      </c>
      <c r="N97" s="89">
        <v>1</v>
      </c>
      <c r="O97" s="89">
        <v>1509</v>
      </c>
      <c r="P97" s="89">
        <v>0</v>
      </c>
      <c r="Q97" s="233">
        <f t="shared" si="48"/>
        <v>0.14285714285714285</v>
      </c>
      <c r="R97" s="92">
        <f t="shared" si="49"/>
        <v>0</v>
      </c>
      <c r="S97" s="93">
        <v>0</v>
      </c>
      <c r="T97" s="93">
        <v>0</v>
      </c>
      <c r="U97" s="92">
        <f t="shared" si="50"/>
        <v>0</v>
      </c>
      <c r="V97" s="93">
        <v>0</v>
      </c>
      <c r="W97" s="93">
        <v>0</v>
      </c>
      <c r="X97" s="92">
        <f t="shared" si="51"/>
        <v>0</v>
      </c>
      <c r="Y97" s="93">
        <v>0</v>
      </c>
      <c r="Z97" s="93">
        <v>0</v>
      </c>
      <c r="AA97" s="92">
        <f t="shared" si="52"/>
        <v>0</v>
      </c>
      <c r="AB97" s="92">
        <f t="shared" si="53"/>
        <v>0</v>
      </c>
      <c r="AC97" s="234">
        <f t="shared" si="54"/>
        <v>0</v>
      </c>
      <c r="AD97" s="92">
        <f t="shared" si="55"/>
        <v>0</v>
      </c>
      <c r="AE97" s="93">
        <v>0</v>
      </c>
      <c r="AF97" s="234">
        <f t="shared" si="56"/>
        <v>0</v>
      </c>
      <c r="AG97" s="93">
        <v>0</v>
      </c>
      <c r="AH97" s="93"/>
      <c r="AI97" s="93"/>
      <c r="AJ97" s="93"/>
      <c r="AK97" s="93"/>
      <c r="AL97" s="122">
        <f t="shared" si="47"/>
        <v>2.0019062623079948</v>
      </c>
      <c r="AM97" s="93">
        <v>0</v>
      </c>
      <c r="AN97" s="94">
        <f t="shared" si="57"/>
        <v>0</v>
      </c>
      <c r="AO97" s="95">
        <f t="shared" si="58"/>
        <v>-2.0019062623079948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0</v>
      </c>
      <c r="AU97" s="98">
        <f t="shared" si="59"/>
        <v>0</v>
      </c>
      <c r="AV97" s="98">
        <f t="array" ref="AV97">_xlfn.IFS(U97=0,AO97,U97&lt;0,AO97/-U97,U97&gt;0,AO97/U97)</f>
        <v>-2.0019062623079948</v>
      </c>
      <c r="AW97" s="234">
        <f t="shared" si="44"/>
        <v>0</v>
      </c>
      <c r="AX97" s="234">
        <f t="shared" si="45"/>
        <v>-5.0037649027894291E-3</v>
      </c>
      <c r="AY97" s="99"/>
      <c r="AZ97" s="94">
        <f t="shared" si="13"/>
        <v>-8.0076250492319794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13</v>
      </c>
      <c r="F98" s="93">
        <v>2</v>
      </c>
      <c r="G98" s="93" t="s">
        <v>100</v>
      </c>
      <c r="H98" s="93">
        <v>11</v>
      </c>
      <c r="I98" s="93">
        <v>0</v>
      </c>
      <c r="J98" s="93">
        <v>0</v>
      </c>
      <c r="K98" s="93">
        <v>300.08</v>
      </c>
      <c r="L98" s="92">
        <f t="shared" si="42"/>
        <v>3901.04</v>
      </c>
      <c r="M98" s="89">
        <v>87</v>
      </c>
      <c r="N98" s="89">
        <v>2</v>
      </c>
      <c r="O98" s="89">
        <v>878</v>
      </c>
      <c r="P98" s="89">
        <v>0</v>
      </c>
      <c r="Q98" s="233">
        <f t="shared" si="48"/>
        <v>0.2857142857142857</v>
      </c>
      <c r="R98" s="92">
        <f t="shared" si="49"/>
        <v>0</v>
      </c>
      <c r="S98" s="93">
        <v>0</v>
      </c>
      <c r="T98" s="93">
        <v>0</v>
      </c>
      <c r="U98" s="92">
        <f t="shared" si="50"/>
        <v>0</v>
      </c>
      <c r="V98" s="93">
        <v>0</v>
      </c>
      <c r="W98" s="93">
        <v>0</v>
      </c>
      <c r="X98" s="92">
        <f t="shared" si="51"/>
        <v>0</v>
      </c>
      <c r="Y98" s="93">
        <v>0</v>
      </c>
      <c r="Z98" s="93">
        <v>0</v>
      </c>
      <c r="AA98" s="92">
        <f t="shared" si="52"/>
        <v>0</v>
      </c>
      <c r="AB98" s="92">
        <f t="shared" si="53"/>
        <v>0</v>
      </c>
      <c r="AC98" s="234">
        <f t="shared" si="54"/>
        <v>0</v>
      </c>
      <c r="AD98" s="92">
        <f t="shared" si="55"/>
        <v>0</v>
      </c>
      <c r="AE98" s="93">
        <v>0</v>
      </c>
      <c r="AF98" s="234">
        <f t="shared" si="56"/>
        <v>0</v>
      </c>
      <c r="AG98" s="93">
        <v>0</v>
      </c>
      <c r="AH98" s="93"/>
      <c r="AI98" s="93"/>
      <c r="AJ98" s="93"/>
      <c r="AK98" s="93"/>
      <c r="AL98" s="122">
        <f t="shared" si="47"/>
        <v>7.340322961795982</v>
      </c>
      <c r="AM98" s="93">
        <v>0</v>
      </c>
      <c r="AN98" s="94">
        <f t="shared" si="57"/>
        <v>0</v>
      </c>
      <c r="AO98" s="95">
        <f t="shared" si="58"/>
        <v>-7.340322961795982</v>
      </c>
      <c r="AP98" s="96"/>
      <c r="AQ98" s="97">
        <f t="shared" ref="AQ98" si="60">IF(U98=0,0,AA98/U98)</f>
        <v>0</v>
      </c>
      <c r="AR98" s="98">
        <f t="shared" si="35"/>
        <v>300.08</v>
      </c>
      <c r="AS98" s="98">
        <f t="shared" ref="AS98" si="61">IF(U98=0,0,AE98/U98)</f>
        <v>0</v>
      </c>
      <c r="AT98" s="98">
        <f t="shared" ref="AT98" si="62">IF(S98=0,AG98/1,AG98/S98)</f>
        <v>0</v>
      </c>
      <c r="AU98" s="98">
        <f t="shared" si="59"/>
        <v>0</v>
      </c>
      <c r="AV98" s="98">
        <f t="array" ref="AV98">_xlfn.IFS(U98=0,AO98,U98&lt;0,AO98/-U98,U98&gt;0,AO98/U98)</f>
        <v>-7.340322961795982</v>
      </c>
      <c r="AW98" s="234">
        <f t="shared" si="44"/>
        <v>0</v>
      </c>
      <c r="AX98" s="234">
        <f t="shared" si="45"/>
        <v>-2.446122021392956E-2</v>
      </c>
      <c r="AY98" s="99"/>
      <c r="AZ98" s="94">
        <f t="shared" ref="AZ98" si="63">AV98*E98</f>
        <v>-95.424198503347768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64">SUM(F99:J99)</f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5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8"/>
        <v>0</v>
      </c>
      <c r="R99" s="92">
        <f t="shared" si="49"/>
        <v>0</v>
      </c>
      <c r="S99" s="93">
        <v>0</v>
      </c>
      <c r="T99" s="93">
        <v>0</v>
      </c>
      <c r="U99" s="92">
        <f t="shared" si="50"/>
        <v>0</v>
      </c>
      <c r="V99" s="93">
        <v>0</v>
      </c>
      <c r="W99" s="93">
        <v>0</v>
      </c>
      <c r="X99" s="92">
        <f t="shared" si="51"/>
        <v>0</v>
      </c>
      <c r="Y99" s="93">
        <v>0</v>
      </c>
      <c r="Z99" s="93">
        <v>0</v>
      </c>
      <c r="AA99" s="92">
        <f t="shared" si="52"/>
        <v>0</v>
      </c>
      <c r="AB99" s="92">
        <f t="shared" si="53"/>
        <v>0</v>
      </c>
      <c r="AC99" s="234">
        <f t="shared" si="54"/>
        <v>0</v>
      </c>
      <c r="AD99" s="92">
        <f t="shared" si="55"/>
        <v>0</v>
      </c>
      <c r="AE99" s="93">
        <v>0</v>
      </c>
      <c r="AF99" s="234">
        <f t="shared" si="56"/>
        <v>0</v>
      </c>
      <c r="AG99" s="93">
        <v>0</v>
      </c>
      <c r="AH99" s="93"/>
      <c r="AI99" s="93"/>
      <c r="AJ99" s="93"/>
      <c r="AK99" s="93"/>
      <c r="AL99" s="122">
        <f t="shared" ref="AL99:AL103" si="66">IFERROR($AL$126*H99/$H$126,0)</f>
        <v>0</v>
      </c>
      <c r="AM99" s="93">
        <v>0</v>
      </c>
      <c r="AN99" s="94">
        <f t="shared" ref="AN99:AN103" si="67">X99*5.71%</f>
        <v>0</v>
      </c>
      <c r="AO99" s="95">
        <f t="shared" ref="AO99:AO103" si="68">AA99-AD99-AE99-AG99-AH99-AI99-AK99-AL99-AN99-AM99</f>
        <v>0</v>
      </c>
      <c r="AP99" s="96"/>
      <c r="AQ99" s="97">
        <f t="shared" ref="AQ99:AQ103" si="69">IF(U99=0,0,AA99/U99)</f>
        <v>0</v>
      </c>
      <c r="AR99" s="98">
        <f t="shared" ref="AR99:AR103" si="70">K99</f>
        <v>142.97999999999999</v>
      </c>
      <c r="AS99" s="98">
        <f t="shared" ref="AS99:AS103" si="71">IF(U99=0,0,AE99/U99)</f>
        <v>0</v>
      </c>
      <c r="AT99" s="98">
        <f t="shared" ref="AT99:AT103" si="72">IF(S99=0,AG99/1,AG99/S99)</f>
        <v>0</v>
      </c>
      <c r="AU99" s="98">
        <f t="shared" ref="AU99:AU103" si="73">IF(S99=0,0,(AH99+AI99+AJ99)/S99)</f>
        <v>0</v>
      </c>
      <c r="AV99" s="98">
        <f t="array" ref="AV99">_xlfn.IFS(U99=0,AO99,U99&lt;0,AO99/-U99,U99&gt;0,AO99/U99)</f>
        <v>0</v>
      </c>
      <c r="AW99" s="234">
        <f t="shared" ref="AW99:AW103" si="74">IF(AQ99=0,0,AV99/AQ99)</f>
        <v>0</v>
      </c>
      <c r="AX99" s="234">
        <f t="shared" ref="AX99:AX103" si="75">IF(AR99=0,0,AV99/AR99)</f>
        <v>0</v>
      </c>
      <c r="AY99" s="99"/>
      <c r="AZ99" s="94">
        <f t="shared" ref="AZ99:AZ103" si="76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64"/>
        <v>50</v>
      </c>
      <c r="F100" s="93" t="s">
        <v>100</v>
      </c>
      <c r="G100" s="93" t="s">
        <v>100</v>
      </c>
      <c r="H100" s="93">
        <v>50</v>
      </c>
      <c r="I100" s="93">
        <v>0</v>
      </c>
      <c r="J100" s="93">
        <v>0</v>
      </c>
      <c r="K100" s="93">
        <v>142.97999999999999</v>
      </c>
      <c r="L100" s="92">
        <f t="shared" si="65"/>
        <v>7148.9999999999991</v>
      </c>
      <c r="M100" s="89">
        <v>999</v>
      </c>
      <c r="N100" s="89">
        <v>0</v>
      </c>
      <c r="O100" s="89">
        <v>0</v>
      </c>
      <c r="P100" s="89">
        <v>0</v>
      </c>
      <c r="Q100" s="233">
        <f t="shared" si="48"/>
        <v>0</v>
      </c>
      <c r="R100" s="92">
        <f t="shared" si="49"/>
        <v>0</v>
      </c>
      <c r="S100" s="93">
        <v>0</v>
      </c>
      <c r="T100" s="93">
        <v>0</v>
      </c>
      <c r="U100" s="92">
        <f t="shared" si="50"/>
        <v>0</v>
      </c>
      <c r="V100" s="93">
        <v>0</v>
      </c>
      <c r="W100" s="93">
        <v>0</v>
      </c>
      <c r="X100" s="92">
        <f t="shared" si="51"/>
        <v>0</v>
      </c>
      <c r="Y100" s="93">
        <v>0</v>
      </c>
      <c r="Z100" s="93">
        <v>0</v>
      </c>
      <c r="AA100" s="92">
        <f t="shared" si="52"/>
        <v>0</v>
      </c>
      <c r="AB100" s="92">
        <f t="shared" si="53"/>
        <v>0</v>
      </c>
      <c r="AC100" s="234">
        <f t="shared" si="54"/>
        <v>0</v>
      </c>
      <c r="AD100" s="92">
        <f t="shared" si="55"/>
        <v>0</v>
      </c>
      <c r="AE100" s="93">
        <v>0</v>
      </c>
      <c r="AF100" s="234">
        <f t="shared" si="56"/>
        <v>0</v>
      </c>
      <c r="AG100" s="93">
        <v>0</v>
      </c>
      <c r="AH100" s="93"/>
      <c r="AI100" s="93"/>
      <c r="AJ100" s="93"/>
      <c r="AK100" s="93"/>
      <c r="AL100" s="122">
        <f t="shared" si="66"/>
        <v>33.365104371799923</v>
      </c>
      <c r="AM100" s="93">
        <v>0</v>
      </c>
      <c r="AN100" s="94">
        <f t="shared" si="67"/>
        <v>0</v>
      </c>
      <c r="AO100" s="95">
        <f t="shared" si="68"/>
        <v>-33.365104371799923</v>
      </c>
      <c r="AP100" s="96"/>
      <c r="AQ100" s="97">
        <f t="shared" si="69"/>
        <v>0</v>
      </c>
      <c r="AR100" s="98">
        <f t="shared" si="70"/>
        <v>142.97999999999999</v>
      </c>
      <c r="AS100" s="98">
        <f t="shared" si="71"/>
        <v>0</v>
      </c>
      <c r="AT100" s="98">
        <f t="shared" si="72"/>
        <v>0</v>
      </c>
      <c r="AU100" s="98">
        <f t="shared" si="73"/>
        <v>0</v>
      </c>
      <c r="AV100" s="98">
        <f t="array" ref="AV100">_xlfn.IFS(U100=0,AO100,U100&lt;0,AO100/-U100,U100&gt;0,AO100/U100)</f>
        <v>-33.365104371799923</v>
      </c>
      <c r="AW100" s="234">
        <f t="shared" si="74"/>
        <v>0</v>
      </c>
      <c r="AX100" s="234">
        <f t="shared" si="75"/>
        <v>-0.23335504526367271</v>
      </c>
      <c r="AY100" s="99"/>
      <c r="AZ100" s="94">
        <f t="shared" si="76"/>
        <v>-1668.255218589996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64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5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8"/>
        <v>0</v>
      </c>
      <c r="R101" s="92">
        <f t="shared" si="49"/>
        <v>0</v>
      </c>
      <c r="S101" s="93">
        <v>0</v>
      </c>
      <c r="T101" s="93">
        <v>0</v>
      </c>
      <c r="U101" s="92">
        <f t="shared" si="50"/>
        <v>0</v>
      </c>
      <c r="V101" s="93">
        <v>0</v>
      </c>
      <c r="W101" s="93">
        <v>0</v>
      </c>
      <c r="X101" s="92">
        <f t="shared" si="51"/>
        <v>0</v>
      </c>
      <c r="Y101" s="93">
        <v>0</v>
      </c>
      <c r="Z101" s="93">
        <v>0</v>
      </c>
      <c r="AA101" s="92">
        <f t="shared" si="52"/>
        <v>0</v>
      </c>
      <c r="AB101" s="92">
        <f t="shared" si="53"/>
        <v>0</v>
      </c>
      <c r="AC101" s="234">
        <f t="shared" si="54"/>
        <v>0</v>
      </c>
      <c r="AD101" s="92">
        <f t="shared" si="55"/>
        <v>0</v>
      </c>
      <c r="AE101" s="93">
        <v>0</v>
      </c>
      <c r="AF101" s="234">
        <f t="shared" si="56"/>
        <v>0</v>
      </c>
      <c r="AG101" s="93">
        <v>0</v>
      </c>
      <c r="AH101" s="93"/>
      <c r="AI101" s="93"/>
      <c r="AJ101" s="93"/>
      <c r="AK101" s="93"/>
      <c r="AL101" s="122">
        <f t="shared" si="66"/>
        <v>0</v>
      </c>
      <c r="AM101" s="93">
        <v>0</v>
      </c>
      <c r="AN101" s="94">
        <f t="shared" si="67"/>
        <v>0</v>
      </c>
      <c r="AO101" s="95">
        <f t="shared" si="68"/>
        <v>0</v>
      </c>
      <c r="AP101" s="96"/>
      <c r="AQ101" s="97">
        <f t="shared" si="69"/>
        <v>0</v>
      </c>
      <c r="AR101" s="98">
        <f t="shared" si="70"/>
        <v>123.09</v>
      </c>
      <c r="AS101" s="98">
        <f t="shared" si="71"/>
        <v>0</v>
      </c>
      <c r="AT101" s="98">
        <f t="shared" si="72"/>
        <v>0</v>
      </c>
      <c r="AU101" s="98">
        <f t="shared" si="73"/>
        <v>0</v>
      </c>
      <c r="AV101" s="98">
        <f t="array" ref="AV101">_xlfn.IFS(U101=0,AO101,U101&lt;0,AO101/-U101,U101&gt;0,AO101/U101)</f>
        <v>0</v>
      </c>
      <c r="AW101" s="234">
        <f t="shared" si="74"/>
        <v>0</v>
      </c>
      <c r="AX101" s="234">
        <f t="shared" si="75"/>
        <v>0</v>
      </c>
      <c r="AY101" s="99"/>
      <c r="AZ101" s="94">
        <f t="shared" si="76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64"/>
        <v>50</v>
      </c>
      <c r="F102" s="93">
        <v>1</v>
      </c>
      <c r="G102" s="93" t="s">
        <v>100</v>
      </c>
      <c r="H102" s="93">
        <v>49</v>
      </c>
      <c r="I102" s="93">
        <v>0</v>
      </c>
      <c r="J102" s="93">
        <v>0</v>
      </c>
      <c r="K102" s="92">
        <v>123.09</v>
      </c>
      <c r="L102" s="92">
        <f t="shared" si="65"/>
        <v>6154.5</v>
      </c>
      <c r="M102" s="89">
        <v>149</v>
      </c>
      <c r="N102" s="89">
        <v>1</v>
      </c>
      <c r="O102" s="89">
        <v>1300</v>
      </c>
      <c r="P102" s="89">
        <v>0</v>
      </c>
      <c r="Q102" s="233">
        <f t="shared" si="48"/>
        <v>0.14285714285714285</v>
      </c>
      <c r="R102" s="92">
        <f t="shared" si="49"/>
        <v>0</v>
      </c>
      <c r="S102" s="93">
        <v>0</v>
      </c>
      <c r="T102" s="93">
        <v>0</v>
      </c>
      <c r="U102" s="92">
        <f t="shared" si="50"/>
        <v>0</v>
      </c>
      <c r="V102" s="93">
        <v>0</v>
      </c>
      <c r="W102" s="93">
        <v>0</v>
      </c>
      <c r="X102" s="92">
        <f t="shared" si="51"/>
        <v>0</v>
      </c>
      <c r="Y102" s="93">
        <v>0</v>
      </c>
      <c r="Z102" s="93">
        <v>0</v>
      </c>
      <c r="AA102" s="92">
        <f t="shared" si="52"/>
        <v>0</v>
      </c>
      <c r="AB102" s="92">
        <f t="shared" si="53"/>
        <v>0</v>
      </c>
      <c r="AC102" s="234">
        <f t="shared" si="54"/>
        <v>0</v>
      </c>
      <c r="AD102" s="92">
        <f t="shared" si="55"/>
        <v>0</v>
      </c>
      <c r="AE102" s="93">
        <v>0</v>
      </c>
      <c r="AF102" s="234">
        <f t="shared" si="56"/>
        <v>0</v>
      </c>
      <c r="AG102" s="93">
        <v>0</v>
      </c>
      <c r="AH102" s="93"/>
      <c r="AI102" s="93"/>
      <c r="AJ102" s="93"/>
      <c r="AK102" s="93"/>
      <c r="AL102" s="122">
        <f t="shared" si="66"/>
        <v>32.697802284363924</v>
      </c>
      <c r="AM102" s="93">
        <v>0</v>
      </c>
      <c r="AN102" s="94">
        <f t="shared" si="67"/>
        <v>0</v>
      </c>
      <c r="AO102" s="95">
        <f t="shared" si="68"/>
        <v>-32.697802284363924</v>
      </c>
      <c r="AP102" s="96"/>
      <c r="AQ102" s="97">
        <f t="shared" si="69"/>
        <v>0</v>
      </c>
      <c r="AR102" s="98">
        <f t="shared" si="70"/>
        <v>123.09</v>
      </c>
      <c r="AS102" s="98">
        <f t="shared" si="71"/>
        <v>0</v>
      </c>
      <c r="AT102" s="98">
        <f t="shared" si="72"/>
        <v>0</v>
      </c>
      <c r="AU102" s="98">
        <f t="shared" si="73"/>
        <v>0</v>
      </c>
      <c r="AV102" s="98">
        <f t="array" ref="AV102">_xlfn.IFS(U102=0,AO102,U102&lt;0,AO102/-U102,U102&gt;0,AO102/U102)</f>
        <v>-32.697802284363924</v>
      </c>
      <c r="AW102" s="234">
        <f t="shared" si="74"/>
        <v>0</v>
      </c>
      <c r="AX102" s="234">
        <f t="shared" si="75"/>
        <v>-0.26564141915967115</v>
      </c>
      <c r="AY102" s="99"/>
      <c r="AZ102" s="94">
        <f t="shared" si="76"/>
        <v>-1634.8901142181962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64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5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8"/>
        <v>0</v>
      </c>
      <c r="R103" s="92">
        <f t="shared" si="49"/>
        <v>0</v>
      </c>
      <c r="S103" s="93">
        <v>0</v>
      </c>
      <c r="T103" s="93">
        <v>0</v>
      </c>
      <c r="U103" s="92">
        <f t="shared" si="50"/>
        <v>0</v>
      </c>
      <c r="V103" s="93">
        <v>0</v>
      </c>
      <c r="W103" s="93">
        <v>0</v>
      </c>
      <c r="X103" s="92">
        <f t="shared" si="51"/>
        <v>0</v>
      </c>
      <c r="Y103" s="93">
        <v>0</v>
      </c>
      <c r="Z103" s="93">
        <v>0</v>
      </c>
      <c r="AA103" s="92">
        <f t="shared" si="52"/>
        <v>0</v>
      </c>
      <c r="AB103" s="92">
        <f t="shared" si="53"/>
        <v>0</v>
      </c>
      <c r="AC103" s="234">
        <f t="shared" si="54"/>
        <v>0</v>
      </c>
      <c r="AD103" s="92">
        <f t="shared" si="55"/>
        <v>0</v>
      </c>
      <c r="AE103" s="93">
        <v>0</v>
      </c>
      <c r="AF103" s="234">
        <f t="shared" si="56"/>
        <v>0</v>
      </c>
      <c r="AG103" s="93">
        <v>0</v>
      </c>
      <c r="AH103" s="93"/>
      <c r="AI103" s="93"/>
      <c r="AJ103" s="93"/>
      <c r="AK103" s="93"/>
      <c r="AL103" s="122">
        <f t="shared" si="66"/>
        <v>0</v>
      </c>
      <c r="AM103" s="93">
        <v>0</v>
      </c>
      <c r="AN103" s="94">
        <f t="shared" si="67"/>
        <v>0</v>
      </c>
      <c r="AO103" s="95">
        <f t="shared" si="68"/>
        <v>0</v>
      </c>
      <c r="AP103" s="96"/>
      <c r="AQ103" s="97">
        <f t="shared" si="69"/>
        <v>0</v>
      </c>
      <c r="AR103" s="98">
        <f t="shared" si="70"/>
        <v>107.88</v>
      </c>
      <c r="AS103" s="98">
        <f t="shared" si="71"/>
        <v>0</v>
      </c>
      <c r="AT103" s="98">
        <f t="shared" si="72"/>
        <v>0</v>
      </c>
      <c r="AU103" s="98">
        <f t="shared" si="73"/>
        <v>0</v>
      </c>
      <c r="AV103" s="98">
        <f t="array" ref="AV103">_xlfn.IFS(U103=0,AO103,U103&lt;0,AO103/-U103,U103&gt;0,AO103/U103)</f>
        <v>0</v>
      </c>
      <c r="AW103" s="234">
        <f t="shared" si="74"/>
        <v>0</v>
      </c>
      <c r="AX103" s="234">
        <f t="shared" si="75"/>
        <v>0</v>
      </c>
      <c r="AY103" s="99"/>
      <c r="AZ103" s="94">
        <f t="shared" si="76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77">AVERAGE(AQ7:AQ98)</f>
        <v>534.30859696166567</v>
      </c>
      <c r="AR104" s="111">
        <f t="shared" si="77"/>
        <v>141.22217391304349</v>
      </c>
      <c r="AS104" s="111">
        <f t="shared" si="77"/>
        <v>200.45248398306884</v>
      </c>
      <c r="AT104" s="111">
        <f t="shared" si="77"/>
        <v>129.46336513759428</v>
      </c>
      <c r="AU104" s="111">
        <f t="shared" si="77"/>
        <v>104.86876975203795</v>
      </c>
      <c r="AV104" s="111">
        <f t="shared" si="77"/>
        <v>-0.70245176029352008</v>
      </c>
      <c r="AW104" s="112">
        <f t="shared" si="77"/>
        <v>3.3376231830936069E-2</v>
      </c>
      <c r="AX104" s="112">
        <f t="shared" si="77"/>
        <v>-7.9283149152256111E-3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78">SUM(E3:E103)</f>
        <v>77006</v>
      </c>
      <c r="F105" s="116">
        <f t="shared" si="78"/>
        <v>2656</v>
      </c>
      <c r="G105" s="116">
        <f t="shared" si="78"/>
        <v>716</v>
      </c>
      <c r="H105" s="116">
        <f t="shared" si="78"/>
        <v>12695</v>
      </c>
      <c r="I105" s="116">
        <f t="shared" si="78"/>
        <v>1561</v>
      </c>
      <c r="J105" s="116">
        <f t="shared" si="78"/>
        <v>59378</v>
      </c>
      <c r="K105" s="116"/>
      <c r="L105" s="116">
        <f>SUM(L3:L103)</f>
        <v>9523765.3400000054</v>
      </c>
      <c r="M105" s="116"/>
      <c r="N105" s="116">
        <f>SUM(N3:N103)</f>
        <v>3950</v>
      </c>
      <c r="O105" s="116"/>
      <c r="P105" s="116"/>
      <c r="Q105" s="212"/>
      <c r="R105" s="116"/>
      <c r="S105" s="116">
        <f t="shared" ref="S105:AE105" si="79">SUM(S3:S103)</f>
        <v>2372</v>
      </c>
      <c r="T105" s="116">
        <f t="shared" si="79"/>
        <v>-63</v>
      </c>
      <c r="U105" s="116">
        <f t="shared" si="79"/>
        <v>2309</v>
      </c>
      <c r="V105" s="116">
        <f t="shared" si="79"/>
        <v>1818463.7599999995</v>
      </c>
      <c r="W105" s="116">
        <f t="shared" si="79"/>
        <v>-46702.770000000004</v>
      </c>
      <c r="X105" s="116">
        <f t="shared" si="79"/>
        <v>1771760.9899999995</v>
      </c>
      <c r="Y105" s="116">
        <f t="shared" si="79"/>
        <v>2879025.2499999995</v>
      </c>
      <c r="Z105" s="116">
        <f t="shared" si="79"/>
        <v>-73544.639999999999</v>
      </c>
      <c r="AA105" s="116">
        <f t="shared" si="79"/>
        <v>2805480.6099999989</v>
      </c>
      <c r="AB105" s="116">
        <f t="shared" si="79"/>
        <v>2873864.169999999</v>
      </c>
      <c r="AC105" s="239">
        <f t="shared" si="79"/>
        <v>1.0000000000000002</v>
      </c>
      <c r="AD105" s="117">
        <f t="shared" si="79"/>
        <v>288027.83999999997</v>
      </c>
      <c r="AE105" s="116">
        <f t="shared" si="79"/>
        <v>1051752.6800000004</v>
      </c>
      <c r="AF105" s="239">
        <f>AE105/AA105</f>
        <v>0.37489215796077124</v>
      </c>
      <c r="AG105" s="116">
        <f t="shared" ref="AG105:AO105" si="80">SUM(AG3:AG103)</f>
        <v>299415.5299999998</v>
      </c>
      <c r="AH105" s="117">
        <f t="shared" si="80"/>
        <v>233660</v>
      </c>
      <c r="AI105" s="117">
        <f t="shared" si="80"/>
        <v>78621</v>
      </c>
      <c r="AJ105" s="117">
        <f t="shared" si="80"/>
        <v>26</v>
      </c>
      <c r="AK105" s="117">
        <f t="shared" si="80"/>
        <v>0</v>
      </c>
      <c r="AL105" s="117">
        <f t="shared" si="80"/>
        <v>8471.4000000000051</v>
      </c>
      <c r="AM105" s="116">
        <f t="shared" si="80"/>
        <v>1392.11</v>
      </c>
      <c r="AN105" s="117">
        <f t="shared" si="80"/>
        <v>101167.55252900004</v>
      </c>
      <c r="AO105" s="117">
        <f t="shared" si="80"/>
        <v>742972.49747099949</v>
      </c>
      <c r="AP105" s="118"/>
      <c r="AQ105" s="116"/>
      <c r="AR105" s="116"/>
      <c r="AS105" s="116"/>
      <c r="AT105" s="116"/>
      <c r="AU105" s="240">
        <f>(AH105+AI105+AJ105)/S105</f>
        <v>131.66399662731871</v>
      </c>
      <c r="AV105" s="116"/>
      <c r="AW105" s="116"/>
      <c r="AX105" s="116"/>
      <c r="AY105" s="119"/>
      <c r="AZ105" s="116">
        <f>SUM(AZ3:AZ103)</f>
        <v>23228813.400800698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45"/>
      <c r="AI106" s="545"/>
      <c r="AJ106" s="219"/>
      <c r="AK106" s="219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1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" si="82">N107/7</f>
        <v>0</v>
      </c>
      <c r="R107" s="92">
        <f t="shared" ref="R107" si="83">U107/7</f>
        <v>0</v>
      </c>
      <c r="S107" s="93">
        <v>0</v>
      </c>
      <c r="T107" s="93">
        <v>0</v>
      </c>
      <c r="U107" s="92">
        <f t="shared" ref="U107" si="84">S107+T107</f>
        <v>0</v>
      </c>
      <c r="V107" s="93">
        <v>0</v>
      </c>
      <c r="W107" s="93">
        <v>0</v>
      </c>
      <c r="X107" s="92">
        <f t="shared" ref="X107" si="85">V107+W107</f>
        <v>0</v>
      </c>
      <c r="Y107" s="93">
        <v>0</v>
      </c>
      <c r="Z107" s="93">
        <v>0</v>
      </c>
      <c r="AA107" s="92">
        <f t="shared" ref="AA107" si="86">Y107+Z107</f>
        <v>0</v>
      </c>
      <c r="AB107" s="92">
        <f t="shared" ref="AB107" si="87">N107*O107*P107/100</f>
        <v>0</v>
      </c>
      <c r="AC107" s="234">
        <f t="shared" ref="AC107" si="88">AA107/$AA$126</f>
        <v>0</v>
      </c>
      <c r="AD107" s="92">
        <f t="shared" ref="AD107" si="89">U107*K107</f>
        <v>0</v>
      </c>
      <c r="AE107" s="93">
        <v>0</v>
      </c>
      <c r="AF107" s="234">
        <f t="shared" ref="AF107" si="90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:AL111" si="91">IFERROR($AL$126*H107/$H$126,0)</f>
        <v>0</v>
      </c>
      <c r="AM107" s="93">
        <v>0</v>
      </c>
      <c r="AN107" s="94">
        <f t="shared" ref="AN107:AN111" si="92">X107*5.71%</f>
        <v>0</v>
      </c>
      <c r="AO107" s="95">
        <f t="shared" ref="AO107:AO111" si="93">AA107-AD107-AE107-AG107-AH107-AI107-AK107-AL107-AN107-AM107</f>
        <v>0</v>
      </c>
      <c r="AP107" s="96"/>
      <c r="AQ107" s="97">
        <f t="shared" ref="AQ107:AQ111" si="94">IF(U107=0,0,AA107/U107)</f>
        <v>0</v>
      </c>
      <c r="AR107" s="98">
        <f t="shared" ref="AR107:AR111" si="95">K107</f>
        <v>579.17999999999995</v>
      </c>
      <c r="AS107" s="98">
        <f t="shared" ref="AS107:AS111" si="96">IF(U107=0,0,AE107/U107)</f>
        <v>0</v>
      </c>
      <c r="AT107" s="98">
        <f t="shared" ref="AT107:AT111" si="97">IF(S107=0,AG107/1,AG107/S107)</f>
        <v>0</v>
      </c>
      <c r="AU107" s="98">
        <f t="shared" ref="AU107:AU111" si="98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99">IF(AQ107=0,0,AV107/AQ107)</f>
        <v>0</v>
      </c>
      <c r="AX107" s="234">
        <f t="shared" ref="AX107:AX111" si="100">IF(AR107=0,0,AV107/AR107)</f>
        <v>0</v>
      </c>
      <c r="AY107" s="99"/>
      <c r="AZ107" s="94">
        <f t="shared" ref="AZ107:AZ111" si="101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1"/>
        <v>1</v>
      </c>
      <c r="F108" s="93">
        <v>0</v>
      </c>
      <c r="G108" s="93">
        <v>0</v>
      </c>
      <c r="H108" s="93">
        <v>0</v>
      </c>
      <c r="I108" s="93">
        <v>0</v>
      </c>
      <c r="J108" s="93">
        <v>1</v>
      </c>
      <c r="K108" s="93">
        <v>579.17999999999995</v>
      </c>
      <c r="L108" s="92">
        <f t="shared" ref="L108:L111" si="102">E108*K108</f>
        <v>579.17999999999995</v>
      </c>
      <c r="M108" s="89">
        <v>999</v>
      </c>
      <c r="N108" s="89">
        <v>0</v>
      </c>
      <c r="O108" s="89">
        <v>0</v>
      </c>
      <c r="P108" s="89">
        <v>0</v>
      </c>
      <c r="Q108" s="233">
        <f t="shared" ref="Q108:Q111" si="103">N108/7</f>
        <v>0</v>
      </c>
      <c r="R108" s="92">
        <f t="shared" ref="R108:R111" si="104">U108/7</f>
        <v>0</v>
      </c>
      <c r="S108" s="93">
        <v>0</v>
      </c>
      <c r="T108" s="93">
        <v>0</v>
      </c>
      <c r="U108" s="92">
        <f t="shared" ref="U108:U111" si="105">S108+T108</f>
        <v>0</v>
      </c>
      <c r="V108" s="93">
        <v>0</v>
      </c>
      <c r="W108" s="93">
        <v>0</v>
      </c>
      <c r="X108" s="92">
        <f t="shared" ref="X108:X111" si="106">V108+W108</f>
        <v>0</v>
      </c>
      <c r="Y108" s="93">
        <v>0</v>
      </c>
      <c r="Z108" s="93">
        <v>0</v>
      </c>
      <c r="AA108" s="92">
        <f t="shared" ref="AA108:AA111" si="107">Y108+Z108</f>
        <v>0</v>
      </c>
      <c r="AB108" s="92">
        <f t="shared" ref="AB108:AB111" si="108">N108*O108*P108/100</f>
        <v>0</v>
      </c>
      <c r="AC108" s="234">
        <f t="shared" ref="AC108:AC111" si="109">AA108/$AA$126</f>
        <v>0</v>
      </c>
      <c r="AD108" s="92">
        <f t="shared" ref="AD108:AD111" si="110">U108*K108</f>
        <v>0</v>
      </c>
      <c r="AE108" s="93">
        <v>0</v>
      </c>
      <c r="AF108" s="234">
        <f t="shared" ref="AF108:AF111" si="111">IF(AA108=0,0,AE108/AA108)</f>
        <v>0</v>
      </c>
      <c r="AG108" s="93">
        <v>0</v>
      </c>
      <c r="AH108" s="93"/>
      <c r="AI108" s="93"/>
      <c r="AJ108" s="93"/>
      <c r="AK108" s="93"/>
      <c r="AL108" s="122">
        <f t="shared" si="91"/>
        <v>0</v>
      </c>
      <c r="AM108" s="93">
        <v>0</v>
      </c>
      <c r="AN108" s="94">
        <f t="shared" si="92"/>
        <v>0</v>
      </c>
      <c r="AO108" s="95">
        <f t="shared" si="93"/>
        <v>0</v>
      </c>
      <c r="AP108" s="96"/>
      <c r="AQ108" s="97">
        <f t="shared" si="94"/>
        <v>0</v>
      </c>
      <c r="AR108" s="98">
        <f t="shared" si="95"/>
        <v>579.17999999999995</v>
      </c>
      <c r="AS108" s="98">
        <f t="shared" si="96"/>
        <v>0</v>
      </c>
      <c r="AT108" s="98">
        <f t="shared" si="97"/>
        <v>0</v>
      </c>
      <c r="AU108" s="98">
        <f t="shared" si="98"/>
        <v>0</v>
      </c>
      <c r="AV108" s="98">
        <f t="array" ref="AV108">_xlfn.IFS(U108=0,AO108,U108&lt;0,AO108/-U108,U108&gt;0,AO108/U108)</f>
        <v>0</v>
      </c>
      <c r="AW108" s="234">
        <f t="shared" si="99"/>
        <v>0</v>
      </c>
      <c r="AX108" s="234">
        <f t="shared" si="100"/>
        <v>0</v>
      </c>
      <c r="AY108" s="99"/>
      <c r="AZ108" s="94">
        <f t="shared" si="101"/>
        <v>0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1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103"/>
        <v>0</v>
      </c>
      <c r="R109" s="92">
        <f t="shared" si="104"/>
        <v>0</v>
      </c>
      <c r="S109" s="93">
        <v>0</v>
      </c>
      <c r="T109" s="93">
        <v>0</v>
      </c>
      <c r="U109" s="92">
        <f t="shared" si="105"/>
        <v>0</v>
      </c>
      <c r="V109" s="93">
        <v>0</v>
      </c>
      <c r="W109" s="93">
        <v>0</v>
      </c>
      <c r="X109" s="92">
        <f t="shared" si="106"/>
        <v>0</v>
      </c>
      <c r="Y109" s="93">
        <v>0</v>
      </c>
      <c r="Z109" s="93">
        <v>0</v>
      </c>
      <c r="AA109" s="92">
        <f t="shared" si="107"/>
        <v>0</v>
      </c>
      <c r="AB109" s="92">
        <f t="shared" si="108"/>
        <v>0</v>
      </c>
      <c r="AC109" s="234">
        <f t="shared" si="109"/>
        <v>0</v>
      </c>
      <c r="AD109" s="92">
        <f t="shared" si="110"/>
        <v>0</v>
      </c>
      <c r="AE109" s="93">
        <v>0</v>
      </c>
      <c r="AF109" s="234">
        <f t="shared" si="111"/>
        <v>0</v>
      </c>
      <c r="AG109" s="93">
        <v>0</v>
      </c>
      <c r="AH109" s="93"/>
      <c r="AI109" s="93"/>
      <c r="AJ109" s="93"/>
      <c r="AK109" s="93"/>
      <c r="AL109" s="122">
        <f t="shared" si="91"/>
        <v>0</v>
      </c>
      <c r="AM109" s="93">
        <v>0</v>
      </c>
      <c r="AN109" s="94">
        <f t="shared" si="92"/>
        <v>0</v>
      </c>
      <c r="AO109" s="95">
        <f t="shared" si="93"/>
        <v>0</v>
      </c>
      <c r="AP109" s="96"/>
      <c r="AQ109" s="97">
        <f t="shared" si="94"/>
        <v>0</v>
      </c>
      <c r="AR109" s="98">
        <f t="shared" si="95"/>
        <v>541.67999999999995</v>
      </c>
      <c r="AS109" s="98">
        <f t="shared" si="96"/>
        <v>0</v>
      </c>
      <c r="AT109" s="98">
        <f t="shared" si="97"/>
        <v>0</v>
      </c>
      <c r="AU109" s="98">
        <f t="shared" si="98"/>
        <v>0</v>
      </c>
      <c r="AV109" s="98">
        <f t="array" ref="AV109">_xlfn.IFS(U109=0,AO109,U109&lt;0,AO109/-U109,U109&gt;0,AO109/U109)</f>
        <v>0</v>
      </c>
      <c r="AW109" s="234">
        <f t="shared" si="99"/>
        <v>0</v>
      </c>
      <c r="AX109" s="234">
        <f t="shared" si="100"/>
        <v>0</v>
      </c>
      <c r="AY109" s="99"/>
      <c r="AZ109" s="94">
        <f t="shared" si="101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1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103"/>
        <v>0</v>
      </c>
      <c r="R110" s="92">
        <f t="shared" si="104"/>
        <v>0</v>
      </c>
      <c r="S110" s="93">
        <v>0</v>
      </c>
      <c r="T110" s="93">
        <v>0</v>
      </c>
      <c r="U110" s="92">
        <f t="shared" si="105"/>
        <v>0</v>
      </c>
      <c r="V110" s="93">
        <v>0</v>
      </c>
      <c r="W110" s="93">
        <v>0</v>
      </c>
      <c r="X110" s="92">
        <f t="shared" si="106"/>
        <v>0</v>
      </c>
      <c r="Y110" s="93">
        <v>0</v>
      </c>
      <c r="Z110" s="93">
        <v>0</v>
      </c>
      <c r="AA110" s="92">
        <f t="shared" si="107"/>
        <v>0</v>
      </c>
      <c r="AB110" s="92">
        <f t="shared" si="108"/>
        <v>0</v>
      </c>
      <c r="AC110" s="234">
        <f t="shared" si="109"/>
        <v>0</v>
      </c>
      <c r="AD110" s="92">
        <f t="shared" si="110"/>
        <v>0</v>
      </c>
      <c r="AE110" s="93">
        <v>0</v>
      </c>
      <c r="AF110" s="234">
        <f t="shared" si="111"/>
        <v>0</v>
      </c>
      <c r="AG110" s="93">
        <v>0</v>
      </c>
      <c r="AH110" s="93"/>
      <c r="AI110" s="93"/>
      <c r="AJ110" s="93"/>
      <c r="AK110" s="93"/>
      <c r="AL110" s="122">
        <f t="shared" si="91"/>
        <v>0</v>
      </c>
      <c r="AM110" s="93">
        <v>0</v>
      </c>
      <c r="AN110" s="94">
        <f t="shared" si="92"/>
        <v>0</v>
      </c>
      <c r="AO110" s="95">
        <f t="shared" si="93"/>
        <v>0</v>
      </c>
      <c r="AP110" s="96"/>
      <c r="AQ110" s="97">
        <f t="shared" si="94"/>
        <v>0</v>
      </c>
      <c r="AR110" s="98">
        <f t="shared" si="95"/>
        <v>541.67999999999995</v>
      </c>
      <c r="AS110" s="98">
        <f t="shared" si="96"/>
        <v>0</v>
      </c>
      <c r="AT110" s="98">
        <f t="shared" si="97"/>
        <v>0</v>
      </c>
      <c r="AU110" s="98">
        <f t="shared" si="98"/>
        <v>0</v>
      </c>
      <c r="AV110" s="98">
        <f t="array" ref="AV110">_xlfn.IFS(U110=0,AO110,U110&lt;0,AO110/-U110,U110&gt;0,AO110/U110)</f>
        <v>0</v>
      </c>
      <c r="AW110" s="234">
        <f t="shared" si="99"/>
        <v>0</v>
      </c>
      <c r="AX110" s="234">
        <f t="shared" si="100"/>
        <v>0</v>
      </c>
      <c r="AY110" s="99"/>
      <c r="AZ110" s="94">
        <f t="shared" si="101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1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103"/>
        <v>0</v>
      </c>
      <c r="R111" s="92">
        <f t="shared" si="104"/>
        <v>0</v>
      </c>
      <c r="S111" s="93">
        <v>0</v>
      </c>
      <c r="T111" s="93">
        <v>0</v>
      </c>
      <c r="U111" s="92">
        <f t="shared" si="105"/>
        <v>0</v>
      </c>
      <c r="V111" s="93">
        <v>0</v>
      </c>
      <c r="W111" s="93">
        <v>0</v>
      </c>
      <c r="X111" s="92">
        <f t="shared" si="106"/>
        <v>0</v>
      </c>
      <c r="Y111" s="93">
        <v>0</v>
      </c>
      <c r="Z111" s="93">
        <v>0</v>
      </c>
      <c r="AA111" s="92">
        <f t="shared" si="107"/>
        <v>0</v>
      </c>
      <c r="AB111" s="92">
        <f t="shared" si="108"/>
        <v>0</v>
      </c>
      <c r="AC111" s="234">
        <f t="shared" si="109"/>
        <v>0</v>
      </c>
      <c r="AD111" s="92">
        <f t="shared" si="110"/>
        <v>0</v>
      </c>
      <c r="AE111" s="93">
        <v>0</v>
      </c>
      <c r="AF111" s="234">
        <f t="shared" si="111"/>
        <v>0</v>
      </c>
      <c r="AG111" s="93">
        <v>0</v>
      </c>
      <c r="AH111" s="93"/>
      <c r="AI111" s="93"/>
      <c r="AJ111" s="93"/>
      <c r="AK111" s="93"/>
      <c r="AL111" s="122">
        <f t="shared" si="91"/>
        <v>0</v>
      </c>
      <c r="AM111" s="93">
        <v>0</v>
      </c>
      <c r="AN111" s="94">
        <f t="shared" si="92"/>
        <v>0</v>
      </c>
      <c r="AO111" s="95">
        <f t="shared" si="93"/>
        <v>0</v>
      </c>
      <c r="AP111" s="96"/>
      <c r="AQ111" s="97">
        <f t="shared" si="94"/>
        <v>0</v>
      </c>
      <c r="AR111" s="98">
        <f t="shared" si="95"/>
        <v>541.67999999999995</v>
      </c>
      <c r="AS111" s="98">
        <f t="shared" si="96"/>
        <v>0</v>
      </c>
      <c r="AT111" s="98">
        <f t="shared" si="97"/>
        <v>0</v>
      </c>
      <c r="AU111" s="98">
        <f t="shared" si="98"/>
        <v>0</v>
      </c>
      <c r="AV111" s="98">
        <f t="array" ref="AV111">_xlfn.IFS(U111=0,AO111,U111&lt;0,AO111/-U111,U111&gt;0,AO111/U111)</f>
        <v>0</v>
      </c>
      <c r="AW111" s="234">
        <f t="shared" si="99"/>
        <v>0</v>
      </c>
      <c r="AX111" s="234">
        <f t="shared" si="100"/>
        <v>0</v>
      </c>
      <c r="AY111" s="99"/>
      <c r="AZ111" s="94">
        <f t="shared" si="101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19"/>
      <c r="AI112" s="219"/>
      <c r="AJ112" s="219"/>
      <c r="AK112" s="219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12">AVERAGE(AS107:AS111)</f>
        <v>0</v>
      </c>
      <c r="AT112" s="245">
        <f t="shared" si="112"/>
        <v>0</v>
      </c>
      <c r="AU112" s="245">
        <f t="shared" si="112"/>
        <v>0</v>
      </c>
      <c r="AV112" s="245">
        <f t="shared" si="112"/>
        <v>0</v>
      </c>
      <c r="AW112" s="246">
        <f t="shared" si="112"/>
        <v>0</v>
      </c>
      <c r="AX112" s="246">
        <f t="shared" si="112"/>
        <v>0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13">SUM(E107:E111)</f>
        <v>6</v>
      </c>
      <c r="F113" s="249">
        <f t="shared" si="113"/>
        <v>0</v>
      </c>
      <c r="G113" s="249">
        <f t="shared" si="113"/>
        <v>0</v>
      </c>
      <c r="H113" s="249">
        <f t="shared" si="113"/>
        <v>0</v>
      </c>
      <c r="I113" s="249">
        <f t="shared" si="113"/>
        <v>0</v>
      </c>
      <c r="J113" s="249">
        <f t="shared" si="113"/>
        <v>6</v>
      </c>
      <c r="K113" s="249"/>
      <c r="L113" s="249">
        <f>SUM(L107:L111)</f>
        <v>3325.0799999999995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14">SUM(S107:S111)</f>
        <v>0</v>
      </c>
      <c r="T113" s="249">
        <f t="shared" si="114"/>
        <v>0</v>
      </c>
      <c r="U113" s="249">
        <f t="shared" si="114"/>
        <v>0</v>
      </c>
      <c r="V113" s="249">
        <f t="shared" si="114"/>
        <v>0</v>
      </c>
      <c r="W113" s="249">
        <f t="shared" si="114"/>
        <v>0</v>
      </c>
      <c r="X113" s="249">
        <f t="shared" si="114"/>
        <v>0</v>
      </c>
      <c r="Y113" s="249">
        <f t="shared" si="114"/>
        <v>0</v>
      </c>
      <c r="Z113" s="249">
        <f t="shared" si="114"/>
        <v>0</v>
      </c>
      <c r="AA113" s="249">
        <f t="shared" si="114"/>
        <v>0</v>
      </c>
      <c r="AB113" s="249">
        <f t="shared" si="114"/>
        <v>0</v>
      </c>
      <c r="AC113" s="252">
        <f t="shared" si="114"/>
        <v>0</v>
      </c>
      <c r="AD113" s="253">
        <f t="shared" si="114"/>
        <v>0</v>
      </c>
      <c r="AE113" s="249">
        <f t="shared" si="114"/>
        <v>0</v>
      </c>
      <c r="AF113" s="252" t="e">
        <f>AE113/AA113</f>
        <v>#DIV/0!</v>
      </c>
      <c r="AG113" s="249">
        <f t="shared" ref="AG113:AO113" si="115">SUM(AG107:AG111)</f>
        <v>0</v>
      </c>
      <c r="AH113" s="253">
        <f t="shared" si="115"/>
        <v>0</v>
      </c>
      <c r="AI113" s="253">
        <f t="shared" si="115"/>
        <v>0</v>
      </c>
      <c r="AJ113" s="253">
        <f t="shared" si="115"/>
        <v>0</v>
      </c>
      <c r="AK113" s="253">
        <f t="shared" si="115"/>
        <v>0</v>
      </c>
      <c r="AL113" s="253">
        <f t="shared" si="115"/>
        <v>0</v>
      </c>
      <c r="AM113" s="249">
        <f t="shared" si="115"/>
        <v>0</v>
      </c>
      <c r="AN113" s="253">
        <f t="shared" si="115"/>
        <v>0</v>
      </c>
      <c r="AO113" s="253">
        <f t="shared" si="11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46"/>
      <c r="AI114" s="547"/>
      <c r="AJ114" s="26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16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" si="117">N115/7</f>
        <v>0</v>
      </c>
      <c r="R115" s="92">
        <f t="shared" ref="R115" si="118">U115/7</f>
        <v>0</v>
      </c>
      <c r="S115" s="93">
        <v>0</v>
      </c>
      <c r="T115" s="93">
        <v>0</v>
      </c>
      <c r="U115" s="92">
        <f t="shared" ref="U115" si="119">S115+T115</f>
        <v>0</v>
      </c>
      <c r="V115" s="93">
        <v>0</v>
      </c>
      <c r="W115" s="93">
        <v>0</v>
      </c>
      <c r="X115" s="92">
        <f t="shared" ref="X115" si="120">V115+W115</f>
        <v>0</v>
      </c>
      <c r="Y115" s="93">
        <v>0</v>
      </c>
      <c r="Z115" s="93">
        <v>0</v>
      </c>
      <c r="AA115" s="92">
        <f t="shared" ref="AA115" si="121">Y115+Z115</f>
        <v>0</v>
      </c>
      <c r="AB115" s="92">
        <f t="shared" ref="AB115" si="122">N115*O115*P115/100</f>
        <v>0</v>
      </c>
      <c r="AC115" s="234">
        <f t="shared" ref="AC115" si="123">AA115/$AA$126</f>
        <v>0</v>
      </c>
      <c r="AD115" s="92">
        <f t="shared" ref="AD115" si="124">U115*K115</f>
        <v>0</v>
      </c>
      <c r="AE115" s="93">
        <v>0</v>
      </c>
      <c r="AF115" s="234">
        <f t="shared" ref="AF115" si="125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:AL122" si="126">IFERROR($AL$126*H115/$H$126,0)</f>
        <v>0</v>
      </c>
      <c r="AM115" s="93">
        <v>0</v>
      </c>
      <c r="AN115" s="94">
        <f t="shared" ref="AN115:AN122" si="127">X115*5.71%</f>
        <v>0</v>
      </c>
      <c r="AO115" s="95">
        <f t="shared" ref="AO115:AO122" si="128">AA115-AD115-AE115-AG115-AH115-AI115-AK115-AL115-AN115-AM115</f>
        <v>0</v>
      </c>
      <c r="AP115" s="96"/>
      <c r="AQ115" s="97">
        <f t="shared" ref="AQ115:AQ122" si="129">IF(U115=0,0,AA115/U115)</f>
        <v>0</v>
      </c>
      <c r="AR115" s="98">
        <f t="shared" ref="AR115:AR122" si="130">K115</f>
        <v>140</v>
      </c>
      <c r="AS115" s="98">
        <f t="shared" ref="AS115:AS122" si="131">IF(U115=0,0,AE115/U115)</f>
        <v>0</v>
      </c>
      <c r="AT115" s="98">
        <f t="shared" ref="AT115:AT122" si="132">IF(S115=0,AG115/1,AG115/S115)</f>
        <v>0</v>
      </c>
      <c r="AU115" s="98">
        <f t="shared" ref="AU115:AU122" si="133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34">IF(AQ115=0,0,AV115/AQ115)</f>
        <v>0</v>
      </c>
      <c r="AX115" s="234">
        <f t="shared" ref="AX115:AX122" si="135">IF(AR115=0,0,AV115/AR115)</f>
        <v>0</v>
      </c>
      <c r="AY115" s="99"/>
      <c r="AZ115" s="94">
        <f t="shared" ref="AZ115:AZ122" si="136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37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/>
      <c r="K116" s="92">
        <v>154</v>
      </c>
      <c r="L116" s="92">
        <f t="shared" si="116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ref="Q116:Q122" si="138">N116/7</f>
        <v>0</v>
      </c>
      <c r="R116" s="92">
        <f t="shared" ref="R116:R122" si="139">U116/7</f>
        <v>0</v>
      </c>
      <c r="S116" s="93">
        <v>0</v>
      </c>
      <c r="T116" s="93">
        <v>0</v>
      </c>
      <c r="U116" s="92">
        <f t="shared" ref="U116:U122" si="140">S116+T116</f>
        <v>0</v>
      </c>
      <c r="V116" s="93">
        <v>0</v>
      </c>
      <c r="W116" s="93">
        <v>0</v>
      </c>
      <c r="X116" s="92">
        <f t="shared" ref="X116:X122" si="141">V116+W116</f>
        <v>0</v>
      </c>
      <c r="Y116" s="93">
        <v>0</v>
      </c>
      <c r="Z116" s="93">
        <v>0</v>
      </c>
      <c r="AA116" s="92">
        <f t="shared" ref="AA116:AA122" si="142">Y116+Z116</f>
        <v>0</v>
      </c>
      <c r="AB116" s="92">
        <f t="shared" ref="AB116:AB122" si="143">N116*O116*P116/100</f>
        <v>0</v>
      </c>
      <c r="AC116" s="234">
        <f t="shared" ref="AC116:AC122" si="144">AA116/$AA$126</f>
        <v>0</v>
      </c>
      <c r="AD116" s="92">
        <f t="shared" ref="AD116:AD122" si="145">U116*K116</f>
        <v>0</v>
      </c>
      <c r="AE116" s="93">
        <v>0</v>
      </c>
      <c r="AF116" s="234">
        <f t="shared" ref="AF116:AF122" si="146">IF(AA116=0,0,AE116/AA116)</f>
        <v>0</v>
      </c>
      <c r="AG116" s="93">
        <v>0</v>
      </c>
      <c r="AH116" s="93"/>
      <c r="AI116" s="93"/>
      <c r="AJ116" s="93"/>
      <c r="AK116" s="93"/>
      <c r="AL116" s="122">
        <f t="shared" si="126"/>
        <v>0</v>
      </c>
      <c r="AM116" s="93">
        <v>0</v>
      </c>
      <c r="AN116" s="94">
        <f t="shared" si="127"/>
        <v>0</v>
      </c>
      <c r="AO116" s="95">
        <f t="shared" si="128"/>
        <v>0</v>
      </c>
      <c r="AP116" s="96"/>
      <c r="AQ116" s="97">
        <f t="shared" si="129"/>
        <v>0</v>
      </c>
      <c r="AR116" s="98">
        <f t="shared" si="130"/>
        <v>154</v>
      </c>
      <c r="AS116" s="98">
        <f t="shared" si="131"/>
        <v>0</v>
      </c>
      <c r="AT116" s="98">
        <f t="shared" si="132"/>
        <v>0</v>
      </c>
      <c r="AU116" s="98">
        <f t="shared" si="133"/>
        <v>0</v>
      </c>
      <c r="AV116" s="98">
        <f t="array" ref="AV116">_xlfn.IFS(U116=0,AO116,U116&lt;0,AO116/-U116,U116&gt;0,AO116/U116)</f>
        <v>0</v>
      </c>
      <c r="AW116" s="234">
        <f t="shared" si="134"/>
        <v>0</v>
      </c>
      <c r="AX116" s="234">
        <f t="shared" si="135"/>
        <v>0</v>
      </c>
      <c r="AY116" s="99"/>
      <c r="AZ116" s="94">
        <f t="shared" si="136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37"/>
        <v>1</v>
      </c>
      <c r="F117" s="93">
        <v>0</v>
      </c>
      <c r="G117" s="93">
        <v>0</v>
      </c>
      <c r="H117" s="93">
        <v>0</v>
      </c>
      <c r="I117" s="93">
        <v>1</v>
      </c>
      <c r="J117" s="93"/>
      <c r="K117" s="92">
        <v>220</v>
      </c>
      <c r="L117" s="92">
        <f t="shared" si="116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38"/>
        <v>0</v>
      </c>
      <c r="R117" s="92">
        <f t="shared" si="139"/>
        <v>0</v>
      </c>
      <c r="S117" s="93">
        <v>0</v>
      </c>
      <c r="T117" s="93">
        <v>0</v>
      </c>
      <c r="U117" s="92">
        <f t="shared" si="140"/>
        <v>0</v>
      </c>
      <c r="V117" s="93">
        <v>0</v>
      </c>
      <c r="W117" s="93">
        <v>0</v>
      </c>
      <c r="X117" s="92">
        <f t="shared" si="141"/>
        <v>0</v>
      </c>
      <c r="Y117" s="93">
        <v>0</v>
      </c>
      <c r="Z117" s="93">
        <v>0</v>
      </c>
      <c r="AA117" s="92">
        <f t="shared" si="142"/>
        <v>0</v>
      </c>
      <c r="AB117" s="92">
        <f t="shared" si="143"/>
        <v>0</v>
      </c>
      <c r="AC117" s="234">
        <f t="shared" si="144"/>
        <v>0</v>
      </c>
      <c r="AD117" s="92">
        <f t="shared" si="145"/>
        <v>0</v>
      </c>
      <c r="AE117" s="93">
        <v>0</v>
      </c>
      <c r="AF117" s="234">
        <f t="shared" si="146"/>
        <v>0</v>
      </c>
      <c r="AG117" s="93">
        <v>0</v>
      </c>
      <c r="AH117" s="93"/>
      <c r="AI117" s="93"/>
      <c r="AJ117" s="93"/>
      <c r="AK117" s="93"/>
      <c r="AL117" s="122">
        <f t="shared" si="126"/>
        <v>0</v>
      </c>
      <c r="AM117" s="93">
        <v>0</v>
      </c>
      <c r="AN117" s="94">
        <f t="shared" si="127"/>
        <v>0</v>
      </c>
      <c r="AO117" s="95">
        <f t="shared" si="128"/>
        <v>0</v>
      </c>
      <c r="AP117" s="96"/>
      <c r="AQ117" s="97">
        <f t="shared" si="129"/>
        <v>0</v>
      </c>
      <c r="AR117" s="98">
        <f t="shared" si="130"/>
        <v>220</v>
      </c>
      <c r="AS117" s="98">
        <f t="shared" si="131"/>
        <v>0</v>
      </c>
      <c r="AT117" s="98">
        <f t="shared" si="132"/>
        <v>0</v>
      </c>
      <c r="AU117" s="98">
        <f t="shared" si="133"/>
        <v>0</v>
      </c>
      <c r="AV117" s="98">
        <f t="array" ref="AV117">_xlfn.IFS(U117=0,AO117,U117&lt;0,AO117/-U117,U117&gt;0,AO117/U117)</f>
        <v>0</v>
      </c>
      <c r="AW117" s="234">
        <f t="shared" si="134"/>
        <v>0</v>
      </c>
      <c r="AX117" s="234">
        <f t="shared" si="135"/>
        <v>0</v>
      </c>
      <c r="AY117" s="99"/>
      <c r="AZ117" s="94">
        <f t="shared" si="136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37"/>
        <v>1</v>
      </c>
      <c r="F118" s="93">
        <v>0</v>
      </c>
      <c r="G118" s="93">
        <v>0</v>
      </c>
      <c r="H118" s="93">
        <v>0</v>
      </c>
      <c r="I118" s="93">
        <v>1</v>
      </c>
      <c r="J118" s="93"/>
      <c r="K118" s="92">
        <v>220</v>
      </c>
      <c r="L118" s="92">
        <f t="shared" si="116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38"/>
        <v>0</v>
      </c>
      <c r="R118" s="92">
        <f t="shared" si="139"/>
        <v>0</v>
      </c>
      <c r="S118" s="93">
        <v>0</v>
      </c>
      <c r="T118" s="93">
        <v>0</v>
      </c>
      <c r="U118" s="92">
        <f t="shared" si="140"/>
        <v>0</v>
      </c>
      <c r="V118" s="93">
        <v>0</v>
      </c>
      <c r="W118" s="93">
        <v>0</v>
      </c>
      <c r="X118" s="92">
        <f t="shared" si="141"/>
        <v>0</v>
      </c>
      <c r="Y118" s="93">
        <v>0</v>
      </c>
      <c r="Z118" s="93">
        <v>0</v>
      </c>
      <c r="AA118" s="92">
        <f t="shared" si="142"/>
        <v>0</v>
      </c>
      <c r="AB118" s="92">
        <f t="shared" si="143"/>
        <v>0</v>
      </c>
      <c r="AC118" s="234">
        <f t="shared" si="144"/>
        <v>0</v>
      </c>
      <c r="AD118" s="92">
        <f t="shared" si="145"/>
        <v>0</v>
      </c>
      <c r="AE118" s="93">
        <v>0</v>
      </c>
      <c r="AF118" s="234">
        <f t="shared" si="146"/>
        <v>0</v>
      </c>
      <c r="AG118" s="93">
        <v>0</v>
      </c>
      <c r="AH118" s="93"/>
      <c r="AI118" s="93"/>
      <c r="AJ118" s="93"/>
      <c r="AK118" s="93"/>
      <c r="AL118" s="122">
        <f t="shared" si="126"/>
        <v>0</v>
      </c>
      <c r="AM118" s="93">
        <v>0</v>
      </c>
      <c r="AN118" s="94">
        <f t="shared" si="127"/>
        <v>0</v>
      </c>
      <c r="AO118" s="95">
        <f t="shared" si="128"/>
        <v>0</v>
      </c>
      <c r="AP118" s="96"/>
      <c r="AQ118" s="97">
        <f t="shared" si="129"/>
        <v>0</v>
      </c>
      <c r="AR118" s="98">
        <f t="shared" si="130"/>
        <v>220</v>
      </c>
      <c r="AS118" s="98">
        <f t="shared" si="131"/>
        <v>0</v>
      </c>
      <c r="AT118" s="98">
        <f t="shared" si="132"/>
        <v>0</v>
      </c>
      <c r="AU118" s="98">
        <f t="shared" si="133"/>
        <v>0</v>
      </c>
      <c r="AV118" s="98">
        <f t="array" ref="AV118">_xlfn.IFS(U118=0,AO118,U118&lt;0,AO118/-U118,U118&gt;0,AO118/U118)</f>
        <v>0</v>
      </c>
      <c r="AW118" s="234">
        <f t="shared" si="134"/>
        <v>0</v>
      </c>
      <c r="AX118" s="234">
        <f t="shared" si="135"/>
        <v>0</v>
      </c>
      <c r="AY118" s="99"/>
      <c r="AZ118" s="94">
        <f t="shared" si="136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37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16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38"/>
        <v>0</v>
      </c>
      <c r="R119" s="92">
        <f t="shared" si="139"/>
        <v>0</v>
      </c>
      <c r="S119" s="93">
        <v>0</v>
      </c>
      <c r="T119" s="93">
        <v>0</v>
      </c>
      <c r="U119" s="92">
        <f t="shared" si="140"/>
        <v>0</v>
      </c>
      <c r="V119" s="93">
        <v>0</v>
      </c>
      <c r="W119" s="93">
        <v>0</v>
      </c>
      <c r="X119" s="92">
        <f t="shared" si="141"/>
        <v>0</v>
      </c>
      <c r="Y119" s="93">
        <v>0</v>
      </c>
      <c r="Z119" s="93">
        <v>0</v>
      </c>
      <c r="AA119" s="92">
        <f t="shared" si="142"/>
        <v>0</v>
      </c>
      <c r="AB119" s="92">
        <f t="shared" si="143"/>
        <v>0</v>
      </c>
      <c r="AC119" s="234">
        <f t="shared" si="144"/>
        <v>0</v>
      </c>
      <c r="AD119" s="92">
        <f t="shared" si="145"/>
        <v>0</v>
      </c>
      <c r="AE119" s="93">
        <v>0</v>
      </c>
      <c r="AF119" s="234">
        <f t="shared" si="146"/>
        <v>0</v>
      </c>
      <c r="AG119" s="93">
        <v>0</v>
      </c>
      <c r="AH119" s="93"/>
      <c r="AI119" s="93"/>
      <c r="AJ119" s="93"/>
      <c r="AK119" s="93"/>
      <c r="AL119" s="122">
        <f t="shared" si="126"/>
        <v>0</v>
      </c>
      <c r="AM119" s="93">
        <v>0</v>
      </c>
      <c r="AN119" s="94">
        <f t="shared" si="127"/>
        <v>0</v>
      </c>
      <c r="AO119" s="95">
        <f t="shared" si="128"/>
        <v>0</v>
      </c>
      <c r="AP119" s="96"/>
      <c r="AQ119" s="97">
        <f t="shared" si="129"/>
        <v>0</v>
      </c>
      <c r="AR119" s="98">
        <f t="shared" si="130"/>
        <v>220</v>
      </c>
      <c r="AS119" s="98">
        <f t="shared" si="131"/>
        <v>0</v>
      </c>
      <c r="AT119" s="98">
        <f t="shared" si="132"/>
        <v>0</v>
      </c>
      <c r="AU119" s="98">
        <f t="shared" si="133"/>
        <v>0</v>
      </c>
      <c r="AV119" s="98">
        <f t="array" ref="AV119">_xlfn.IFS(U119=0,AO119,U119&lt;0,AO119/-U119,U119&gt;0,AO119/U119)</f>
        <v>0</v>
      </c>
      <c r="AW119" s="234">
        <f t="shared" si="134"/>
        <v>0</v>
      </c>
      <c r="AX119" s="234">
        <f t="shared" si="135"/>
        <v>0</v>
      </c>
      <c r="AY119" s="99"/>
      <c r="AZ119" s="94">
        <f t="shared" si="136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37"/>
        <v>1</v>
      </c>
      <c r="F120" s="93">
        <v>0</v>
      </c>
      <c r="G120" s="93">
        <v>0</v>
      </c>
      <c r="H120" s="93">
        <v>0</v>
      </c>
      <c r="I120" s="93">
        <v>1</v>
      </c>
      <c r="J120" s="93"/>
      <c r="K120" s="92">
        <v>205</v>
      </c>
      <c r="L120" s="92">
        <f t="shared" si="116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38"/>
        <v>0</v>
      </c>
      <c r="R120" s="92">
        <f t="shared" si="139"/>
        <v>0</v>
      </c>
      <c r="S120" s="93">
        <v>0</v>
      </c>
      <c r="T120" s="93">
        <v>0</v>
      </c>
      <c r="U120" s="92">
        <f t="shared" si="140"/>
        <v>0</v>
      </c>
      <c r="V120" s="93">
        <v>0</v>
      </c>
      <c r="W120" s="93">
        <v>0</v>
      </c>
      <c r="X120" s="92">
        <f t="shared" si="141"/>
        <v>0</v>
      </c>
      <c r="Y120" s="93">
        <v>0</v>
      </c>
      <c r="Z120" s="93">
        <v>0</v>
      </c>
      <c r="AA120" s="92">
        <f t="shared" si="142"/>
        <v>0</v>
      </c>
      <c r="AB120" s="92">
        <f t="shared" si="143"/>
        <v>0</v>
      </c>
      <c r="AC120" s="234">
        <f t="shared" si="144"/>
        <v>0</v>
      </c>
      <c r="AD120" s="92">
        <f t="shared" si="145"/>
        <v>0</v>
      </c>
      <c r="AE120" s="93">
        <v>0</v>
      </c>
      <c r="AF120" s="234">
        <f t="shared" si="146"/>
        <v>0</v>
      </c>
      <c r="AG120" s="93">
        <v>0</v>
      </c>
      <c r="AH120" s="93"/>
      <c r="AI120" s="93"/>
      <c r="AJ120" s="93"/>
      <c r="AK120" s="93"/>
      <c r="AL120" s="122">
        <f t="shared" si="126"/>
        <v>0</v>
      </c>
      <c r="AM120" s="93">
        <v>0</v>
      </c>
      <c r="AN120" s="94">
        <f t="shared" si="127"/>
        <v>0</v>
      </c>
      <c r="AO120" s="95">
        <f t="shared" si="128"/>
        <v>0</v>
      </c>
      <c r="AP120" s="96"/>
      <c r="AQ120" s="97">
        <f t="shared" si="129"/>
        <v>0</v>
      </c>
      <c r="AR120" s="98">
        <f t="shared" si="130"/>
        <v>205</v>
      </c>
      <c r="AS120" s="98">
        <f t="shared" si="131"/>
        <v>0</v>
      </c>
      <c r="AT120" s="98">
        <f t="shared" si="132"/>
        <v>0</v>
      </c>
      <c r="AU120" s="98">
        <f t="shared" si="133"/>
        <v>0</v>
      </c>
      <c r="AV120" s="98">
        <f t="array" ref="AV120">_xlfn.IFS(U120=0,AO120,U120&lt;0,AO120/-U120,U120&gt;0,AO120/U120)</f>
        <v>0</v>
      </c>
      <c r="AW120" s="234">
        <f t="shared" si="134"/>
        <v>0</v>
      </c>
      <c r="AX120" s="234">
        <f t="shared" si="135"/>
        <v>0</v>
      </c>
      <c r="AY120" s="99"/>
      <c r="AZ120" s="94">
        <f t="shared" si="136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37"/>
        <v>1</v>
      </c>
      <c r="F121" s="93">
        <v>0</v>
      </c>
      <c r="G121" s="93">
        <v>0</v>
      </c>
      <c r="H121" s="93">
        <v>0</v>
      </c>
      <c r="I121" s="93">
        <v>1</v>
      </c>
      <c r="J121" s="93"/>
      <c r="K121" s="92">
        <v>205</v>
      </c>
      <c r="L121" s="92">
        <f t="shared" si="116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38"/>
        <v>0</v>
      </c>
      <c r="R121" s="92">
        <f t="shared" si="139"/>
        <v>0</v>
      </c>
      <c r="S121" s="93">
        <v>0</v>
      </c>
      <c r="T121" s="93">
        <v>0</v>
      </c>
      <c r="U121" s="92">
        <f t="shared" si="140"/>
        <v>0</v>
      </c>
      <c r="V121" s="93">
        <v>0</v>
      </c>
      <c r="W121" s="93">
        <v>0</v>
      </c>
      <c r="X121" s="92">
        <f t="shared" si="141"/>
        <v>0</v>
      </c>
      <c r="Y121" s="93">
        <v>0</v>
      </c>
      <c r="Z121" s="93">
        <v>0</v>
      </c>
      <c r="AA121" s="92">
        <f t="shared" si="142"/>
        <v>0</v>
      </c>
      <c r="AB121" s="92">
        <f t="shared" si="143"/>
        <v>0</v>
      </c>
      <c r="AC121" s="234">
        <f t="shared" si="144"/>
        <v>0</v>
      </c>
      <c r="AD121" s="92">
        <f t="shared" si="145"/>
        <v>0</v>
      </c>
      <c r="AE121" s="93">
        <v>0</v>
      </c>
      <c r="AF121" s="234">
        <f t="shared" si="146"/>
        <v>0</v>
      </c>
      <c r="AG121" s="93">
        <v>0</v>
      </c>
      <c r="AH121" s="93"/>
      <c r="AI121" s="93"/>
      <c r="AJ121" s="93"/>
      <c r="AK121" s="93"/>
      <c r="AL121" s="122">
        <f t="shared" si="126"/>
        <v>0</v>
      </c>
      <c r="AM121" s="93">
        <v>0</v>
      </c>
      <c r="AN121" s="94">
        <f t="shared" si="127"/>
        <v>0</v>
      </c>
      <c r="AO121" s="95">
        <f t="shared" si="128"/>
        <v>0</v>
      </c>
      <c r="AP121" s="96"/>
      <c r="AQ121" s="97">
        <f t="shared" si="129"/>
        <v>0</v>
      </c>
      <c r="AR121" s="98">
        <f t="shared" si="130"/>
        <v>205</v>
      </c>
      <c r="AS121" s="98">
        <f t="shared" si="131"/>
        <v>0</v>
      </c>
      <c r="AT121" s="98">
        <f t="shared" si="132"/>
        <v>0</v>
      </c>
      <c r="AU121" s="98">
        <f t="shared" si="133"/>
        <v>0</v>
      </c>
      <c r="AV121" s="98">
        <f t="array" ref="AV121">_xlfn.IFS(U121=0,AO121,U121&lt;0,AO121/-U121,U121&gt;0,AO121/U121)</f>
        <v>0</v>
      </c>
      <c r="AW121" s="234">
        <f t="shared" si="134"/>
        <v>0</v>
      </c>
      <c r="AX121" s="234">
        <f t="shared" si="135"/>
        <v>0</v>
      </c>
      <c r="AY121" s="99"/>
      <c r="AZ121" s="94">
        <f t="shared" si="136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37"/>
        <v>1</v>
      </c>
      <c r="F122" s="93">
        <v>0</v>
      </c>
      <c r="G122" s="93">
        <v>0</v>
      </c>
      <c r="H122" s="93">
        <v>0</v>
      </c>
      <c r="I122" s="93">
        <v>1</v>
      </c>
      <c r="J122" s="93"/>
      <c r="K122" s="92">
        <v>453</v>
      </c>
      <c r="L122" s="92">
        <f t="shared" si="116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38"/>
        <v>0</v>
      </c>
      <c r="R122" s="92">
        <f t="shared" si="139"/>
        <v>0</v>
      </c>
      <c r="S122" s="93">
        <v>0</v>
      </c>
      <c r="T122" s="93">
        <v>0</v>
      </c>
      <c r="U122" s="92">
        <f t="shared" si="140"/>
        <v>0</v>
      </c>
      <c r="V122" s="93">
        <v>0</v>
      </c>
      <c r="W122" s="93">
        <v>0</v>
      </c>
      <c r="X122" s="92">
        <f t="shared" si="141"/>
        <v>0</v>
      </c>
      <c r="Y122" s="93">
        <v>0</v>
      </c>
      <c r="Z122" s="93">
        <v>0</v>
      </c>
      <c r="AA122" s="92">
        <f t="shared" si="142"/>
        <v>0</v>
      </c>
      <c r="AB122" s="92">
        <f t="shared" si="143"/>
        <v>0</v>
      </c>
      <c r="AC122" s="234">
        <f t="shared" si="144"/>
        <v>0</v>
      </c>
      <c r="AD122" s="92">
        <f t="shared" si="145"/>
        <v>0</v>
      </c>
      <c r="AE122" s="93">
        <v>0</v>
      </c>
      <c r="AF122" s="234">
        <f t="shared" si="146"/>
        <v>0</v>
      </c>
      <c r="AG122" s="93">
        <v>0</v>
      </c>
      <c r="AH122" s="93"/>
      <c r="AI122" s="93"/>
      <c r="AJ122" s="93"/>
      <c r="AK122" s="93"/>
      <c r="AL122" s="122">
        <f t="shared" si="126"/>
        <v>0</v>
      </c>
      <c r="AM122" s="93">
        <v>0</v>
      </c>
      <c r="AN122" s="94">
        <f t="shared" si="127"/>
        <v>0</v>
      </c>
      <c r="AO122" s="95">
        <f t="shared" si="128"/>
        <v>0</v>
      </c>
      <c r="AP122" s="96"/>
      <c r="AQ122" s="97">
        <f t="shared" si="129"/>
        <v>0</v>
      </c>
      <c r="AR122" s="98">
        <f t="shared" si="130"/>
        <v>453</v>
      </c>
      <c r="AS122" s="98">
        <f t="shared" si="131"/>
        <v>0</v>
      </c>
      <c r="AT122" s="98">
        <f t="shared" si="132"/>
        <v>0</v>
      </c>
      <c r="AU122" s="98">
        <f t="shared" si="133"/>
        <v>0</v>
      </c>
      <c r="AV122" s="98">
        <f t="array" ref="AV122">_xlfn.IFS(U122=0,AO122,U122&lt;0,AO122/-U122,U122&gt;0,AO122/U122)</f>
        <v>0</v>
      </c>
      <c r="AW122" s="234">
        <f t="shared" si="134"/>
        <v>0</v>
      </c>
      <c r="AX122" s="234">
        <f t="shared" si="135"/>
        <v>0</v>
      </c>
      <c r="AY122" s="99"/>
      <c r="AZ122" s="94">
        <f t="shared" si="136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47">AVERAGE(AQ115:AQ122)</f>
        <v>0</v>
      </c>
      <c r="AR123" s="130">
        <f t="shared" si="147"/>
        <v>227.125</v>
      </c>
      <c r="AS123" s="130">
        <f t="shared" si="147"/>
        <v>0</v>
      </c>
      <c r="AT123" s="130">
        <f t="shared" si="147"/>
        <v>0</v>
      </c>
      <c r="AU123" s="130">
        <f t="shared" si="147"/>
        <v>0</v>
      </c>
      <c r="AV123" s="130">
        <f t="shared" si="147"/>
        <v>0</v>
      </c>
      <c r="AW123" s="131">
        <f t="shared" si="147"/>
        <v>0</v>
      </c>
      <c r="AX123" s="131">
        <f t="shared" si="147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48">SUM(E115:E122)</f>
        <v>14</v>
      </c>
      <c r="F124" s="134">
        <f t="shared" si="148"/>
        <v>0</v>
      </c>
      <c r="G124" s="134">
        <f t="shared" si="148"/>
        <v>0</v>
      </c>
      <c r="H124" s="134">
        <f t="shared" si="148"/>
        <v>0</v>
      </c>
      <c r="I124" s="134">
        <f t="shared" si="148"/>
        <v>8</v>
      </c>
      <c r="J124" s="134">
        <f t="shared" si="148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49">SUM(S115:S122)</f>
        <v>0</v>
      </c>
      <c r="T124" s="134">
        <f t="shared" si="149"/>
        <v>0</v>
      </c>
      <c r="U124" s="134">
        <f t="shared" si="149"/>
        <v>0</v>
      </c>
      <c r="V124" s="134">
        <f t="shared" si="149"/>
        <v>0</v>
      </c>
      <c r="W124" s="134">
        <f t="shared" si="149"/>
        <v>0</v>
      </c>
      <c r="X124" s="134">
        <f t="shared" si="149"/>
        <v>0</v>
      </c>
      <c r="Y124" s="134">
        <f t="shared" si="149"/>
        <v>0</v>
      </c>
      <c r="Z124" s="134">
        <f t="shared" si="149"/>
        <v>0</v>
      </c>
      <c r="AA124" s="134">
        <f t="shared" si="149"/>
        <v>0</v>
      </c>
      <c r="AB124" s="134">
        <f t="shared" si="149"/>
        <v>0</v>
      </c>
      <c r="AC124" s="265">
        <f t="shared" si="149"/>
        <v>0</v>
      </c>
      <c r="AD124" s="135">
        <f t="shared" si="149"/>
        <v>0</v>
      </c>
      <c r="AE124" s="134">
        <f t="shared" si="149"/>
        <v>0</v>
      </c>
      <c r="AF124" s="265" t="e">
        <f>AE124/AA124</f>
        <v>#DIV/0!</v>
      </c>
      <c r="AG124" s="134">
        <f t="shared" ref="AG124:AO124" si="150">SUM(AG115:AG122)</f>
        <v>0</v>
      </c>
      <c r="AH124" s="134">
        <f t="shared" si="150"/>
        <v>0</v>
      </c>
      <c r="AI124" s="134">
        <f t="shared" si="150"/>
        <v>0</v>
      </c>
      <c r="AJ124" s="134">
        <f t="shared" si="150"/>
        <v>0</v>
      </c>
      <c r="AK124" s="134">
        <f t="shared" si="150"/>
        <v>0</v>
      </c>
      <c r="AL124" s="136">
        <f t="shared" si="150"/>
        <v>0</v>
      </c>
      <c r="AM124" s="134">
        <f t="shared" si="150"/>
        <v>0</v>
      </c>
      <c r="AN124" s="134">
        <f t="shared" si="150"/>
        <v>0</v>
      </c>
      <c r="AO124" s="134">
        <f t="shared" si="150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548"/>
      <c r="AI125" s="548"/>
      <c r="AJ125" s="220"/>
      <c r="AK125" s="220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51">E105+E113+E124</f>
        <v>77026</v>
      </c>
      <c r="F126" s="267">
        <f t="shared" si="151"/>
        <v>2656</v>
      </c>
      <c r="G126" s="267">
        <f t="shared" si="151"/>
        <v>716</v>
      </c>
      <c r="H126" s="267">
        <f t="shared" si="151"/>
        <v>12695</v>
      </c>
      <c r="I126" s="267">
        <f t="shared" si="151"/>
        <v>1569</v>
      </c>
      <c r="J126" s="267">
        <f t="shared" si="151"/>
        <v>59390</v>
      </c>
      <c r="K126" s="267">
        <f t="shared" si="151"/>
        <v>0</v>
      </c>
      <c r="L126" s="267">
        <f t="shared" si="151"/>
        <v>9530147.4200000055</v>
      </c>
      <c r="M126" s="267">
        <f t="shared" si="151"/>
        <v>0</v>
      </c>
      <c r="N126" s="267">
        <f t="shared" si="151"/>
        <v>3950</v>
      </c>
      <c r="O126" s="267">
        <f t="shared" si="151"/>
        <v>0</v>
      </c>
      <c r="P126" s="267">
        <f t="shared" si="151"/>
        <v>0</v>
      </c>
      <c r="Q126" s="215">
        <f t="shared" si="151"/>
        <v>0</v>
      </c>
      <c r="R126" s="267">
        <f t="shared" si="151"/>
        <v>0</v>
      </c>
      <c r="S126" s="267">
        <f t="shared" si="151"/>
        <v>2372</v>
      </c>
      <c r="T126" s="267">
        <f t="shared" si="151"/>
        <v>-63</v>
      </c>
      <c r="U126" s="267">
        <f t="shared" si="151"/>
        <v>2309</v>
      </c>
      <c r="V126" s="267">
        <f t="shared" si="151"/>
        <v>1818463.7599999995</v>
      </c>
      <c r="W126" s="267">
        <f t="shared" si="151"/>
        <v>-46702.770000000004</v>
      </c>
      <c r="X126" s="267">
        <f t="shared" si="151"/>
        <v>1771760.9899999995</v>
      </c>
      <c r="Y126" s="267">
        <f t="shared" si="151"/>
        <v>2879025.2499999995</v>
      </c>
      <c r="Z126" s="267">
        <f t="shared" si="151"/>
        <v>-73544.639999999999</v>
      </c>
      <c r="AA126" s="267">
        <f t="shared" si="151"/>
        <v>2805480.6099999989</v>
      </c>
      <c r="AB126" s="267">
        <f t="shared" si="151"/>
        <v>2873864.169999999</v>
      </c>
      <c r="AC126" s="267">
        <f t="shared" si="151"/>
        <v>1.0000000000000002</v>
      </c>
      <c r="AD126" s="267">
        <f t="shared" si="151"/>
        <v>288027.83999999997</v>
      </c>
      <c r="AE126" s="267">
        <f t="shared" si="151"/>
        <v>1051752.6800000004</v>
      </c>
      <c r="AF126" s="268">
        <f>AE126/AA126</f>
        <v>0.37489215796077124</v>
      </c>
      <c r="AG126" s="267">
        <f>AG105+AG113+AG124+AG125</f>
        <v>299585.5299999998</v>
      </c>
      <c r="AH126" s="267">
        <f>AH105+AH113+AH124</f>
        <v>233660</v>
      </c>
      <c r="AI126" s="267">
        <f>AI105+AI113+AI124</f>
        <v>78621</v>
      </c>
      <c r="AJ126" s="267">
        <f>AJ105+AJ113+AJ124</f>
        <v>26</v>
      </c>
      <c r="AK126" s="267">
        <f>AK105+AK113+AK124</f>
        <v>0</v>
      </c>
      <c r="AL126" s="156">
        <v>8471.4</v>
      </c>
      <c r="AM126" s="267">
        <f>AM105+AM113+AM124</f>
        <v>1392.11</v>
      </c>
      <c r="AN126" s="267">
        <f>AN105+AN113+AN124</f>
        <v>101167.55252900004</v>
      </c>
      <c r="AO126" s="267">
        <f>AO105+AO113+AO124</f>
        <v>742972.49747099949</v>
      </c>
      <c r="AP126" s="155"/>
      <c r="AQ126" s="155"/>
      <c r="AR126" s="155"/>
      <c r="AS126" s="155"/>
      <c r="AT126" s="155"/>
      <c r="AU126" s="155">
        <f>(AH126+AI126)/S126</f>
        <v>131.65303541315345</v>
      </c>
      <c r="AV126" s="155"/>
      <c r="AW126" s="155"/>
      <c r="AX126" s="155"/>
      <c r="AY126" s="157"/>
      <c r="AZ126" s="155">
        <f>AZ105+AZ124</f>
        <v>23228813.400800698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48">
        <f>AH106+AH114+AH125</f>
        <v>0</v>
      </c>
      <c r="AI127" s="548"/>
      <c r="AJ127" s="220"/>
      <c r="AK127" s="220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35" priority="18" operator="greaterThan">
      <formula>0.23</formula>
    </cfRule>
  </conditionalFormatting>
  <conditionalFormatting sqref="M123:O123 M3:M104 M106:M112">
    <cfRule type="cellIs" dxfId="34" priority="30" operator="greaterThan">
      <formula>120</formula>
    </cfRule>
  </conditionalFormatting>
  <conditionalFormatting sqref="AC125 AC127">
    <cfRule type="cellIs" dxfId="33" priority="31" operator="greaterThan">
      <formula>0.23</formula>
    </cfRule>
  </conditionalFormatting>
  <conditionalFormatting sqref="AA123:AC123 AA106:AC106 AA112:AC112 AA104:AC104 AB3:AC103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{95716517-5AAB-4385-B0DD-B0B609818496}</x14:id>
        </ext>
      </extLst>
    </cfRule>
  </conditionalFormatting>
  <conditionalFormatting sqref="AC112 AC106 AC3:AC10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{BAE30E2A-A626-425E-BCFF-DF0BDCB49F19}</x14:id>
        </ext>
      </extLst>
    </cfRule>
  </conditionalFormatting>
  <conditionalFormatting sqref="AC1">
    <cfRule type="cellIs" dxfId="32" priority="29" operator="greaterThan">
      <formula>0.23</formula>
    </cfRule>
  </conditionalFormatting>
  <conditionalFormatting sqref="AV107:AV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{8EE8C685-B8CE-41F2-BC33-6C906849BCB9}</x14:id>
        </ext>
      </extLst>
    </cfRule>
  </conditionalFormatting>
  <conditionalFormatting sqref="AW107:AX11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{0C7BDCA5-CBDC-46AE-A146-F51F005C2DE2}</x14:id>
        </ext>
      </extLst>
    </cfRule>
  </conditionalFormatting>
  <conditionalFormatting sqref="AZ107:AZ11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{2A39716E-8DF5-4848-B455-299EC9246567}</x14:id>
        </ext>
      </extLst>
    </cfRule>
  </conditionalFormatting>
  <conditionalFormatting sqref="AZ107:AZ11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{8408FC29-F313-428A-B6A2-3A20970D15E1}</x14:id>
        </ext>
      </extLst>
    </cfRule>
  </conditionalFormatting>
  <conditionalFormatting sqref="Q123">
    <cfRule type="cellIs" dxfId="31" priority="24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{DFF130E3-86E5-4C8B-AE0A-783C561A448F}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{E076F24E-F228-41C7-9410-3116392DFC66}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{1149CCB4-DB43-4AA7-9C0A-144E8C150FA4}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{860BDC5D-C061-4F51-90E6-FDEBC08244A9}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{3C800348-9C6D-421E-9F81-AB221F6C900A}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{8E864E1D-40DE-4F3C-A288-EDFB8C17A459}</x14:id>
        </ext>
      </extLst>
    </cfRule>
  </conditionalFormatting>
  <conditionalFormatting sqref="AZ3:AZ16 AZ106 AZ123 AZ112 AZ26:AZ43 AZ94:AZ10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{790C0D79-28C4-4445-B4B6-F35757869105}</x14:id>
        </ext>
      </extLst>
    </cfRule>
  </conditionalFormatting>
  <conditionalFormatting sqref="AZ115:AZ12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{2D5EB21D-5E0C-4749-B318-0D1E8E9EBD1E}</x14:id>
        </ext>
      </extLst>
    </cfRule>
  </conditionalFormatting>
  <conditionalFormatting sqref="AV3:AV16 AV106 AV26:AV43 AV94:AV10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{CE5415DB-FE3C-41E8-970C-98B63BA901A6}</x14:id>
        </ext>
      </extLst>
    </cfRule>
  </conditionalFormatting>
  <conditionalFormatting sqref="AW106:AX106 AW3:AX16 AW26:AX43 AW94:AX10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{30DDD3D8-51C6-4561-ABC3-78648FDA3717}</x14:id>
        </ext>
      </extLst>
    </cfRule>
  </conditionalFormatting>
  <conditionalFormatting sqref="AZ3:AZ16 AZ106 AZ112 AZ26:AZ43 AZ94:AZ10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{EB36E8F0-0763-41C4-8D18-DEBE18C4DCD0}</x14:id>
        </ext>
      </extLst>
    </cfRule>
  </conditionalFormatting>
  <conditionalFormatting sqref="AZ115:AZ12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{8BC04BA8-E773-442C-A8E2-C72BD1614D85}</x14:id>
        </ext>
      </extLst>
    </cfRule>
  </conditionalFormatting>
  <conditionalFormatting sqref="AV115:AV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{9A1E3E40-B5E3-49B3-A491-3B372AB6B7B9}</x14:id>
        </ext>
      </extLst>
    </cfRule>
  </conditionalFormatting>
  <conditionalFormatting sqref="AW115:AX12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{7C594DE3-B387-47EA-A882-7CB9A618A6AA}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{05AFEA12-6041-4614-A94E-74BDCD8B770F}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{2BDCAEC4-BEDF-4B4B-A8EC-C719857577F3}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{5C0B28B1-7095-4952-9B70-DBED4DE2AE64}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{98EEAA2E-14BB-4D4E-8422-D96A7C653BBC}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{31CB0323-E0AC-48D9-BB32-0915855C04D2}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{4740C834-A71F-44E9-93BF-434B52156858}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{67A809BB-5BBD-42CA-A677-AD80AB6C2206}</x14:id>
        </ext>
      </extLst>
    </cfRule>
  </conditionalFormatting>
  <conditionalFormatting sqref="M115:M122">
    <cfRule type="cellIs" dxfId="30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{62C36BA3-848F-4DF2-9229-39820C08535B}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{A423A9EF-A062-4EA3-9666-8563B66E659D}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{503849B8-6447-4041-A9FC-621076701962}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{CF8DA77C-EA69-4F1A-A31C-941D4909B7E0}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{99623F26-1F39-48BE-B14E-75ECE60EDB65}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{C3315CD0-0231-45AB-83E4-70A9DE81FF53}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716517-5AAB-4385-B0DD-B0B6098184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AE30E2A-A626-425E-BCFF-DF0BDCB49F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8EE8C685-B8CE-41F2-BC33-6C906849B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0C7BDCA5-CBDC-46AE-A146-F51F005C2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2A39716E-8DF5-4848-B455-299EC92465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408FC29-F313-428A-B6A2-3A20970D1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FF130E3-86E5-4C8B-AE0A-783C561A4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076F24E-F228-41C7-9410-3116392DFC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149CCB4-DB43-4AA7-9C0A-144E8C150F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860BDC5D-C061-4F51-90E6-FDEBC082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3C800348-9C6D-421E-9F81-AB221F6C90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E864E1D-40DE-4F3C-A288-EDFB8C17A4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790C0D79-28C4-4445-B4B6-F357578691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2D5EB21D-5E0C-4749-B318-0D1E8E9EB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5415DB-FE3C-41E8-970C-98B63BA901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0DDD3D8-51C6-4561-ABC3-78648FDA37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B36E8F0-0763-41C4-8D18-DEBE18C4DC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BC04BA8-E773-442C-A8E2-C72BD1614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A1E3E40-B5E3-49B3-A491-3B372AB6B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C594DE3-B387-47EA-A882-7CB9A618A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05AFEA12-6041-4614-A94E-74BDCD8B77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BDCAEC4-BEDF-4B4B-A8EC-C719857577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C0B28B1-7095-4952-9B70-DBED4DE2AE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8EEAA2E-14BB-4D4E-8422-D96A7C653B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1CB0323-E0AC-48D9-BB32-0915855C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740C834-A71F-44E9-93BF-434B521568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67A809BB-5BBD-42CA-A677-AD80AB6C22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2C36BA3-848F-4DF2-9229-39820C0853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A423A9EF-A062-4EA3-9666-8563B66E65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03849B8-6447-4041-A9FC-6210767019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CF8DA77C-EA69-4F1A-A31C-941D4909B7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99623F26-1F39-48BE-B14E-75ECE60EDB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C3315CD0-0231-45AB-83E4-70A9DE81F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4D7C-58FF-4F6B-9EAE-657C7A4655C5}">
  <dimension ref="A1:AZ129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K99" sqref="K99:K103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255</v>
      </c>
      <c r="B1" s="73"/>
      <c r="C1" s="72"/>
      <c r="D1" s="72"/>
      <c r="E1" s="222"/>
      <c r="F1" s="539" t="s">
        <v>42</v>
      </c>
      <c r="G1" s="539"/>
      <c r="H1" s="539"/>
      <c r="I1" s="540" t="s">
        <v>115</v>
      </c>
      <c r="J1" s="541"/>
      <c r="M1" s="223" t="s">
        <v>43</v>
      </c>
      <c r="N1" s="539" t="s">
        <v>116</v>
      </c>
      <c r="O1" s="539"/>
      <c r="P1" s="539"/>
      <c r="R1" s="224"/>
      <c r="S1" s="542"/>
      <c r="T1" s="542"/>
      <c r="U1" s="224"/>
      <c r="V1" s="543"/>
      <c r="W1" s="544"/>
      <c r="X1" s="224"/>
      <c r="Y1" s="542"/>
      <c r="Z1" s="542"/>
      <c r="AA1" s="224"/>
      <c r="AB1" s="224"/>
      <c r="AC1" s="224"/>
      <c r="AD1" s="224"/>
      <c r="AE1" s="225"/>
      <c r="AF1" s="224"/>
      <c r="AG1" s="225"/>
      <c r="AH1" s="535"/>
      <c r="AI1" s="535"/>
      <c r="AJ1" s="283" t="s">
        <v>248</v>
      </c>
      <c r="AK1" s="218"/>
      <c r="AL1" s="226" t="s">
        <v>44</v>
      </c>
      <c r="AM1" s="225"/>
      <c r="AQ1" s="536" t="s">
        <v>45</v>
      </c>
      <c r="AR1" s="537"/>
      <c r="AS1" s="537"/>
      <c r="AT1" s="537"/>
      <c r="AU1" s="537"/>
      <c r="AV1" s="537"/>
      <c r="AW1" s="537"/>
      <c r="AX1" s="538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4341</v>
      </c>
      <c r="F3" s="93">
        <v>118</v>
      </c>
      <c r="G3" s="93">
        <v>35</v>
      </c>
      <c r="H3" s="93">
        <v>827</v>
      </c>
      <c r="I3" s="93">
        <v>1</v>
      </c>
      <c r="J3" s="93">
        <v>3360</v>
      </c>
      <c r="K3" s="92">
        <v>142.97999999999999</v>
      </c>
      <c r="L3" s="92">
        <f t="shared" ref="L3" si="0">E3*K3</f>
        <v>620676.17999999993</v>
      </c>
      <c r="M3" s="89">
        <v>76</v>
      </c>
      <c r="N3" s="89">
        <v>162</v>
      </c>
      <c r="O3" s="89">
        <v>1410</v>
      </c>
      <c r="P3" s="89">
        <v>61</v>
      </c>
      <c r="Q3" s="233">
        <f>N3/7</f>
        <v>23.142857142857142</v>
      </c>
      <c r="R3" s="92">
        <f>U3/7</f>
        <v>10.571428571428571</v>
      </c>
      <c r="S3" s="93">
        <v>76</v>
      </c>
      <c r="T3" s="93">
        <v>-2</v>
      </c>
      <c r="U3" s="92">
        <f t="shared" ref="U3" si="1">S3+T3</f>
        <v>74</v>
      </c>
      <c r="V3" s="93">
        <v>65330.490000000013</v>
      </c>
      <c r="W3" s="93">
        <v>-1522</v>
      </c>
      <c r="X3" s="92">
        <f t="shared" ref="X3" si="2">V3+W3</f>
        <v>63808.490000000013</v>
      </c>
      <c r="Y3" s="93">
        <v>102856.37999999999</v>
      </c>
      <c r="Z3" s="93">
        <v>-2593</v>
      </c>
      <c r="AA3" s="92">
        <f t="shared" ref="AA3" si="3">Y3+Z3</f>
        <v>100263.37999999999</v>
      </c>
      <c r="AB3" s="92">
        <f>N3*O3*P3/100</f>
        <v>139336.20000000001</v>
      </c>
      <c r="AC3" s="234">
        <f>AA3/$AA$126</f>
        <v>4.0850271405171008E-2</v>
      </c>
      <c r="AD3" s="92">
        <f t="shared" ref="AD3" si="4">U3*K3</f>
        <v>10580.519999999999</v>
      </c>
      <c r="AE3" s="93">
        <v>37573.129999999983</v>
      </c>
      <c r="AF3" s="234">
        <f t="shared" ref="AF3" si="5">IF(AA3=0,0,AE3/AA3)</f>
        <v>0.37474429846669827</v>
      </c>
      <c r="AG3" s="93">
        <v>9341.3399999999947</v>
      </c>
      <c r="AH3" s="93">
        <v>8002</v>
      </c>
      <c r="AI3" s="93">
        <v>37195</v>
      </c>
      <c r="AJ3" s="93"/>
      <c r="AK3" s="93"/>
      <c r="AL3" s="122">
        <f>IFERROR($AL$126*H3/$H$126,0)</f>
        <v>717.21315133232781</v>
      </c>
      <c r="AM3" s="93">
        <v>0</v>
      </c>
      <c r="AN3" s="94">
        <f>X3*5.71%</f>
        <v>3643.4647790000004</v>
      </c>
      <c r="AO3" s="95">
        <f>AA3-AD3-AE3-AG3-AH3-AI3-AK3-AL3-AN3-AM3</f>
        <v>-6789.2879303323216</v>
      </c>
      <c r="AP3" s="96"/>
      <c r="AQ3" s="97">
        <f t="shared" ref="AQ3:AQ97" si="6">IF(U3=0,0,AA3/U3)</f>
        <v>1354.9105405405403</v>
      </c>
      <c r="AR3" s="98">
        <f t="shared" ref="AR3:AR19" si="7">K3</f>
        <v>142.97999999999999</v>
      </c>
      <c r="AS3" s="98">
        <f t="shared" ref="AS3:AS97" si="8">IF(U3=0,0,AE3/U3)</f>
        <v>507.74499999999978</v>
      </c>
      <c r="AT3" s="98">
        <f t="shared" ref="AT3:AT97" si="9">IF(S3=0,AG3/1,AG3/S3)</f>
        <v>122.91236842105256</v>
      </c>
      <c r="AU3" s="98">
        <f>IF(S3=0,0,(AH3+AI3+AJ3)/S3)</f>
        <v>594.6973684210526</v>
      </c>
      <c r="AV3" s="98">
        <f>_xlfn.IFS(U3=0,AO3,U3&lt;0,AO3/-U3,U3&gt;0,AO3/U3)</f>
        <v>-91.747134193680026</v>
      </c>
      <c r="AW3" s="234">
        <f t="shared" ref="AW3" si="10">IF(AQ3=0,0,AV3/AQ3)</f>
        <v>-6.7714532766921715E-2</v>
      </c>
      <c r="AX3" s="234">
        <f t="shared" ref="AX3" si="11">IF(AR3=0,0,AV3/AR3)</f>
        <v>-0.64167809619303418</v>
      </c>
      <c r="AY3" s="99"/>
      <c r="AZ3" s="94">
        <f t="shared" ref="AZ3:AZ97" si="12">AV3*E3</f>
        <v>-398274.30953476497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7753</v>
      </c>
      <c r="F4" s="93">
        <v>549</v>
      </c>
      <c r="G4" s="93">
        <v>90</v>
      </c>
      <c r="H4" s="93">
        <v>733</v>
      </c>
      <c r="I4" s="93">
        <v>0</v>
      </c>
      <c r="J4" s="93">
        <v>6381</v>
      </c>
      <c r="K4" s="92">
        <v>123.09</v>
      </c>
      <c r="L4" s="92">
        <f>E4*K4</f>
        <v>954316.77</v>
      </c>
      <c r="M4" s="89">
        <v>7</v>
      </c>
      <c r="N4" s="89">
        <v>916</v>
      </c>
      <c r="O4" s="89">
        <v>1030</v>
      </c>
      <c r="P4" s="89">
        <v>74</v>
      </c>
      <c r="Q4" s="233">
        <f t="shared" ref="Q4:Q67" si="13">N4/7</f>
        <v>130.85714285714286</v>
      </c>
      <c r="R4" s="92">
        <f t="shared" ref="R4:R67" si="14">U4/7</f>
        <v>79</v>
      </c>
      <c r="S4" s="93">
        <v>559</v>
      </c>
      <c r="T4" s="93">
        <v>-6</v>
      </c>
      <c r="U4" s="92">
        <f t="shared" ref="U4:U67" si="15">S4+T4</f>
        <v>553</v>
      </c>
      <c r="V4" s="93">
        <v>349412.4900000004</v>
      </c>
      <c r="W4" s="93">
        <v>-3386.63</v>
      </c>
      <c r="X4" s="92">
        <f t="shared" ref="X4:X67" si="16">V4+W4</f>
        <v>346025.86000000039</v>
      </c>
      <c r="Y4" s="93">
        <v>533455.7300000001</v>
      </c>
      <c r="Z4" s="93">
        <v>-5176.9799999999996</v>
      </c>
      <c r="AA4" s="92">
        <f t="shared" ref="AA4:AA67" si="17">Y4+Z4</f>
        <v>528278.75000000012</v>
      </c>
      <c r="AB4" s="92">
        <f t="shared" ref="AB4:AB67" si="18">N4*O4*P4/100</f>
        <v>698175.2</v>
      </c>
      <c r="AC4" s="234">
        <f t="shared" ref="AC4:AC67" si="19">AA4/$AA$126</f>
        <v>0.2152364134850081</v>
      </c>
      <c r="AD4" s="92">
        <f t="shared" ref="AD4:AD67" si="20">U4*K4</f>
        <v>68068.77</v>
      </c>
      <c r="AE4" s="93">
        <v>197906.79000000047</v>
      </c>
      <c r="AF4" s="234">
        <f t="shared" ref="AF4:AF67" si="21">IF(AA4=0,0,AE4/AA4)</f>
        <v>0.37462568766962601</v>
      </c>
      <c r="AG4" s="93">
        <v>50961.900000000176</v>
      </c>
      <c r="AH4" s="93">
        <v>2628</v>
      </c>
      <c r="AI4" s="93">
        <v>713</v>
      </c>
      <c r="AJ4" s="93"/>
      <c r="AK4" s="93"/>
      <c r="AL4" s="122">
        <f t="shared" ref="AL4:AL67" si="22">IFERROR($AL$126*H4/$H$126,0)</f>
        <v>635.69194670688785</v>
      </c>
      <c r="AM4" s="93">
        <v>20</v>
      </c>
      <c r="AN4" s="94">
        <f t="shared" ref="AN4:AN67" si="23">X4*5.71%</f>
        <v>19758.076606000021</v>
      </c>
      <c r="AO4" s="95">
        <f>AA4-AD4-AE4-AG4-AH4-AI4-AK4-AL4-AN4-AM4</f>
        <v>187586.52144729253</v>
      </c>
      <c r="AP4" s="96"/>
      <c r="AQ4" s="97">
        <f t="shared" si="6"/>
        <v>955.29611211573263</v>
      </c>
      <c r="AR4" s="98">
        <f t="shared" si="7"/>
        <v>123.09</v>
      </c>
      <c r="AS4" s="98">
        <f t="shared" si="8"/>
        <v>357.87846292947643</v>
      </c>
      <c r="AT4" s="98">
        <f t="shared" si="9"/>
        <v>91.166189624329476</v>
      </c>
      <c r="AU4" s="98">
        <f t="shared" ref="AU4:AU70" si="24">IF(S4=0,0,(AH4+AI4+AJ4)/S4)</f>
        <v>5.9767441860465116</v>
      </c>
      <c r="AV4" s="98">
        <f t="array" ref="AV4">_xlfn.IFS(U4=0,AO4,U4&lt;0,AO4/-U4,U4&gt;0,AO4/U4)</f>
        <v>339.21613281608052</v>
      </c>
      <c r="AW4" s="234">
        <f>IF(AQ4=0,0,AV4/AQ4)</f>
        <v>0.35509003806663142</v>
      </c>
      <c r="AX4" s="234">
        <f>IF(AR4=0,0,AV4/AR4)</f>
        <v>2.7558382713143268</v>
      </c>
      <c r="AY4" s="99"/>
      <c r="AZ4" s="94">
        <f t="shared" si="12"/>
        <v>2629942.6777230725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5573</v>
      </c>
      <c r="F5" s="93">
        <v>145</v>
      </c>
      <c r="G5" s="93">
        <v>29</v>
      </c>
      <c r="H5" s="93">
        <v>505</v>
      </c>
      <c r="I5" s="93">
        <v>0</v>
      </c>
      <c r="J5" s="93">
        <v>4894</v>
      </c>
      <c r="K5" s="92">
        <v>123.09</v>
      </c>
      <c r="L5" s="92">
        <f>E5*K5</f>
        <v>685980.57000000007</v>
      </c>
      <c r="M5" s="89">
        <v>38</v>
      </c>
      <c r="N5" s="89">
        <v>215</v>
      </c>
      <c r="O5" s="89">
        <v>1133</v>
      </c>
      <c r="P5" s="89">
        <v>70</v>
      </c>
      <c r="Q5" s="233">
        <f t="shared" si="13"/>
        <v>30.714285714285715</v>
      </c>
      <c r="R5" s="92">
        <f t="shared" si="14"/>
        <v>21.571428571428573</v>
      </c>
      <c r="S5" s="93">
        <v>151</v>
      </c>
      <c r="T5" s="93">
        <v>0</v>
      </c>
      <c r="U5" s="92">
        <f t="shared" si="15"/>
        <v>151</v>
      </c>
      <c r="V5" s="93">
        <v>102977.46</v>
      </c>
      <c r="W5" s="93">
        <v>0</v>
      </c>
      <c r="X5" s="92">
        <f t="shared" si="16"/>
        <v>102977.46</v>
      </c>
      <c r="Y5" s="93">
        <v>163663.61000000004</v>
      </c>
      <c r="Z5" s="93">
        <v>0</v>
      </c>
      <c r="AA5" s="92">
        <f t="shared" si="17"/>
        <v>163663.61000000004</v>
      </c>
      <c r="AB5" s="92">
        <f t="shared" si="18"/>
        <v>170516.5</v>
      </c>
      <c r="AC5" s="234">
        <f t="shared" si="19"/>
        <v>6.6681403396235614E-2</v>
      </c>
      <c r="AD5" s="92">
        <f t="shared" si="20"/>
        <v>18586.59</v>
      </c>
      <c r="AE5" s="93">
        <v>61148.340000000011</v>
      </c>
      <c r="AF5" s="234">
        <f t="shared" si="21"/>
        <v>0.37362208984636225</v>
      </c>
      <c r="AG5" s="93">
        <v>13912.50999999998</v>
      </c>
      <c r="AH5" s="93">
        <v>1962</v>
      </c>
      <c r="AI5" s="93">
        <v>20504</v>
      </c>
      <c r="AJ5" s="93"/>
      <c r="AK5" s="93"/>
      <c r="AL5" s="122">
        <f t="shared" si="22"/>
        <v>437.95966314731027</v>
      </c>
      <c r="AM5" s="93">
        <v>0</v>
      </c>
      <c r="AN5" s="94">
        <f t="shared" si="23"/>
        <v>5880.0129660000002</v>
      </c>
      <c r="AO5" s="95">
        <f t="shared" ref="AO5:AO67" si="25">AA5-AD5-AE5-AG5-AH5-AI5-AK5-AL5-AN5-AM5</f>
        <v>41232.197370852744</v>
      </c>
      <c r="AP5" s="96"/>
      <c r="AQ5" s="97">
        <f t="shared" si="6"/>
        <v>1083.8649668874175</v>
      </c>
      <c r="AR5" s="98">
        <f t="shared" si="7"/>
        <v>123.09</v>
      </c>
      <c r="AS5" s="98">
        <f t="shared" si="8"/>
        <v>404.9558940397352</v>
      </c>
      <c r="AT5" s="98">
        <f t="shared" si="9"/>
        <v>92.13582781456941</v>
      </c>
      <c r="AU5" s="98">
        <f t="shared" si="24"/>
        <v>148.78145695364239</v>
      </c>
      <c r="AV5" s="98">
        <f t="array" ref="AV5">_xlfn.IFS(U5=0,AO5,U5&lt;0,AO5/-U5,U5&gt;0,AO5/U5)</f>
        <v>273.06090974074664</v>
      </c>
      <c r="AW5" s="234">
        <f>IF(AQ5=0,0,AV5/AQ5)</f>
        <v>0.25193259131246543</v>
      </c>
      <c r="AX5" s="234">
        <f>IF(AR5=0,0,AV5/AR5)</f>
        <v>2.2183841883235571</v>
      </c>
      <c r="AY5" s="99"/>
      <c r="AZ5" s="94">
        <f t="shared" si="12"/>
        <v>1521768.449985181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589</v>
      </c>
      <c r="F6" s="93">
        <v>119</v>
      </c>
      <c r="G6" s="93">
        <v>25</v>
      </c>
      <c r="H6" s="93">
        <v>304</v>
      </c>
      <c r="I6" s="93">
        <v>0</v>
      </c>
      <c r="J6" s="93">
        <v>141</v>
      </c>
      <c r="K6" s="92">
        <v>123.09</v>
      </c>
      <c r="L6" s="92">
        <f t="shared" ref="L6" si="27">E6*K6</f>
        <v>72500.009999999995</v>
      </c>
      <c r="M6" s="89">
        <v>28</v>
      </c>
      <c r="N6" s="89">
        <v>173</v>
      </c>
      <c r="O6" s="89">
        <v>1041</v>
      </c>
      <c r="P6" s="89">
        <v>79</v>
      </c>
      <c r="Q6" s="233">
        <f t="shared" si="13"/>
        <v>24.714285714285715</v>
      </c>
      <c r="R6" s="92">
        <f t="shared" si="14"/>
        <v>18</v>
      </c>
      <c r="S6" s="93">
        <v>129</v>
      </c>
      <c r="T6" s="93">
        <v>-3</v>
      </c>
      <c r="U6" s="92">
        <f t="shared" si="15"/>
        <v>126</v>
      </c>
      <c r="V6" s="93">
        <v>83166.16</v>
      </c>
      <c r="W6" s="93">
        <v>-1926</v>
      </c>
      <c r="X6" s="92">
        <f t="shared" si="16"/>
        <v>81240.160000000003</v>
      </c>
      <c r="Y6" s="93">
        <v>128564.20999999998</v>
      </c>
      <c r="Z6" s="93">
        <v>-2998</v>
      </c>
      <c r="AA6" s="92">
        <f t="shared" si="17"/>
        <v>125566.20999999998</v>
      </c>
      <c r="AB6" s="92">
        <f t="shared" si="18"/>
        <v>142273.47</v>
      </c>
      <c r="AC6" s="234">
        <f t="shared" si="19"/>
        <v>5.115939396635838E-2</v>
      </c>
      <c r="AD6" s="92">
        <f t="shared" si="20"/>
        <v>15509.34</v>
      </c>
      <c r="AE6" s="93">
        <v>46929.659999999931</v>
      </c>
      <c r="AF6" s="234">
        <f t="shared" si="21"/>
        <v>0.37374433774818833</v>
      </c>
      <c r="AG6" s="93">
        <v>11100.729999999989</v>
      </c>
      <c r="AH6" s="93">
        <v>1985</v>
      </c>
      <c r="AI6" s="93">
        <v>9437</v>
      </c>
      <c r="AJ6" s="93"/>
      <c r="AK6" s="93"/>
      <c r="AL6" s="122">
        <f t="shared" si="22"/>
        <v>263.64304474610356</v>
      </c>
      <c r="AM6" s="93">
        <v>0</v>
      </c>
      <c r="AN6" s="94">
        <f t="shared" si="23"/>
        <v>4638.8131359999998</v>
      </c>
      <c r="AO6" s="95">
        <f t="shared" si="25"/>
        <v>35702.023819253962</v>
      </c>
      <c r="AP6" s="96"/>
      <c r="AQ6" s="97">
        <f t="shared" si="6"/>
        <v>996.55722222222209</v>
      </c>
      <c r="AR6" s="98">
        <f t="shared" si="7"/>
        <v>123.09</v>
      </c>
      <c r="AS6" s="98">
        <f t="shared" si="8"/>
        <v>372.45761904761849</v>
      </c>
      <c r="AT6" s="98">
        <f t="shared" si="9"/>
        <v>86.052170542635565</v>
      </c>
      <c r="AU6" s="98">
        <f t="shared" si="24"/>
        <v>88.542635658914733</v>
      </c>
      <c r="AV6" s="98">
        <f t="array" ref="AV6">_xlfn.IFS(U6=0,AO6,U6&lt;0,AO6/-U6,U6&gt;0,AO6/U6)</f>
        <v>283.34939539090448</v>
      </c>
      <c r="AW6" s="234">
        <f t="shared" ref="AW6" si="28">IF(AQ6=0,0,AV6/AQ6)</f>
        <v>0.28432827445579484</v>
      </c>
      <c r="AX6" s="234">
        <f t="shared" ref="AX6" si="29">IF(AR6=0,0,AV6/AR6)</f>
        <v>2.3019692533179339</v>
      </c>
      <c r="AY6" s="99"/>
      <c r="AZ6" s="94">
        <f t="shared" si="12"/>
        <v>166892.79388524275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5130</v>
      </c>
      <c r="F7" s="93">
        <v>201</v>
      </c>
      <c r="G7" s="93">
        <v>41</v>
      </c>
      <c r="H7" s="93">
        <v>268</v>
      </c>
      <c r="I7" s="93">
        <v>3</v>
      </c>
      <c r="J7" s="93">
        <v>4617</v>
      </c>
      <c r="K7" s="92">
        <v>117.24</v>
      </c>
      <c r="L7" s="92">
        <f>E7*K7</f>
        <v>601441.19999999995</v>
      </c>
      <c r="M7" s="89">
        <v>13</v>
      </c>
      <c r="N7" s="89">
        <v>337</v>
      </c>
      <c r="O7" s="89">
        <v>1206</v>
      </c>
      <c r="P7" s="89">
        <v>74</v>
      </c>
      <c r="Q7" s="233">
        <f t="shared" si="13"/>
        <v>48.142857142857146</v>
      </c>
      <c r="R7" s="92">
        <f t="shared" si="14"/>
        <v>29.428571428571427</v>
      </c>
      <c r="S7" s="93">
        <v>208</v>
      </c>
      <c r="T7" s="93">
        <v>-2</v>
      </c>
      <c r="U7" s="92">
        <f t="shared" si="15"/>
        <v>206</v>
      </c>
      <c r="V7" s="93">
        <v>145513.38</v>
      </c>
      <c r="W7" s="93">
        <v>-1222</v>
      </c>
      <c r="X7" s="92">
        <f t="shared" si="16"/>
        <v>144291.38</v>
      </c>
      <c r="Y7" s="93">
        <v>231388.07999999996</v>
      </c>
      <c r="Z7" s="93">
        <v>-2032.5900000000001</v>
      </c>
      <c r="AA7" s="92">
        <f t="shared" si="17"/>
        <v>229355.48999999996</v>
      </c>
      <c r="AB7" s="92">
        <f t="shared" si="18"/>
        <v>300752.28000000003</v>
      </c>
      <c r="AC7" s="234">
        <f t="shared" si="19"/>
        <v>9.3446221489500797E-2</v>
      </c>
      <c r="AD7" s="92">
        <f t="shared" si="20"/>
        <v>24151.439999999999</v>
      </c>
      <c r="AE7" s="93">
        <v>84938.300000000017</v>
      </c>
      <c r="AF7" s="234">
        <f t="shared" si="21"/>
        <v>0.37033471490043701</v>
      </c>
      <c r="AG7" s="93">
        <v>18514.779999999988</v>
      </c>
      <c r="AH7" s="93">
        <v>1931</v>
      </c>
      <c r="AI7" s="93">
        <v>24176</v>
      </c>
      <c r="AJ7" s="93"/>
      <c r="AK7" s="93"/>
      <c r="AL7" s="122">
        <f t="shared" si="22"/>
        <v>232.42215786827555</v>
      </c>
      <c r="AM7" s="93">
        <v>0</v>
      </c>
      <c r="AN7" s="94">
        <f t="shared" si="23"/>
        <v>8239.0377979999994</v>
      </c>
      <c r="AO7" s="95">
        <f t="shared" si="25"/>
        <v>67172.510044131675</v>
      </c>
      <c r="AP7" s="96"/>
      <c r="AQ7" s="97">
        <f t="shared" si="6"/>
        <v>1113.3761650485435</v>
      </c>
      <c r="AR7" s="98">
        <f t="shared" si="7"/>
        <v>117.24</v>
      </c>
      <c r="AS7" s="98">
        <f t="shared" si="8"/>
        <v>412.32184466019424</v>
      </c>
      <c r="AT7" s="98">
        <f t="shared" si="9"/>
        <v>89.013365384615327</v>
      </c>
      <c r="AU7" s="98">
        <f t="shared" si="24"/>
        <v>125.51442307692308</v>
      </c>
      <c r="AV7" s="98">
        <f t="array" ref="AV7">_xlfn.IFS(U7=0,AO7,U7&lt;0,AO7/-U7,U7&gt;0,AO7/U7)</f>
        <v>326.0801458452994</v>
      </c>
      <c r="AW7" s="234">
        <f>IF(AQ7=0,0,AV7/AQ7)</f>
        <v>0.29287509117018168</v>
      </c>
      <c r="AX7" s="234">
        <f>IF(AR7=0,0,AV7/AR7)</f>
        <v>2.7813045534399472</v>
      </c>
      <c r="AY7" s="99"/>
      <c r="AZ7" s="94">
        <f t="shared" si="12"/>
        <v>1672791.1481863859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470</v>
      </c>
      <c r="F8" s="93">
        <v>109</v>
      </c>
      <c r="G8" s="93">
        <v>32</v>
      </c>
      <c r="H8" s="93">
        <v>329</v>
      </c>
      <c r="I8" s="93">
        <v>0</v>
      </c>
      <c r="J8" s="93">
        <v>0</v>
      </c>
      <c r="K8" s="92">
        <v>169.89</v>
      </c>
      <c r="L8" s="92">
        <f>E8*K8</f>
        <v>79848.299999999988</v>
      </c>
      <c r="M8" s="89">
        <v>38</v>
      </c>
      <c r="N8" s="89">
        <v>140</v>
      </c>
      <c r="O8" s="89">
        <v>1371</v>
      </c>
      <c r="P8" s="89">
        <v>52</v>
      </c>
      <c r="Q8" s="233">
        <f t="shared" si="13"/>
        <v>20</v>
      </c>
      <c r="R8" s="92">
        <f t="shared" si="14"/>
        <v>9.7142857142857135</v>
      </c>
      <c r="S8" s="93">
        <v>69</v>
      </c>
      <c r="T8" s="93">
        <v>-1</v>
      </c>
      <c r="U8" s="92">
        <f t="shared" si="15"/>
        <v>68</v>
      </c>
      <c r="V8" s="93">
        <v>57136.180000000008</v>
      </c>
      <c r="W8" s="93">
        <v>-812</v>
      </c>
      <c r="X8" s="92">
        <f t="shared" si="16"/>
        <v>56324.180000000008</v>
      </c>
      <c r="Y8" s="93">
        <v>90536.1</v>
      </c>
      <c r="Z8" s="93">
        <v>-1325</v>
      </c>
      <c r="AA8" s="92">
        <f t="shared" si="17"/>
        <v>89211.1</v>
      </c>
      <c r="AB8" s="92">
        <f t="shared" si="18"/>
        <v>99808.8</v>
      </c>
      <c r="AC8" s="234">
        <f t="shared" si="19"/>
        <v>3.6347245099395728E-2</v>
      </c>
      <c r="AD8" s="92">
        <f t="shared" si="20"/>
        <v>11552.519999999999</v>
      </c>
      <c r="AE8" s="93">
        <v>33354.780000000021</v>
      </c>
      <c r="AF8" s="234">
        <f t="shared" si="21"/>
        <v>0.37388598503997844</v>
      </c>
      <c r="AG8" s="93">
        <v>9999.3399999999929</v>
      </c>
      <c r="AH8" s="93">
        <v>3721</v>
      </c>
      <c r="AI8" s="93">
        <v>11574</v>
      </c>
      <c r="AJ8" s="93"/>
      <c r="AK8" s="93"/>
      <c r="AL8" s="122">
        <f t="shared" si="22"/>
        <v>285.3242161890397</v>
      </c>
      <c r="AM8" s="93">
        <v>0</v>
      </c>
      <c r="AN8" s="94">
        <f t="shared" si="23"/>
        <v>3216.1106780000005</v>
      </c>
      <c r="AO8" s="95">
        <f t="shared" si="25"/>
        <v>15508.02510581095</v>
      </c>
      <c r="AP8" s="96"/>
      <c r="AQ8" s="97">
        <f t="shared" si="6"/>
        <v>1311.9279411764708</v>
      </c>
      <c r="AR8" s="98">
        <f t="shared" si="7"/>
        <v>169.89</v>
      </c>
      <c r="AS8" s="98">
        <f t="shared" si="8"/>
        <v>490.51147058823562</v>
      </c>
      <c r="AT8" s="98">
        <f t="shared" si="9"/>
        <v>144.91797101449265</v>
      </c>
      <c r="AU8" s="98">
        <f t="shared" si="24"/>
        <v>221.66666666666666</v>
      </c>
      <c r="AV8" s="98">
        <f t="array" ref="AV8">_xlfn.IFS(U8=0,AO8,U8&lt;0,AO8/-U8,U8&gt;0,AO8/U8)</f>
        <v>228.05919273251396</v>
      </c>
      <c r="AW8" s="234">
        <f>IF(AQ8=0,0,AV8/AQ8)</f>
        <v>0.17383515174469261</v>
      </c>
      <c r="AX8" s="234">
        <f>IF(AR8=0,0,AV8/AR8)</f>
        <v>1.3423932705427863</v>
      </c>
      <c r="AY8" s="99"/>
      <c r="AZ8" s="94">
        <f t="shared" si="12"/>
        <v>107187.82058428157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11403</v>
      </c>
      <c r="F9" s="93">
        <v>207</v>
      </c>
      <c r="G9" s="93">
        <v>60</v>
      </c>
      <c r="H9" s="93">
        <v>459</v>
      </c>
      <c r="I9" s="93">
        <v>0</v>
      </c>
      <c r="J9" s="93">
        <v>10677</v>
      </c>
      <c r="K9" s="92">
        <v>123.09</v>
      </c>
      <c r="L9" s="92">
        <f>E9*K9</f>
        <v>1403595.27</v>
      </c>
      <c r="M9" s="89">
        <v>23</v>
      </c>
      <c r="N9" s="89">
        <v>321</v>
      </c>
      <c r="O9" s="89">
        <v>1429</v>
      </c>
      <c r="P9" s="89">
        <v>56</v>
      </c>
      <c r="Q9" s="233">
        <f t="shared" si="13"/>
        <v>45.857142857142854</v>
      </c>
      <c r="R9" s="92">
        <f t="shared" si="14"/>
        <v>19.285714285714285</v>
      </c>
      <c r="S9" s="93">
        <v>137</v>
      </c>
      <c r="T9" s="93">
        <v>-2</v>
      </c>
      <c r="U9" s="92">
        <f t="shared" si="15"/>
        <v>135</v>
      </c>
      <c r="V9" s="93">
        <v>116367.83</v>
      </c>
      <c r="W9" s="93">
        <v>-1693</v>
      </c>
      <c r="X9" s="92">
        <f t="shared" si="16"/>
        <v>114674.83</v>
      </c>
      <c r="Y9" s="93">
        <v>186033.16</v>
      </c>
      <c r="Z9" s="93">
        <v>-2723</v>
      </c>
      <c r="AA9" s="92">
        <f t="shared" si="17"/>
        <v>183310.16</v>
      </c>
      <c r="AB9" s="92">
        <f t="shared" si="18"/>
        <v>256877.04</v>
      </c>
      <c r="AC9" s="234">
        <f t="shared" si="19"/>
        <v>7.468598991302032E-2</v>
      </c>
      <c r="AD9" s="92">
        <f t="shared" si="20"/>
        <v>16617.150000000001</v>
      </c>
      <c r="AE9" s="93">
        <v>68728.999999999971</v>
      </c>
      <c r="AF9" s="234">
        <f t="shared" si="21"/>
        <v>0.37493284605719601</v>
      </c>
      <c r="AG9" s="93">
        <v>19710.209999999977</v>
      </c>
      <c r="AH9" s="93">
        <v>5213</v>
      </c>
      <c r="AI9" s="93">
        <v>24000</v>
      </c>
      <c r="AJ9" s="93"/>
      <c r="AK9" s="93"/>
      <c r="AL9" s="122">
        <f t="shared" si="22"/>
        <v>398.0663076923077</v>
      </c>
      <c r="AM9" s="93">
        <v>10</v>
      </c>
      <c r="AN9" s="94">
        <f t="shared" si="23"/>
        <v>6547.9327929999999</v>
      </c>
      <c r="AO9" s="95">
        <f t="shared" si="25"/>
        <v>42084.800899307753</v>
      </c>
      <c r="AP9" s="96"/>
      <c r="AQ9" s="97">
        <f t="shared" si="6"/>
        <v>1357.853037037037</v>
      </c>
      <c r="AR9" s="98">
        <f t="shared" si="7"/>
        <v>123.09</v>
      </c>
      <c r="AS9" s="98">
        <f t="shared" si="8"/>
        <v>509.1037037037035</v>
      </c>
      <c r="AT9" s="98">
        <f t="shared" si="9"/>
        <v>143.87014598540131</v>
      </c>
      <c r="AU9" s="98">
        <f t="shared" si="24"/>
        <v>213.23357664233578</v>
      </c>
      <c r="AV9" s="98">
        <f t="array" ref="AV9">_xlfn.IFS(U9=0,AO9,U9&lt;0,AO9/-U9,U9&gt;0,AO9/U9)</f>
        <v>311.73926592079818</v>
      </c>
      <c r="AW9" s="234">
        <f>IF(AQ9=0,0,AV9/AQ9)</f>
        <v>0.22958247867607423</v>
      </c>
      <c r="AX9" s="234">
        <f>IF(AR9=0,0,AV9/AR9)</f>
        <v>2.5326124455341472</v>
      </c>
      <c r="AY9" s="99"/>
      <c r="AZ9" s="94">
        <f t="shared" si="12"/>
        <v>3554762.8492948618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10110</v>
      </c>
      <c r="F10" s="93">
        <v>155</v>
      </c>
      <c r="G10" s="93">
        <v>32</v>
      </c>
      <c r="H10" s="93">
        <v>426</v>
      </c>
      <c r="I10" s="93">
        <v>0</v>
      </c>
      <c r="J10" s="93">
        <v>9497</v>
      </c>
      <c r="K10" s="92">
        <v>123.09</v>
      </c>
      <c r="L10" s="92">
        <f>E10*K10</f>
        <v>1244439.9000000001</v>
      </c>
      <c r="M10" s="89">
        <v>18</v>
      </c>
      <c r="N10" s="89">
        <v>266</v>
      </c>
      <c r="O10" s="89">
        <v>1073</v>
      </c>
      <c r="P10" s="89">
        <v>77</v>
      </c>
      <c r="Q10" s="233">
        <f t="shared" si="13"/>
        <v>38</v>
      </c>
      <c r="R10" s="92">
        <f t="shared" si="14"/>
        <v>23.571428571428573</v>
      </c>
      <c r="S10" s="93">
        <v>167</v>
      </c>
      <c r="T10" s="93">
        <v>-2</v>
      </c>
      <c r="U10" s="92">
        <f t="shared" si="15"/>
        <v>165</v>
      </c>
      <c r="V10" s="93">
        <v>106430.20999999999</v>
      </c>
      <c r="W10" s="93">
        <v>-1175</v>
      </c>
      <c r="X10" s="92">
        <f t="shared" si="16"/>
        <v>105255.20999999999</v>
      </c>
      <c r="Y10" s="93">
        <v>166081.43000000005</v>
      </c>
      <c r="Z10" s="93">
        <v>-1930.3000000000002</v>
      </c>
      <c r="AA10" s="92">
        <f t="shared" si="17"/>
        <v>164151.13000000006</v>
      </c>
      <c r="AB10" s="92">
        <f t="shared" si="18"/>
        <v>219771.86</v>
      </c>
      <c r="AC10" s="234">
        <f t="shared" si="19"/>
        <v>6.6880033487455859E-2</v>
      </c>
      <c r="AD10" s="92">
        <f t="shared" si="20"/>
        <v>20309.850000000002</v>
      </c>
      <c r="AE10" s="93">
        <v>61590.900000000067</v>
      </c>
      <c r="AF10" s="234">
        <f t="shared" si="21"/>
        <v>0.3752085045043555</v>
      </c>
      <c r="AG10" s="93">
        <v>16452.939999999984</v>
      </c>
      <c r="AH10" s="93">
        <v>3974</v>
      </c>
      <c r="AI10" s="93">
        <v>19500</v>
      </c>
      <c r="AJ10" s="93"/>
      <c r="AK10" s="93"/>
      <c r="AL10" s="122">
        <f t="shared" si="22"/>
        <v>369.44716138763198</v>
      </c>
      <c r="AM10" s="93">
        <v>0</v>
      </c>
      <c r="AN10" s="94">
        <f t="shared" si="23"/>
        <v>6010.072490999999</v>
      </c>
      <c r="AO10" s="95">
        <f t="shared" si="25"/>
        <v>35943.920347612373</v>
      </c>
      <c r="AP10" s="96"/>
      <c r="AQ10" s="97">
        <f t="shared" si="6"/>
        <v>994.85533333333376</v>
      </c>
      <c r="AR10" s="98">
        <f t="shared" si="7"/>
        <v>123.09</v>
      </c>
      <c r="AS10" s="98">
        <f t="shared" si="8"/>
        <v>373.27818181818225</v>
      </c>
      <c r="AT10" s="98">
        <f t="shared" si="9"/>
        <v>98.520598802395114</v>
      </c>
      <c r="AU10" s="98">
        <f t="shared" si="24"/>
        <v>140.56287425149699</v>
      </c>
      <c r="AV10" s="98">
        <f t="array" ref="AV10">_xlfn.IFS(U10=0,AO10,U10&lt;0,AO10/-U10,U10&gt;0,AO10/U10)</f>
        <v>217.84194150068106</v>
      </c>
      <c r="AW10" s="234">
        <f>IF(AQ10=0,0,AV10/AQ10)</f>
        <v>0.21896846124429578</v>
      </c>
      <c r="AX10" s="234">
        <f>IF(AR10=0,0,AV10/AR10)</f>
        <v>1.769777735808604</v>
      </c>
      <c r="AY10" s="99"/>
      <c r="AZ10" s="94">
        <f t="shared" si="12"/>
        <v>2202382.0285718855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2909</v>
      </c>
      <c r="F11" s="93">
        <v>64</v>
      </c>
      <c r="G11" s="93">
        <v>15</v>
      </c>
      <c r="H11" s="93">
        <v>468</v>
      </c>
      <c r="I11" s="93">
        <v>0</v>
      </c>
      <c r="J11" s="93">
        <v>2362</v>
      </c>
      <c r="K11" s="92">
        <v>123.09</v>
      </c>
      <c r="L11" s="92">
        <f t="shared" ref="L11" si="31">E11*K11</f>
        <v>358068.81</v>
      </c>
      <c r="M11" s="89">
        <v>77</v>
      </c>
      <c r="N11" s="89">
        <v>99</v>
      </c>
      <c r="O11" s="89">
        <v>1217</v>
      </c>
      <c r="P11" s="89">
        <v>53</v>
      </c>
      <c r="Q11" s="233">
        <f t="shared" si="13"/>
        <v>14.142857142857142</v>
      </c>
      <c r="R11" s="92">
        <f t="shared" si="14"/>
        <v>6</v>
      </c>
      <c r="S11" s="93">
        <v>44</v>
      </c>
      <c r="T11" s="93">
        <v>-2</v>
      </c>
      <c r="U11" s="92">
        <f t="shared" si="15"/>
        <v>42</v>
      </c>
      <c r="V11" s="93">
        <v>33417.96</v>
      </c>
      <c r="W11" s="93">
        <v>-1461</v>
      </c>
      <c r="X11" s="92">
        <f t="shared" si="16"/>
        <v>31956.959999999999</v>
      </c>
      <c r="Y11" s="93">
        <v>53524.979999999996</v>
      </c>
      <c r="Z11" s="93">
        <v>-2410</v>
      </c>
      <c r="AA11" s="92">
        <f t="shared" si="17"/>
        <v>51114.979999999996</v>
      </c>
      <c r="AB11" s="92">
        <f t="shared" si="18"/>
        <v>63855.99</v>
      </c>
      <c r="AC11" s="234">
        <f t="shared" si="19"/>
        <v>2.0825757179439672E-2</v>
      </c>
      <c r="AD11" s="92">
        <f t="shared" si="20"/>
        <v>5169.78</v>
      </c>
      <c r="AE11" s="93">
        <v>19142.39</v>
      </c>
      <c r="AF11" s="234">
        <f t="shared" si="21"/>
        <v>0.37449667396915742</v>
      </c>
      <c r="AG11" s="93">
        <v>5596.8799999999992</v>
      </c>
      <c r="AH11" s="93">
        <v>2306</v>
      </c>
      <c r="AI11" s="93">
        <v>4593</v>
      </c>
      <c r="AJ11" s="93"/>
      <c r="AK11" s="93"/>
      <c r="AL11" s="122">
        <f t="shared" si="22"/>
        <v>405.87152941176475</v>
      </c>
      <c r="AM11" s="93">
        <v>0</v>
      </c>
      <c r="AN11" s="94">
        <f t="shared" si="23"/>
        <v>1824.7424159999998</v>
      </c>
      <c r="AO11" s="95">
        <f t="shared" si="25"/>
        <v>12076.316054588237</v>
      </c>
      <c r="AP11" s="96"/>
      <c r="AQ11" s="97">
        <f t="shared" si="6"/>
        <v>1217.0233333333333</v>
      </c>
      <c r="AR11" s="98">
        <f t="shared" si="7"/>
        <v>123.09</v>
      </c>
      <c r="AS11" s="98">
        <f t="shared" si="8"/>
        <v>455.77119047619044</v>
      </c>
      <c r="AT11" s="98">
        <f t="shared" si="9"/>
        <v>127.20181818181817</v>
      </c>
      <c r="AU11" s="98">
        <f t="shared" si="24"/>
        <v>156.79545454545453</v>
      </c>
      <c r="AV11" s="98">
        <f t="array" ref="AV11">_xlfn.IFS(U11=0,AO11,U11&lt;0,AO11/-U11,U11&gt;0,AO11/U11)</f>
        <v>287.53133463305323</v>
      </c>
      <c r="AW11" s="234">
        <f t="shared" ref="AW11:AW28" si="32">IF(AQ11=0,0,AV11/AQ11)</f>
        <v>0.23625786520093006</v>
      </c>
      <c r="AX11" s="234">
        <f t="shared" ref="AX11:AX28" si="33">IF(AR11=0,0,AV11/AR11)</f>
        <v>2.3359438998541981</v>
      </c>
      <c r="AY11" s="99"/>
      <c r="AZ11" s="94">
        <f t="shared" si="12"/>
        <v>836428.65244755184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3312</v>
      </c>
      <c r="F12" s="93">
        <v>117</v>
      </c>
      <c r="G12" s="93">
        <v>36</v>
      </c>
      <c r="H12" s="93">
        <v>472</v>
      </c>
      <c r="I12" s="93">
        <v>1</v>
      </c>
      <c r="J12" s="93">
        <v>2686</v>
      </c>
      <c r="K12" s="92">
        <v>117.24</v>
      </c>
      <c r="L12" s="92">
        <f>E12*K12</f>
        <v>388298.88</v>
      </c>
      <c r="M12" s="89">
        <v>55</v>
      </c>
      <c r="N12" s="89">
        <v>173</v>
      </c>
      <c r="O12" s="89">
        <v>1246</v>
      </c>
      <c r="P12" s="89">
        <v>53</v>
      </c>
      <c r="Q12" s="233">
        <f t="shared" si="13"/>
        <v>24.714285714285715</v>
      </c>
      <c r="R12" s="92">
        <f t="shared" si="14"/>
        <v>9.7142857142857135</v>
      </c>
      <c r="S12" s="93">
        <v>68</v>
      </c>
      <c r="T12" s="93">
        <v>0</v>
      </c>
      <c r="U12" s="92">
        <f t="shared" si="15"/>
        <v>68</v>
      </c>
      <c r="V12" s="93">
        <v>51141.799999999996</v>
      </c>
      <c r="W12" s="93">
        <v>0</v>
      </c>
      <c r="X12" s="92">
        <f t="shared" si="16"/>
        <v>51141.799999999996</v>
      </c>
      <c r="Y12" s="93">
        <v>81407.710000000006</v>
      </c>
      <c r="Z12" s="93">
        <v>0</v>
      </c>
      <c r="AA12" s="92">
        <f t="shared" si="17"/>
        <v>81407.710000000006</v>
      </c>
      <c r="AB12" s="92">
        <f t="shared" si="18"/>
        <v>114245.74</v>
      </c>
      <c r="AC12" s="234">
        <f t="shared" si="19"/>
        <v>3.3167912830920465E-2</v>
      </c>
      <c r="AD12" s="92">
        <f t="shared" si="20"/>
        <v>7972.32</v>
      </c>
      <c r="AE12" s="93">
        <v>30453.930000000008</v>
      </c>
      <c r="AF12" s="234">
        <f t="shared" si="21"/>
        <v>0.37409147118866265</v>
      </c>
      <c r="AG12" s="93">
        <v>9992.0599999999977</v>
      </c>
      <c r="AH12" s="93">
        <v>874</v>
      </c>
      <c r="AI12" s="93">
        <v>11863</v>
      </c>
      <c r="AJ12" s="93"/>
      <c r="AK12" s="93"/>
      <c r="AL12" s="122">
        <f t="shared" si="22"/>
        <v>409.34051684263454</v>
      </c>
      <c r="AM12" s="93">
        <v>0</v>
      </c>
      <c r="AN12" s="94">
        <f t="shared" si="23"/>
        <v>2920.1967799999998</v>
      </c>
      <c r="AO12" s="95">
        <f t="shared" si="25"/>
        <v>16922.862703157374</v>
      </c>
      <c r="AP12" s="96"/>
      <c r="AQ12" s="97">
        <f t="shared" si="6"/>
        <v>1197.172205882353</v>
      </c>
      <c r="AR12" s="98">
        <f t="shared" si="7"/>
        <v>117.24</v>
      </c>
      <c r="AS12" s="98">
        <f t="shared" si="8"/>
        <v>447.85191176470602</v>
      </c>
      <c r="AT12" s="98">
        <f t="shared" si="9"/>
        <v>146.94205882352938</v>
      </c>
      <c r="AU12" s="98">
        <f t="shared" si="24"/>
        <v>187.30882352941177</v>
      </c>
      <c r="AV12" s="98">
        <f t="array" ref="AV12">_xlfn.IFS(U12=0,AO12,U12&lt;0,AO12/-U12,U12&gt;0,AO12/U12)</f>
        <v>248.86562798760843</v>
      </c>
      <c r="AW12" s="234">
        <f t="shared" si="32"/>
        <v>0.20787788654363787</v>
      </c>
      <c r="AX12" s="234">
        <f t="shared" si="33"/>
        <v>2.1227023881576974</v>
      </c>
      <c r="AY12" s="99"/>
      <c r="AZ12" s="94">
        <f t="shared" si="12"/>
        <v>824242.95989495912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4261</v>
      </c>
      <c r="F13" s="93">
        <v>158</v>
      </c>
      <c r="G13" s="93">
        <v>34</v>
      </c>
      <c r="H13" s="93">
        <v>433</v>
      </c>
      <c r="I13" s="93">
        <v>1</v>
      </c>
      <c r="J13" s="93">
        <v>3635</v>
      </c>
      <c r="K13" s="92">
        <v>123.09</v>
      </c>
      <c r="L13" s="92">
        <f t="shared" ref="L13:L28" si="34">E13*K13</f>
        <v>524486.49</v>
      </c>
      <c r="M13" s="89">
        <v>53</v>
      </c>
      <c r="N13" s="89">
        <v>242</v>
      </c>
      <c r="O13" s="89">
        <v>1408</v>
      </c>
      <c r="P13" s="89">
        <v>55</v>
      </c>
      <c r="Q13" s="233">
        <f t="shared" si="13"/>
        <v>34.571428571428569</v>
      </c>
      <c r="R13" s="92">
        <f t="shared" si="14"/>
        <v>13.142857142857142</v>
      </c>
      <c r="S13" s="93">
        <v>94</v>
      </c>
      <c r="T13" s="93">
        <v>-2</v>
      </c>
      <c r="U13" s="92">
        <f t="shared" si="15"/>
        <v>92</v>
      </c>
      <c r="V13" s="93">
        <v>79996.490000000005</v>
      </c>
      <c r="W13" s="93">
        <v>-1679</v>
      </c>
      <c r="X13" s="92">
        <f t="shared" si="16"/>
        <v>78317.490000000005</v>
      </c>
      <c r="Y13" s="93">
        <v>127841.48000000003</v>
      </c>
      <c r="Z13" s="93">
        <v>-2714.31</v>
      </c>
      <c r="AA13" s="92">
        <f t="shared" si="17"/>
        <v>125127.17000000003</v>
      </c>
      <c r="AB13" s="92">
        <f t="shared" si="18"/>
        <v>187404.79999999999</v>
      </c>
      <c r="AC13" s="234">
        <f t="shared" si="19"/>
        <v>5.0980516063401947E-2</v>
      </c>
      <c r="AD13" s="92">
        <f t="shared" si="20"/>
        <v>11324.28</v>
      </c>
      <c r="AE13" s="93">
        <v>47004.430000000037</v>
      </c>
      <c r="AF13" s="234">
        <f t="shared" si="21"/>
        <v>0.37565326539391908</v>
      </c>
      <c r="AG13" s="93">
        <v>12428.019999999991</v>
      </c>
      <c r="AH13" s="93">
        <v>5000</v>
      </c>
      <c r="AI13" s="93">
        <v>22289</v>
      </c>
      <c r="AJ13" s="93"/>
      <c r="AK13" s="93"/>
      <c r="AL13" s="122">
        <f t="shared" si="22"/>
        <v>375.51788939165414</v>
      </c>
      <c r="AM13" s="93">
        <v>0</v>
      </c>
      <c r="AN13" s="94">
        <f t="shared" si="23"/>
        <v>4471.9286790000006</v>
      </c>
      <c r="AO13" s="95">
        <f t="shared" si="25"/>
        <v>22233.993431608349</v>
      </c>
      <c r="AP13" s="96"/>
      <c r="AQ13" s="97">
        <f t="shared" si="6"/>
        <v>1360.077934782609</v>
      </c>
      <c r="AR13" s="98">
        <f t="shared" si="7"/>
        <v>123.09</v>
      </c>
      <c r="AS13" s="98">
        <f t="shared" si="8"/>
        <v>510.91771739130473</v>
      </c>
      <c r="AT13" s="98">
        <f t="shared" si="9"/>
        <v>132.21297872340418</v>
      </c>
      <c r="AU13" s="98">
        <f t="shared" si="24"/>
        <v>290.30851063829789</v>
      </c>
      <c r="AV13" s="98">
        <f t="array" ref="AV13">_xlfn.IFS(U13=0,AO13,U13&lt;0,AO13/-U13,U13&gt;0,AO13/U13)</f>
        <v>241.67384164791684</v>
      </c>
      <c r="AW13" s="234">
        <f t="shared" si="32"/>
        <v>0.17769117156256586</v>
      </c>
      <c r="AX13" s="234">
        <f t="shared" si="33"/>
        <v>1.9633913530580618</v>
      </c>
      <c r="AY13" s="99"/>
      <c r="AZ13" s="94">
        <f t="shared" si="12"/>
        <v>1029772.2392617736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3029</v>
      </c>
      <c r="F14" s="93">
        <v>40</v>
      </c>
      <c r="G14" s="93">
        <v>12</v>
      </c>
      <c r="H14" s="93">
        <v>471</v>
      </c>
      <c r="I14" s="93">
        <v>2</v>
      </c>
      <c r="J14" s="93">
        <v>2504</v>
      </c>
      <c r="K14" s="92">
        <v>123.09</v>
      </c>
      <c r="L14" s="92">
        <f t="shared" si="34"/>
        <v>372839.61</v>
      </c>
      <c r="M14" s="89">
        <v>106</v>
      </c>
      <c r="N14" s="89">
        <v>69</v>
      </c>
      <c r="O14" s="89">
        <v>1075</v>
      </c>
      <c r="P14" s="89">
        <v>79</v>
      </c>
      <c r="Q14" s="233">
        <f t="shared" si="13"/>
        <v>9.8571428571428577</v>
      </c>
      <c r="R14" s="92">
        <f t="shared" si="14"/>
        <v>4.8571428571428568</v>
      </c>
      <c r="S14" s="93">
        <v>34</v>
      </c>
      <c r="T14" s="93">
        <v>0</v>
      </c>
      <c r="U14" s="92">
        <f t="shared" si="15"/>
        <v>34</v>
      </c>
      <c r="V14" s="93">
        <v>22521.780000000002</v>
      </c>
      <c r="W14" s="93">
        <v>0</v>
      </c>
      <c r="X14" s="92">
        <f t="shared" si="16"/>
        <v>22521.780000000002</v>
      </c>
      <c r="Y14" s="93">
        <v>35599.360000000001</v>
      </c>
      <c r="Z14" s="93">
        <v>0</v>
      </c>
      <c r="AA14" s="92">
        <f t="shared" si="17"/>
        <v>35599.360000000001</v>
      </c>
      <c r="AB14" s="92">
        <f t="shared" si="18"/>
        <v>58598.25</v>
      </c>
      <c r="AC14" s="234">
        <f t="shared" si="19"/>
        <v>1.4504233927186465E-2</v>
      </c>
      <c r="AD14" s="92">
        <f t="shared" si="20"/>
        <v>4185.0600000000004</v>
      </c>
      <c r="AE14" s="93">
        <v>13399.239999999998</v>
      </c>
      <c r="AF14" s="234">
        <f t="shared" si="21"/>
        <v>0.37638991262764265</v>
      </c>
      <c r="AG14" s="93">
        <v>3310.0899999999988</v>
      </c>
      <c r="AH14" s="93">
        <v>1236</v>
      </c>
      <c r="AI14" s="93">
        <v>2588</v>
      </c>
      <c r="AJ14" s="93"/>
      <c r="AK14" s="93"/>
      <c r="AL14" s="122">
        <f t="shared" si="22"/>
        <v>408.47326998491707</v>
      </c>
      <c r="AM14" s="93">
        <v>0</v>
      </c>
      <c r="AN14" s="94">
        <f t="shared" si="23"/>
        <v>1285.9936380000001</v>
      </c>
      <c r="AO14" s="95">
        <f t="shared" si="25"/>
        <v>9186.5030920150857</v>
      </c>
      <c r="AP14" s="96"/>
      <c r="AQ14" s="97">
        <f t="shared" si="6"/>
        <v>1047.04</v>
      </c>
      <c r="AR14" s="98">
        <f t="shared" si="7"/>
        <v>123.09</v>
      </c>
      <c r="AS14" s="98">
        <f t="shared" si="8"/>
        <v>394.09529411764697</v>
      </c>
      <c r="AT14" s="98">
        <f t="shared" si="9"/>
        <v>97.355588235294078</v>
      </c>
      <c r="AU14" s="98">
        <f t="shared" si="24"/>
        <v>112.47058823529412</v>
      </c>
      <c r="AV14" s="98">
        <f t="array" ref="AV14">_xlfn.IFS(U14=0,AO14,U14&lt;0,AO14/-U14,U14&gt;0,AO14/U14)</f>
        <v>270.19126741220839</v>
      </c>
      <c r="AW14" s="234">
        <f t="shared" si="32"/>
        <v>0.25805247880903154</v>
      </c>
      <c r="AX14" s="234">
        <f t="shared" si="33"/>
        <v>2.1950708214494141</v>
      </c>
      <c r="AY14" s="99"/>
      <c r="AZ14" s="94">
        <f t="shared" si="12"/>
        <v>818409.34899157926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1020</v>
      </c>
      <c r="F15" s="93">
        <v>20</v>
      </c>
      <c r="G15" s="93">
        <v>10</v>
      </c>
      <c r="H15" s="93">
        <v>571</v>
      </c>
      <c r="I15" s="93">
        <v>0</v>
      </c>
      <c r="J15" s="93">
        <v>419</v>
      </c>
      <c r="K15" s="92">
        <v>123.09</v>
      </c>
      <c r="L15" s="92">
        <f t="shared" si="34"/>
        <v>125551.8</v>
      </c>
      <c r="M15" s="89">
        <v>153</v>
      </c>
      <c r="N15" s="89">
        <v>44</v>
      </c>
      <c r="O15" s="89">
        <v>1041</v>
      </c>
      <c r="P15" s="89">
        <v>77</v>
      </c>
      <c r="Q15" s="233">
        <f t="shared" si="13"/>
        <v>6.2857142857142856</v>
      </c>
      <c r="R15" s="92">
        <f t="shared" si="14"/>
        <v>4.5714285714285712</v>
      </c>
      <c r="S15" s="93">
        <v>32</v>
      </c>
      <c r="T15" s="93">
        <v>0</v>
      </c>
      <c r="U15" s="92">
        <f t="shared" si="15"/>
        <v>32</v>
      </c>
      <c r="V15" s="93">
        <v>20722.46</v>
      </c>
      <c r="W15" s="93">
        <v>0</v>
      </c>
      <c r="X15" s="92">
        <f t="shared" si="16"/>
        <v>20722.46</v>
      </c>
      <c r="Y15" s="93">
        <v>32094.22</v>
      </c>
      <c r="Z15" s="93">
        <v>0</v>
      </c>
      <c r="AA15" s="92">
        <f t="shared" si="17"/>
        <v>32094.22</v>
      </c>
      <c r="AB15" s="92">
        <f t="shared" si="18"/>
        <v>35269.08</v>
      </c>
      <c r="AC15" s="234">
        <f t="shared" si="19"/>
        <v>1.3076136048248799E-2</v>
      </c>
      <c r="AD15" s="92">
        <f t="shared" si="20"/>
        <v>3938.88</v>
      </c>
      <c r="AE15" s="93">
        <v>12018.510000000002</v>
      </c>
      <c r="AF15" s="234">
        <f t="shared" si="21"/>
        <v>0.374475840198017</v>
      </c>
      <c r="AG15" s="93">
        <v>3792.1800000000007</v>
      </c>
      <c r="AH15" s="93">
        <v>933</v>
      </c>
      <c r="AI15" s="93">
        <v>2901</v>
      </c>
      <c r="AJ15" s="93"/>
      <c r="AK15" s="93"/>
      <c r="AL15" s="122">
        <f t="shared" si="22"/>
        <v>495.19795575666166</v>
      </c>
      <c r="AM15" s="93">
        <v>0</v>
      </c>
      <c r="AN15" s="94">
        <f t="shared" si="23"/>
        <v>1183.2524659999999</v>
      </c>
      <c r="AO15" s="95">
        <f t="shared" si="25"/>
        <v>6832.199578243336</v>
      </c>
      <c r="AP15" s="96"/>
      <c r="AQ15" s="97">
        <f t="shared" si="6"/>
        <v>1002.944375</v>
      </c>
      <c r="AR15" s="98">
        <f t="shared" si="7"/>
        <v>123.09</v>
      </c>
      <c r="AS15" s="98">
        <f t="shared" si="8"/>
        <v>375.57843750000006</v>
      </c>
      <c r="AT15" s="98">
        <f t="shared" si="9"/>
        <v>118.50562500000002</v>
      </c>
      <c r="AU15" s="98">
        <f t="shared" si="24"/>
        <v>119.8125</v>
      </c>
      <c r="AV15" s="98">
        <f t="array" ref="AV15">_xlfn.IFS(U15=0,AO15,U15&lt;0,AO15/-U15,U15&gt;0,AO15/U15)</f>
        <v>213.50623682010425</v>
      </c>
      <c r="AW15" s="234">
        <f t="shared" si="32"/>
        <v>0.21287943991919217</v>
      </c>
      <c r="AX15" s="234">
        <f t="shared" si="33"/>
        <v>1.7345538778138292</v>
      </c>
      <c r="AY15" s="99"/>
      <c r="AZ15" s="94">
        <f t="shared" si="12"/>
        <v>217776.36155650634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3570</v>
      </c>
      <c r="F16" s="93">
        <v>93</v>
      </c>
      <c r="G16" s="93">
        <v>21</v>
      </c>
      <c r="H16" s="93">
        <v>358</v>
      </c>
      <c r="I16" s="93">
        <v>2</v>
      </c>
      <c r="J16" s="93">
        <v>3096</v>
      </c>
      <c r="K16" s="92">
        <v>117.24</v>
      </c>
      <c r="L16" s="92">
        <f t="shared" si="34"/>
        <v>418546.8</v>
      </c>
      <c r="M16" s="89">
        <v>29</v>
      </c>
      <c r="N16" s="89">
        <v>149</v>
      </c>
      <c r="O16" s="89">
        <v>1015</v>
      </c>
      <c r="P16" s="89">
        <v>70</v>
      </c>
      <c r="Q16" s="233">
        <f t="shared" si="13"/>
        <v>21.285714285714285</v>
      </c>
      <c r="R16" s="92">
        <f t="shared" si="14"/>
        <v>12.142857142857142</v>
      </c>
      <c r="S16" s="93">
        <v>87</v>
      </c>
      <c r="T16" s="93">
        <v>-2</v>
      </c>
      <c r="U16" s="92">
        <f t="shared" si="15"/>
        <v>85</v>
      </c>
      <c r="V16" s="93">
        <v>54077.2</v>
      </c>
      <c r="W16" s="93">
        <v>-1147</v>
      </c>
      <c r="X16" s="92">
        <f t="shared" si="16"/>
        <v>52930.2</v>
      </c>
      <c r="Y16" s="93">
        <v>83880.409999999989</v>
      </c>
      <c r="Z16" s="93">
        <v>-1836</v>
      </c>
      <c r="AA16" s="92">
        <f t="shared" si="17"/>
        <v>82044.409999999989</v>
      </c>
      <c r="AB16" s="92">
        <f t="shared" si="18"/>
        <v>105864.5</v>
      </c>
      <c r="AC16" s="234">
        <f t="shared" si="19"/>
        <v>3.3427323273732906E-2</v>
      </c>
      <c r="AD16" s="92">
        <f t="shared" si="20"/>
        <v>9965.4</v>
      </c>
      <c r="AE16" s="93">
        <v>30661.180000000004</v>
      </c>
      <c r="AF16" s="234">
        <f t="shared" si="21"/>
        <v>0.37371443100145407</v>
      </c>
      <c r="AG16" s="93">
        <v>8552.7999999999956</v>
      </c>
      <c r="AH16" s="93">
        <v>1391</v>
      </c>
      <c r="AI16" s="93">
        <v>3500</v>
      </c>
      <c r="AJ16" s="93"/>
      <c r="AK16" s="93"/>
      <c r="AL16" s="122">
        <f t="shared" si="22"/>
        <v>310.47437506284564</v>
      </c>
      <c r="AM16" s="93">
        <v>0</v>
      </c>
      <c r="AN16" s="94">
        <f t="shared" si="23"/>
        <v>3022.3144199999997</v>
      </c>
      <c r="AO16" s="95">
        <f t="shared" si="25"/>
        <v>24641.241204937149</v>
      </c>
      <c r="AP16" s="96"/>
      <c r="AQ16" s="97">
        <f t="shared" si="6"/>
        <v>965.22835294117635</v>
      </c>
      <c r="AR16" s="98">
        <f t="shared" si="7"/>
        <v>117.24</v>
      </c>
      <c r="AS16" s="98">
        <f t="shared" si="8"/>
        <v>360.71976470588243</v>
      </c>
      <c r="AT16" s="98">
        <f t="shared" si="9"/>
        <v>98.308045977011446</v>
      </c>
      <c r="AU16" s="98">
        <f t="shared" si="24"/>
        <v>56.218390804597703</v>
      </c>
      <c r="AV16" s="98">
        <f t="array" ref="AV16">_xlfn.IFS(U16=0,AO16,U16&lt;0,AO16/-U16,U16&gt;0,AO16/U16)</f>
        <v>289.89695535220176</v>
      </c>
      <c r="AW16" s="234">
        <f t="shared" si="32"/>
        <v>0.30034028162232079</v>
      </c>
      <c r="AX16" s="234">
        <f t="shared" si="33"/>
        <v>2.4726795918816253</v>
      </c>
      <c r="AY16" s="99"/>
      <c r="AZ16" s="94">
        <f t="shared" si="12"/>
        <v>1034932.1306073603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2226</v>
      </c>
      <c r="F17" s="93">
        <v>37</v>
      </c>
      <c r="G17" s="93">
        <v>13</v>
      </c>
      <c r="H17" s="93">
        <v>38</v>
      </c>
      <c r="I17" s="93">
        <v>1</v>
      </c>
      <c r="J17" s="93">
        <v>2137</v>
      </c>
      <c r="K17" s="93">
        <v>123.09</v>
      </c>
      <c r="L17" s="92">
        <f t="shared" si="34"/>
        <v>273998.34000000003</v>
      </c>
      <c r="M17" s="89">
        <v>22</v>
      </c>
      <c r="N17" s="89">
        <v>52</v>
      </c>
      <c r="O17" s="89">
        <v>1354</v>
      </c>
      <c r="P17" s="89">
        <v>54</v>
      </c>
      <c r="Q17" s="233">
        <f t="shared" si="13"/>
        <v>7.4285714285714288</v>
      </c>
      <c r="R17" s="92">
        <f t="shared" si="14"/>
        <v>4.2857142857142856</v>
      </c>
      <c r="S17" s="93">
        <v>30</v>
      </c>
      <c r="T17" s="93">
        <v>0</v>
      </c>
      <c r="U17" s="92">
        <f t="shared" si="15"/>
        <v>30</v>
      </c>
      <c r="V17" s="93">
        <v>24506.68</v>
      </c>
      <c r="W17" s="93">
        <v>0</v>
      </c>
      <c r="X17" s="92">
        <f t="shared" si="16"/>
        <v>24506.68</v>
      </c>
      <c r="Y17" s="93">
        <v>38318.499999999993</v>
      </c>
      <c r="Z17" s="93">
        <v>0</v>
      </c>
      <c r="AA17" s="92">
        <f t="shared" si="17"/>
        <v>38318.499999999993</v>
      </c>
      <c r="AB17" s="92">
        <f t="shared" si="18"/>
        <v>38020.32</v>
      </c>
      <c r="AC17" s="234">
        <f t="shared" si="19"/>
        <v>1.5612092120164362E-2</v>
      </c>
      <c r="AD17" s="92">
        <f t="shared" si="20"/>
        <v>3692.7000000000003</v>
      </c>
      <c r="AE17" s="93">
        <v>14367.689999999988</v>
      </c>
      <c r="AF17" s="234">
        <f t="shared" si="21"/>
        <v>0.37495439539647923</v>
      </c>
      <c r="AG17" s="93">
        <v>4424.3099999999995</v>
      </c>
      <c r="AH17" s="93">
        <v>406</v>
      </c>
      <c r="AI17" s="93">
        <v>4694</v>
      </c>
      <c r="AJ17" s="93"/>
      <c r="AK17" s="93"/>
      <c r="AL17" s="122">
        <f t="shared" si="22"/>
        <v>32.955380593262944</v>
      </c>
      <c r="AM17" s="93">
        <v>0</v>
      </c>
      <c r="AN17" s="94">
        <f t="shared" si="23"/>
        <v>1399.331428</v>
      </c>
      <c r="AO17" s="95">
        <f t="shared" si="25"/>
        <v>9301.513191406746</v>
      </c>
      <c r="AP17" s="96"/>
      <c r="AQ17" s="97">
        <f t="shared" si="6"/>
        <v>1277.2833333333331</v>
      </c>
      <c r="AR17" s="98">
        <f t="shared" si="7"/>
        <v>123.09</v>
      </c>
      <c r="AS17" s="98">
        <f t="shared" si="8"/>
        <v>478.9229999999996</v>
      </c>
      <c r="AT17" s="98">
        <f t="shared" si="9"/>
        <v>147.47699999999998</v>
      </c>
      <c r="AU17" s="98">
        <f t="shared" si="24"/>
        <v>170</v>
      </c>
      <c r="AV17" s="98">
        <f t="array" ref="AV17">_xlfn.IFS(U17=0,AO17,U17&lt;0,AO17/-U17,U17&gt;0,AO17/U17)</f>
        <v>310.05043971355821</v>
      </c>
      <c r="AW17" s="234">
        <f t="shared" si="32"/>
        <v>0.24274210084963524</v>
      </c>
      <c r="AX17" s="234">
        <f t="shared" si="33"/>
        <v>2.5188921903774326</v>
      </c>
      <c r="AY17" s="99"/>
      <c r="AZ17" s="94">
        <f t="shared" si="12"/>
        <v>690172.27880238055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2151</v>
      </c>
      <c r="F18" s="93">
        <v>77</v>
      </c>
      <c r="G18" s="93">
        <v>22</v>
      </c>
      <c r="H18" s="93">
        <v>201</v>
      </c>
      <c r="I18" s="93">
        <v>2</v>
      </c>
      <c r="J18" s="93">
        <v>1849</v>
      </c>
      <c r="K18" s="93">
        <v>123.09</v>
      </c>
      <c r="L18" s="92">
        <f t="shared" si="34"/>
        <v>264766.59000000003</v>
      </c>
      <c r="M18" s="89">
        <v>49</v>
      </c>
      <c r="N18" s="89">
        <v>126</v>
      </c>
      <c r="O18" s="89">
        <v>1336</v>
      </c>
      <c r="P18" s="89">
        <v>47</v>
      </c>
      <c r="Q18" s="233">
        <f t="shared" si="13"/>
        <v>18</v>
      </c>
      <c r="R18" s="92">
        <f t="shared" si="14"/>
        <v>5.8571428571428568</v>
      </c>
      <c r="S18" s="93">
        <v>45</v>
      </c>
      <c r="T18" s="93">
        <v>-4</v>
      </c>
      <c r="U18" s="92">
        <f t="shared" si="15"/>
        <v>41</v>
      </c>
      <c r="V18" s="93">
        <v>35555.57</v>
      </c>
      <c r="W18" s="93">
        <v>-3157</v>
      </c>
      <c r="X18" s="92">
        <f t="shared" si="16"/>
        <v>32398.57</v>
      </c>
      <c r="Y18" s="93">
        <v>57216.55</v>
      </c>
      <c r="Z18" s="93">
        <v>-5162</v>
      </c>
      <c r="AA18" s="92">
        <f t="shared" si="17"/>
        <v>52054.55</v>
      </c>
      <c r="AB18" s="92">
        <f t="shared" si="18"/>
        <v>79117.919999999998</v>
      </c>
      <c r="AC18" s="234">
        <f t="shared" si="19"/>
        <v>2.1208565833049364E-2</v>
      </c>
      <c r="AD18" s="92">
        <f t="shared" si="20"/>
        <v>5046.6900000000005</v>
      </c>
      <c r="AE18" s="93">
        <v>19524.510000000006</v>
      </c>
      <c r="AF18" s="234">
        <f t="shared" si="21"/>
        <v>0.37507787503686046</v>
      </c>
      <c r="AG18" s="93">
        <v>6757.0799999999963</v>
      </c>
      <c r="AH18" s="93">
        <v>1382</v>
      </c>
      <c r="AI18" s="93">
        <v>9972</v>
      </c>
      <c r="AJ18" s="93"/>
      <c r="AK18" s="93"/>
      <c r="AL18" s="122">
        <f t="shared" si="22"/>
        <v>174.31661840120663</v>
      </c>
      <c r="AM18" s="93">
        <v>0</v>
      </c>
      <c r="AN18" s="94">
        <f t="shared" si="23"/>
        <v>1849.958347</v>
      </c>
      <c r="AO18" s="95">
        <f t="shared" si="25"/>
        <v>7347.9950345987909</v>
      </c>
      <c r="AP18" s="96"/>
      <c r="AQ18" s="97">
        <f t="shared" si="6"/>
        <v>1269.6231707317074</v>
      </c>
      <c r="AR18" s="98">
        <f t="shared" si="7"/>
        <v>123.09</v>
      </c>
      <c r="AS18" s="98">
        <f t="shared" si="8"/>
        <v>476.20756097560991</v>
      </c>
      <c r="AT18" s="98">
        <f t="shared" si="9"/>
        <v>150.15733333333324</v>
      </c>
      <c r="AU18" s="98">
        <f t="shared" si="24"/>
        <v>252.3111111111111</v>
      </c>
      <c r="AV18" s="98">
        <f t="array" ref="AV18">_xlfn.IFS(U18=0,AO18,U18&lt;0,AO18/-U18,U18&gt;0,AO18/U18)</f>
        <v>179.21939108777539</v>
      </c>
      <c r="AW18" s="234">
        <f t="shared" si="32"/>
        <v>0.14115951505869881</v>
      </c>
      <c r="AX18" s="234">
        <f t="shared" si="33"/>
        <v>1.4560028522851198</v>
      </c>
      <c r="AY18" s="99"/>
      <c r="AZ18" s="94">
        <f t="shared" si="12"/>
        <v>385500.91022980487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3"/>
        <v>0</v>
      </c>
      <c r="R19" s="92">
        <f t="shared" si="14"/>
        <v>0</v>
      </c>
      <c r="S19" s="93">
        <v>0</v>
      </c>
      <c r="T19" s="93">
        <v>0</v>
      </c>
      <c r="U19" s="92">
        <f t="shared" si="15"/>
        <v>0</v>
      </c>
      <c r="V19" s="93">
        <v>0</v>
      </c>
      <c r="W19" s="93">
        <v>0</v>
      </c>
      <c r="X19" s="92">
        <f t="shared" si="16"/>
        <v>0</v>
      </c>
      <c r="Y19" s="93">
        <v>0</v>
      </c>
      <c r="Z19" s="93">
        <v>0</v>
      </c>
      <c r="AA19" s="92">
        <f t="shared" si="17"/>
        <v>0</v>
      </c>
      <c r="AB19" s="92">
        <f t="shared" si="18"/>
        <v>0</v>
      </c>
      <c r="AC19" s="234">
        <f t="shared" si="19"/>
        <v>0</v>
      </c>
      <c r="AD19" s="92">
        <f t="shared" si="20"/>
        <v>0</v>
      </c>
      <c r="AE19" s="93">
        <v>0</v>
      </c>
      <c r="AF19" s="234">
        <f t="shared" si="21"/>
        <v>0</v>
      </c>
      <c r="AG19" s="93">
        <v>0</v>
      </c>
      <c r="AH19" s="93"/>
      <c r="AI19" s="93"/>
      <c r="AJ19" s="93"/>
      <c r="AK19" s="93"/>
      <c r="AL19" s="122">
        <f t="shared" si="22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3"/>
        <v>0</v>
      </c>
      <c r="R20" s="92">
        <f t="shared" si="14"/>
        <v>0</v>
      </c>
      <c r="S20" s="93">
        <v>0</v>
      </c>
      <c r="T20" s="93">
        <v>0</v>
      </c>
      <c r="U20" s="92">
        <f t="shared" si="15"/>
        <v>0</v>
      </c>
      <c r="V20" s="93">
        <v>0</v>
      </c>
      <c r="W20" s="93">
        <v>0</v>
      </c>
      <c r="X20" s="92">
        <f t="shared" si="16"/>
        <v>0</v>
      </c>
      <c r="Y20" s="93">
        <v>0</v>
      </c>
      <c r="Z20" s="93">
        <v>0</v>
      </c>
      <c r="AA20" s="92">
        <f t="shared" si="17"/>
        <v>0</v>
      </c>
      <c r="AB20" s="92">
        <f t="shared" si="18"/>
        <v>0</v>
      </c>
      <c r="AC20" s="234">
        <f t="shared" si="19"/>
        <v>0</v>
      </c>
      <c r="AD20" s="92">
        <f t="shared" si="20"/>
        <v>0</v>
      </c>
      <c r="AE20" s="93">
        <v>0</v>
      </c>
      <c r="AF20" s="234">
        <f t="shared" si="21"/>
        <v>0</v>
      </c>
      <c r="AG20" s="93">
        <v>0</v>
      </c>
      <c r="AH20" s="93"/>
      <c r="AI20" s="93"/>
      <c r="AJ20" s="93"/>
      <c r="AK20" s="93"/>
      <c r="AL20" s="122">
        <f t="shared" si="22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3"/>
        <v>0</v>
      </c>
      <c r="R21" s="92">
        <f t="shared" si="14"/>
        <v>0</v>
      </c>
      <c r="S21" s="93">
        <v>0</v>
      </c>
      <c r="T21" s="93">
        <v>0</v>
      </c>
      <c r="U21" s="92">
        <f t="shared" si="15"/>
        <v>0</v>
      </c>
      <c r="V21" s="93">
        <v>0</v>
      </c>
      <c r="W21" s="93">
        <v>0</v>
      </c>
      <c r="X21" s="92">
        <f t="shared" si="16"/>
        <v>0</v>
      </c>
      <c r="Y21" s="93">
        <v>0</v>
      </c>
      <c r="Z21" s="93">
        <v>0</v>
      </c>
      <c r="AA21" s="92">
        <f t="shared" si="17"/>
        <v>0</v>
      </c>
      <c r="AB21" s="92">
        <f t="shared" si="18"/>
        <v>0</v>
      </c>
      <c r="AC21" s="234">
        <f t="shared" si="19"/>
        <v>0</v>
      </c>
      <c r="AD21" s="92">
        <f t="shared" si="20"/>
        <v>0</v>
      </c>
      <c r="AE21" s="93">
        <v>0</v>
      </c>
      <c r="AF21" s="234">
        <f t="shared" si="21"/>
        <v>0</v>
      </c>
      <c r="AG21" s="93">
        <v>0</v>
      </c>
      <c r="AH21" s="93"/>
      <c r="AI21" s="93"/>
      <c r="AJ21" s="93"/>
      <c r="AK21" s="93"/>
      <c r="AL21" s="122">
        <f t="shared" si="22"/>
        <v>0.86724685771744603</v>
      </c>
      <c r="AM21" s="93">
        <v>0</v>
      </c>
      <c r="AN21" s="94">
        <f t="shared" si="23"/>
        <v>0</v>
      </c>
      <c r="AO21" s="95">
        <f t="shared" si="25"/>
        <v>-0.86724685771744603</v>
      </c>
      <c r="AP21" s="96"/>
      <c r="AQ21" s="97">
        <f t="shared" si="6"/>
        <v>0</v>
      </c>
      <c r="AR21" s="98">
        <f t="shared" ref="AR21:AR98" si="35">K21</f>
        <v>117.24</v>
      </c>
      <c r="AS21" s="98">
        <f t="shared" si="8"/>
        <v>0</v>
      </c>
      <c r="AT21" s="98">
        <f t="shared" si="9"/>
        <v>0</v>
      </c>
      <c r="AU21" s="98">
        <f t="shared" si="24"/>
        <v>0</v>
      </c>
      <c r="AV21" s="98">
        <f t="array" ref="AV21">_xlfn.IFS(U21=0,AO21,U21&lt;0,AO21/-U21,U21&gt;0,AO21/U21)</f>
        <v>-0.86724685771744603</v>
      </c>
      <c r="AW21" s="234">
        <f t="shared" si="32"/>
        <v>0</v>
      </c>
      <c r="AX21" s="234">
        <f t="shared" si="33"/>
        <v>-7.397192576914415E-3</v>
      </c>
      <c r="AY21" s="99"/>
      <c r="AZ21" s="94">
        <f t="shared" si="12"/>
        <v>-279.2534881850176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322</v>
      </c>
      <c r="F22" s="93" t="s">
        <v>100</v>
      </c>
      <c r="G22" s="93" t="s">
        <v>100</v>
      </c>
      <c r="H22" s="93">
        <v>1</v>
      </c>
      <c r="I22" s="93">
        <v>1</v>
      </c>
      <c r="J22" s="93">
        <v>320</v>
      </c>
      <c r="K22" s="93">
        <v>117.24</v>
      </c>
      <c r="L22" s="92">
        <f t="shared" si="34"/>
        <v>37751.279999999999</v>
      </c>
      <c r="M22" s="89">
        <v>19</v>
      </c>
      <c r="N22" s="89">
        <v>0</v>
      </c>
      <c r="O22" s="89">
        <v>0</v>
      </c>
      <c r="P22" s="89">
        <v>0</v>
      </c>
      <c r="Q22" s="233">
        <f t="shared" si="13"/>
        <v>0</v>
      </c>
      <c r="R22" s="92">
        <f t="shared" si="14"/>
        <v>0.14285714285714285</v>
      </c>
      <c r="S22" s="93">
        <v>1</v>
      </c>
      <c r="T22" s="93">
        <v>0</v>
      </c>
      <c r="U22" s="92">
        <f t="shared" si="15"/>
        <v>1</v>
      </c>
      <c r="V22" s="93">
        <v>538</v>
      </c>
      <c r="W22" s="93">
        <v>0</v>
      </c>
      <c r="X22" s="92">
        <f t="shared" si="16"/>
        <v>538</v>
      </c>
      <c r="Y22" s="93">
        <v>838</v>
      </c>
      <c r="Z22" s="93">
        <v>0</v>
      </c>
      <c r="AA22" s="92">
        <f t="shared" si="17"/>
        <v>838</v>
      </c>
      <c r="AB22" s="92">
        <f t="shared" si="18"/>
        <v>0</v>
      </c>
      <c r="AC22" s="234">
        <f t="shared" si="19"/>
        <v>3.414260265067197E-4</v>
      </c>
      <c r="AD22" s="92">
        <f t="shared" si="20"/>
        <v>117.24</v>
      </c>
      <c r="AE22" s="93">
        <v>312.88</v>
      </c>
      <c r="AF22" s="234">
        <f t="shared" si="21"/>
        <v>0.37336515513126489</v>
      </c>
      <c r="AG22" s="93">
        <v>57.11</v>
      </c>
      <c r="AH22" s="93"/>
      <c r="AI22" s="93"/>
      <c r="AJ22" s="93"/>
      <c r="AK22" s="93"/>
      <c r="AL22" s="122">
        <f t="shared" si="22"/>
        <v>0.86724685771744603</v>
      </c>
      <c r="AM22" s="93">
        <v>0</v>
      </c>
      <c r="AN22" s="94">
        <f t="shared" si="23"/>
        <v>30.719799999999999</v>
      </c>
      <c r="AO22" s="95">
        <f t="shared" si="25"/>
        <v>319.18295314228254</v>
      </c>
      <c r="AP22" s="96"/>
      <c r="AQ22" s="97">
        <f t="shared" si="6"/>
        <v>838</v>
      </c>
      <c r="AR22" s="98">
        <f t="shared" si="35"/>
        <v>117.24</v>
      </c>
      <c r="AS22" s="98">
        <f t="shared" si="8"/>
        <v>312.88</v>
      </c>
      <c r="AT22" s="98">
        <f t="shared" si="9"/>
        <v>57.11</v>
      </c>
      <c r="AU22" s="98">
        <f t="shared" si="24"/>
        <v>0</v>
      </c>
      <c r="AV22" s="98">
        <f t="array" ref="AV22">_xlfn.IFS(U22=0,AO22,U22&lt;0,AO22/-U22,U22&gt;0,AO22/U22)</f>
        <v>319.18295314228254</v>
      </c>
      <c r="AW22" s="234">
        <f t="shared" si="32"/>
        <v>0.38088657892873812</v>
      </c>
      <c r="AX22" s="234">
        <f t="shared" si="33"/>
        <v>2.722474864741407</v>
      </c>
      <c r="AY22" s="99"/>
      <c r="AZ22" s="94">
        <f t="shared" si="12"/>
        <v>102776.91091181498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3"/>
        <v>0</v>
      </c>
      <c r="R23" s="92">
        <f t="shared" si="14"/>
        <v>0</v>
      </c>
      <c r="S23" s="93">
        <v>0</v>
      </c>
      <c r="T23" s="93">
        <v>0</v>
      </c>
      <c r="U23" s="92">
        <f t="shared" si="15"/>
        <v>0</v>
      </c>
      <c r="V23" s="93">
        <v>0</v>
      </c>
      <c r="W23" s="93">
        <v>0</v>
      </c>
      <c r="X23" s="92">
        <f t="shared" si="16"/>
        <v>0</v>
      </c>
      <c r="Y23" s="93">
        <v>0</v>
      </c>
      <c r="Z23" s="93">
        <v>0</v>
      </c>
      <c r="AA23" s="92">
        <f t="shared" si="17"/>
        <v>0</v>
      </c>
      <c r="AB23" s="92">
        <f t="shared" si="18"/>
        <v>0</v>
      </c>
      <c r="AC23" s="234">
        <f t="shared" si="19"/>
        <v>0</v>
      </c>
      <c r="AD23" s="92">
        <f t="shared" si="20"/>
        <v>0</v>
      </c>
      <c r="AE23" s="93">
        <v>0</v>
      </c>
      <c r="AF23" s="234">
        <f t="shared" si="21"/>
        <v>0</v>
      </c>
      <c r="AG23" s="93">
        <v>0</v>
      </c>
      <c r="AH23" s="93"/>
      <c r="AI23" s="93"/>
      <c r="AJ23" s="93"/>
      <c r="AK23" s="93"/>
      <c r="AL23" s="122">
        <f t="shared" si="22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6"/>
        <v>0</v>
      </c>
      <c r="AR23" s="98">
        <f t="shared" si="35"/>
        <v>117.24</v>
      </c>
      <c r="AS23" s="98">
        <f t="shared" si="8"/>
        <v>0</v>
      </c>
      <c r="AT23" s="98">
        <f t="shared" si="9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3"/>
        <v>0</v>
      </c>
      <c r="R24" s="92">
        <f t="shared" si="14"/>
        <v>0</v>
      </c>
      <c r="S24" s="93">
        <v>0</v>
      </c>
      <c r="T24" s="93">
        <v>0</v>
      </c>
      <c r="U24" s="92">
        <f t="shared" si="15"/>
        <v>0</v>
      </c>
      <c r="V24" s="93">
        <v>0</v>
      </c>
      <c r="W24" s="93">
        <v>0</v>
      </c>
      <c r="X24" s="92">
        <f t="shared" si="16"/>
        <v>0</v>
      </c>
      <c r="Y24" s="93">
        <v>0</v>
      </c>
      <c r="Z24" s="93">
        <v>0</v>
      </c>
      <c r="AA24" s="92">
        <f t="shared" si="17"/>
        <v>0</v>
      </c>
      <c r="AB24" s="92">
        <f t="shared" si="18"/>
        <v>0</v>
      </c>
      <c r="AC24" s="234">
        <f t="shared" si="19"/>
        <v>0</v>
      </c>
      <c r="AD24" s="92">
        <f t="shared" si="20"/>
        <v>0</v>
      </c>
      <c r="AE24" s="93">
        <v>0</v>
      </c>
      <c r="AF24" s="234">
        <f t="shared" si="21"/>
        <v>0</v>
      </c>
      <c r="AG24" s="93">
        <v>0</v>
      </c>
      <c r="AH24" s="93"/>
      <c r="AI24" s="93"/>
      <c r="AJ24" s="93"/>
      <c r="AK24" s="93"/>
      <c r="AL24" s="122">
        <f t="shared" si="22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6"/>
        <v>0</v>
      </c>
      <c r="AR24" s="98">
        <f t="shared" si="35"/>
        <v>117.24</v>
      </c>
      <c r="AS24" s="98">
        <f t="shared" si="8"/>
        <v>0</v>
      </c>
      <c r="AT24" s="98">
        <f t="shared" si="9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9</v>
      </c>
      <c r="N25" s="89">
        <v>2</v>
      </c>
      <c r="O25" s="89">
        <v>918</v>
      </c>
      <c r="P25" s="89">
        <v>100</v>
      </c>
      <c r="Q25" s="233">
        <f t="shared" si="13"/>
        <v>0.2857142857142857</v>
      </c>
      <c r="R25" s="92">
        <f t="shared" si="14"/>
        <v>0.2857142857142857</v>
      </c>
      <c r="S25" s="93">
        <v>2</v>
      </c>
      <c r="T25" s="93">
        <v>0</v>
      </c>
      <c r="U25" s="92">
        <f t="shared" si="15"/>
        <v>2</v>
      </c>
      <c r="V25" s="93">
        <v>1239</v>
      </c>
      <c r="W25" s="93">
        <v>0</v>
      </c>
      <c r="X25" s="92">
        <f t="shared" si="16"/>
        <v>1239</v>
      </c>
      <c r="Y25" s="93">
        <v>1836</v>
      </c>
      <c r="Z25" s="93">
        <v>0</v>
      </c>
      <c r="AA25" s="92">
        <f t="shared" si="17"/>
        <v>1836</v>
      </c>
      <c r="AB25" s="92">
        <f t="shared" si="18"/>
        <v>1836</v>
      </c>
      <c r="AC25" s="234">
        <f t="shared" si="19"/>
        <v>7.4804079315792047E-4</v>
      </c>
      <c r="AD25" s="92">
        <f t="shared" si="20"/>
        <v>234.48</v>
      </c>
      <c r="AE25" s="93">
        <v>671.57000000000016</v>
      </c>
      <c r="AF25" s="234">
        <f t="shared" si="21"/>
        <v>0.3657788671023966</v>
      </c>
      <c r="AG25" s="93">
        <v>109.44</v>
      </c>
      <c r="AH25" s="93"/>
      <c r="AI25" s="93"/>
      <c r="AJ25" s="93"/>
      <c r="AK25" s="93"/>
      <c r="AL25" s="122">
        <f t="shared" si="22"/>
        <v>0</v>
      </c>
      <c r="AM25" s="93">
        <v>0</v>
      </c>
      <c r="AN25" s="94">
        <f t="shared" si="23"/>
        <v>70.746899999999997</v>
      </c>
      <c r="AO25" s="95">
        <f t="shared" si="25"/>
        <v>749.76309999999978</v>
      </c>
      <c r="AP25" s="96"/>
      <c r="AQ25" s="97">
        <f t="shared" si="6"/>
        <v>918</v>
      </c>
      <c r="AR25" s="98">
        <f t="shared" si="35"/>
        <v>117.24</v>
      </c>
      <c r="AS25" s="98">
        <f t="shared" si="8"/>
        <v>335.78500000000008</v>
      </c>
      <c r="AT25" s="98">
        <f t="shared" si="9"/>
        <v>54.72</v>
      </c>
      <c r="AU25" s="98">
        <f t="shared" si="24"/>
        <v>0</v>
      </c>
      <c r="AV25" s="98">
        <f t="array" ref="AV25">_xlfn.IFS(U25=0,AO25,U25&lt;0,AO25/-U25,U25&gt;0,AO25/U25)</f>
        <v>374.88154999999989</v>
      </c>
      <c r="AW25" s="234">
        <f t="shared" si="32"/>
        <v>0.40836770152505436</v>
      </c>
      <c r="AX25" s="234">
        <f t="shared" si="33"/>
        <v>3.1975567212555434</v>
      </c>
      <c r="AY25" s="99"/>
      <c r="AZ25" s="94">
        <f t="shared" si="12"/>
        <v>374.88154999999989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851</v>
      </c>
      <c r="F26" s="93">
        <v>86</v>
      </c>
      <c r="G26" s="93">
        <v>30</v>
      </c>
      <c r="H26" s="93">
        <v>209</v>
      </c>
      <c r="I26" s="93">
        <v>526</v>
      </c>
      <c r="J26" s="93">
        <v>0</v>
      </c>
      <c r="K26" s="93">
        <v>123.09</v>
      </c>
      <c r="L26" s="92">
        <f t="shared" si="34"/>
        <v>104749.59</v>
      </c>
      <c r="M26" s="89">
        <v>51</v>
      </c>
      <c r="N26" s="89">
        <v>102</v>
      </c>
      <c r="O26" s="89">
        <v>699</v>
      </c>
      <c r="P26" s="89">
        <v>26</v>
      </c>
      <c r="Q26" s="233">
        <f t="shared" si="13"/>
        <v>14.571428571428571</v>
      </c>
      <c r="R26" s="92">
        <f t="shared" si="14"/>
        <v>3.7142857142857144</v>
      </c>
      <c r="S26" s="93">
        <v>27</v>
      </c>
      <c r="T26" s="93">
        <v>-1</v>
      </c>
      <c r="U26" s="92">
        <f t="shared" si="15"/>
        <v>26</v>
      </c>
      <c r="V26" s="93">
        <v>12240.48</v>
      </c>
      <c r="W26" s="93">
        <v>-476</v>
      </c>
      <c r="X26" s="92">
        <f t="shared" si="16"/>
        <v>11764.48</v>
      </c>
      <c r="Y26" s="93">
        <v>18873.14</v>
      </c>
      <c r="Z26" s="93">
        <v>-699</v>
      </c>
      <c r="AA26" s="92">
        <f t="shared" si="17"/>
        <v>18174.14</v>
      </c>
      <c r="AB26" s="92">
        <f t="shared" si="18"/>
        <v>18537.48</v>
      </c>
      <c r="AC26" s="234">
        <f t="shared" si="19"/>
        <v>7.4046830613088716E-3</v>
      </c>
      <c r="AD26" s="92">
        <f t="shared" si="20"/>
        <v>3200.34</v>
      </c>
      <c r="AE26" s="93">
        <v>6802.3999999999987</v>
      </c>
      <c r="AF26" s="234">
        <f t="shared" si="21"/>
        <v>0.37429006269347542</v>
      </c>
      <c r="AG26" s="93">
        <v>8619.1699999999964</v>
      </c>
      <c r="AH26" s="93">
        <v>1175</v>
      </c>
      <c r="AI26" s="93">
        <v>5873</v>
      </c>
      <c r="AJ26" s="93"/>
      <c r="AK26" s="93"/>
      <c r="AL26" s="122">
        <f t="shared" si="22"/>
        <v>181.25459326294623</v>
      </c>
      <c r="AM26" s="93">
        <v>10</v>
      </c>
      <c r="AN26" s="94">
        <f t="shared" si="23"/>
        <v>671.75180799999998</v>
      </c>
      <c r="AO26" s="95">
        <f t="shared" si="25"/>
        <v>-8358.7764012629414</v>
      </c>
      <c r="AP26" s="96"/>
      <c r="AQ26" s="97">
        <f t="shared" si="6"/>
        <v>699.00538461538463</v>
      </c>
      <c r="AR26" s="98">
        <f t="shared" si="35"/>
        <v>123.09</v>
      </c>
      <c r="AS26" s="98">
        <f t="shared" si="8"/>
        <v>261.6307692307692</v>
      </c>
      <c r="AT26" s="98">
        <f t="shared" si="9"/>
        <v>319.2285185185184</v>
      </c>
      <c r="AU26" s="98">
        <f t="shared" si="24"/>
        <v>261.03703703703701</v>
      </c>
      <c r="AV26" s="98">
        <f t="array" ref="AV26">_xlfn.IFS(U26=0,AO26,U26&lt;0,AO26/-U26,U26&gt;0,AO26/U26)</f>
        <v>-321.49140004857469</v>
      </c>
      <c r="AW26" s="234">
        <f t="shared" si="32"/>
        <v>-0.45992692921166789</v>
      </c>
      <c r="AX26" s="234">
        <f t="shared" si="33"/>
        <v>-2.6118401173821972</v>
      </c>
      <c r="AY26" s="99"/>
      <c r="AZ26" s="94">
        <f t="shared" si="12"/>
        <v>-273589.18144133704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378</v>
      </c>
      <c r="F27" s="93">
        <v>6</v>
      </c>
      <c r="G27" s="93">
        <v>4</v>
      </c>
      <c r="H27" s="93">
        <v>48</v>
      </c>
      <c r="I27" s="93">
        <v>320</v>
      </c>
      <c r="J27" s="93">
        <v>0</v>
      </c>
      <c r="K27" s="93">
        <v>181.59</v>
      </c>
      <c r="L27" s="92">
        <f t="shared" si="34"/>
        <v>68641.02</v>
      </c>
      <c r="M27" s="89">
        <v>68</v>
      </c>
      <c r="N27" s="89">
        <v>11</v>
      </c>
      <c r="O27" s="89">
        <v>478</v>
      </c>
      <c r="P27" s="89">
        <v>67</v>
      </c>
      <c r="Q27" s="233">
        <f t="shared" si="13"/>
        <v>1.5714285714285714</v>
      </c>
      <c r="R27" s="92">
        <f t="shared" si="14"/>
        <v>0.8571428571428571</v>
      </c>
      <c r="S27" s="93">
        <v>6</v>
      </c>
      <c r="T27" s="93">
        <v>0</v>
      </c>
      <c r="U27" s="92">
        <f t="shared" si="15"/>
        <v>6</v>
      </c>
      <c r="V27" s="93">
        <v>1749.91</v>
      </c>
      <c r="W27" s="93">
        <v>0</v>
      </c>
      <c r="X27" s="92">
        <f t="shared" si="16"/>
        <v>1749.91</v>
      </c>
      <c r="Y27" s="93">
        <v>2868.52</v>
      </c>
      <c r="Z27" s="93">
        <v>0</v>
      </c>
      <c r="AA27" s="92">
        <f t="shared" si="17"/>
        <v>2868.52</v>
      </c>
      <c r="AB27" s="92">
        <f t="shared" si="18"/>
        <v>3522.86</v>
      </c>
      <c r="AC27" s="234">
        <f t="shared" si="19"/>
        <v>1.168720030495293E-3</v>
      </c>
      <c r="AD27" s="92">
        <f t="shared" si="20"/>
        <v>1089.54</v>
      </c>
      <c r="AE27" s="93">
        <v>1067.6200000000001</v>
      </c>
      <c r="AF27" s="234">
        <f t="shared" si="21"/>
        <v>0.37218495949130564</v>
      </c>
      <c r="AG27" s="93">
        <v>1049.0500000000002</v>
      </c>
      <c r="AH27" s="93"/>
      <c r="AI27" s="93"/>
      <c r="AJ27" s="93"/>
      <c r="AK27" s="93"/>
      <c r="AL27" s="122">
        <f t="shared" si="22"/>
        <v>41.627849170437408</v>
      </c>
      <c r="AM27" s="93">
        <v>0</v>
      </c>
      <c r="AN27" s="94">
        <f t="shared" si="23"/>
        <v>99.919860999999997</v>
      </c>
      <c r="AO27" s="95">
        <f t="shared" si="25"/>
        <v>-479.23771017043771</v>
      </c>
      <c r="AP27" s="96"/>
      <c r="AQ27" s="97">
        <f t="shared" si="6"/>
        <v>478.08666666666664</v>
      </c>
      <c r="AR27" s="98">
        <f t="shared" si="35"/>
        <v>181.59</v>
      </c>
      <c r="AS27" s="98">
        <f t="shared" si="8"/>
        <v>177.9366666666667</v>
      </c>
      <c r="AT27" s="98">
        <f t="shared" si="9"/>
        <v>174.8416666666667</v>
      </c>
      <c r="AU27" s="98">
        <f t="shared" si="24"/>
        <v>0</v>
      </c>
      <c r="AV27" s="98">
        <f t="array" ref="AV27">_xlfn.IFS(U27=0,AO27,U27&lt;0,AO27/-U27,U27&gt;0,AO27/U27)</f>
        <v>-79.872951695072956</v>
      </c>
      <c r="AW27" s="234">
        <f t="shared" si="32"/>
        <v>-0.16706793404628092</v>
      </c>
      <c r="AX27" s="234">
        <f t="shared" si="33"/>
        <v>-0.43985325015184179</v>
      </c>
      <c r="AY27" s="99"/>
      <c r="AZ27" s="94">
        <f t="shared" si="12"/>
        <v>-30191.975740737576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1384</v>
      </c>
      <c r="F28" s="93">
        <v>173</v>
      </c>
      <c r="G28" s="93">
        <v>64</v>
      </c>
      <c r="H28" s="93">
        <v>492</v>
      </c>
      <c r="I28" s="93">
        <v>0</v>
      </c>
      <c r="J28" s="93">
        <v>655</v>
      </c>
      <c r="K28" s="93">
        <v>133.62</v>
      </c>
      <c r="L28" s="92">
        <f t="shared" si="34"/>
        <v>184930.08000000002</v>
      </c>
      <c r="M28" s="89">
        <v>45</v>
      </c>
      <c r="N28" s="89">
        <v>236</v>
      </c>
      <c r="O28" s="89">
        <v>1196</v>
      </c>
      <c r="P28" s="89">
        <v>44</v>
      </c>
      <c r="Q28" s="233">
        <f t="shared" si="13"/>
        <v>33.714285714285715</v>
      </c>
      <c r="R28" s="92">
        <f t="shared" si="14"/>
        <v>13.714285714285714</v>
      </c>
      <c r="S28" s="93">
        <v>101</v>
      </c>
      <c r="T28" s="93">
        <v>-5</v>
      </c>
      <c r="U28" s="92">
        <f t="shared" si="15"/>
        <v>96</v>
      </c>
      <c r="V28" s="93">
        <v>71392.75</v>
      </c>
      <c r="W28" s="93">
        <v>-3481</v>
      </c>
      <c r="X28" s="92">
        <f t="shared" si="16"/>
        <v>67911.75</v>
      </c>
      <c r="Y28" s="93">
        <v>114776.56</v>
      </c>
      <c r="Z28" s="93">
        <v>-5681</v>
      </c>
      <c r="AA28" s="92">
        <f t="shared" si="17"/>
        <v>109095.56</v>
      </c>
      <c r="AB28" s="92">
        <f t="shared" si="18"/>
        <v>124192.64</v>
      </c>
      <c r="AC28" s="234">
        <f t="shared" si="19"/>
        <v>4.4448763198479027E-2</v>
      </c>
      <c r="AD28" s="92">
        <f t="shared" si="20"/>
        <v>12827.52</v>
      </c>
      <c r="AE28" s="93">
        <v>40744.490000000034</v>
      </c>
      <c r="AF28" s="234">
        <f t="shared" si="21"/>
        <v>0.37347523583911241</v>
      </c>
      <c r="AG28" s="93">
        <v>16137.569999999983</v>
      </c>
      <c r="AH28" s="93">
        <v>1802</v>
      </c>
      <c r="AI28" s="93">
        <v>12000</v>
      </c>
      <c r="AJ28" s="93"/>
      <c r="AK28" s="93"/>
      <c r="AL28" s="122">
        <f t="shared" si="22"/>
        <v>426.68545399698337</v>
      </c>
      <c r="AM28" s="93">
        <v>50</v>
      </c>
      <c r="AN28" s="94">
        <f t="shared" si="23"/>
        <v>3877.760925</v>
      </c>
      <c r="AO28" s="95">
        <f t="shared" si="25"/>
        <v>21229.533621002993</v>
      </c>
      <c r="AP28" s="96"/>
      <c r="AQ28" s="97">
        <f t="shared" si="6"/>
        <v>1136.4120833333334</v>
      </c>
      <c r="AR28" s="98">
        <f t="shared" si="35"/>
        <v>133.62</v>
      </c>
      <c r="AS28" s="98">
        <f t="shared" si="8"/>
        <v>424.42177083333371</v>
      </c>
      <c r="AT28" s="98">
        <f t="shared" si="9"/>
        <v>159.77792079207904</v>
      </c>
      <c r="AU28" s="98">
        <f t="shared" si="24"/>
        <v>136.65346534653466</v>
      </c>
      <c r="AV28" s="98">
        <f>_xlfn.IFS(U28=0,AO28,U28&lt;0,AO28/-U28,U28&gt;0,AO28/U28)</f>
        <v>221.14097521878116</v>
      </c>
      <c r="AW28" s="234">
        <f t="shared" si="32"/>
        <v>0.19459576192654396</v>
      </c>
      <c r="AX28" s="234">
        <f t="shared" si="33"/>
        <v>1.6549990661486391</v>
      </c>
      <c r="AY28" s="99"/>
      <c r="AZ28" s="94">
        <f t="shared" si="12"/>
        <v>306059.10970279312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3</v>
      </c>
      <c r="N29" s="89">
        <v>1</v>
      </c>
      <c r="O29" s="89">
        <v>478</v>
      </c>
      <c r="P29" s="89">
        <v>100</v>
      </c>
      <c r="Q29" s="233">
        <f t="shared" si="13"/>
        <v>0.14285714285714285</v>
      </c>
      <c r="R29" s="92">
        <f t="shared" si="14"/>
        <v>0.14285714285714285</v>
      </c>
      <c r="S29" s="93">
        <v>1</v>
      </c>
      <c r="T29" s="93">
        <v>0</v>
      </c>
      <c r="U29" s="92">
        <f t="shared" si="15"/>
        <v>1</v>
      </c>
      <c r="V29" s="93">
        <v>287</v>
      </c>
      <c r="W29" s="93">
        <v>0</v>
      </c>
      <c r="X29" s="92">
        <f t="shared" si="16"/>
        <v>287</v>
      </c>
      <c r="Y29" s="93">
        <v>478</v>
      </c>
      <c r="Z29" s="93">
        <v>0</v>
      </c>
      <c r="AA29" s="92">
        <f t="shared" si="17"/>
        <v>478</v>
      </c>
      <c r="AB29" s="92">
        <f t="shared" si="18"/>
        <v>478</v>
      </c>
      <c r="AC29" s="234">
        <f t="shared" si="19"/>
        <v>1.9475136118163726E-4</v>
      </c>
      <c r="AD29" s="92">
        <f t="shared" si="20"/>
        <v>111.39</v>
      </c>
      <c r="AE29" s="93">
        <v>179.98000000000002</v>
      </c>
      <c r="AF29" s="234">
        <f t="shared" si="21"/>
        <v>0.37652719665271972</v>
      </c>
      <c r="AG29" s="93">
        <v>47.32</v>
      </c>
      <c r="AH29" s="93"/>
      <c r="AI29" s="93"/>
      <c r="AJ29" s="93"/>
      <c r="AK29" s="93"/>
      <c r="AL29" s="122">
        <f t="shared" si="22"/>
        <v>0</v>
      </c>
      <c r="AM29" s="93">
        <v>0</v>
      </c>
      <c r="AN29" s="94">
        <f t="shared" si="23"/>
        <v>16.387699999999999</v>
      </c>
      <c r="AO29" s="95">
        <f t="shared" si="25"/>
        <v>122.92230000000001</v>
      </c>
      <c r="AP29" s="96"/>
      <c r="AQ29" s="97">
        <f t="shared" si="6"/>
        <v>478</v>
      </c>
      <c r="AR29" s="98">
        <f t="shared" si="35"/>
        <v>111.39</v>
      </c>
      <c r="AS29" s="98">
        <f t="shared" si="8"/>
        <v>179.98000000000002</v>
      </c>
      <c r="AT29" s="98">
        <f t="shared" si="9"/>
        <v>47.32</v>
      </c>
      <c r="AU29" s="98">
        <f t="shared" si="24"/>
        <v>0</v>
      </c>
      <c r="AV29" s="98">
        <f t="array" ref="AV29">_xlfn.IFS(U29=0,AO29,U29&lt;0,AO29/-U29,U29&gt;0,AO29/U29)</f>
        <v>122.92230000000001</v>
      </c>
      <c r="AW29" s="234">
        <f>IF(AQ29=0,0,AV29/AQ29)</f>
        <v>0.25715962343096238</v>
      </c>
      <c r="AX29" s="234">
        <f>IF(AR29=0,0,AV29/AR29)</f>
        <v>1.10353083759763</v>
      </c>
      <c r="AY29" s="99"/>
      <c r="AZ29" s="94">
        <f t="shared" si="12"/>
        <v>78670.271999999997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 t="s">
        <v>100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3"/>
        <v>0.14285714285714285</v>
      </c>
      <c r="R30" s="92">
        <f t="shared" si="14"/>
        <v>0.14285714285714285</v>
      </c>
      <c r="S30" s="93">
        <v>1</v>
      </c>
      <c r="T30" s="93">
        <v>0</v>
      </c>
      <c r="U30" s="92">
        <f t="shared" si="15"/>
        <v>1</v>
      </c>
      <c r="V30" s="93">
        <v>384</v>
      </c>
      <c r="W30" s="93">
        <v>0</v>
      </c>
      <c r="X30" s="92">
        <f t="shared" si="16"/>
        <v>384</v>
      </c>
      <c r="Y30" s="93">
        <v>558</v>
      </c>
      <c r="Z30" s="93">
        <v>0</v>
      </c>
      <c r="AA30" s="92">
        <f t="shared" si="17"/>
        <v>558</v>
      </c>
      <c r="AB30" s="92">
        <f t="shared" si="18"/>
        <v>0</v>
      </c>
      <c r="AC30" s="234">
        <f t="shared" si="19"/>
        <v>2.2734573125387779E-4</v>
      </c>
      <c r="AD30" s="92">
        <f t="shared" si="20"/>
        <v>111.39</v>
      </c>
      <c r="AE30" s="93">
        <v>211.93</v>
      </c>
      <c r="AF30" s="234">
        <f t="shared" si="21"/>
        <v>0.37980286738351254</v>
      </c>
      <c r="AG30" s="93">
        <v>139.88999999999999</v>
      </c>
      <c r="AH30" s="93"/>
      <c r="AI30" s="93"/>
      <c r="AJ30" s="93"/>
      <c r="AK30" s="93"/>
      <c r="AL30" s="122">
        <f t="shared" si="22"/>
        <v>0</v>
      </c>
      <c r="AM30" s="93">
        <v>0</v>
      </c>
      <c r="AN30" s="94">
        <f t="shared" si="23"/>
        <v>21.926400000000001</v>
      </c>
      <c r="AO30" s="95">
        <f t="shared" si="25"/>
        <v>72.863600000000019</v>
      </c>
      <c r="AP30" s="96"/>
      <c r="AQ30" s="97">
        <f t="shared" si="6"/>
        <v>558</v>
      </c>
      <c r="AR30" s="98">
        <f t="shared" si="35"/>
        <v>111.39</v>
      </c>
      <c r="AS30" s="98">
        <f t="shared" si="8"/>
        <v>211.93</v>
      </c>
      <c r="AT30" s="98">
        <f t="shared" si="9"/>
        <v>139.88999999999999</v>
      </c>
      <c r="AU30" s="98">
        <f t="shared" si="24"/>
        <v>0</v>
      </c>
      <c r="AV30" s="98">
        <f t="array" ref="AV30">_xlfn.IFS(U30=0,AO30,U30&lt;0,AO30/-U30,U30&gt;0,AO30/U30)</f>
        <v>72.863600000000019</v>
      </c>
      <c r="AW30" s="234">
        <f>IF(AQ30=0,0,AV30/AQ30)</f>
        <v>0.13057992831541221</v>
      </c>
      <c r="AX30" s="234">
        <f>IF(AR30=0,0,AV30/AR30)</f>
        <v>0.65413053236376717</v>
      </c>
      <c r="AY30" s="99"/>
      <c r="AZ30" s="94">
        <f t="shared" si="12"/>
        <v>72.863600000000019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1</v>
      </c>
      <c r="O31" s="89">
        <v>499</v>
      </c>
      <c r="P31" s="89">
        <v>100</v>
      </c>
      <c r="Q31" s="233">
        <f t="shared" si="13"/>
        <v>0.14285714285714285</v>
      </c>
      <c r="R31" s="92">
        <f t="shared" si="14"/>
        <v>0.2857142857142857</v>
      </c>
      <c r="S31" s="93">
        <v>2</v>
      </c>
      <c r="T31" s="93">
        <v>0</v>
      </c>
      <c r="U31" s="92">
        <f t="shared" si="15"/>
        <v>2</v>
      </c>
      <c r="V31" s="93">
        <v>593</v>
      </c>
      <c r="W31" s="93">
        <v>0</v>
      </c>
      <c r="X31" s="92">
        <f t="shared" si="16"/>
        <v>593</v>
      </c>
      <c r="Y31" s="93">
        <v>998</v>
      </c>
      <c r="Z31" s="93">
        <v>0</v>
      </c>
      <c r="AA31" s="92">
        <f t="shared" si="17"/>
        <v>998</v>
      </c>
      <c r="AB31" s="92">
        <f t="shared" si="18"/>
        <v>499</v>
      </c>
      <c r="AC31" s="234">
        <f t="shared" si="19"/>
        <v>4.0661476665120077E-4</v>
      </c>
      <c r="AD31" s="92">
        <f t="shared" si="20"/>
        <v>211.08</v>
      </c>
      <c r="AE31" s="93">
        <v>375.40000000000009</v>
      </c>
      <c r="AF31" s="234">
        <f t="shared" si="21"/>
        <v>0.3761523046092185</v>
      </c>
      <c r="AG31" s="93">
        <v>94.18</v>
      </c>
      <c r="AH31" s="93"/>
      <c r="AI31" s="93">
        <v>20</v>
      </c>
      <c r="AJ31" s="93"/>
      <c r="AK31" s="93"/>
      <c r="AL31" s="122">
        <f t="shared" si="22"/>
        <v>0</v>
      </c>
      <c r="AM31" s="93">
        <v>0</v>
      </c>
      <c r="AN31" s="94">
        <f t="shared" si="23"/>
        <v>33.860300000000002</v>
      </c>
      <c r="AO31" s="95">
        <f t="shared" si="25"/>
        <v>263.47969999999987</v>
      </c>
      <c r="AP31" s="96"/>
      <c r="AQ31" s="97">
        <f t="shared" si="6"/>
        <v>499</v>
      </c>
      <c r="AR31" s="98">
        <f t="shared" si="35"/>
        <v>105.54</v>
      </c>
      <c r="AS31" s="98">
        <f t="shared" si="8"/>
        <v>187.70000000000005</v>
      </c>
      <c r="AT31" s="98">
        <f t="shared" si="9"/>
        <v>47.09</v>
      </c>
      <c r="AU31" s="98">
        <f t="shared" si="24"/>
        <v>10</v>
      </c>
      <c r="AV31" s="98">
        <f t="array" ref="AV31">_xlfn.IFS(U31=0,AO31,U31&lt;0,AO31/-U31,U31&gt;0,AO31/U31)</f>
        <v>131.73984999999993</v>
      </c>
      <c r="AW31" s="234">
        <f>IF(AQ31=0,0,AV31/AQ31)</f>
        <v>0.2640077154308616</v>
      </c>
      <c r="AX31" s="234">
        <f>IF(AR31=0,0,AV31/AR31)</f>
        <v>1.2482456888383544</v>
      </c>
      <c r="AY31" s="99"/>
      <c r="AZ31" s="94">
        <f t="shared" si="12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999</v>
      </c>
      <c r="N32" s="89">
        <v>0</v>
      </c>
      <c r="O32" s="89">
        <v>0</v>
      </c>
      <c r="P32" s="89">
        <v>0</v>
      </c>
      <c r="Q32" s="233">
        <f t="shared" si="13"/>
        <v>0</v>
      </c>
      <c r="R32" s="92">
        <f t="shared" si="14"/>
        <v>0</v>
      </c>
      <c r="S32" s="93">
        <v>0</v>
      </c>
      <c r="T32" s="93">
        <v>0</v>
      </c>
      <c r="U32" s="92">
        <f t="shared" si="15"/>
        <v>0</v>
      </c>
      <c r="V32" s="93">
        <v>0</v>
      </c>
      <c r="W32" s="93">
        <v>0</v>
      </c>
      <c r="X32" s="92">
        <f t="shared" si="16"/>
        <v>0</v>
      </c>
      <c r="Y32" s="93">
        <v>0</v>
      </c>
      <c r="Z32" s="93">
        <v>0</v>
      </c>
      <c r="AA32" s="92">
        <f t="shared" si="17"/>
        <v>0</v>
      </c>
      <c r="AB32" s="92">
        <f t="shared" si="18"/>
        <v>0</v>
      </c>
      <c r="AC32" s="234">
        <f t="shared" si="19"/>
        <v>0</v>
      </c>
      <c r="AD32" s="92">
        <f t="shared" si="20"/>
        <v>0</v>
      </c>
      <c r="AE32" s="93">
        <v>0</v>
      </c>
      <c r="AF32" s="234">
        <f t="shared" si="21"/>
        <v>0</v>
      </c>
      <c r="AG32" s="93">
        <v>0</v>
      </c>
      <c r="AH32" s="93"/>
      <c r="AI32" s="93"/>
      <c r="AJ32" s="93"/>
      <c r="AK32" s="93"/>
      <c r="AL32" s="122">
        <f t="shared" si="22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6"/>
        <v>0</v>
      </c>
      <c r="AR32" s="98">
        <f t="shared" si="35"/>
        <v>140.63999999999999</v>
      </c>
      <c r="AS32" s="98">
        <f t="shared" si="8"/>
        <v>0</v>
      </c>
      <c r="AT32" s="98">
        <f t="shared" si="9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2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162</v>
      </c>
      <c r="F33" s="93">
        <v>3</v>
      </c>
      <c r="G33" s="93">
        <v>1</v>
      </c>
      <c r="H33" s="93">
        <v>138</v>
      </c>
      <c r="I33" s="93">
        <v>20</v>
      </c>
      <c r="J33" s="93">
        <v>0</v>
      </c>
      <c r="K33" s="93">
        <v>123.09</v>
      </c>
      <c r="L33" s="92">
        <f>E33*K33</f>
        <v>19940.580000000002</v>
      </c>
      <c r="M33" s="89">
        <v>235</v>
      </c>
      <c r="N33" s="89">
        <v>6</v>
      </c>
      <c r="O33" s="89">
        <v>1388</v>
      </c>
      <c r="P33" s="89">
        <v>100</v>
      </c>
      <c r="Q33" s="233">
        <f t="shared" si="13"/>
        <v>0.8571428571428571</v>
      </c>
      <c r="R33" s="92">
        <f t="shared" si="14"/>
        <v>1.1428571428571428</v>
      </c>
      <c r="S33" s="93">
        <v>8</v>
      </c>
      <c r="T33" s="93">
        <v>0</v>
      </c>
      <c r="U33" s="92">
        <f t="shared" si="15"/>
        <v>8</v>
      </c>
      <c r="V33" s="93">
        <v>2032.63</v>
      </c>
      <c r="W33" s="93">
        <v>0</v>
      </c>
      <c r="X33" s="92">
        <f t="shared" si="16"/>
        <v>2032.63</v>
      </c>
      <c r="Y33" s="93">
        <v>3335.83</v>
      </c>
      <c r="Z33" s="93">
        <v>0</v>
      </c>
      <c r="AA33" s="92">
        <f t="shared" si="17"/>
        <v>3335.83</v>
      </c>
      <c r="AB33" s="92">
        <f t="shared" si="18"/>
        <v>8328</v>
      </c>
      <c r="AC33" s="234">
        <f t="shared" si="19"/>
        <v>1.3591159689760272E-3</v>
      </c>
      <c r="AD33" s="92">
        <f t="shared" si="20"/>
        <v>984.72</v>
      </c>
      <c r="AE33" s="93">
        <v>1244.1599999999999</v>
      </c>
      <c r="AF33" s="234">
        <f t="shared" si="21"/>
        <v>0.37296864648378358</v>
      </c>
      <c r="AG33" s="93">
        <v>434.42</v>
      </c>
      <c r="AH33" s="93"/>
      <c r="AI33" s="93"/>
      <c r="AJ33" s="93"/>
      <c r="AK33" s="93"/>
      <c r="AL33" s="122">
        <f t="shared" si="22"/>
        <v>119.68006636500755</v>
      </c>
      <c r="AM33" s="93">
        <v>0</v>
      </c>
      <c r="AN33" s="94">
        <f t="shared" si="23"/>
        <v>116.06317300000001</v>
      </c>
      <c r="AO33" s="95">
        <f t="shared" si="25"/>
        <v>436.78676063499222</v>
      </c>
      <c r="AP33" s="96"/>
      <c r="AQ33" s="97">
        <f t="shared" si="6"/>
        <v>416.97874999999999</v>
      </c>
      <c r="AR33" s="98">
        <f t="shared" si="35"/>
        <v>123.09</v>
      </c>
      <c r="AS33" s="98">
        <f t="shared" si="8"/>
        <v>155.51999999999998</v>
      </c>
      <c r="AT33" s="98">
        <f t="shared" si="9"/>
        <v>54.302500000000002</v>
      </c>
      <c r="AU33" s="98">
        <f t="shared" si="24"/>
        <v>0</v>
      </c>
      <c r="AV33" s="98">
        <f t="array" ref="AV33">_xlfn.IFS(U33=0,AO33,U33&lt;0,AO33/-U33,U33&gt;0,AO33/U33)</f>
        <v>54.598345079374027</v>
      </c>
      <c r="AW33" s="234">
        <f>IF(AQ33=0,0,AV33/AQ33)</f>
        <v>0.13093795566170705</v>
      </c>
      <c r="AX33" s="234">
        <f>IF(AR33=0,0,AV33/AR33)</f>
        <v>0.44356442504975241</v>
      </c>
      <c r="AY33" s="99"/>
      <c r="AZ33" s="94">
        <f t="shared" si="12"/>
        <v>8844.9319028585924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5</v>
      </c>
      <c r="F34" s="93">
        <v>4</v>
      </c>
      <c r="G34" s="93" t="s">
        <v>100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586.19999999999993</v>
      </c>
      <c r="M34" s="89">
        <v>16</v>
      </c>
      <c r="N34" s="89">
        <v>3</v>
      </c>
      <c r="O34" s="89">
        <v>439</v>
      </c>
      <c r="P34" s="89">
        <v>0</v>
      </c>
      <c r="Q34" s="233">
        <f t="shared" si="13"/>
        <v>0.42857142857142855</v>
      </c>
      <c r="R34" s="92">
        <f t="shared" si="14"/>
        <v>0.7142857142857143</v>
      </c>
      <c r="S34" s="93">
        <v>5</v>
      </c>
      <c r="T34" s="93">
        <v>0</v>
      </c>
      <c r="U34" s="92">
        <f t="shared" si="15"/>
        <v>5</v>
      </c>
      <c r="V34" s="93">
        <v>1344.55</v>
      </c>
      <c r="W34" s="93">
        <v>0</v>
      </c>
      <c r="X34" s="92">
        <f t="shared" si="16"/>
        <v>1344.55</v>
      </c>
      <c r="Y34" s="93">
        <v>2194.52</v>
      </c>
      <c r="Z34" s="93">
        <v>0</v>
      </c>
      <c r="AA34" s="92">
        <f t="shared" si="17"/>
        <v>2194.52</v>
      </c>
      <c r="AB34" s="92">
        <f t="shared" si="18"/>
        <v>0</v>
      </c>
      <c r="AC34" s="234">
        <f t="shared" si="19"/>
        <v>8.9411246263666646E-4</v>
      </c>
      <c r="AD34" s="92">
        <f t="shared" si="20"/>
        <v>586.19999999999993</v>
      </c>
      <c r="AE34" s="93">
        <v>815.8599999999999</v>
      </c>
      <c r="AF34" s="234">
        <f t="shared" si="21"/>
        <v>0.37177150356342159</v>
      </c>
      <c r="AG34" s="93">
        <v>345.38</v>
      </c>
      <c r="AH34" s="93"/>
      <c r="AI34" s="93"/>
      <c r="AJ34" s="93"/>
      <c r="AK34" s="93"/>
      <c r="AL34" s="122">
        <f t="shared" si="22"/>
        <v>0</v>
      </c>
      <c r="AM34" s="93">
        <v>0</v>
      </c>
      <c r="AN34" s="94">
        <f t="shared" si="23"/>
        <v>76.773804999999996</v>
      </c>
      <c r="AO34" s="95">
        <f t="shared" si="25"/>
        <v>370.30619500000029</v>
      </c>
      <c r="AP34" s="96"/>
      <c r="AQ34" s="97">
        <f t="shared" si="6"/>
        <v>438.904</v>
      </c>
      <c r="AR34" s="98">
        <f t="shared" si="35"/>
        <v>117.24</v>
      </c>
      <c r="AS34" s="98">
        <f t="shared" si="8"/>
        <v>163.17199999999997</v>
      </c>
      <c r="AT34" s="98">
        <f t="shared" si="9"/>
        <v>69.075999999999993</v>
      </c>
      <c r="AU34" s="98">
        <f t="shared" si="24"/>
        <v>0</v>
      </c>
      <c r="AV34" s="98">
        <f t="array" ref="AV34">_xlfn.IFS(U34=0,AO34,U34&lt;0,AO34/-U34,U34&gt;0,AO34/U34)</f>
        <v>74.061239000000057</v>
      </c>
      <c r="AW34" s="234">
        <f>IF(AQ34=0,0,AV34/AQ34)</f>
        <v>0.16874131700781961</v>
      </c>
      <c r="AX34" s="234">
        <f>IF(AR34=0,0,AV34/AR34)</f>
        <v>0.63170623507335433</v>
      </c>
      <c r="AY34" s="99"/>
      <c r="AZ34" s="94">
        <f t="shared" si="12"/>
        <v>370.30619500000029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3"/>
        <v>0</v>
      </c>
      <c r="R35" s="92">
        <f t="shared" si="14"/>
        <v>0</v>
      </c>
      <c r="S35" s="93">
        <v>0</v>
      </c>
      <c r="T35" s="93">
        <v>0</v>
      </c>
      <c r="U35" s="92">
        <f t="shared" si="15"/>
        <v>0</v>
      </c>
      <c r="V35" s="93">
        <v>0</v>
      </c>
      <c r="W35" s="93">
        <v>0</v>
      </c>
      <c r="X35" s="92">
        <f t="shared" si="16"/>
        <v>0</v>
      </c>
      <c r="Y35" s="93">
        <v>0</v>
      </c>
      <c r="Z35" s="93">
        <v>0</v>
      </c>
      <c r="AA35" s="92">
        <f t="shared" si="17"/>
        <v>0</v>
      </c>
      <c r="AB35" s="92">
        <f t="shared" si="18"/>
        <v>0</v>
      </c>
      <c r="AC35" s="234">
        <f t="shared" si="19"/>
        <v>0</v>
      </c>
      <c r="AD35" s="92">
        <f t="shared" si="20"/>
        <v>0</v>
      </c>
      <c r="AE35" s="93">
        <v>0</v>
      </c>
      <c r="AF35" s="234">
        <f t="shared" si="21"/>
        <v>0</v>
      </c>
      <c r="AG35" s="93">
        <v>0</v>
      </c>
      <c r="AH35" s="93"/>
      <c r="AI35" s="93"/>
      <c r="AJ35" s="93"/>
      <c r="AK35" s="93"/>
      <c r="AL35" s="122">
        <f t="shared" si="22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6"/>
        <v>0</v>
      </c>
      <c r="AR35" s="98">
        <f t="shared" si="35"/>
        <v>128.94</v>
      </c>
      <c r="AS35" s="98">
        <f t="shared" si="8"/>
        <v>0</v>
      </c>
      <c r="AT35" s="98">
        <f t="shared" si="9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3"/>
        <v>0</v>
      </c>
      <c r="R36" s="92">
        <f t="shared" si="14"/>
        <v>0</v>
      </c>
      <c r="S36" s="93">
        <v>0</v>
      </c>
      <c r="T36" s="93">
        <v>0</v>
      </c>
      <c r="U36" s="92">
        <f t="shared" si="15"/>
        <v>0</v>
      </c>
      <c r="V36" s="93">
        <v>0</v>
      </c>
      <c r="W36" s="93">
        <v>0</v>
      </c>
      <c r="X36" s="92">
        <f t="shared" si="16"/>
        <v>0</v>
      </c>
      <c r="Y36" s="93">
        <v>0</v>
      </c>
      <c r="Z36" s="93">
        <v>0</v>
      </c>
      <c r="AA36" s="92">
        <f t="shared" si="17"/>
        <v>0</v>
      </c>
      <c r="AB36" s="92">
        <f t="shared" si="18"/>
        <v>0</v>
      </c>
      <c r="AC36" s="234">
        <f t="shared" si="19"/>
        <v>0</v>
      </c>
      <c r="AD36" s="92">
        <f t="shared" si="20"/>
        <v>0</v>
      </c>
      <c r="AE36" s="93">
        <v>0</v>
      </c>
      <c r="AF36" s="234">
        <f t="shared" si="21"/>
        <v>0</v>
      </c>
      <c r="AG36" s="93">
        <v>0</v>
      </c>
      <c r="AH36" s="93"/>
      <c r="AI36" s="93"/>
      <c r="AJ36" s="93"/>
      <c r="AK36" s="93"/>
      <c r="AL36" s="122">
        <f t="shared" si="22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6"/>
        <v>0</v>
      </c>
      <c r="AR36" s="98">
        <f t="shared" si="35"/>
        <v>169.89</v>
      </c>
      <c r="AS36" s="98">
        <f t="shared" si="8"/>
        <v>0</v>
      </c>
      <c r="AT36" s="98">
        <f t="shared" si="9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12</v>
      </c>
      <c r="F37" s="93">
        <v>4</v>
      </c>
      <c r="G37" s="93">
        <v>2</v>
      </c>
      <c r="H37" s="93">
        <v>5</v>
      </c>
      <c r="I37" s="93">
        <v>0</v>
      </c>
      <c r="J37" s="93">
        <v>1</v>
      </c>
      <c r="K37" s="93">
        <v>169.89</v>
      </c>
      <c r="L37" s="92">
        <f t="shared" si="42"/>
        <v>2038.6799999999998</v>
      </c>
      <c r="M37" s="89">
        <v>28</v>
      </c>
      <c r="N37" s="89">
        <v>5</v>
      </c>
      <c r="O37" s="89">
        <v>998</v>
      </c>
      <c r="P37" s="89">
        <v>0</v>
      </c>
      <c r="Q37" s="233">
        <f t="shared" si="13"/>
        <v>0.7142857142857143</v>
      </c>
      <c r="R37" s="92">
        <f t="shared" si="14"/>
        <v>0.14285714285714285</v>
      </c>
      <c r="S37" s="93">
        <v>1</v>
      </c>
      <c r="T37" s="93">
        <v>0</v>
      </c>
      <c r="U37" s="92">
        <f t="shared" si="15"/>
        <v>1</v>
      </c>
      <c r="V37" s="93">
        <v>655</v>
      </c>
      <c r="W37" s="93">
        <v>0</v>
      </c>
      <c r="X37" s="92">
        <f t="shared" si="16"/>
        <v>655</v>
      </c>
      <c r="Y37" s="93">
        <v>998</v>
      </c>
      <c r="Z37" s="93">
        <v>0</v>
      </c>
      <c r="AA37" s="92">
        <f t="shared" si="17"/>
        <v>998</v>
      </c>
      <c r="AB37" s="92">
        <f t="shared" si="18"/>
        <v>0</v>
      </c>
      <c r="AC37" s="234">
        <f t="shared" si="19"/>
        <v>4.0661476665120077E-4</v>
      </c>
      <c r="AD37" s="92">
        <f t="shared" si="20"/>
        <v>169.89</v>
      </c>
      <c r="AE37" s="93">
        <v>373.09000000000003</v>
      </c>
      <c r="AF37" s="234">
        <f t="shared" si="21"/>
        <v>0.37383767535070145</v>
      </c>
      <c r="AG37" s="93">
        <v>325.73</v>
      </c>
      <c r="AH37" s="93"/>
      <c r="AI37" s="93"/>
      <c r="AJ37" s="93"/>
      <c r="AK37" s="93"/>
      <c r="AL37" s="122">
        <f t="shared" si="22"/>
        <v>4.3362342885872307</v>
      </c>
      <c r="AM37" s="93">
        <v>0</v>
      </c>
      <c r="AN37" s="94">
        <f t="shared" si="23"/>
        <v>37.400500000000001</v>
      </c>
      <c r="AO37" s="95">
        <f t="shared" si="25"/>
        <v>87.553265711412735</v>
      </c>
      <c r="AP37" s="96"/>
      <c r="AQ37" s="97">
        <f t="shared" si="6"/>
        <v>998</v>
      </c>
      <c r="AR37" s="98">
        <f t="shared" si="35"/>
        <v>169.89</v>
      </c>
      <c r="AS37" s="98">
        <f t="shared" si="8"/>
        <v>373.09000000000003</v>
      </c>
      <c r="AT37" s="98">
        <f t="shared" si="9"/>
        <v>325.73</v>
      </c>
      <c r="AU37" s="98">
        <f t="shared" si="24"/>
        <v>0</v>
      </c>
      <c r="AV37" s="98">
        <f t="array" ref="AV37">_xlfn.IFS(U37=0,AO37,U37&lt;0,AO37/-U37,U37&gt;0,AO37/U37)</f>
        <v>87.553265711412735</v>
      </c>
      <c r="AW37" s="234">
        <f t="shared" si="43"/>
        <v>8.7728723157728186E-2</v>
      </c>
      <c r="AX37" s="234">
        <f t="shared" si="44"/>
        <v>0.51535267356179137</v>
      </c>
      <c r="AY37" s="99"/>
      <c r="AZ37" s="94">
        <f t="shared" si="12"/>
        <v>1050.6391885369528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 t="s">
        <v>100</v>
      </c>
      <c r="G38" s="93">
        <v>1</v>
      </c>
      <c r="H38" s="93">
        <v>46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459</v>
      </c>
      <c r="N38" s="89">
        <v>2</v>
      </c>
      <c r="O38" s="89">
        <v>1197</v>
      </c>
      <c r="P38" s="89">
        <v>0</v>
      </c>
      <c r="Q38" s="233">
        <f t="shared" si="13"/>
        <v>0.2857142857142857</v>
      </c>
      <c r="R38" s="92">
        <f t="shared" si="14"/>
        <v>0</v>
      </c>
      <c r="S38" s="93">
        <v>0</v>
      </c>
      <c r="T38" s="93">
        <v>0</v>
      </c>
      <c r="U38" s="92">
        <f t="shared" si="15"/>
        <v>0</v>
      </c>
      <c r="V38" s="93">
        <v>0</v>
      </c>
      <c r="W38" s="93">
        <v>0</v>
      </c>
      <c r="X38" s="92">
        <f t="shared" si="16"/>
        <v>0</v>
      </c>
      <c r="Y38" s="93">
        <v>0</v>
      </c>
      <c r="Z38" s="93">
        <v>0</v>
      </c>
      <c r="AA38" s="92">
        <f t="shared" si="17"/>
        <v>0</v>
      </c>
      <c r="AB38" s="92">
        <f t="shared" si="18"/>
        <v>0</v>
      </c>
      <c r="AC38" s="234">
        <f t="shared" si="19"/>
        <v>0</v>
      </c>
      <c r="AD38" s="92">
        <f t="shared" si="20"/>
        <v>0</v>
      </c>
      <c r="AE38" s="93">
        <v>0</v>
      </c>
      <c r="AF38" s="234">
        <f t="shared" si="21"/>
        <v>0</v>
      </c>
      <c r="AG38" s="93">
        <v>320.63</v>
      </c>
      <c r="AH38" s="93"/>
      <c r="AI38" s="93"/>
      <c r="AJ38" s="93"/>
      <c r="AK38" s="93"/>
      <c r="AL38" s="122">
        <f t="shared" si="22"/>
        <v>39.893355455002521</v>
      </c>
      <c r="AM38" s="93">
        <v>0</v>
      </c>
      <c r="AN38" s="94">
        <f t="shared" si="23"/>
        <v>0</v>
      </c>
      <c r="AO38" s="95">
        <f t="shared" si="25"/>
        <v>-360.5233554550025</v>
      </c>
      <c r="AP38" s="96"/>
      <c r="AQ38" s="97">
        <f t="shared" si="6"/>
        <v>0</v>
      </c>
      <c r="AR38" s="98">
        <f t="shared" si="35"/>
        <v>105.54</v>
      </c>
      <c r="AS38" s="98">
        <f t="shared" si="8"/>
        <v>0</v>
      </c>
      <c r="AT38" s="98">
        <f t="shared" si="9"/>
        <v>320.63</v>
      </c>
      <c r="AU38" s="98">
        <f t="shared" si="24"/>
        <v>0</v>
      </c>
      <c r="AV38" s="98">
        <f t="array" ref="AV38">_xlfn.IFS(U38=0,AO38,U38&lt;0,AO38/-U38,U38&gt;0,AO38/U38)</f>
        <v>-360.5233554550025</v>
      </c>
      <c r="AW38" s="234">
        <f t="shared" si="43"/>
        <v>0</v>
      </c>
      <c r="AX38" s="234">
        <f t="shared" si="44"/>
        <v>-3.4159878288326935</v>
      </c>
      <c r="AY38" s="99"/>
      <c r="AZ38" s="94">
        <f t="shared" si="12"/>
        <v>-17305.12106184012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40</v>
      </c>
      <c r="F39" s="93">
        <v>7</v>
      </c>
      <c r="G39" s="93">
        <v>1</v>
      </c>
      <c r="H39" s="93">
        <v>31</v>
      </c>
      <c r="I39" s="93">
        <v>0</v>
      </c>
      <c r="J39" s="93">
        <v>1</v>
      </c>
      <c r="K39" s="92">
        <v>105.54</v>
      </c>
      <c r="L39" s="92">
        <f t="shared" si="42"/>
        <v>4221.6000000000004</v>
      </c>
      <c r="M39" s="89">
        <v>69</v>
      </c>
      <c r="N39" s="89">
        <v>6</v>
      </c>
      <c r="O39" s="89">
        <v>1077</v>
      </c>
      <c r="P39" s="89">
        <v>0</v>
      </c>
      <c r="Q39" s="233">
        <f t="shared" si="13"/>
        <v>0.8571428571428571</v>
      </c>
      <c r="R39" s="92">
        <f t="shared" si="14"/>
        <v>0.2857142857142857</v>
      </c>
      <c r="S39" s="93">
        <v>2</v>
      </c>
      <c r="T39" s="93">
        <v>0</v>
      </c>
      <c r="U39" s="92">
        <f t="shared" si="15"/>
        <v>2</v>
      </c>
      <c r="V39" s="93">
        <v>1500.8400000000001</v>
      </c>
      <c r="W39" s="93">
        <v>0</v>
      </c>
      <c r="X39" s="92">
        <f t="shared" si="16"/>
        <v>1500.8400000000001</v>
      </c>
      <c r="Y39" s="93">
        <v>2154.2399999999998</v>
      </c>
      <c r="Z39" s="93">
        <v>0</v>
      </c>
      <c r="AA39" s="92">
        <f t="shared" si="17"/>
        <v>2154.2399999999998</v>
      </c>
      <c r="AB39" s="92">
        <f t="shared" si="18"/>
        <v>0</v>
      </c>
      <c r="AC39" s="234">
        <f t="shared" si="19"/>
        <v>8.7770119730529324E-4</v>
      </c>
      <c r="AD39" s="92">
        <f t="shared" si="20"/>
        <v>211.08</v>
      </c>
      <c r="AE39" s="93">
        <v>800.02</v>
      </c>
      <c r="AF39" s="234">
        <f t="shared" si="21"/>
        <v>0.3713699494949495</v>
      </c>
      <c r="AG39" s="93">
        <v>523.36999999999989</v>
      </c>
      <c r="AH39" s="93">
        <v>1</v>
      </c>
      <c r="AI39" s="93"/>
      <c r="AJ39" s="93"/>
      <c r="AK39" s="93"/>
      <c r="AL39" s="122">
        <f t="shared" si="22"/>
        <v>26.884652589240822</v>
      </c>
      <c r="AM39" s="93">
        <v>0</v>
      </c>
      <c r="AN39" s="94">
        <f t="shared" si="23"/>
        <v>85.697963999999999</v>
      </c>
      <c r="AO39" s="95">
        <f t="shared" si="25"/>
        <v>506.1873834107592</v>
      </c>
      <c r="AP39" s="96"/>
      <c r="AQ39" s="97">
        <f t="shared" si="6"/>
        <v>1077.1199999999999</v>
      </c>
      <c r="AR39" s="98">
        <f t="shared" si="35"/>
        <v>105.54</v>
      </c>
      <c r="AS39" s="98">
        <f t="shared" si="8"/>
        <v>400.01</v>
      </c>
      <c r="AT39" s="98">
        <f t="shared" si="9"/>
        <v>261.68499999999995</v>
      </c>
      <c r="AU39" s="98">
        <f t="shared" si="24"/>
        <v>0.5</v>
      </c>
      <c r="AV39" s="98">
        <f t="array" ref="AV39">_xlfn.IFS(U39=0,AO39,U39&lt;0,AO39/-U39,U39&gt;0,AO39/U39)</f>
        <v>253.0936917053796</v>
      </c>
      <c r="AW39" s="234">
        <f t="shared" si="43"/>
        <v>0.23497260445018162</v>
      </c>
      <c r="AX39" s="234">
        <f t="shared" si="44"/>
        <v>2.3980831126149287</v>
      </c>
      <c r="AY39" s="99"/>
      <c r="AZ39" s="94">
        <f t="shared" si="12"/>
        <v>10123.747668215185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2</v>
      </c>
      <c r="G40" s="93">
        <v>3</v>
      </c>
      <c r="H40" s="93">
        <v>41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259</v>
      </c>
      <c r="N40" s="89">
        <v>2</v>
      </c>
      <c r="O40" s="89">
        <v>1197</v>
      </c>
      <c r="P40" s="89">
        <v>0</v>
      </c>
      <c r="Q40" s="233">
        <f t="shared" si="13"/>
        <v>0.2857142857142857</v>
      </c>
      <c r="R40" s="92">
        <f t="shared" si="14"/>
        <v>0</v>
      </c>
      <c r="S40" s="93">
        <v>0</v>
      </c>
      <c r="T40" s="93">
        <v>0</v>
      </c>
      <c r="U40" s="92">
        <f t="shared" si="15"/>
        <v>0</v>
      </c>
      <c r="V40" s="93">
        <v>0</v>
      </c>
      <c r="W40" s="93">
        <v>0</v>
      </c>
      <c r="X40" s="92">
        <f t="shared" si="16"/>
        <v>0</v>
      </c>
      <c r="Y40" s="93">
        <v>0</v>
      </c>
      <c r="Z40" s="93">
        <v>0</v>
      </c>
      <c r="AA40" s="92">
        <f t="shared" si="17"/>
        <v>0</v>
      </c>
      <c r="AB40" s="92">
        <f t="shared" si="18"/>
        <v>0</v>
      </c>
      <c r="AC40" s="234">
        <f t="shared" si="19"/>
        <v>0</v>
      </c>
      <c r="AD40" s="92">
        <f t="shared" si="20"/>
        <v>0</v>
      </c>
      <c r="AE40" s="93">
        <v>0</v>
      </c>
      <c r="AF40" s="234">
        <f t="shared" si="21"/>
        <v>0</v>
      </c>
      <c r="AG40" s="93">
        <v>432.27</v>
      </c>
      <c r="AH40" s="93"/>
      <c r="AI40" s="93"/>
      <c r="AJ40" s="93"/>
      <c r="AK40" s="93"/>
      <c r="AL40" s="122">
        <f t="shared" si="22"/>
        <v>35.557121166415286</v>
      </c>
      <c r="AM40" s="93">
        <v>0</v>
      </c>
      <c r="AN40" s="94">
        <f t="shared" si="23"/>
        <v>0</v>
      </c>
      <c r="AO40" s="95">
        <f t="shared" si="25"/>
        <v>-467.82712116641528</v>
      </c>
      <c r="AP40" s="96"/>
      <c r="AQ40" s="97">
        <f t="shared" si="6"/>
        <v>0</v>
      </c>
      <c r="AR40" s="98">
        <f t="shared" si="35"/>
        <v>105.54</v>
      </c>
      <c r="AS40" s="98">
        <f t="shared" si="8"/>
        <v>0</v>
      </c>
      <c r="AT40" s="98">
        <f t="shared" si="9"/>
        <v>432.27</v>
      </c>
      <c r="AU40" s="98">
        <f t="shared" si="24"/>
        <v>0</v>
      </c>
      <c r="AV40" s="98">
        <f t="array" ref="AV40">_xlfn.IFS(U40=0,AO40,U40&lt;0,AO40/-U40,U40&gt;0,AO40/U40)</f>
        <v>-467.82712116641528</v>
      </c>
      <c r="AW40" s="234">
        <f t="shared" si="43"/>
        <v>0</v>
      </c>
      <c r="AX40" s="234">
        <f t="shared" si="44"/>
        <v>-4.4326996509988179</v>
      </c>
      <c r="AY40" s="99"/>
      <c r="AZ40" s="94">
        <f t="shared" si="12"/>
        <v>-21987.874694821519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47</v>
      </c>
      <c r="F41" s="93" t="s">
        <v>100</v>
      </c>
      <c r="G41" s="93" t="s">
        <v>100</v>
      </c>
      <c r="H41" s="93">
        <v>46</v>
      </c>
      <c r="I41" s="93">
        <v>0</v>
      </c>
      <c r="J41" s="93">
        <v>1</v>
      </c>
      <c r="K41" s="92">
        <v>123.09</v>
      </c>
      <c r="L41" s="92">
        <f t="shared" si="42"/>
        <v>5785.2300000000005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3"/>
        <v>0</v>
      </c>
      <c r="R41" s="92">
        <f t="shared" si="14"/>
        <v>0</v>
      </c>
      <c r="S41" s="93">
        <v>0</v>
      </c>
      <c r="T41" s="93">
        <v>0</v>
      </c>
      <c r="U41" s="92">
        <f t="shared" si="15"/>
        <v>0</v>
      </c>
      <c r="V41" s="93">
        <v>0</v>
      </c>
      <c r="W41" s="93">
        <v>0</v>
      </c>
      <c r="X41" s="92">
        <f t="shared" si="16"/>
        <v>0</v>
      </c>
      <c r="Y41" s="93">
        <v>0</v>
      </c>
      <c r="Z41" s="93">
        <v>0</v>
      </c>
      <c r="AA41" s="92">
        <f t="shared" si="17"/>
        <v>0</v>
      </c>
      <c r="AB41" s="92">
        <f t="shared" si="18"/>
        <v>0</v>
      </c>
      <c r="AC41" s="234">
        <f t="shared" si="19"/>
        <v>0</v>
      </c>
      <c r="AD41" s="92">
        <f t="shared" si="20"/>
        <v>0</v>
      </c>
      <c r="AE41" s="93">
        <v>0</v>
      </c>
      <c r="AF41" s="234">
        <f t="shared" si="21"/>
        <v>0</v>
      </c>
      <c r="AG41" s="93">
        <v>0</v>
      </c>
      <c r="AH41" s="93"/>
      <c r="AI41" s="93"/>
      <c r="AJ41" s="93"/>
      <c r="AK41" s="93"/>
      <c r="AL41" s="122">
        <f t="shared" si="22"/>
        <v>39.893355455002521</v>
      </c>
      <c r="AM41" s="93">
        <v>0</v>
      </c>
      <c r="AN41" s="94">
        <f t="shared" si="23"/>
        <v>0</v>
      </c>
      <c r="AO41" s="95">
        <f t="shared" si="25"/>
        <v>-39.893355455002521</v>
      </c>
      <c r="AP41" s="96"/>
      <c r="AQ41" s="97">
        <f t="shared" si="6"/>
        <v>0</v>
      </c>
      <c r="AR41" s="98">
        <f t="shared" si="35"/>
        <v>123.09</v>
      </c>
      <c r="AS41" s="98">
        <f t="shared" si="8"/>
        <v>0</v>
      </c>
      <c r="AT41" s="98">
        <f t="shared" si="9"/>
        <v>0</v>
      </c>
      <c r="AU41" s="98">
        <f t="shared" si="24"/>
        <v>0</v>
      </c>
      <c r="AV41" s="98">
        <f t="array" ref="AV41">_xlfn.IFS(U41=0,AO41,U41&lt;0,AO41/-U41,U41&gt;0,AO41/U41)</f>
        <v>-39.893355455002521</v>
      </c>
      <c r="AW41" s="234">
        <f t="shared" si="43"/>
        <v>0</v>
      </c>
      <c r="AX41" s="234">
        <f t="shared" si="44"/>
        <v>-0.3240990775449063</v>
      </c>
      <c r="AY41" s="99"/>
      <c r="AZ41" s="94">
        <f t="shared" si="12"/>
        <v>-1874.9877063851184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3</v>
      </c>
      <c r="G42" s="93" t="s">
        <v>100</v>
      </c>
      <c r="H42" s="93">
        <v>43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344</v>
      </c>
      <c r="N42" s="89">
        <v>3</v>
      </c>
      <c r="O42" s="89">
        <v>1176</v>
      </c>
      <c r="P42" s="89">
        <v>0</v>
      </c>
      <c r="Q42" s="233">
        <f t="shared" si="13"/>
        <v>0.42857142857142855</v>
      </c>
      <c r="R42" s="92">
        <f t="shared" si="14"/>
        <v>0</v>
      </c>
      <c r="S42" s="93">
        <v>0</v>
      </c>
      <c r="T42" s="93">
        <v>0</v>
      </c>
      <c r="U42" s="92">
        <f t="shared" si="15"/>
        <v>0</v>
      </c>
      <c r="V42" s="93">
        <v>0</v>
      </c>
      <c r="W42" s="93">
        <v>0</v>
      </c>
      <c r="X42" s="92">
        <f t="shared" si="16"/>
        <v>0</v>
      </c>
      <c r="Y42" s="93">
        <v>0</v>
      </c>
      <c r="Z42" s="93">
        <v>0</v>
      </c>
      <c r="AA42" s="92">
        <f t="shared" si="17"/>
        <v>0</v>
      </c>
      <c r="AB42" s="92">
        <f t="shared" si="18"/>
        <v>0</v>
      </c>
      <c r="AC42" s="234">
        <f t="shared" si="19"/>
        <v>0</v>
      </c>
      <c r="AD42" s="92">
        <f t="shared" si="20"/>
        <v>0</v>
      </c>
      <c r="AE42" s="93">
        <v>0</v>
      </c>
      <c r="AF42" s="234">
        <f t="shared" si="21"/>
        <v>0</v>
      </c>
      <c r="AG42" s="93">
        <v>84.8</v>
      </c>
      <c r="AH42" s="93"/>
      <c r="AI42" s="93"/>
      <c r="AJ42" s="93"/>
      <c r="AK42" s="93"/>
      <c r="AL42" s="122">
        <f t="shared" si="22"/>
        <v>37.29161488185018</v>
      </c>
      <c r="AM42" s="93">
        <v>0</v>
      </c>
      <c r="AN42" s="94">
        <f t="shared" si="23"/>
        <v>0</v>
      </c>
      <c r="AO42" s="95">
        <f t="shared" si="25"/>
        <v>-122.09161488185018</v>
      </c>
      <c r="AP42" s="96"/>
      <c r="AQ42" s="97">
        <f t="shared" si="6"/>
        <v>0</v>
      </c>
      <c r="AR42" s="98">
        <f t="shared" si="35"/>
        <v>123.09</v>
      </c>
      <c r="AS42" s="98">
        <f t="shared" si="8"/>
        <v>0</v>
      </c>
      <c r="AT42" s="98">
        <f t="shared" si="9"/>
        <v>84.8</v>
      </c>
      <c r="AU42" s="98">
        <f t="shared" si="24"/>
        <v>0</v>
      </c>
      <c r="AV42" s="98">
        <f t="array" ref="AV42">_xlfn.IFS(U42=0,AO42,U42&lt;0,AO42/-U42,U42&gt;0,AO42/U42)</f>
        <v>-122.09161488185018</v>
      </c>
      <c r="AW42" s="234">
        <f t="shared" si="43"/>
        <v>0</v>
      </c>
      <c r="AX42" s="234">
        <f t="shared" si="44"/>
        <v>-0.99188898271061965</v>
      </c>
      <c r="AY42" s="99"/>
      <c r="AZ42" s="94">
        <f t="shared" si="12"/>
        <v>-5738.3058994469584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45</v>
      </c>
      <c r="F43" s="93">
        <v>5</v>
      </c>
      <c r="G43" s="93">
        <v>3</v>
      </c>
      <c r="H43" s="93">
        <v>36</v>
      </c>
      <c r="I43" s="93">
        <v>0</v>
      </c>
      <c r="J43" s="93">
        <v>1</v>
      </c>
      <c r="K43" s="92">
        <v>123.09</v>
      </c>
      <c r="L43" s="92">
        <f t="shared" si="42"/>
        <v>5539.05</v>
      </c>
      <c r="M43" s="89">
        <v>102</v>
      </c>
      <c r="N43" s="89">
        <v>8</v>
      </c>
      <c r="O43" s="89">
        <v>1102</v>
      </c>
      <c r="P43" s="89">
        <v>0</v>
      </c>
      <c r="Q43" s="233">
        <f t="shared" si="13"/>
        <v>1.1428571428571428</v>
      </c>
      <c r="R43" s="92">
        <f t="shared" si="14"/>
        <v>0.2857142857142857</v>
      </c>
      <c r="S43" s="93">
        <v>2</v>
      </c>
      <c r="T43" s="93">
        <v>0</v>
      </c>
      <c r="U43" s="92">
        <f t="shared" si="15"/>
        <v>2</v>
      </c>
      <c r="V43" s="93">
        <v>1371</v>
      </c>
      <c r="W43" s="93">
        <v>0</v>
      </c>
      <c r="X43" s="92">
        <f t="shared" si="16"/>
        <v>1371</v>
      </c>
      <c r="Y43" s="93">
        <v>2204</v>
      </c>
      <c r="Z43" s="93">
        <v>0</v>
      </c>
      <c r="AA43" s="92">
        <f t="shared" si="17"/>
        <v>2204</v>
      </c>
      <c r="AB43" s="92">
        <f t="shared" si="18"/>
        <v>0</v>
      </c>
      <c r="AC43" s="234">
        <f t="shared" si="19"/>
        <v>8.9797489549022695E-4</v>
      </c>
      <c r="AD43" s="92">
        <f t="shared" si="20"/>
        <v>246.18</v>
      </c>
      <c r="AE43" s="93">
        <v>821.48</v>
      </c>
      <c r="AF43" s="234">
        <f t="shared" si="21"/>
        <v>0.37272232304900182</v>
      </c>
      <c r="AG43" s="93">
        <v>649.95999999999992</v>
      </c>
      <c r="AH43" s="93"/>
      <c r="AI43" s="93"/>
      <c r="AJ43" s="93"/>
      <c r="AK43" s="93"/>
      <c r="AL43" s="122">
        <f t="shared" si="22"/>
        <v>31.220886877828057</v>
      </c>
      <c r="AM43" s="93">
        <v>0</v>
      </c>
      <c r="AN43" s="94">
        <f t="shared" si="23"/>
        <v>78.284099999999995</v>
      </c>
      <c r="AO43" s="95">
        <f t="shared" si="25"/>
        <v>376.87501312217194</v>
      </c>
      <c r="AP43" s="96"/>
      <c r="AQ43" s="97">
        <f t="shared" si="6"/>
        <v>1102</v>
      </c>
      <c r="AR43" s="98">
        <f t="shared" si="35"/>
        <v>123.09</v>
      </c>
      <c r="AS43" s="98">
        <f t="shared" si="8"/>
        <v>410.74</v>
      </c>
      <c r="AT43" s="98">
        <f t="shared" si="9"/>
        <v>324.97999999999996</v>
      </c>
      <c r="AU43" s="98">
        <f t="shared" si="24"/>
        <v>0</v>
      </c>
      <c r="AV43" s="98">
        <f t="array" ref="AV43">_xlfn.IFS(U43=0,AO43,U43&lt;0,AO43/-U43,U43&gt;0,AO43/U43)</f>
        <v>188.43750656108597</v>
      </c>
      <c r="AW43" s="234">
        <f t="shared" si="43"/>
        <v>0.17099592246922501</v>
      </c>
      <c r="AX43" s="234">
        <f t="shared" si="44"/>
        <v>1.5308920835249489</v>
      </c>
      <c r="AY43" s="99"/>
      <c r="AZ43" s="94">
        <f t="shared" si="12"/>
        <v>8479.6877952488685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1759</v>
      </c>
      <c r="F44" s="93">
        <v>18</v>
      </c>
      <c r="G44" s="93">
        <v>2</v>
      </c>
      <c r="H44" s="93">
        <v>178</v>
      </c>
      <c r="I44" s="93">
        <v>0</v>
      </c>
      <c r="J44" s="93">
        <v>1561</v>
      </c>
      <c r="K44" s="92">
        <v>111.39</v>
      </c>
      <c r="L44" s="92">
        <f t="shared" si="42"/>
        <v>195935.01</v>
      </c>
      <c r="M44" s="89">
        <v>148</v>
      </c>
      <c r="N44" s="89">
        <v>26</v>
      </c>
      <c r="O44" s="89">
        <v>995</v>
      </c>
      <c r="P44" s="89">
        <v>50</v>
      </c>
      <c r="Q44" s="233">
        <f t="shared" si="13"/>
        <v>3.7142857142857144</v>
      </c>
      <c r="R44" s="92">
        <f t="shared" si="14"/>
        <v>1.2857142857142858</v>
      </c>
      <c r="S44" s="93">
        <v>9</v>
      </c>
      <c r="T44" s="93">
        <v>0</v>
      </c>
      <c r="U44" s="92">
        <f t="shared" si="15"/>
        <v>9</v>
      </c>
      <c r="V44" s="93">
        <v>5693</v>
      </c>
      <c r="W44" s="93">
        <v>0</v>
      </c>
      <c r="X44" s="92">
        <f t="shared" si="16"/>
        <v>5693</v>
      </c>
      <c r="Y44" s="93">
        <v>9009.15</v>
      </c>
      <c r="Z44" s="93">
        <v>0</v>
      </c>
      <c r="AA44" s="92">
        <f t="shared" si="17"/>
        <v>9009.15</v>
      </c>
      <c r="AB44" s="92">
        <f t="shared" si="18"/>
        <v>12935</v>
      </c>
      <c r="AC44" s="234">
        <f t="shared" si="19"/>
        <v>3.6705946142040736E-3</v>
      </c>
      <c r="AD44" s="92">
        <f t="shared" si="20"/>
        <v>1002.51</v>
      </c>
      <c r="AE44" s="93">
        <v>3389.91</v>
      </c>
      <c r="AF44" s="234">
        <f t="shared" si="21"/>
        <v>0.37627412131000149</v>
      </c>
      <c r="AG44" s="93">
        <v>1403.0899999999997</v>
      </c>
      <c r="AH44" s="93">
        <v>482</v>
      </c>
      <c r="AI44" s="93">
        <v>1967</v>
      </c>
      <c r="AJ44" s="93"/>
      <c r="AK44" s="93"/>
      <c r="AL44" s="122">
        <f t="shared" si="22"/>
        <v>154.36994067370537</v>
      </c>
      <c r="AM44" s="93">
        <v>0</v>
      </c>
      <c r="AN44" s="94">
        <f t="shared" si="23"/>
        <v>325.07029999999997</v>
      </c>
      <c r="AO44" s="95">
        <f t="shared" si="25"/>
        <v>285.1997593262945</v>
      </c>
      <c r="AP44" s="96"/>
      <c r="AQ44" s="97">
        <f t="shared" si="6"/>
        <v>1001.0166666666667</v>
      </c>
      <c r="AR44" s="98">
        <f t="shared" si="35"/>
        <v>111.39</v>
      </c>
      <c r="AS44" s="98">
        <f t="shared" si="8"/>
        <v>376.65666666666664</v>
      </c>
      <c r="AT44" s="98">
        <f t="shared" si="9"/>
        <v>155.89888888888885</v>
      </c>
      <c r="AU44" s="98">
        <f t="shared" si="24"/>
        <v>272.11111111111109</v>
      </c>
      <c r="AV44" s="98">
        <f t="array" ref="AV44">_xlfn.IFS(U44=0,AO44,U44&lt;0,AO44/-U44,U44&gt;0,AO44/U44)</f>
        <v>31.688862147366056</v>
      </c>
      <c r="AW44" s="234">
        <f t="shared" si="43"/>
        <v>3.1656677858210212E-2</v>
      </c>
      <c r="AX44" s="234">
        <f t="shared" si="44"/>
        <v>0.28448570021874547</v>
      </c>
      <c r="AY44" s="99"/>
      <c r="AZ44" s="94">
        <f t="shared" si="12"/>
        <v>55740.708517216895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330</v>
      </c>
      <c r="F45" s="93">
        <v>117</v>
      </c>
      <c r="G45" s="93">
        <v>32</v>
      </c>
      <c r="H45" s="93">
        <v>66</v>
      </c>
      <c r="I45" s="93">
        <v>0</v>
      </c>
      <c r="J45" s="93">
        <v>115</v>
      </c>
      <c r="K45" s="92">
        <v>107.88</v>
      </c>
      <c r="L45" s="92">
        <f t="shared" si="42"/>
        <v>35600.400000000001</v>
      </c>
      <c r="M45" s="89">
        <v>27</v>
      </c>
      <c r="N45" s="89">
        <v>182</v>
      </c>
      <c r="O45" s="89">
        <v>1232</v>
      </c>
      <c r="P45" s="89">
        <v>47</v>
      </c>
      <c r="Q45" s="233">
        <f t="shared" si="13"/>
        <v>26</v>
      </c>
      <c r="R45" s="92">
        <f t="shared" si="14"/>
        <v>9.5714285714285712</v>
      </c>
      <c r="S45" s="93">
        <v>71</v>
      </c>
      <c r="T45" s="93">
        <v>-4</v>
      </c>
      <c r="U45" s="92">
        <f t="shared" si="15"/>
        <v>67</v>
      </c>
      <c r="V45" s="93">
        <v>50655.839999999997</v>
      </c>
      <c r="W45" s="93">
        <v>-2842</v>
      </c>
      <c r="X45" s="92">
        <f t="shared" si="16"/>
        <v>47813.84</v>
      </c>
      <c r="Y45" s="93">
        <v>80302.010000000009</v>
      </c>
      <c r="Z45" s="93">
        <v>-4464</v>
      </c>
      <c r="AA45" s="92">
        <f t="shared" si="17"/>
        <v>75838.010000000009</v>
      </c>
      <c r="AB45" s="92">
        <f t="shared" si="18"/>
        <v>105385.28</v>
      </c>
      <c r="AC45" s="234">
        <f t="shared" si="19"/>
        <v>3.0898652043528492E-2</v>
      </c>
      <c r="AD45" s="92">
        <f t="shared" si="20"/>
        <v>7227.96</v>
      </c>
      <c r="AE45" s="93">
        <v>28397.790000000015</v>
      </c>
      <c r="AF45" s="234">
        <f t="shared" si="21"/>
        <v>0.3744532589924236</v>
      </c>
      <c r="AG45" s="93">
        <v>9687.3999999999978</v>
      </c>
      <c r="AH45" s="93">
        <v>2142</v>
      </c>
      <c r="AI45" s="93">
        <v>17000</v>
      </c>
      <c r="AJ45" s="93"/>
      <c r="AK45" s="93"/>
      <c r="AL45" s="122">
        <f t="shared" si="22"/>
        <v>57.23829260935144</v>
      </c>
      <c r="AM45" s="93">
        <v>0</v>
      </c>
      <c r="AN45" s="94">
        <f t="shared" si="23"/>
        <v>2730.1702639999999</v>
      </c>
      <c r="AO45" s="95">
        <f t="shared" si="25"/>
        <v>8595.4514433906388</v>
      </c>
      <c r="AP45" s="96"/>
      <c r="AQ45" s="97">
        <f t="shared" si="6"/>
        <v>1131.9105970149255</v>
      </c>
      <c r="AR45" s="98">
        <f t="shared" si="35"/>
        <v>107.88</v>
      </c>
      <c r="AS45" s="98">
        <f t="shared" si="8"/>
        <v>423.84761194029875</v>
      </c>
      <c r="AT45" s="98">
        <f t="shared" si="9"/>
        <v>136.44225352112673</v>
      </c>
      <c r="AU45" s="98">
        <f t="shared" si="24"/>
        <v>269.6056338028169</v>
      </c>
      <c r="AV45" s="98">
        <f t="array" ref="AV45">_xlfn.IFS(U45=0,AO45,U45&lt;0,AO45/-U45,U45&gt;0,AO45/U45)</f>
        <v>128.29032005060654</v>
      </c>
      <c r="AW45" s="234">
        <f t="shared" si="43"/>
        <v>0.11333962274841648</v>
      </c>
      <c r="AX45" s="234">
        <f t="shared" si="44"/>
        <v>1.1891946612032493</v>
      </c>
      <c r="AY45" s="99"/>
      <c r="AZ45" s="94">
        <f t="shared" si="12"/>
        <v>42335.805616700156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3"/>
        <v>0</v>
      </c>
      <c r="R46" s="92">
        <f t="shared" si="14"/>
        <v>0</v>
      </c>
      <c r="S46" s="93">
        <v>0</v>
      </c>
      <c r="T46" s="93">
        <v>0</v>
      </c>
      <c r="U46" s="92">
        <f t="shared" si="15"/>
        <v>0</v>
      </c>
      <c r="V46" s="93">
        <v>0</v>
      </c>
      <c r="W46" s="93">
        <v>0</v>
      </c>
      <c r="X46" s="92">
        <f t="shared" si="16"/>
        <v>0</v>
      </c>
      <c r="Y46" s="93">
        <v>0</v>
      </c>
      <c r="Z46" s="93">
        <v>0</v>
      </c>
      <c r="AA46" s="92">
        <f t="shared" si="17"/>
        <v>0</v>
      </c>
      <c r="AB46" s="92">
        <f t="shared" si="18"/>
        <v>0</v>
      </c>
      <c r="AC46" s="234">
        <f t="shared" si="19"/>
        <v>0</v>
      </c>
      <c r="AD46" s="92">
        <f t="shared" si="20"/>
        <v>0</v>
      </c>
      <c r="AE46" s="93">
        <v>0</v>
      </c>
      <c r="AF46" s="234">
        <f t="shared" si="21"/>
        <v>0</v>
      </c>
      <c r="AG46" s="93">
        <v>0</v>
      </c>
      <c r="AH46" s="93"/>
      <c r="AI46" s="93"/>
      <c r="AJ46" s="93"/>
      <c r="AK46" s="93"/>
      <c r="AL46" s="122">
        <f t="shared" si="22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6"/>
        <v>0</v>
      </c>
      <c r="AR46" s="98">
        <f t="shared" si="35"/>
        <v>107.88</v>
      </c>
      <c r="AS46" s="98">
        <f t="shared" si="8"/>
        <v>0</v>
      </c>
      <c r="AT46" s="98">
        <f t="shared" si="9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321</v>
      </c>
      <c r="F47" s="93">
        <v>15</v>
      </c>
      <c r="G47" s="93">
        <v>16</v>
      </c>
      <c r="H47" s="93">
        <v>110</v>
      </c>
      <c r="I47" s="93">
        <v>0</v>
      </c>
      <c r="J47" s="93">
        <v>180</v>
      </c>
      <c r="K47" s="92">
        <v>123.09</v>
      </c>
      <c r="L47" s="92">
        <f t="shared" si="42"/>
        <v>39511.89</v>
      </c>
      <c r="M47" s="89">
        <v>109</v>
      </c>
      <c r="N47" s="89">
        <v>20</v>
      </c>
      <c r="O47" s="89">
        <v>1044</v>
      </c>
      <c r="P47" s="89">
        <v>71</v>
      </c>
      <c r="Q47" s="233">
        <f t="shared" si="13"/>
        <v>2.8571428571428572</v>
      </c>
      <c r="R47" s="92">
        <f t="shared" si="14"/>
        <v>1.8571428571428572</v>
      </c>
      <c r="S47" s="93">
        <v>13</v>
      </c>
      <c r="T47" s="93">
        <v>0</v>
      </c>
      <c r="U47" s="92">
        <f t="shared" si="15"/>
        <v>13</v>
      </c>
      <c r="V47" s="93">
        <v>8111</v>
      </c>
      <c r="W47" s="93">
        <v>0</v>
      </c>
      <c r="X47" s="92">
        <f t="shared" si="16"/>
        <v>8111</v>
      </c>
      <c r="Y47" s="93">
        <v>13347.380000000001</v>
      </c>
      <c r="Z47" s="93">
        <v>0</v>
      </c>
      <c r="AA47" s="92">
        <f t="shared" si="17"/>
        <v>13347.380000000001</v>
      </c>
      <c r="AB47" s="92">
        <f t="shared" si="18"/>
        <v>14824.8</v>
      </c>
      <c r="AC47" s="234">
        <f t="shared" si="19"/>
        <v>5.4381180401852748E-3</v>
      </c>
      <c r="AD47" s="92">
        <f t="shared" si="20"/>
        <v>1600.17</v>
      </c>
      <c r="AE47" s="93">
        <v>4995.3000000000011</v>
      </c>
      <c r="AF47" s="234">
        <f t="shared" si="21"/>
        <v>0.37425322422827556</v>
      </c>
      <c r="AG47" s="93">
        <v>1198.1999999999998</v>
      </c>
      <c r="AH47" s="93">
        <v>425</v>
      </c>
      <c r="AI47" s="93"/>
      <c r="AJ47" s="93"/>
      <c r="AK47" s="93"/>
      <c r="AL47" s="122">
        <f t="shared" si="22"/>
        <v>95.397154348919059</v>
      </c>
      <c r="AM47" s="93">
        <v>0</v>
      </c>
      <c r="AN47" s="94">
        <f t="shared" si="23"/>
        <v>463.13810000000001</v>
      </c>
      <c r="AO47" s="95">
        <f t="shared" si="25"/>
        <v>4570.1747456510811</v>
      </c>
      <c r="AP47" s="96"/>
      <c r="AQ47" s="97">
        <f t="shared" si="6"/>
        <v>1026.7215384615386</v>
      </c>
      <c r="AR47" s="98">
        <f t="shared" si="35"/>
        <v>123.09</v>
      </c>
      <c r="AS47" s="98">
        <f t="shared" si="8"/>
        <v>384.25384615384621</v>
      </c>
      <c r="AT47" s="98">
        <f t="shared" si="9"/>
        <v>92.169230769230751</v>
      </c>
      <c r="AU47" s="98">
        <f t="shared" si="24"/>
        <v>32.692307692307693</v>
      </c>
      <c r="AV47" s="98">
        <f t="array" ref="AV47">_xlfn.IFS(U47=0,AO47,U47&lt;0,AO47/-U47,U47&gt;0,AO47/U47)</f>
        <v>351.55190351162162</v>
      </c>
      <c r="AW47" s="234">
        <f t="shared" si="43"/>
        <v>0.34240238501122172</v>
      </c>
      <c r="AX47" s="234">
        <f t="shared" si="44"/>
        <v>2.8560557601074144</v>
      </c>
      <c r="AY47" s="99"/>
      <c r="AZ47" s="94">
        <f t="shared" si="12"/>
        <v>112848.16102723054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349</v>
      </c>
      <c r="F48" s="93">
        <v>58</v>
      </c>
      <c r="G48" s="93">
        <v>9</v>
      </c>
      <c r="H48" s="93">
        <v>271</v>
      </c>
      <c r="I48" s="93">
        <v>0</v>
      </c>
      <c r="J48" s="93">
        <v>11</v>
      </c>
      <c r="K48" s="92">
        <v>107.88</v>
      </c>
      <c r="L48" s="92">
        <f t="shared" si="42"/>
        <v>37650.119999999995</v>
      </c>
      <c r="M48" s="89">
        <v>82</v>
      </c>
      <c r="N48" s="89">
        <v>75</v>
      </c>
      <c r="O48" s="89">
        <v>1261</v>
      </c>
      <c r="P48" s="89">
        <v>68</v>
      </c>
      <c r="Q48" s="233">
        <f t="shared" si="13"/>
        <v>10.714285714285714</v>
      </c>
      <c r="R48" s="92">
        <f t="shared" si="14"/>
        <v>4.4285714285714288</v>
      </c>
      <c r="S48" s="93">
        <v>31</v>
      </c>
      <c r="T48" s="93">
        <v>0</v>
      </c>
      <c r="U48" s="92">
        <f t="shared" si="15"/>
        <v>31</v>
      </c>
      <c r="V48" s="93">
        <v>23548.18</v>
      </c>
      <c r="W48" s="93">
        <v>0</v>
      </c>
      <c r="X48" s="92">
        <f t="shared" si="16"/>
        <v>23548.18</v>
      </c>
      <c r="Y48" s="93">
        <v>37348.71</v>
      </c>
      <c r="Z48" s="93">
        <v>0</v>
      </c>
      <c r="AA48" s="92">
        <f t="shared" si="17"/>
        <v>37348.71</v>
      </c>
      <c r="AB48" s="92">
        <f t="shared" si="18"/>
        <v>64311</v>
      </c>
      <c r="AC48" s="234">
        <f t="shared" si="19"/>
        <v>1.5216970943259888E-2</v>
      </c>
      <c r="AD48" s="92">
        <f t="shared" si="20"/>
        <v>3344.2799999999997</v>
      </c>
      <c r="AE48" s="93">
        <v>13925.389999999996</v>
      </c>
      <c r="AF48" s="234">
        <f t="shared" si="21"/>
        <v>0.37284795110728042</v>
      </c>
      <c r="AG48" s="93">
        <v>3312.2900000000004</v>
      </c>
      <c r="AH48" s="93">
        <v>562</v>
      </c>
      <c r="AI48" s="93">
        <v>5500</v>
      </c>
      <c r="AJ48" s="93"/>
      <c r="AK48" s="93"/>
      <c r="AL48" s="122">
        <f t="shared" si="22"/>
        <v>235.02389844142783</v>
      </c>
      <c r="AM48" s="93">
        <v>0</v>
      </c>
      <c r="AN48" s="94">
        <f t="shared" si="23"/>
        <v>1344.6010779999999</v>
      </c>
      <c r="AO48" s="95">
        <f t="shared" si="25"/>
        <v>9125.1250235585758</v>
      </c>
      <c r="AP48" s="96"/>
      <c r="AQ48" s="97">
        <f t="shared" si="6"/>
        <v>1204.7970967741935</v>
      </c>
      <c r="AR48" s="98">
        <f t="shared" si="35"/>
        <v>107.88</v>
      </c>
      <c r="AS48" s="98">
        <f t="shared" si="8"/>
        <v>449.20612903225793</v>
      </c>
      <c r="AT48" s="98">
        <f t="shared" si="9"/>
        <v>106.84806451612904</v>
      </c>
      <c r="AU48" s="98">
        <f t="shared" si="24"/>
        <v>195.54838709677421</v>
      </c>
      <c r="AV48" s="98">
        <f t="array" ref="AV48">_xlfn.IFS(U48=0,AO48,U48&lt;0,AO48/-U48,U48&gt;0,AO48/U48)</f>
        <v>294.358871727696</v>
      </c>
      <c r="AW48" s="234">
        <f t="shared" si="43"/>
        <v>0.24432236142984795</v>
      </c>
      <c r="AX48" s="234">
        <f t="shared" si="44"/>
        <v>2.7285768606571748</v>
      </c>
      <c r="AY48" s="99"/>
      <c r="AZ48" s="94">
        <f t="shared" si="12"/>
        <v>102731.2462329659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130</v>
      </c>
      <c r="F49" s="93">
        <v>65</v>
      </c>
      <c r="G49" s="93">
        <v>25</v>
      </c>
      <c r="H49" s="93">
        <v>38</v>
      </c>
      <c r="I49" s="93">
        <v>0</v>
      </c>
      <c r="J49" s="93">
        <v>2</v>
      </c>
      <c r="K49" s="92">
        <v>123.09</v>
      </c>
      <c r="L49" s="92">
        <f t="shared" si="42"/>
        <v>16001.7</v>
      </c>
      <c r="M49" s="89">
        <v>28</v>
      </c>
      <c r="N49" s="89">
        <v>95</v>
      </c>
      <c r="O49" s="89">
        <v>1354</v>
      </c>
      <c r="P49" s="89">
        <v>40</v>
      </c>
      <c r="Q49" s="233">
        <f t="shared" si="13"/>
        <v>13.571428571428571</v>
      </c>
      <c r="R49" s="92">
        <f t="shared" si="14"/>
        <v>4.1428571428571432</v>
      </c>
      <c r="S49" s="93">
        <v>29</v>
      </c>
      <c r="T49" s="93">
        <v>0</v>
      </c>
      <c r="U49" s="92">
        <f t="shared" si="15"/>
        <v>29</v>
      </c>
      <c r="V49" s="93">
        <v>24497.099999999995</v>
      </c>
      <c r="W49" s="93">
        <v>0</v>
      </c>
      <c r="X49" s="92">
        <f t="shared" si="16"/>
        <v>24497.099999999995</v>
      </c>
      <c r="Y49" s="93">
        <v>38717.150000000009</v>
      </c>
      <c r="Z49" s="93">
        <v>0</v>
      </c>
      <c r="AA49" s="92">
        <f t="shared" si="17"/>
        <v>38717.150000000009</v>
      </c>
      <c r="AB49" s="92">
        <f t="shared" si="18"/>
        <v>51452</v>
      </c>
      <c r="AC49" s="234">
        <f t="shared" si="19"/>
        <v>1.5774513940530602E-2</v>
      </c>
      <c r="AD49" s="92">
        <f t="shared" si="20"/>
        <v>3569.61</v>
      </c>
      <c r="AE49" s="93">
        <v>14517.980000000007</v>
      </c>
      <c r="AF49" s="234">
        <f t="shared" si="21"/>
        <v>0.37497543078454904</v>
      </c>
      <c r="AG49" s="93">
        <v>5081.1499999999987</v>
      </c>
      <c r="AH49" s="93">
        <v>115</v>
      </c>
      <c r="AI49" s="93">
        <v>7915</v>
      </c>
      <c r="AJ49" s="93"/>
      <c r="AK49" s="93"/>
      <c r="AL49" s="122">
        <f t="shared" si="22"/>
        <v>32.955380593262944</v>
      </c>
      <c r="AM49" s="93">
        <v>0</v>
      </c>
      <c r="AN49" s="94">
        <f t="shared" si="23"/>
        <v>1398.7844099999998</v>
      </c>
      <c r="AO49" s="95">
        <f t="shared" si="25"/>
        <v>6086.6702094067405</v>
      </c>
      <c r="AP49" s="96"/>
      <c r="AQ49" s="97">
        <f t="shared" si="6"/>
        <v>1335.0741379310348</v>
      </c>
      <c r="AR49" s="98">
        <f t="shared" si="35"/>
        <v>123.09</v>
      </c>
      <c r="AS49" s="98">
        <f t="shared" si="8"/>
        <v>500.62000000000023</v>
      </c>
      <c r="AT49" s="98">
        <f t="shared" si="9"/>
        <v>175.2120689655172</v>
      </c>
      <c r="AU49" s="98">
        <f t="shared" si="24"/>
        <v>276.89655172413791</v>
      </c>
      <c r="AV49" s="98">
        <f t="array" ref="AV49">_xlfn.IFS(U49=0,AO49,U49&lt;0,AO49/-U49,U49&gt;0,AO49/U49)</f>
        <v>209.8851796347152</v>
      </c>
      <c r="AW49" s="234">
        <f t="shared" si="43"/>
        <v>0.15720863259322393</v>
      </c>
      <c r="AX49" s="234">
        <f t="shared" si="44"/>
        <v>1.7051359138412154</v>
      </c>
      <c r="AY49" s="99"/>
      <c r="AZ49" s="94">
        <f t="shared" si="12"/>
        <v>27285.073352512976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207</v>
      </c>
      <c r="F50" s="93">
        <v>18</v>
      </c>
      <c r="G50" s="93">
        <v>8</v>
      </c>
      <c r="H50" s="93">
        <v>180</v>
      </c>
      <c r="I50" s="93">
        <v>0</v>
      </c>
      <c r="J50" s="93">
        <v>1</v>
      </c>
      <c r="K50" s="92">
        <v>134.79</v>
      </c>
      <c r="L50" s="92">
        <f t="shared" si="42"/>
        <v>27901.53</v>
      </c>
      <c r="M50" s="89">
        <v>121</v>
      </c>
      <c r="N50" s="89">
        <v>26</v>
      </c>
      <c r="O50" s="89">
        <v>1218</v>
      </c>
      <c r="P50" s="89">
        <v>30</v>
      </c>
      <c r="Q50" s="233">
        <f t="shared" si="13"/>
        <v>3.7142857142857144</v>
      </c>
      <c r="R50" s="92">
        <f t="shared" si="14"/>
        <v>1</v>
      </c>
      <c r="S50" s="93">
        <v>8</v>
      </c>
      <c r="T50" s="93">
        <v>-1</v>
      </c>
      <c r="U50" s="92">
        <f t="shared" si="15"/>
        <v>7</v>
      </c>
      <c r="V50" s="93">
        <v>6098</v>
      </c>
      <c r="W50" s="93">
        <v>-753</v>
      </c>
      <c r="X50" s="92">
        <f t="shared" si="16"/>
        <v>5345</v>
      </c>
      <c r="Y50" s="93">
        <v>9744</v>
      </c>
      <c r="Z50" s="93">
        <v>-1218</v>
      </c>
      <c r="AA50" s="92">
        <f t="shared" si="17"/>
        <v>8526</v>
      </c>
      <c r="AB50" s="92">
        <f t="shared" si="18"/>
        <v>9500.4</v>
      </c>
      <c r="AC50" s="234">
        <f t="shared" si="19"/>
        <v>3.4737449904490357E-3</v>
      </c>
      <c r="AD50" s="92">
        <f t="shared" si="20"/>
        <v>943.53</v>
      </c>
      <c r="AE50" s="93">
        <v>3203.1700000000005</v>
      </c>
      <c r="AF50" s="234">
        <f t="shared" si="21"/>
        <v>0.37569434670419899</v>
      </c>
      <c r="AG50" s="93">
        <v>1839.0099999999998</v>
      </c>
      <c r="AH50" s="93">
        <v>394</v>
      </c>
      <c r="AI50" s="93">
        <v>1905</v>
      </c>
      <c r="AJ50" s="93"/>
      <c r="AK50" s="93"/>
      <c r="AL50" s="122">
        <f t="shared" si="22"/>
        <v>156.10443438914029</v>
      </c>
      <c r="AM50" s="93">
        <v>20</v>
      </c>
      <c r="AN50" s="94">
        <f t="shared" si="23"/>
        <v>305.1995</v>
      </c>
      <c r="AO50" s="95">
        <f t="shared" si="25"/>
        <v>-240.01393438914079</v>
      </c>
      <c r="AP50" s="96"/>
      <c r="AQ50" s="97">
        <f t="shared" si="6"/>
        <v>1218</v>
      </c>
      <c r="AR50" s="98">
        <f t="shared" si="35"/>
        <v>134.79</v>
      </c>
      <c r="AS50" s="98">
        <f t="shared" si="8"/>
        <v>457.59571428571434</v>
      </c>
      <c r="AT50" s="98">
        <f t="shared" si="9"/>
        <v>229.87624999999997</v>
      </c>
      <c r="AU50" s="98">
        <f t="shared" si="24"/>
        <v>287.375</v>
      </c>
      <c r="AV50" s="98">
        <f t="array" ref="AV50">_xlfn.IFS(U50=0,AO50,U50&lt;0,AO50/-U50,U50&gt;0,AO50/U50)</f>
        <v>-34.287704912734398</v>
      </c>
      <c r="AW50" s="234">
        <f t="shared" si="43"/>
        <v>-2.8150825051506075E-2</v>
      </c>
      <c r="AX50" s="234">
        <f t="shared" si="44"/>
        <v>-0.25437869955289266</v>
      </c>
      <c r="AY50" s="99"/>
      <c r="AZ50" s="94">
        <f t="shared" si="12"/>
        <v>-7097.5549169360202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8</v>
      </c>
      <c r="F51" s="93">
        <v>3</v>
      </c>
      <c r="G51" s="93">
        <v>2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2"/>
        <v>1153.2</v>
      </c>
      <c r="M51" s="89">
        <v>5</v>
      </c>
      <c r="N51" s="89">
        <v>3</v>
      </c>
      <c r="O51" s="89">
        <v>1119</v>
      </c>
      <c r="P51" s="89">
        <v>50</v>
      </c>
      <c r="Q51" s="233">
        <f t="shared" si="13"/>
        <v>0.42857142857142855</v>
      </c>
      <c r="R51" s="92">
        <f t="shared" si="14"/>
        <v>0.2857142857142857</v>
      </c>
      <c r="S51" s="93">
        <v>2</v>
      </c>
      <c r="T51" s="93">
        <v>0</v>
      </c>
      <c r="U51" s="92">
        <f t="shared" si="15"/>
        <v>2</v>
      </c>
      <c r="V51" s="93">
        <v>1432</v>
      </c>
      <c r="W51" s="93">
        <v>0</v>
      </c>
      <c r="X51" s="92">
        <f t="shared" si="16"/>
        <v>1432</v>
      </c>
      <c r="Y51" s="93">
        <v>2238</v>
      </c>
      <c r="Z51" s="93">
        <v>0</v>
      </c>
      <c r="AA51" s="92">
        <f t="shared" si="17"/>
        <v>2238</v>
      </c>
      <c r="AB51" s="92">
        <f t="shared" si="18"/>
        <v>1678.5</v>
      </c>
      <c r="AC51" s="234">
        <f t="shared" si="19"/>
        <v>9.118275027709292E-4</v>
      </c>
      <c r="AD51" s="92">
        <f t="shared" si="20"/>
        <v>288.3</v>
      </c>
      <c r="AE51" s="93">
        <v>847.42000000000007</v>
      </c>
      <c r="AF51" s="234">
        <f t="shared" si="21"/>
        <v>0.37865058087578196</v>
      </c>
      <c r="AG51" s="93">
        <v>512.42000000000007</v>
      </c>
      <c r="AH51" s="93"/>
      <c r="AI51" s="93"/>
      <c r="AJ51" s="93"/>
      <c r="AK51" s="93"/>
      <c r="AL51" s="122">
        <f t="shared" si="22"/>
        <v>1.7344937154348921</v>
      </c>
      <c r="AM51" s="93">
        <v>0</v>
      </c>
      <c r="AN51" s="94">
        <f t="shared" si="23"/>
        <v>81.767200000000003</v>
      </c>
      <c r="AO51" s="95">
        <f t="shared" si="25"/>
        <v>506.35830628456506</v>
      </c>
      <c r="AP51" s="96"/>
      <c r="AQ51" s="97">
        <f t="shared" si="6"/>
        <v>1119</v>
      </c>
      <c r="AR51" s="98">
        <f t="shared" si="35"/>
        <v>144.15</v>
      </c>
      <c r="AS51" s="98">
        <f t="shared" si="8"/>
        <v>423.71000000000004</v>
      </c>
      <c r="AT51" s="98">
        <f t="shared" si="9"/>
        <v>256.21000000000004</v>
      </c>
      <c r="AU51" s="98">
        <f t="shared" si="24"/>
        <v>0</v>
      </c>
      <c r="AV51" s="98">
        <f t="array" ref="AV51">_xlfn.IFS(U51=0,AO51,U51&lt;0,AO51/-U51,U51&gt;0,AO51/U51)</f>
        <v>253.17915314228253</v>
      </c>
      <c r="AW51" s="234">
        <f t="shared" si="43"/>
        <v>0.22625482854538206</v>
      </c>
      <c r="AX51" s="234">
        <f t="shared" si="44"/>
        <v>1.7563590228392822</v>
      </c>
      <c r="AY51" s="99"/>
      <c r="AZ51" s="94">
        <f t="shared" si="12"/>
        <v>2025.4332251382602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2</v>
      </c>
      <c r="G52" s="93">
        <v>2</v>
      </c>
      <c r="H52" s="93">
        <v>46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485</v>
      </c>
      <c r="N52" s="89">
        <v>2</v>
      </c>
      <c r="O52" s="89">
        <v>1106</v>
      </c>
      <c r="P52" s="89">
        <v>0</v>
      </c>
      <c r="Q52" s="233">
        <f t="shared" si="13"/>
        <v>0.2857142857142857</v>
      </c>
      <c r="R52" s="92">
        <f t="shared" si="14"/>
        <v>0</v>
      </c>
      <c r="S52" s="93">
        <v>0</v>
      </c>
      <c r="T52" s="93">
        <v>0</v>
      </c>
      <c r="U52" s="92">
        <f t="shared" si="15"/>
        <v>0</v>
      </c>
      <c r="V52" s="93">
        <v>0</v>
      </c>
      <c r="W52" s="93">
        <v>0</v>
      </c>
      <c r="X52" s="92">
        <f t="shared" si="16"/>
        <v>0</v>
      </c>
      <c r="Y52" s="93">
        <v>0</v>
      </c>
      <c r="Z52" s="93">
        <v>0</v>
      </c>
      <c r="AA52" s="92">
        <f t="shared" si="17"/>
        <v>0</v>
      </c>
      <c r="AB52" s="92">
        <f t="shared" si="18"/>
        <v>0</v>
      </c>
      <c r="AC52" s="234">
        <f t="shared" si="19"/>
        <v>0</v>
      </c>
      <c r="AD52" s="92">
        <f t="shared" si="20"/>
        <v>0</v>
      </c>
      <c r="AE52" s="93">
        <v>0</v>
      </c>
      <c r="AF52" s="234">
        <f t="shared" si="21"/>
        <v>0</v>
      </c>
      <c r="AG52" s="93">
        <v>419.82</v>
      </c>
      <c r="AH52" s="93"/>
      <c r="AI52" s="93"/>
      <c r="AJ52" s="93"/>
      <c r="AK52" s="93"/>
      <c r="AL52" s="122">
        <f t="shared" si="22"/>
        <v>39.893355455002521</v>
      </c>
      <c r="AM52" s="93">
        <v>0</v>
      </c>
      <c r="AN52" s="94">
        <f t="shared" si="23"/>
        <v>0</v>
      </c>
      <c r="AO52" s="95">
        <f t="shared" si="25"/>
        <v>-459.7133554550025</v>
      </c>
      <c r="AP52" s="96"/>
      <c r="AQ52" s="97">
        <f t="shared" si="6"/>
        <v>0</v>
      </c>
      <c r="AR52" s="98">
        <f t="shared" si="35"/>
        <v>96.18</v>
      </c>
      <c r="AS52" s="98">
        <f t="shared" si="8"/>
        <v>0</v>
      </c>
      <c r="AT52" s="98">
        <f t="shared" si="9"/>
        <v>419.82</v>
      </c>
      <c r="AU52" s="98">
        <f t="shared" si="24"/>
        <v>0</v>
      </c>
      <c r="AV52" s="98">
        <f t="array" ref="AV52">_xlfn.IFS(U52=0,AO52,U52&lt;0,AO52/-U52,U52&gt;0,AO52/U52)</f>
        <v>-459.7133554550025</v>
      </c>
      <c r="AW52" s="234">
        <f t="shared" si="43"/>
        <v>0</v>
      </c>
      <c r="AX52" s="234">
        <f t="shared" si="44"/>
        <v>-4.7797188132148314</v>
      </c>
      <c r="AY52" s="99"/>
      <c r="AZ52" s="94">
        <f t="shared" si="12"/>
        <v>-23445.381128205128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 t="s">
        <v>100</v>
      </c>
      <c r="G53" s="93" t="s">
        <v>100</v>
      </c>
      <c r="H53" s="93">
        <v>47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999</v>
      </c>
      <c r="N53" s="89">
        <v>2</v>
      </c>
      <c r="O53" s="89">
        <v>1106</v>
      </c>
      <c r="P53" s="89">
        <v>50</v>
      </c>
      <c r="Q53" s="233">
        <f t="shared" si="13"/>
        <v>0.2857142857142857</v>
      </c>
      <c r="R53" s="92">
        <f t="shared" si="14"/>
        <v>0.14285714285714285</v>
      </c>
      <c r="S53" s="93">
        <v>1</v>
      </c>
      <c r="T53" s="93">
        <v>0</v>
      </c>
      <c r="U53" s="92">
        <f t="shared" si="15"/>
        <v>1</v>
      </c>
      <c r="V53" s="93">
        <v>616</v>
      </c>
      <c r="W53" s="93">
        <v>0</v>
      </c>
      <c r="X53" s="92">
        <f t="shared" si="16"/>
        <v>616</v>
      </c>
      <c r="Y53" s="93">
        <v>1072.82</v>
      </c>
      <c r="Z53" s="93">
        <v>0</v>
      </c>
      <c r="AA53" s="92">
        <f t="shared" si="17"/>
        <v>1072.82</v>
      </c>
      <c r="AB53" s="92">
        <f t="shared" si="18"/>
        <v>1106</v>
      </c>
      <c r="AC53" s="234">
        <f t="shared" si="19"/>
        <v>4.3709865126126374E-4</v>
      </c>
      <c r="AD53" s="92">
        <f t="shared" si="20"/>
        <v>96.18</v>
      </c>
      <c r="AE53" s="93">
        <v>398.18999999999994</v>
      </c>
      <c r="AF53" s="234">
        <f t="shared" si="21"/>
        <v>0.37116198430305175</v>
      </c>
      <c r="AG53" s="93">
        <v>250.53</v>
      </c>
      <c r="AH53" s="93"/>
      <c r="AI53" s="93"/>
      <c r="AJ53" s="93"/>
      <c r="AK53" s="93"/>
      <c r="AL53" s="122">
        <f t="shared" si="22"/>
        <v>40.760602312719961</v>
      </c>
      <c r="AM53" s="93">
        <v>0</v>
      </c>
      <c r="AN53" s="94">
        <f t="shared" si="23"/>
        <v>35.1736</v>
      </c>
      <c r="AO53" s="95">
        <f t="shared" si="25"/>
        <v>251.98579768727998</v>
      </c>
      <c r="AP53" s="96"/>
      <c r="AQ53" s="97">
        <f t="shared" si="6"/>
        <v>1072.82</v>
      </c>
      <c r="AR53" s="98">
        <f t="shared" si="35"/>
        <v>96.18</v>
      </c>
      <c r="AS53" s="98">
        <f t="shared" si="8"/>
        <v>398.18999999999994</v>
      </c>
      <c r="AT53" s="98">
        <f t="shared" si="9"/>
        <v>250.53</v>
      </c>
      <c r="AU53" s="98">
        <f t="shared" si="24"/>
        <v>0</v>
      </c>
      <c r="AV53" s="98">
        <f t="array" ref="AV53">_xlfn.IFS(U53=0,AO53,U53&lt;0,AO53/-U53,U53&gt;0,AO53/U53)</f>
        <v>251.98579768727998</v>
      </c>
      <c r="AW53" s="234">
        <f t="shared" si="43"/>
        <v>0.23488171145884679</v>
      </c>
      <c r="AX53" s="234">
        <f t="shared" si="44"/>
        <v>2.6199396723568307</v>
      </c>
      <c r="AY53" s="99"/>
      <c r="AZ53" s="94">
        <f t="shared" si="12"/>
        <v>12095.31828898944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51</v>
      </c>
      <c r="F54" s="93">
        <v>4</v>
      </c>
      <c r="G54" s="93">
        <v>2</v>
      </c>
      <c r="H54" s="93">
        <v>44</v>
      </c>
      <c r="I54" s="93">
        <v>0</v>
      </c>
      <c r="J54" s="93">
        <v>1</v>
      </c>
      <c r="K54" s="93">
        <v>123.09</v>
      </c>
      <c r="L54" s="92">
        <f t="shared" si="42"/>
        <v>6277.59</v>
      </c>
      <c r="M54" s="89">
        <v>171</v>
      </c>
      <c r="N54" s="89">
        <v>7</v>
      </c>
      <c r="O54" s="89">
        <v>998</v>
      </c>
      <c r="P54" s="89">
        <v>33</v>
      </c>
      <c r="Q54" s="233">
        <f t="shared" si="13"/>
        <v>1</v>
      </c>
      <c r="R54" s="92">
        <f t="shared" si="14"/>
        <v>0.14285714285714285</v>
      </c>
      <c r="S54" s="93">
        <v>1</v>
      </c>
      <c r="T54" s="93">
        <v>0</v>
      </c>
      <c r="U54" s="92">
        <f t="shared" si="15"/>
        <v>1</v>
      </c>
      <c r="V54" s="93">
        <v>655</v>
      </c>
      <c r="W54" s="93">
        <v>0</v>
      </c>
      <c r="X54" s="92">
        <f t="shared" si="16"/>
        <v>655</v>
      </c>
      <c r="Y54" s="93">
        <v>998</v>
      </c>
      <c r="Z54" s="93">
        <v>0</v>
      </c>
      <c r="AA54" s="92">
        <f t="shared" si="17"/>
        <v>998</v>
      </c>
      <c r="AB54" s="92">
        <f t="shared" si="18"/>
        <v>2305.38</v>
      </c>
      <c r="AC54" s="234">
        <f t="shared" si="19"/>
        <v>4.0661476665120077E-4</v>
      </c>
      <c r="AD54" s="92">
        <f t="shared" si="20"/>
        <v>123.09</v>
      </c>
      <c r="AE54" s="93">
        <v>378</v>
      </c>
      <c r="AF54" s="234">
        <f t="shared" si="21"/>
        <v>0.37875751503006011</v>
      </c>
      <c r="AG54" s="93">
        <v>472.52</v>
      </c>
      <c r="AH54" s="93"/>
      <c r="AI54" s="93"/>
      <c r="AJ54" s="93"/>
      <c r="AK54" s="93"/>
      <c r="AL54" s="122">
        <f t="shared" si="22"/>
        <v>38.15886173956762</v>
      </c>
      <c r="AM54" s="93">
        <v>0</v>
      </c>
      <c r="AN54" s="94">
        <f t="shared" si="23"/>
        <v>37.400500000000001</v>
      </c>
      <c r="AO54" s="95">
        <f t="shared" si="25"/>
        <v>-51.169361739567634</v>
      </c>
      <c r="AP54" s="96"/>
      <c r="AQ54" s="97">
        <f t="shared" si="6"/>
        <v>998</v>
      </c>
      <c r="AR54" s="98">
        <f t="shared" si="35"/>
        <v>123.09</v>
      </c>
      <c r="AS54" s="98">
        <f t="shared" si="8"/>
        <v>378</v>
      </c>
      <c r="AT54" s="98">
        <f t="shared" si="9"/>
        <v>472.52</v>
      </c>
      <c r="AU54" s="98">
        <f t="shared" si="24"/>
        <v>0</v>
      </c>
      <c r="AV54" s="98">
        <f t="array" ref="AV54">_xlfn.IFS(U54=0,AO54,U54&lt;0,AO54/-U54,U54&gt;0,AO54/U54)</f>
        <v>-51.169361739567634</v>
      </c>
      <c r="AW54" s="234">
        <f t="shared" si="43"/>
        <v>-5.1271905550668975E-2</v>
      </c>
      <c r="AX54" s="234">
        <f t="shared" si="44"/>
        <v>-0.4157068952763639</v>
      </c>
      <c r="AY54" s="99"/>
      <c r="AZ54" s="94">
        <f t="shared" si="12"/>
        <v>-2609.6374487179492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3"/>
        <v>0</v>
      </c>
      <c r="R55" s="92">
        <f t="shared" si="14"/>
        <v>0</v>
      </c>
      <c r="S55" s="93">
        <v>0</v>
      </c>
      <c r="T55" s="93">
        <v>0</v>
      </c>
      <c r="U55" s="92">
        <f t="shared" si="15"/>
        <v>0</v>
      </c>
      <c r="V55" s="93">
        <v>0</v>
      </c>
      <c r="W55" s="93">
        <v>0</v>
      </c>
      <c r="X55" s="92">
        <f t="shared" si="16"/>
        <v>0</v>
      </c>
      <c r="Y55" s="93">
        <v>0</v>
      </c>
      <c r="Z55" s="93">
        <v>0</v>
      </c>
      <c r="AA55" s="92">
        <f t="shared" si="17"/>
        <v>0</v>
      </c>
      <c r="AB55" s="92">
        <f t="shared" si="18"/>
        <v>0</v>
      </c>
      <c r="AC55" s="234">
        <f t="shared" si="19"/>
        <v>0</v>
      </c>
      <c r="AD55" s="92">
        <f t="shared" si="20"/>
        <v>0</v>
      </c>
      <c r="AE55" s="93">
        <v>0</v>
      </c>
      <c r="AF55" s="234">
        <f t="shared" si="21"/>
        <v>0</v>
      </c>
      <c r="AG55" s="93">
        <v>0</v>
      </c>
      <c r="AH55" s="93"/>
      <c r="AI55" s="93"/>
      <c r="AJ55" s="93"/>
      <c r="AK55" s="93"/>
      <c r="AL55" s="122">
        <f t="shared" si="22"/>
        <v>0.86724685771744603</v>
      </c>
      <c r="AM55" s="93">
        <v>0</v>
      </c>
      <c r="AN55" s="94">
        <f t="shared" si="23"/>
        <v>0</v>
      </c>
      <c r="AO55" s="95">
        <f t="shared" si="25"/>
        <v>-0.86724685771744603</v>
      </c>
      <c r="AP55" s="96"/>
      <c r="AQ55" s="97">
        <f t="shared" si="6"/>
        <v>0</v>
      </c>
      <c r="AR55" s="98">
        <f t="shared" si="35"/>
        <v>158.19</v>
      </c>
      <c r="AS55" s="98">
        <f t="shared" si="8"/>
        <v>0</v>
      </c>
      <c r="AT55" s="98">
        <f t="shared" si="9"/>
        <v>0</v>
      </c>
      <c r="AU55" s="98">
        <f t="shared" si="24"/>
        <v>0</v>
      </c>
      <c r="AV55" s="98">
        <f t="array" ref="AV55">_xlfn.IFS(U55=0,AO55,U55&lt;0,AO55/-U55,U55&gt;0,AO55/U55)</f>
        <v>-0.86724685771744603</v>
      </c>
      <c r="AW55" s="234">
        <f t="shared" si="43"/>
        <v>0</v>
      </c>
      <c r="AX55" s="234">
        <f t="shared" si="44"/>
        <v>-5.4823115096873766E-3</v>
      </c>
      <c r="AY55" s="99"/>
      <c r="AZ55" s="94">
        <f t="shared" si="12"/>
        <v>-1.7344937154348921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2</v>
      </c>
      <c r="F56" s="93" t="s">
        <v>100</v>
      </c>
      <c r="G56" s="93">
        <v>1</v>
      </c>
      <c r="H56" s="93" t="s">
        <v>100</v>
      </c>
      <c r="I56" s="93">
        <v>0</v>
      </c>
      <c r="J56" s="93">
        <v>1</v>
      </c>
      <c r="K56" s="93">
        <v>152.34</v>
      </c>
      <c r="L56" s="92">
        <f t="shared" si="42"/>
        <v>304.68</v>
      </c>
      <c r="M56" s="89">
        <v>8</v>
      </c>
      <c r="N56" s="89">
        <v>0</v>
      </c>
      <c r="O56" s="89">
        <v>0</v>
      </c>
      <c r="P56" s="89">
        <v>0</v>
      </c>
      <c r="Q56" s="233">
        <f t="shared" si="13"/>
        <v>0</v>
      </c>
      <c r="R56" s="92">
        <f t="shared" si="14"/>
        <v>0.14285714285714285</v>
      </c>
      <c r="S56" s="93">
        <v>1</v>
      </c>
      <c r="T56" s="93">
        <v>0</v>
      </c>
      <c r="U56" s="92">
        <f t="shared" si="15"/>
        <v>1</v>
      </c>
      <c r="V56" s="93">
        <v>637</v>
      </c>
      <c r="W56" s="93">
        <v>0</v>
      </c>
      <c r="X56" s="92">
        <f t="shared" si="16"/>
        <v>637</v>
      </c>
      <c r="Y56" s="93">
        <v>1049</v>
      </c>
      <c r="Z56" s="93">
        <v>0</v>
      </c>
      <c r="AA56" s="92">
        <f t="shared" si="17"/>
        <v>1049</v>
      </c>
      <c r="AB56" s="92">
        <f t="shared" si="18"/>
        <v>0</v>
      </c>
      <c r="AC56" s="234">
        <f t="shared" si="19"/>
        <v>4.2739367757225414E-4</v>
      </c>
      <c r="AD56" s="92">
        <f t="shared" si="20"/>
        <v>152.34</v>
      </c>
      <c r="AE56" s="93">
        <v>390.47</v>
      </c>
      <c r="AF56" s="234">
        <f t="shared" si="21"/>
        <v>0.372230695900858</v>
      </c>
      <c r="AG56" s="93">
        <v>325.44</v>
      </c>
      <c r="AH56" s="93"/>
      <c r="AI56" s="93"/>
      <c r="AJ56" s="93"/>
      <c r="AK56" s="93"/>
      <c r="AL56" s="122">
        <f t="shared" si="22"/>
        <v>0</v>
      </c>
      <c r="AM56" s="93">
        <v>20</v>
      </c>
      <c r="AN56" s="94">
        <f t="shared" si="23"/>
        <v>36.372700000000002</v>
      </c>
      <c r="AO56" s="95">
        <f t="shared" si="25"/>
        <v>124.37729999999993</v>
      </c>
      <c r="AP56" s="96"/>
      <c r="AQ56" s="97">
        <f t="shared" si="6"/>
        <v>1049</v>
      </c>
      <c r="AR56" s="98">
        <f t="shared" si="35"/>
        <v>152.34</v>
      </c>
      <c r="AS56" s="98">
        <f t="shared" si="8"/>
        <v>390.47</v>
      </c>
      <c r="AT56" s="98">
        <f t="shared" si="9"/>
        <v>325.44</v>
      </c>
      <c r="AU56" s="98">
        <f t="shared" si="24"/>
        <v>0</v>
      </c>
      <c r="AV56" s="98">
        <f t="array" ref="AV56">_xlfn.IFS(U56=0,AO56,U56&lt;0,AO56/-U56,U56&gt;0,AO56/U56)</f>
        <v>124.37729999999993</v>
      </c>
      <c r="AW56" s="234">
        <f t="shared" si="43"/>
        <v>0.11856749285033359</v>
      </c>
      <c r="AX56" s="234">
        <f t="shared" si="44"/>
        <v>0.81644545096494636</v>
      </c>
      <c r="AY56" s="99"/>
      <c r="AZ56" s="94">
        <f t="shared" si="12"/>
        <v>248.75459999999987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3"/>
        <v>0</v>
      </c>
      <c r="R57" s="92">
        <f t="shared" si="14"/>
        <v>0</v>
      </c>
      <c r="S57" s="93">
        <v>0</v>
      </c>
      <c r="T57" s="93">
        <v>0</v>
      </c>
      <c r="U57" s="92">
        <f t="shared" si="15"/>
        <v>0</v>
      </c>
      <c r="V57" s="93">
        <v>0</v>
      </c>
      <c r="W57" s="93">
        <v>0</v>
      </c>
      <c r="X57" s="92">
        <f t="shared" si="16"/>
        <v>0</v>
      </c>
      <c r="Y57" s="93">
        <v>0</v>
      </c>
      <c r="Z57" s="93">
        <v>0</v>
      </c>
      <c r="AA57" s="92">
        <f t="shared" si="17"/>
        <v>0</v>
      </c>
      <c r="AB57" s="92">
        <f t="shared" si="18"/>
        <v>0</v>
      </c>
      <c r="AC57" s="234">
        <f t="shared" si="19"/>
        <v>0</v>
      </c>
      <c r="AD57" s="92">
        <f t="shared" si="20"/>
        <v>0</v>
      </c>
      <c r="AE57" s="93">
        <v>0</v>
      </c>
      <c r="AF57" s="234">
        <f t="shared" si="21"/>
        <v>0</v>
      </c>
      <c r="AG57" s="93">
        <v>0</v>
      </c>
      <c r="AH57" s="93"/>
      <c r="AI57" s="93"/>
      <c r="AJ57" s="93"/>
      <c r="AK57" s="93"/>
      <c r="AL57" s="122">
        <f t="shared" si="22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6"/>
        <v>0</v>
      </c>
      <c r="AR57" s="98">
        <f t="shared" si="35"/>
        <v>93.84</v>
      </c>
      <c r="AS57" s="98">
        <f t="shared" si="8"/>
        <v>0</v>
      </c>
      <c r="AT57" s="98">
        <f t="shared" si="9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41</v>
      </c>
      <c r="F58" s="93">
        <v>7</v>
      </c>
      <c r="G58" s="93">
        <v>4</v>
      </c>
      <c r="H58" s="93">
        <v>29</v>
      </c>
      <c r="I58" s="93">
        <v>0</v>
      </c>
      <c r="J58" s="93">
        <v>1</v>
      </c>
      <c r="K58" s="93">
        <v>169.89</v>
      </c>
      <c r="L58" s="92">
        <f t="shared" si="42"/>
        <v>6965.49</v>
      </c>
      <c r="M58" s="89">
        <v>60</v>
      </c>
      <c r="N58" s="89">
        <v>8</v>
      </c>
      <c r="O58" s="89">
        <v>1039</v>
      </c>
      <c r="P58" s="89">
        <v>25</v>
      </c>
      <c r="Q58" s="233">
        <f t="shared" si="13"/>
        <v>1.1428571428571428</v>
      </c>
      <c r="R58" s="92">
        <f t="shared" si="14"/>
        <v>0.2857142857142857</v>
      </c>
      <c r="S58" s="93">
        <v>3</v>
      </c>
      <c r="T58" s="93">
        <v>-1</v>
      </c>
      <c r="U58" s="92">
        <f t="shared" si="15"/>
        <v>2</v>
      </c>
      <c r="V58" s="93">
        <v>1931</v>
      </c>
      <c r="W58" s="93">
        <v>-616</v>
      </c>
      <c r="X58" s="92">
        <f t="shared" si="16"/>
        <v>1315</v>
      </c>
      <c r="Y58" s="93">
        <v>3117</v>
      </c>
      <c r="Z58" s="93">
        <v>-1039</v>
      </c>
      <c r="AA58" s="92">
        <f t="shared" si="17"/>
        <v>2078</v>
      </c>
      <c r="AB58" s="92">
        <f t="shared" si="18"/>
        <v>2078</v>
      </c>
      <c r="AC58" s="234">
        <f t="shared" si="19"/>
        <v>8.4663876262644814E-4</v>
      </c>
      <c r="AD58" s="92">
        <f t="shared" si="20"/>
        <v>339.78</v>
      </c>
      <c r="AE58" s="93">
        <v>775.21000000000026</v>
      </c>
      <c r="AF58" s="234">
        <f t="shared" si="21"/>
        <v>0.37305582290664113</v>
      </c>
      <c r="AG58" s="93">
        <v>1005.5200000000001</v>
      </c>
      <c r="AH58" s="93">
        <v>460</v>
      </c>
      <c r="AI58" s="93">
        <v>1447</v>
      </c>
      <c r="AJ58" s="93"/>
      <c r="AK58" s="93"/>
      <c r="AL58" s="122">
        <f t="shared" si="22"/>
        <v>25.150158873805935</v>
      </c>
      <c r="AM58" s="93">
        <v>0</v>
      </c>
      <c r="AN58" s="94">
        <f t="shared" si="23"/>
        <v>75.086500000000001</v>
      </c>
      <c r="AO58" s="95">
        <f t="shared" si="25"/>
        <v>-2049.7466588738062</v>
      </c>
      <c r="AP58" s="96"/>
      <c r="AQ58" s="97">
        <f t="shared" si="6"/>
        <v>1039</v>
      </c>
      <c r="AR58" s="98">
        <f t="shared" si="35"/>
        <v>169.89</v>
      </c>
      <c r="AS58" s="98">
        <f t="shared" si="8"/>
        <v>387.60500000000013</v>
      </c>
      <c r="AT58" s="98">
        <f t="shared" si="9"/>
        <v>335.17333333333335</v>
      </c>
      <c r="AU58" s="98">
        <f t="shared" si="24"/>
        <v>635.66666666666663</v>
      </c>
      <c r="AV58" s="98">
        <f t="array" ref="AV58">_xlfn.IFS(U58=0,AO58,U58&lt;0,AO58/-U58,U58&gt;0,AO58/U58)</f>
        <v>-1024.8733294369031</v>
      </c>
      <c r="AW58" s="234">
        <f t="shared" si="43"/>
        <v>-0.98640358944841489</v>
      </c>
      <c r="AX58" s="234">
        <f t="shared" si="44"/>
        <v>-6.0325700714397739</v>
      </c>
      <c r="AY58" s="99"/>
      <c r="AZ58" s="94">
        <f t="shared" si="12"/>
        <v>-42019.806506913024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3"/>
        <v>0</v>
      </c>
      <c r="R59" s="92">
        <f t="shared" si="14"/>
        <v>0</v>
      </c>
      <c r="S59" s="93">
        <v>0</v>
      </c>
      <c r="T59" s="93">
        <v>0</v>
      </c>
      <c r="U59" s="92">
        <f t="shared" si="15"/>
        <v>0</v>
      </c>
      <c r="V59" s="93">
        <v>0</v>
      </c>
      <c r="W59" s="93">
        <v>0</v>
      </c>
      <c r="X59" s="92">
        <f t="shared" si="16"/>
        <v>0</v>
      </c>
      <c r="Y59" s="93">
        <v>0</v>
      </c>
      <c r="Z59" s="93">
        <v>0</v>
      </c>
      <c r="AA59" s="92">
        <f t="shared" si="17"/>
        <v>0</v>
      </c>
      <c r="AB59" s="92">
        <f t="shared" si="18"/>
        <v>0</v>
      </c>
      <c r="AC59" s="234">
        <f t="shared" si="19"/>
        <v>0</v>
      </c>
      <c r="AD59" s="92">
        <f t="shared" si="20"/>
        <v>0</v>
      </c>
      <c r="AE59" s="93">
        <v>0</v>
      </c>
      <c r="AF59" s="234">
        <f t="shared" si="21"/>
        <v>0</v>
      </c>
      <c r="AG59" s="93">
        <v>0</v>
      </c>
      <c r="AH59" s="93"/>
      <c r="AI59" s="93"/>
      <c r="AJ59" s="93"/>
      <c r="AK59" s="93"/>
      <c r="AL59" s="122">
        <f t="shared" si="22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6"/>
        <v>0</v>
      </c>
      <c r="AR59" s="98">
        <f t="shared" si="35"/>
        <v>158.19</v>
      </c>
      <c r="AS59" s="98">
        <f t="shared" si="8"/>
        <v>0</v>
      </c>
      <c r="AT59" s="98">
        <f t="shared" si="9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69</v>
      </c>
      <c r="F60" s="93" t="s">
        <v>100</v>
      </c>
      <c r="G60" s="93">
        <v>5</v>
      </c>
      <c r="H60" s="93">
        <v>23</v>
      </c>
      <c r="I60" s="93">
        <v>0</v>
      </c>
      <c r="J60" s="93">
        <v>41</v>
      </c>
      <c r="K60" s="93">
        <v>158.19</v>
      </c>
      <c r="L60" s="92">
        <f t="shared" si="42"/>
        <v>10915.11</v>
      </c>
      <c r="M60" s="89">
        <v>156</v>
      </c>
      <c r="N60" s="89">
        <v>3</v>
      </c>
      <c r="O60" s="89">
        <v>1049</v>
      </c>
      <c r="P60" s="89">
        <v>67</v>
      </c>
      <c r="Q60" s="233">
        <f t="shared" si="13"/>
        <v>0.42857142857142855</v>
      </c>
      <c r="R60" s="92">
        <f t="shared" si="14"/>
        <v>0.2857142857142857</v>
      </c>
      <c r="S60" s="93">
        <v>2</v>
      </c>
      <c r="T60" s="93">
        <v>0</v>
      </c>
      <c r="U60" s="92">
        <f t="shared" si="15"/>
        <v>2</v>
      </c>
      <c r="V60" s="93">
        <v>1270</v>
      </c>
      <c r="W60" s="93">
        <v>0</v>
      </c>
      <c r="X60" s="92">
        <f t="shared" si="16"/>
        <v>1270</v>
      </c>
      <c r="Y60" s="93">
        <v>2066.5299999999997</v>
      </c>
      <c r="Z60" s="93">
        <v>0</v>
      </c>
      <c r="AA60" s="92">
        <f t="shared" si="17"/>
        <v>2066.5299999999997</v>
      </c>
      <c r="AB60" s="92">
        <f t="shared" si="18"/>
        <v>2108.4899999999998</v>
      </c>
      <c r="AC60" s="234">
        <f t="shared" si="19"/>
        <v>8.4196554481734051E-4</v>
      </c>
      <c r="AD60" s="92">
        <f t="shared" si="20"/>
        <v>316.38</v>
      </c>
      <c r="AE60" s="93">
        <v>756.66999999999962</v>
      </c>
      <c r="AF60" s="234">
        <f t="shared" si="21"/>
        <v>0.36615485862774783</v>
      </c>
      <c r="AG60" s="93">
        <v>313.86</v>
      </c>
      <c r="AH60" s="93"/>
      <c r="AI60" s="93"/>
      <c r="AJ60" s="93"/>
      <c r="AK60" s="93"/>
      <c r="AL60" s="122">
        <f t="shared" si="22"/>
        <v>19.94667772750126</v>
      </c>
      <c r="AM60" s="93">
        <v>0</v>
      </c>
      <c r="AN60" s="94">
        <f t="shared" si="23"/>
        <v>72.516999999999996</v>
      </c>
      <c r="AO60" s="95">
        <f t="shared" si="25"/>
        <v>587.15632227249876</v>
      </c>
      <c r="AP60" s="96"/>
      <c r="AQ60" s="97">
        <f t="shared" si="6"/>
        <v>1033.2649999999999</v>
      </c>
      <c r="AR60" s="98">
        <f t="shared" si="35"/>
        <v>158.19</v>
      </c>
      <c r="AS60" s="98">
        <f t="shared" si="8"/>
        <v>378.33499999999981</v>
      </c>
      <c r="AT60" s="98">
        <f t="shared" si="9"/>
        <v>156.93</v>
      </c>
      <c r="AU60" s="98">
        <f t="shared" si="24"/>
        <v>0</v>
      </c>
      <c r="AV60" s="98">
        <f t="array" ref="AV60">_xlfn.IFS(U60=0,AO60,U60&lt;0,AO60/-U60,U60&gt;0,AO60/U60)</f>
        <v>293.57816113624938</v>
      </c>
      <c r="AW60" s="234">
        <f t="shared" si="43"/>
        <v>0.2841266868966329</v>
      </c>
      <c r="AX60" s="234">
        <f t="shared" si="44"/>
        <v>1.8558578995906783</v>
      </c>
      <c r="AY60" s="99"/>
      <c r="AZ60" s="94">
        <f t="shared" si="12"/>
        <v>20256.893118401207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 t="s">
        <v>100</v>
      </c>
      <c r="G61" s="93" t="s">
        <v>100</v>
      </c>
      <c r="H61" s="93">
        <v>163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3"/>
        <v>0</v>
      </c>
      <c r="R61" s="92">
        <f t="shared" si="14"/>
        <v>0</v>
      </c>
      <c r="S61" s="93">
        <v>0</v>
      </c>
      <c r="T61" s="93">
        <v>0</v>
      </c>
      <c r="U61" s="92">
        <f t="shared" si="15"/>
        <v>0</v>
      </c>
      <c r="V61" s="93">
        <v>0</v>
      </c>
      <c r="W61" s="93">
        <v>0</v>
      </c>
      <c r="X61" s="92">
        <f t="shared" si="16"/>
        <v>0</v>
      </c>
      <c r="Y61" s="93">
        <v>0</v>
      </c>
      <c r="Z61" s="93">
        <v>0</v>
      </c>
      <c r="AA61" s="92">
        <f t="shared" si="17"/>
        <v>0</v>
      </c>
      <c r="AB61" s="92">
        <f t="shared" si="18"/>
        <v>0</v>
      </c>
      <c r="AC61" s="234">
        <f t="shared" si="19"/>
        <v>0</v>
      </c>
      <c r="AD61" s="92">
        <f t="shared" si="20"/>
        <v>0</v>
      </c>
      <c r="AE61" s="93">
        <v>0</v>
      </c>
      <c r="AF61" s="234">
        <f t="shared" si="21"/>
        <v>0</v>
      </c>
      <c r="AG61" s="93">
        <v>93.93</v>
      </c>
      <c r="AH61" s="93"/>
      <c r="AI61" s="93"/>
      <c r="AJ61" s="93"/>
      <c r="AK61" s="93"/>
      <c r="AL61" s="122">
        <f t="shared" si="22"/>
        <v>141.3612378079437</v>
      </c>
      <c r="AM61" s="93">
        <v>0</v>
      </c>
      <c r="AN61" s="94">
        <f t="shared" si="23"/>
        <v>0</v>
      </c>
      <c r="AO61" s="95">
        <f t="shared" si="25"/>
        <v>-235.2912378079437</v>
      </c>
      <c r="AP61" s="96"/>
      <c r="AQ61" s="97">
        <f t="shared" si="6"/>
        <v>0</v>
      </c>
      <c r="AR61" s="98">
        <f t="shared" si="35"/>
        <v>128.94</v>
      </c>
      <c r="AS61" s="98">
        <f t="shared" si="8"/>
        <v>0</v>
      </c>
      <c r="AT61" s="98">
        <f t="shared" si="9"/>
        <v>93.93</v>
      </c>
      <c r="AU61" s="98">
        <f t="shared" si="24"/>
        <v>0</v>
      </c>
      <c r="AV61" s="98">
        <f t="array" ref="AV61">_xlfn.IFS(U61=0,AO61,U61&lt;0,AO61/-U61,U61&gt;0,AO61/U61)</f>
        <v>-235.2912378079437</v>
      </c>
      <c r="AW61" s="234">
        <f t="shared" si="43"/>
        <v>0</v>
      </c>
      <c r="AX61" s="234">
        <f t="shared" si="44"/>
        <v>-1.8248118334724965</v>
      </c>
      <c r="AY61" s="99"/>
      <c r="AZ61" s="94">
        <f t="shared" si="12"/>
        <v>-113880.95909904475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3"/>
        <v>0</v>
      </c>
      <c r="R62" s="92">
        <f t="shared" si="14"/>
        <v>0</v>
      </c>
      <c r="S62" s="93">
        <v>0</v>
      </c>
      <c r="T62" s="93">
        <v>0</v>
      </c>
      <c r="U62" s="92">
        <f t="shared" si="15"/>
        <v>0</v>
      </c>
      <c r="V62" s="93">
        <v>0</v>
      </c>
      <c r="W62" s="93">
        <v>0</v>
      </c>
      <c r="X62" s="92">
        <f t="shared" si="16"/>
        <v>0</v>
      </c>
      <c r="Y62" s="93">
        <v>0</v>
      </c>
      <c r="Z62" s="93">
        <v>0</v>
      </c>
      <c r="AA62" s="92">
        <f t="shared" si="17"/>
        <v>0</v>
      </c>
      <c r="AB62" s="92">
        <f t="shared" si="18"/>
        <v>0</v>
      </c>
      <c r="AC62" s="234">
        <f t="shared" si="19"/>
        <v>0</v>
      </c>
      <c r="AD62" s="92">
        <f t="shared" si="20"/>
        <v>0</v>
      </c>
      <c r="AE62" s="93">
        <v>0</v>
      </c>
      <c r="AF62" s="234">
        <f t="shared" si="21"/>
        <v>0</v>
      </c>
      <c r="AG62" s="93">
        <v>0</v>
      </c>
      <c r="AH62" s="93"/>
      <c r="AI62" s="93"/>
      <c r="AJ62" s="93"/>
      <c r="AK62" s="93"/>
      <c r="AL62" s="122">
        <f t="shared" si="22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6"/>
        <v>0</v>
      </c>
      <c r="AR62" s="98">
        <f t="shared" si="35"/>
        <v>175.74</v>
      </c>
      <c r="AS62" s="98">
        <f t="shared" si="8"/>
        <v>0</v>
      </c>
      <c r="AT62" s="98">
        <f t="shared" si="9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3"/>
        <v>0</v>
      </c>
      <c r="R63" s="92">
        <f t="shared" si="14"/>
        <v>0</v>
      </c>
      <c r="S63" s="93">
        <v>0</v>
      </c>
      <c r="T63" s="93">
        <v>0</v>
      </c>
      <c r="U63" s="92">
        <f t="shared" si="15"/>
        <v>0</v>
      </c>
      <c r="V63" s="93">
        <v>0</v>
      </c>
      <c r="W63" s="93">
        <v>0</v>
      </c>
      <c r="X63" s="92">
        <f t="shared" si="16"/>
        <v>0</v>
      </c>
      <c r="Y63" s="93">
        <v>0</v>
      </c>
      <c r="Z63" s="93">
        <v>0</v>
      </c>
      <c r="AA63" s="92">
        <f t="shared" si="17"/>
        <v>0</v>
      </c>
      <c r="AB63" s="92">
        <f t="shared" si="18"/>
        <v>0</v>
      </c>
      <c r="AC63" s="234">
        <f t="shared" si="19"/>
        <v>0</v>
      </c>
      <c r="AD63" s="92">
        <f t="shared" si="20"/>
        <v>0</v>
      </c>
      <c r="AE63" s="93">
        <v>0</v>
      </c>
      <c r="AF63" s="234">
        <f t="shared" si="21"/>
        <v>0</v>
      </c>
      <c r="AG63" s="93">
        <v>0</v>
      </c>
      <c r="AH63" s="93"/>
      <c r="AI63" s="93"/>
      <c r="AJ63" s="93"/>
      <c r="AK63" s="93"/>
      <c r="AL63" s="122">
        <f t="shared" si="22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6"/>
        <v>0</v>
      </c>
      <c r="AR63" s="98">
        <f t="shared" si="35"/>
        <v>140.63999999999999</v>
      </c>
      <c r="AS63" s="98">
        <f t="shared" si="8"/>
        <v>0</v>
      </c>
      <c r="AT63" s="98">
        <f t="shared" si="9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3"/>
        <v>0</v>
      </c>
      <c r="R64" s="92">
        <f t="shared" si="14"/>
        <v>0</v>
      </c>
      <c r="S64" s="93">
        <v>0</v>
      </c>
      <c r="T64" s="93">
        <v>0</v>
      </c>
      <c r="U64" s="92">
        <f t="shared" si="15"/>
        <v>0</v>
      </c>
      <c r="V64" s="93">
        <v>0</v>
      </c>
      <c r="W64" s="93">
        <v>0</v>
      </c>
      <c r="X64" s="92">
        <f t="shared" si="16"/>
        <v>0</v>
      </c>
      <c r="Y64" s="93">
        <v>0</v>
      </c>
      <c r="Z64" s="93">
        <v>0</v>
      </c>
      <c r="AA64" s="92">
        <f t="shared" si="17"/>
        <v>0</v>
      </c>
      <c r="AB64" s="92">
        <f t="shared" si="18"/>
        <v>0</v>
      </c>
      <c r="AC64" s="234">
        <f t="shared" si="19"/>
        <v>0</v>
      </c>
      <c r="AD64" s="92">
        <f t="shared" si="20"/>
        <v>0</v>
      </c>
      <c r="AE64" s="93">
        <v>0</v>
      </c>
      <c r="AF64" s="234">
        <f t="shared" si="21"/>
        <v>0</v>
      </c>
      <c r="AG64" s="93">
        <v>0</v>
      </c>
      <c r="AH64" s="93"/>
      <c r="AI64" s="93"/>
      <c r="AJ64" s="93"/>
      <c r="AK64" s="93"/>
      <c r="AL64" s="122">
        <f t="shared" si="22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6"/>
        <v>0</v>
      </c>
      <c r="AR64" s="98">
        <f t="shared" si="35"/>
        <v>99.69</v>
      </c>
      <c r="AS64" s="98">
        <f t="shared" si="8"/>
        <v>0</v>
      </c>
      <c r="AT64" s="98">
        <f t="shared" si="9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3"/>
        <v>0</v>
      </c>
      <c r="R65" s="92">
        <f t="shared" si="14"/>
        <v>0</v>
      </c>
      <c r="S65" s="93">
        <v>0</v>
      </c>
      <c r="T65" s="93">
        <v>0</v>
      </c>
      <c r="U65" s="92">
        <f t="shared" si="15"/>
        <v>0</v>
      </c>
      <c r="V65" s="93">
        <v>0</v>
      </c>
      <c r="W65" s="93">
        <v>0</v>
      </c>
      <c r="X65" s="92">
        <f t="shared" si="16"/>
        <v>0</v>
      </c>
      <c r="Y65" s="93">
        <v>0</v>
      </c>
      <c r="Z65" s="93">
        <v>0</v>
      </c>
      <c r="AA65" s="92">
        <f t="shared" si="17"/>
        <v>0</v>
      </c>
      <c r="AB65" s="92">
        <f t="shared" si="18"/>
        <v>0</v>
      </c>
      <c r="AC65" s="234">
        <f t="shared" si="19"/>
        <v>0</v>
      </c>
      <c r="AD65" s="92">
        <f t="shared" si="20"/>
        <v>0</v>
      </c>
      <c r="AE65" s="93">
        <v>0</v>
      </c>
      <c r="AF65" s="234">
        <f t="shared" si="21"/>
        <v>0</v>
      </c>
      <c r="AG65" s="93">
        <v>96.4</v>
      </c>
      <c r="AH65" s="93"/>
      <c r="AI65" s="93"/>
      <c r="AJ65" s="93"/>
      <c r="AK65" s="93"/>
      <c r="AL65" s="122">
        <f t="shared" si="22"/>
        <v>0.86724685771744603</v>
      </c>
      <c r="AM65" s="93">
        <v>0</v>
      </c>
      <c r="AN65" s="94">
        <f t="shared" si="23"/>
        <v>0</v>
      </c>
      <c r="AO65" s="95">
        <f t="shared" si="25"/>
        <v>-97.267246857717453</v>
      </c>
      <c r="AP65" s="96"/>
      <c r="AQ65" s="97">
        <f t="shared" si="6"/>
        <v>0</v>
      </c>
      <c r="AR65" s="98">
        <f t="shared" si="35"/>
        <v>99.69</v>
      </c>
      <c r="AS65" s="98">
        <f t="shared" si="8"/>
        <v>0</v>
      </c>
      <c r="AT65" s="98">
        <f t="shared" si="9"/>
        <v>96.4</v>
      </c>
      <c r="AU65" s="98">
        <f t="shared" si="24"/>
        <v>0</v>
      </c>
      <c r="AV65" s="98">
        <f t="array" ref="AV65">_xlfn.IFS(U65=0,AO65,U65&lt;0,AO65/-U65,U65&gt;0,AO65/U65)</f>
        <v>-97.267246857717453</v>
      </c>
      <c r="AW65" s="234">
        <f t="shared" si="43"/>
        <v>0</v>
      </c>
      <c r="AX65" s="234">
        <f t="shared" si="44"/>
        <v>-0.97569712967917999</v>
      </c>
      <c r="AY65" s="99"/>
      <c r="AZ65" s="94">
        <f t="shared" si="12"/>
        <v>-194.53449371543491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47</v>
      </c>
      <c r="N66" s="89">
        <v>0</v>
      </c>
      <c r="O66" s="89">
        <v>0</v>
      </c>
      <c r="P66" s="89">
        <v>0</v>
      </c>
      <c r="Q66" s="233">
        <f t="shared" si="13"/>
        <v>0</v>
      </c>
      <c r="R66" s="92">
        <f t="shared" si="14"/>
        <v>0</v>
      </c>
      <c r="S66" s="93">
        <v>0</v>
      </c>
      <c r="T66" s="93">
        <v>0</v>
      </c>
      <c r="U66" s="92">
        <f t="shared" si="15"/>
        <v>0</v>
      </c>
      <c r="V66" s="93">
        <v>0</v>
      </c>
      <c r="W66" s="93">
        <v>0</v>
      </c>
      <c r="X66" s="92">
        <f t="shared" si="16"/>
        <v>0</v>
      </c>
      <c r="Y66" s="93">
        <v>0</v>
      </c>
      <c r="Z66" s="93">
        <v>0</v>
      </c>
      <c r="AA66" s="92">
        <f t="shared" si="17"/>
        <v>0</v>
      </c>
      <c r="AB66" s="92">
        <f t="shared" si="18"/>
        <v>0</v>
      </c>
      <c r="AC66" s="234">
        <f t="shared" si="19"/>
        <v>0</v>
      </c>
      <c r="AD66" s="92">
        <f t="shared" si="20"/>
        <v>0</v>
      </c>
      <c r="AE66" s="93">
        <v>0</v>
      </c>
      <c r="AF66" s="234">
        <f t="shared" si="21"/>
        <v>0</v>
      </c>
      <c r="AG66" s="93">
        <v>0</v>
      </c>
      <c r="AH66" s="93"/>
      <c r="AI66" s="93"/>
      <c r="AJ66" s="93"/>
      <c r="AK66" s="93"/>
      <c r="AL66" s="122">
        <f t="shared" si="22"/>
        <v>0.86724685771744603</v>
      </c>
      <c r="AM66" s="93">
        <v>0</v>
      </c>
      <c r="AN66" s="94">
        <f t="shared" si="23"/>
        <v>0</v>
      </c>
      <c r="AO66" s="95">
        <f t="shared" si="25"/>
        <v>-0.86724685771744603</v>
      </c>
      <c r="AP66" s="96"/>
      <c r="AQ66" s="97">
        <f t="shared" si="6"/>
        <v>0</v>
      </c>
      <c r="AR66" s="98">
        <f t="shared" si="35"/>
        <v>97.35</v>
      </c>
      <c r="AS66" s="98">
        <f t="shared" si="8"/>
        <v>0</v>
      </c>
      <c r="AT66" s="98">
        <f t="shared" si="9"/>
        <v>0</v>
      </c>
      <c r="AU66" s="98">
        <f t="shared" si="24"/>
        <v>0</v>
      </c>
      <c r="AV66" s="98">
        <f t="array" ref="AV66">_xlfn.IFS(U66=0,AO66,U66&lt;0,AO66/-U66,U66&gt;0,AO66/U66)</f>
        <v>-0.86724685771744603</v>
      </c>
      <c r="AW66" s="234">
        <f t="shared" si="43"/>
        <v>0</v>
      </c>
      <c r="AX66" s="234">
        <f t="shared" si="44"/>
        <v>-8.9085450202100267E-3</v>
      </c>
      <c r="AY66" s="99"/>
      <c r="AZ66" s="94">
        <f t="shared" si="12"/>
        <v>-1.7344937154348921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3</v>
      </c>
      <c r="F67" s="93">
        <v>2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485.09999999999997</v>
      </c>
      <c r="M67" s="89">
        <v>12</v>
      </c>
      <c r="N67" s="89">
        <v>1</v>
      </c>
      <c r="O67" s="89">
        <v>1049</v>
      </c>
      <c r="P67" s="89">
        <v>0</v>
      </c>
      <c r="Q67" s="233">
        <f t="shared" si="13"/>
        <v>0.14285714285714285</v>
      </c>
      <c r="R67" s="92">
        <f t="shared" si="14"/>
        <v>0.2857142857142857</v>
      </c>
      <c r="S67" s="93">
        <v>2</v>
      </c>
      <c r="T67" s="93">
        <v>0</v>
      </c>
      <c r="U67" s="92">
        <f t="shared" si="15"/>
        <v>2</v>
      </c>
      <c r="V67" s="93">
        <v>1305</v>
      </c>
      <c r="W67" s="93">
        <v>0</v>
      </c>
      <c r="X67" s="92">
        <f t="shared" si="16"/>
        <v>1305</v>
      </c>
      <c r="Y67" s="93">
        <v>2098</v>
      </c>
      <c r="Z67" s="93">
        <v>0</v>
      </c>
      <c r="AA67" s="92">
        <f t="shared" si="17"/>
        <v>2098</v>
      </c>
      <c r="AB67" s="92">
        <f t="shared" si="18"/>
        <v>0</v>
      </c>
      <c r="AC67" s="234">
        <f t="shared" si="19"/>
        <v>8.5478735514450828E-4</v>
      </c>
      <c r="AD67" s="92">
        <f t="shared" si="20"/>
        <v>323.39999999999998</v>
      </c>
      <c r="AE67" s="93">
        <v>781.94999999999982</v>
      </c>
      <c r="AF67" s="234">
        <f t="shared" si="21"/>
        <v>0.3727121067683507</v>
      </c>
      <c r="AG67" s="93">
        <v>216.94000000000003</v>
      </c>
      <c r="AH67" s="93"/>
      <c r="AI67" s="93"/>
      <c r="AJ67" s="93"/>
      <c r="AK67" s="93"/>
      <c r="AL67" s="122">
        <f t="shared" si="22"/>
        <v>0</v>
      </c>
      <c r="AM67" s="93">
        <v>0</v>
      </c>
      <c r="AN67" s="94">
        <f t="shared" si="23"/>
        <v>74.515500000000003</v>
      </c>
      <c r="AO67" s="95">
        <f t="shared" si="25"/>
        <v>701.19450000000006</v>
      </c>
      <c r="AP67" s="96"/>
      <c r="AQ67" s="97">
        <f t="shared" si="6"/>
        <v>1049</v>
      </c>
      <c r="AR67" s="98">
        <f t="shared" si="35"/>
        <v>161.69999999999999</v>
      </c>
      <c r="AS67" s="98">
        <f t="shared" si="8"/>
        <v>390.97499999999991</v>
      </c>
      <c r="AT67" s="98">
        <f t="shared" si="9"/>
        <v>108.47000000000001</v>
      </c>
      <c r="AU67" s="98">
        <f t="shared" si="24"/>
        <v>0</v>
      </c>
      <c r="AV67" s="98">
        <f t="array" ref="AV67">_xlfn.IFS(U67=0,AO67,U67&lt;0,AO67/-U67,U67&gt;0,AO67/U67)</f>
        <v>350.59725000000003</v>
      </c>
      <c r="AW67" s="234">
        <f t="shared" si="43"/>
        <v>0.3342204480457579</v>
      </c>
      <c r="AX67" s="234">
        <f t="shared" si="44"/>
        <v>2.1681957328385901</v>
      </c>
      <c r="AY67" s="99"/>
      <c r="AZ67" s="94">
        <f t="shared" si="12"/>
        <v>1051.7917500000001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6">N68/7</f>
        <v>0</v>
      </c>
      <c r="R68" s="92">
        <f t="shared" ref="R68:R103" si="47">U68/7</f>
        <v>0</v>
      </c>
      <c r="S68" s="93">
        <v>0</v>
      </c>
      <c r="T68" s="93">
        <v>0</v>
      </c>
      <c r="U68" s="92">
        <f t="shared" ref="U68:U98" si="48">S68+T68</f>
        <v>0</v>
      </c>
      <c r="V68" s="93">
        <v>0</v>
      </c>
      <c r="W68" s="93">
        <v>0</v>
      </c>
      <c r="X68" s="92">
        <f t="shared" ref="X68:X98" si="49">V68+W68</f>
        <v>0</v>
      </c>
      <c r="Y68" s="93">
        <v>0</v>
      </c>
      <c r="Z68" s="93">
        <v>0</v>
      </c>
      <c r="AA68" s="92">
        <f t="shared" ref="AA68:AA98" si="50">Y68+Z68</f>
        <v>0</v>
      </c>
      <c r="AB68" s="92">
        <f t="shared" ref="AB68:AB98" si="51">N68*O68*P68/100</f>
        <v>0</v>
      </c>
      <c r="AC68" s="234">
        <f t="shared" ref="AC68:AC98" si="52">AA68/$AA$126</f>
        <v>0</v>
      </c>
      <c r="AD68" s="92">
        <f t="shared" ref="AD68:AD98" si="53">U68*K68</f>
        <v>0</v>
      </c>
      <c r="AE68" s="93">
        <v>0</v>
      </c>
      <c r="AF68" s="234">
        <f t="shared" ref="AF68:AF98" si="54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5">IFERROR($AL$126*H68/$H$126,0)</f>
        <v>0</v>
      </c>
      <c r="AM68" s="93">
        <v>0</v>
      </c>
      <c r="AN68" s="94">
        <f t="shared" ref="AN68:AN98" si="56">X68*5.71%</f>
        <v>0</v>
      </c>
      <c r="AO68" s="95">
        <f t="shared" ref="AO68:AO98" si="57">AA68-AD68-AE68-AG68-AH68-AI68-AK68-AL68-AN68-AM68</f>
        <v>0</v>
      </c>
      <c r="AP68" s="96"/>
      <c r="AQ68" s="97">
        <f t="shared" si="6"/>
        <v>0</v>
      </c>
      <c r="AR68" s="98">
        <f t="shared" si="35"/>
        <v>161.69999999999999</v>
      </c>
      <c r="AS68" s="98">
        <f t="shared" si="8"/>
        <v>0</v>
      </c>
      <c r="AT68" s="98">
        <f t="shared" si="9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13</v>
      </c>
      <c r="F69" s="93" t="s">
        <v>100</v>
      </c>
      <c r="G69" s="93" t="s">
        <v>100</v>
      </c>
      <c r="H69" s="93">
        <v>12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999</v>
      </c>
      <c r="N69" s="89">
        <v>0</v>
      </c>
      <c r="O69" s="89">
        <v>0</v>
      </c>
      <c r="P69" s="89">
        <v>0</v>
      </c>
      <c r="Q69" s="233">
        <f t="shared" si="46"/>
        <v>0</v>
      </c>
      <c r="R69" s="92">
        <f t="shared" si="47"/>
        <v>0</v>
      </c>
      <c r="S69" s="93">
        <v>0</v>
      </c>
      <c r="T69" s="93">
        <v>0</v>
      </c>
      <c r="U69" s="92">
        <f t="shared" si="48"/>
        <v>0</v>
      </c>
      <c r="V69" s="93">
        <v>0</v>
      </c>
      <c r="W69" s="93">
        <v>0</v>
      </c>
      <c r="X69" s="92">
        <f t="shared" si="49"/>
        <v>0</v>
      </c>
      <c r="Y69" s="93">
        <v>0</v>
      </c>
      <c r="Z69" s="93">
        <v>0</v>
      </c>
      <c r="AA69" s="92">
        <f t="shared" si="50"/>
        <v>0</v>
      </c>
      <c r="AB69" s="92">
        <f t="shared" si="51"/>
        <v>0</v>
      </c>
      <c r="AC69" s="234">
        <f t="shared" si="52"/>
        <v>0</v>
      </c>
      <c r="AD69" s="92">
        <f t="shared" si="53"/>
        <v>0</v>
      </c>
      <c r="AE69" s="93">
        <v>0</v>
      </c>
      <c r="AF69" s="234">
        <f t="shared" si="54"/>
        <v>0</v>
      </c>
      <c r="AG69" s="93">
        <v>0</v>
      </c>
      <c r="AH69" s="93"/>
      <c r="AI69" s="93"/>
      <c r="AJ69" s="93"/>
      <c r="AK69" s="93"/>
      <c r="AL69" s="122">
        <f t="shared" si="55"/>
        <v>10.406962292609352</v>
      </c>
      <c r="AM69" s="93">
        <v>0</v>
      </c>
      <c r="AN69" s="94">
        <f t="shared" si="56"/>
        <v>0</v>
      </c>
      <c r="AO69" s="95">
        <f t="shared" si="57"/>
        <v>-10.406962292609352</v>
      </c>
      <c r="AP69" s="96"/>
      <c r="AQ69" s="97">
        <f t="shared" si="6"/>
        <v>0</v>
      </c>
      <c r="AR69" s="98">
        <f t="shared" si="35"/>
        <v>140.63999999999999</v>
      </c>
      <c r="AS69" s="98">
        <f t="shared" si="8"/>
        <v>0</v>
      </c>
      <c r="AT69" s="98">
        <f t="shared" si="9"/>
        <v>0</v>
      </c>
      <c r="AU69" s="98">
        <f t="shared" si="24"/>
        <v>0</v>
      </c>
      <c r="AV69" s="98">
        <f t="array" ref="AV69">_xlfn.IFS(U69=0,AO69,U69&lt;0,AO69/-U69,U69&gt;0,AO69/U69)</f>
        <v>-10.406962292609352</v>
      </c>
      <c r="AW69" s="234">
        <f t="shared" si="43"/>
        <v>0</v>
      </c>
      <c r="AX69" s="234">
        <f t="shared" si="44"/>
        <v>-7.3997172160191652E-2</v>
      </c>
      <c r="AY69" s="99"/>
      <c r="AZ69" s="94">
        <f t="shared" si="12"/>
        <v>-135.29050980392157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8</v>
      </c>
      <c r="F70" s="93">
        <v>2</v>
      </c>
      <c r="G70" s="93" t="s">
        <v>100</v>
      </c>
      <c r="H70" s="93">
        <v>5</v>
      </c>
      <c r="I70" s="93">
        <v>0</v>
      </c>
      <c r="J70" s="93">
        <v>1</v>
      </c>
      <c r="K70" s="93">
        <v>117.24</v>
      </c>
      <c r="L70" s="92">
        <f t="shared" si="42"/>
        <v>937.92</v>
      </c>
      <c r="M70" s="89">
        <v>51</v>
      </c>
      <c r="N70" s="89">
        <v>2</v>
      </c>
      <c r="O70" s="89">
        <v>1048</v>
      </c>
      <c r="P70" s="89">
        <v>0</v>
      </c>
      <c r="Q70" s="233">
        <f t="shared" si="46"/>
        <v>0.2857142857142857</v>
      </c>
      <c r="R70" s="92">
        <f t="shared" si="47"/>
        <v>0</v>
      </c>
      <c r="S70" s="93">
        <v>0</v>
      </c>
      <c r="T70" s="93">
        <v>0</v>
      </c>
      <c r="U70" s="92">
        <f t="shared" si="48"/>
        <v>0</v>
      </c>
      <c r="V70" s="93">
        <v>0</v>
      </c>
      <c r="W70" s="93">
        <v>0</v>
      </c>
      <c r="X70" s="92">
        <f t="shared" si="49"/>
        <v>0</v>
      </c>
      <c r="Y70" s="93">
        <v>0</v>
      </c>
      <c r="Z70" s="93">
        <v>0</v>
      </c>
      <c r="AA70" s="92">
        <f t="shared" si="50"/>
        <v>0</v>
      </c>
      <c r="AB70" s="92">
        <f t="shared" si="51"/>
        <v>0</v>
      </c>
      <c r="AC70" s="234">
        <f t="shared" si="52"/>
        <v>0</v>
      </c>
      <c r="AD70" s="92">
        <f t="shared" si="53"/>
        <v>0</v>
      </c>
      <c r="AE70" s="93">
        <v>0</v>
      </c>
      <c r="AF70" s="234">
        <f t="shared" si="54"/>
        <v>0</v>
      </c>
      <c r="AG70" s="93">
        <v>96.86</v>
      </c>
      <c r="AH70" s="93"/>
      <c r="AI70" s="93"/>
      <c r="AJ70" s="93"/>
      <c r="AK70" s="93"/>
      <c r="AL70" s="122">
        <f t="shared" si="55"/>
        <v>4.3362342885872307</v>
      </c>
      <c r="AM70" s="93">
        <v>0</v>
      </c>
      <c r="AN70" s="94">
        <f t="shared" si="56"/>
        <v>0</v>
      </c>
      <c r="AO70" s="95">
        <f t="shared" si="57"/>
        <v>-101.19623428858723</v>
      </c>
      <c r="AP70" s="96"/>
      <c r="AQ70" s="97">
        <f t="shared" si="6"/>
        <v>0</v>
      </c>
      <c r="AR70" s="98">
        <f t="shared" si="35"/>
        <v>117.24</v>
      </c>
      <c r="AS70" s="98">
        <f t="shared" si="8"/>
        <v>0</v>
      </c>
      <c r="AT70" s="98">
        <f t="shared" si="9"/>
        <v>96.86</v>
      </c>
      <c r="AU70" s="98">
        <f t="shared" si="24"/>
        <v>0</v>
      </c>
      <c r="AV70" s="98">
        <f t="array" ref="AV70">_xlfn.IFS(U70=0,AO70,U70&lt;0,AO70/-U70,U70&gt;0,AO70/U70)</f>
        <v>-101.19623428858723</v>
      </c>
      <c r="AW70" s="234">
        <f t="shared" si="43"/>
        <v>0</v>
      </c>
      <c r="AX70" s="234">
        <f t="shared" si="44"/>
        <v>-0.86315450604390342</v>
      </c>
      <c r="AY70" s="99"/>
      <c r="AZ70" s="94">
        <f t="shared" si="12"/>
        <v>-809.56987430869788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20</v>
      </c>
      <c r="F71" s="93">
        <v>6</v>
      </c>
      <c r="G71" s="93">
        <v>2</v>
      </c>
      <c r="H71" s="93">
        <v>11</v>
      </c>
      <c r="I71" s="93">
        <v>0</v>
      </c>
      <c r="J71" s="93">
        <v>1</v>
      </c>
      <c r="K71" s="93">
        <v>123.09</v>
      </c>
      <c r="L71" s="92">
        <f t="shared" si="42"/>
        <v>2461.8000000000002</v>
      </c>
      <c r="M71" s="89">
        <v>58</v>
      </c>
      <c r="N71" s="89">
        <v>9</v>
      </c>
      <c r="O71" s="89">
        <v>702</v>
      </c>
      <c r="P71" s="89">
        <v>25</v>
      </c>
      <c r="Q71" s="233">
        <f t="shared" si="46"/>
        <v>1.2857142857142858</v>
      </c>
      <c r="R71" s="92">
        <f t="shared" si="47"/>
        <v>0.14285714285714285</v>
      </c>
      <c r="S71" s="93">
        <v>1</v>
      </c>
      <c r="T71" s="93">
        <v>0</v>
      </c>
      <c r="U71" s="92">
        <f t="shared" si="48"/>
        <v>1</v>
      </c>
      <c r="V71" s="93">
        <v>482</v>
      </c>
      <c r="W71" s="93">
        <v>0</v>
      </c>
      <c r="X71" s="92">
        <f t="shared" si="49"/>
        <v>482</v>
      </c>
      <c r="Y71" s="93">
        <v>702</v>
      </c>
      <c r="Z71" s="93">
        <v>0</v>
      </c>
      <c r="AA71" s="92">
        <f t="shared" si="50"/>
        <v>702</v>
      </c>
      <c r="AB71" s="92">
        <f t="shared" si="51"/>
        <v>1579.5</v>
      </c>
      <c r="AC71" s="234">
        <f t="shared" si="52"/>
        <v>2.8601559738391076E-4</v>
      </c>
      <c r="AD71" s="92">
        <f t="shared" si="53"/>
        <v>123.09</v>
      </c>
      <c r="AE71" s="93">
        <v>257.99</v>
      </c>
      <c r="AF71" s="234">
        <f t="shared" si="54"/>
        <v>0.36750712250712253</v>
      </c>
      <c r="AG71" s="93">
        <v>736.4</v>
      </c>
      <c r="AH71" s="93"/>
      <c r="AI71" s="93"/>
      <c r="AJ71" s="93"/>
      <c r="AK71" s="93"/>
      <c r="AL71" s="122">
        <f t="shared" si="55"/>
        <v>9.5397154348919049</v>
      </c>
      <c r="AM71" s="93">
        <v>0</v>
      </c>
      <c r="AN71" s="94">
        <f t="shared" si="56"/>
        <v>27.522199999999998</v>
      </c>
      <c r="AO71" s="95">
        <f t="shared" si="57"/>
        <v>-452.54191543489191</v>
      </c>
      <c r="AP71" s="96"/>
      <c r="AQ71" s="97">
        <f t="shared" si="6"/>
        <v>702</v>
      </c>
      <c r="AR71" s="98">
        <f t="shared" si="35"/>
        <v>123.09</v>
      </c>
      <c r="AS71" s="98">
        <f t="shared" si="8"/>
        <v>257.99</v>
      </c>
      <c r="AT71" s="98">
        <f t="shared" si="9"/>
        <v>736.4</v>
      </c>
      <c r="AU71" s="98">
        <f t="shared" ref="AU71:AU98" si="58">IF(S71=0,0,(AH71+AI71+AJ71)/S71)</f>
        <v>0</v>
      </c>
      <c r="AV71" s="98">
        <f t="array" ref="AV71">_xlfn.IFS(U71=0,AO71,U71&lt;0,AO71/-U71,U71&gt;0,AO71/U71)</f>
        <v>-452.54191543489191</v>
      </c>
      <c r="AW71" s="234">
        <f t="shared" si="43"/>
        <v>-0.64464660318360667</v>
      </c>
      <c r="AX71" s="234">
        <f t="shared" si="44"/>
        <v>-3.6765124334624413</v>
      </c>
      <c r="AY71" s="99"/>
      <c r="AZ71" s="94">
        <f t="shared" si="12"/>
        <v>-9050.8383086978374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8</v>
      </c>
      <c r="F72" s="93">
        <v>6</v>
      </c>
      <c r="G72" s="93">
        <v>1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984.72</v>
      </c>
      <c r="M72" s="89">
        <v>20</v>
      </c>
      <c r="N72" s="89">
        <v>10</v>
      </c>
      <c r="O72" s="89">
        <v>837</v>
      </c>
      <c r="P72" s="89">
        <v>40</v>
      </c>
      <c r="Q72" s="233">
        <f t="shared" si="46"/>
        <v>1.4285714285714286</v>
      </c>
      <c r="R72" s="92">
        <f t="shared" si="47"/>
        <v>0.42857142857142855</v>
      </c>
      <c r="S72" s="93">
        <v>3</v>
      </c>
      <c r="T72" s="93">
        <v>0</v>
      </c>
      <c r="U72" s="92">
        <f t="shared" si="48"/>
        <v>3</v>
      </c>
      <c r="V72" s="93">
        <v>1622</v>
      </c>
      <c r="W72" s="93">
        <v>0</v>
      </c>
      <c r="X72" s="92">
        <f t="shared" si="49"/>
        <v>1622</v>
      </c>
      <c r="Y72" s="93">
        <v>2511</v>
      </c>
      <c r="Z72" s="93">
        <v>0</v>
      </c>
      <c r="AA72" s="92">
        <f t="shared" si="50"/>
        <v>2511</v>
      </c>
      <c r="AB72" s="92">
        <f t="shared" si="51"/>
        <v>3348</v>
      </c>
      <c r="AC72" s="234">
        <f t="shared" si="52"/>
        <v>1.0230557906424501E-3</v>
      </c>
      <c r="AD72" s="92">
        <f t="shared" si="53"/>
        <v>369.27</v>
      </c>
      <c r="AE72" s="93">
        <v>945.87999999999988</v>
      </c>
      <c r="AF72" s="234">
        <f t="shared" si="54"/>
        <v>0.37669454400637192</v>
      </c>
      <c r="AG72" s="93">
        <v>644.16</v>
      </c>
      <c r="AH72" s="93"/>
      <c r="AI72" s="93"/>
      <c r="AJ72" s="93"/>
      <c r="AK72" s="93"/>
      <c r="AL72" s="122">
        <f t="shared" si="55"/>
        <v>0</v>
      </c>
      <c r="AM72" s="93">
        <v>0</v>
      </c>
      <c r="AN72" s="94">
        <f t="shared" si="56"/>
        <v>92.616199999999992</v>
      </c>
      <c r="AO72" s="95">
        <f t="shared" si="57"/>
        <v>459.07380000000018</v>
      </c>
      <c r="AP72" s="96"/>
      <c r="AQ72" s="97">
        <f t="shared" si="6"/>
        <v>837</v>
      </c>
      <c r="AR72" s="98">
        <f t="shared" si="35"/>
        <v>123.09</v>
      </c>
      <c r="AS72" s="98">
        <f t="shared" si="8"/>
        <v>315.29333333333329</v>
      </c>
      <c r="AT72" s="98">
        <f t="shared" si="9"/>
        <v>214.72</v>
      </c>
      <c r="AU72" s="98">
        <f t="shared" si="58"/>
        <v>0</v>
      </c>
      <c r="AV72" s="98">
        <f t="array" ref="AV72">_xlfn.IFS(U72=0,AO72,U72&lt;0,AO72/-U72,U72&gt;0,AO72/U72)</f>
        <v>153.02460000000005</v>
      </c>
      <c r="AW72" s="234">
        <f t="shared" si="43"/>
        <v>0.18282508960573482</v>
      </c>
      <c r="AX72" s="234">
        <f t="shared" si="44"/>
        <v>1.2431927857665126</v>
      </c>
      <c r="AY72" s="99"/>
      <c r="AZ72" s="94">
        <f t="shared" si="12"/>
        <v>1224.1968000000004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9</v>
      </c>
      <c r="F73" s="93">
        <v>7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1107.81</v>
      </c>
      <c r="M73" s="89">
        <v>19</v>
      </c>
      <c r="N73" s="89">
        <v>9</v>
      </c>
      <c r="O73" s="89">
        <v>807</v>
      </c>
      <c r="P73" s="89">
        <v>33</v>
      </c>
      <c r="Q73" s="233">
        <f t="shared" si="46"/>
        <v>1.2857142857142858</v>
      </c>
      <c r="R73" s="92">
        <f t="shared" si="47"/>
        <v>0.42857142857142855</v>
      </c>
      <c r="S73" s="93">
        <v>3</v>
      </c>
      <c r="T73" s="93">
        <v>0</v>
      </c>
      <c r="U73" s="92">
        <f t="shared" si="48"/>
        <v>3</v>
      </c>
      <c r="V73" s="93">
        <v>1521</v>
      </c>
      <c r="W73" s="93">
        <v>0</v>
      </c>
      <c r="X73" s="92">
        <f t="shared" si="49"/>
        <v>1521</v>
      </c>
      <c r="Y73" s="93">
        <v>2396.79</v>
      </c>
      <c r="Z73" s="93">
        <v>0</v>
      </c>
      <c r="AA73" s="92">
        <f t="shared" si="50"/>
        <v>2396.79</v>
      </c>
      <c r="AB73" s="92">
        <f t="shared" si="51"/>
        <v>2396.79</v>
      </c>
      <c r="AC73" s="234">
        <f t="shared" si="52"/>
        <v>9.7652325306806767E-4</v>
      </c>
      <c r="AD73" s="92">
        <f t="shared" si="53"/>
        <v>369.27</v>
      </c>
      <c r="AE73" s="93">
        <v>895.04</v>
      </c>
      <c r="AF73" s="234">
        <f t="shared" si="54"/>
        <v>0.37343279970293602</v>
      </c>
      <c r="AG73" s="93">
        <v>752.4</v>
      </c>
      <c r="AH73" s="93"/>
      <c r="AI73" s="93"/>
      <c r="AJ73" s="93"/>
      <c r="AK73" s="93"/>
      <c r="AL73" s="122">
        <f t="shared" si="55"/>
        <v>0</v>
      </c>
      <c r="AM73" s="93">
        <v>0</v>
      </c>
      <c r="AN73" s="94">
        <f t="shared" si="56"/>
        <v>86.849099999999993</v>
      </c>
      <c r="AO73" s="95">
        <f t="shared" si="57"/>
        <v>293.23090000000002</v>
      </c>
      <c r="AP73" s="96"/>
      <c r="AQ73" s="97">
        <f t="shared" si="6"/>
        <v>798.93</v>
      </c>
      <c r="AR73" s="98">
        <f t="shared" si="35"/>
        <v>123.09</v>
      </c>
      <c r="AS73" s="98">
        <f t="shared" si="8"/>
        <v>298.34666666666664</v>
      </c>
      <c r="AT73" s="98">
        <f t="shared" si="9"/>
        <v>250.79999999999998</v>
      </c>
      <c r="AU73" s="98">
        <f t="shared" si="58"/>
        <v>0</v>
      </c>
      <c r="AV73" s="98">
        <f t="array" ref="AV73">_xlfn.IFS(U73=0,AO73,U73&lt;0,AO73/-U73,U73&gt;0,AO73/U73)</f>
        <v>97.743633333333335</v>
      </c>
      <c r="AW73" s="234">
        <f t="shared" si="43"/>
        <v>0.12234317566411744</v>
      </c>
      <c r="AX73" s="234">
        <f t="shared" si="44"/>
        <v>0.7940826495518184</v>
      </c>
      <c r="AY73" s="99"/>
      <c r="AZ73" s="94">
        <f t="shared" si="12"/>
        <v>879.69270000000006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4</v>
      </c>
      <c r="N74" s="89">
        <v>0</v>
      </c>
      <c r="O74" s="89">
        <v>0</v>
      </c>
      <c r="P74" s="89">
        <v>0</v>
      </c>
      <c r="Q74" s="233">
        <f t="shared" si="46"/>
        <v>0</v>
      </c>
      <c r="R74" s="92">
        <f t="shared" si="47"/>
        <v>0.14285714285714285</v>
      </c>
      <c r="S74" s="93">
        <v>1</v>
      </c>
      <c r="T74" s="93">
        <v>0</v>
      </c>
      <c r="U74" s="92">
        <f t="shared" si="48"/>
        <v>1</v>
      </c>
      <c r="V74" s="93">
        <v>502</v>
      </c>
      <c r="W74" s="93">
        <v>0</v>
      </c>
      <c r="X74" s="92">
        <f t="shared" si="49"/>
        <v>502</v>
      </c>
      <c r="Y74" s="93">
        <v>781</v>
      </c>
      <c r="Z74" s="93">
        <v>0</v>
      </c>
      <c r="AA74" s="92">
        <f t="shared" si="50"/>
        <v>781</v>
      </c>
      <c r="AB74" s="92">
        <f t="shared" si="51"/>
        <v>0</v>
      </c>
      <c r="AC74" s="234">
        <f t="shared" si="52"/>
        <v>3.1820253783024829E-4</v>
      </c>
      <c r="AD74" s="92">
        <f t="shared" si="53"/>
        <v>134.79</v>
      </c>
      <c r="AE74" s="93">
        <v>295.20999999999998</v>
      </c>
      <c r="AF74" s="234">
        <f t="shared" si="54"/>
        <v>0.37798975672215107</v>
      </c>
      <c r="AG74" s="93">
        <v>46.86</v>
      </c>
      <c r="AH74" s="93"/>
      <c r="AI74" s="93"/>
      <c r="AJ74" s="93"/>
      <c r="AK74" s="93"/>
      <c r="AL74" s="122">
        <f t="shared" si="55"/>
        <v>0</v>
      </c>
      <c r="AM74" s="93">
        <v>0</v>
      </c>
      <c r="AN74" s="94">
        <f t="shared" si="56"/>
        <v>28.664199999999997</v>
      </c>
      <c r="AO74" s="95">
        <f t="shared" si="57"/>
        <v>275.47580000000005</v>
      </c>
      <c r="AP74" s="96"/>
      <c r="AQ74" s="97">
        <f t="shared" si="6"/>
        <v>781</v>
      </c>
      <c r="AR74" s="98">
        <f t="shared" si="35"/>
        <v>134.79</v>
      </c>
      <c r="AS74" s="98">
        <f t="shared" si="8"/>
        <v>295.20999999999998</v>
      </c>
      <c r="AT74" s="98">
        <f t="shared" si="9"/>
        <v>46.86</v>
      </c>
      <c r="AU74" s="98">
        <f t="shared" si="58"/>
        <v>0</v>
      </c>
      <c r="AV74" s="98">
        <f t="array" ref="AV74">_xlfn.IFS(U74=0,AO74,U74&lt;0,AO74/-U74,U74&gt;0,AO74/U74)</f>
        <v>275.47580000000005</v>
      </c>
      <c r="AW74" s="234">
        <f t="shared" si="43"/>
        <v>0.35272189500640211</v>
      </c>
      <c r="AX74" s="234">
        <f t="shared" si="44"/>
        <v>2.0437406335781589</v>
      </c>
      <c r="AY74" s="99"/>
      <c r="AZ74" s="94">
        <f t="shared" si="12"/>
        <v>550.9516000000001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2"/>
        <v>4313.28</v>
      </c>
      <c r="M75" s="89">
        <v>999</v>
      </c>
      <c r="N75" s="89">
        <v>1</v>
      </c>
      <c r="O75" s="89">
        <v>763</v>
      </c>
      <c r="P75" s="89">
        <v>0</v>
      </c>
      <c r="Q75" s="233">
        <f t="shared" si="46"/>
        <v>0.14285714285714285</v>
      </c>
      <c r="R75" s="92">
        <f t="shared" si="47"/>
        <v>-0.14285714285714285</v>
      </c>
      <c r="S75" s="93">
        <v>0</v>
      </c>
      <c r="T75" s="93">
        <v>-1</v>
      </c>
      <c r="U75" s="92">
        <f t="shared" si="48"/>
        <v>-1</v>
      </c>
      <c r="V75" s="93">
        <v>0</v>
      </c>
      <c r="W75" s="93">
        <v>-470</v>
      </c>
      <c r="X75" s="92">
        <f t="shared" si="49"/>
        <v>-470</v>
      </c>
      <c r="Y75" s="93">
        <v>0</v>
      </c>
      <c r="Z75" s="93">
        <v>-740.11</v>
      </c>
      <c r="AA75" s="92">
        <f t="shared" si="50"/>
        <v>-740.11</v>
      </c>
      <c r="AB75" s="92">
        <f t="shared" si="51"/>
        <v>0</v>
      </c>
      <c r="AC75" s="234">
        <f t="shared" si="52"/>
        <v>-3.0154274042707438E-4</v>
      </c>
      <c r="AD75" s="92">
        <f t="shared" si="53"/>
        <v>-134.79</v>
      </c>
      <c r="AE75" s="93">
        <v>-276.16000000000003</v>
      </c>
      <c r="AF75" s="234">
        <f t="shared" si="54"/>
        <v>0.3731337233654457</v>
      </c>
      <c r="AG75" s="93">
        <v>50</v>
      </c>
      <c r="AH75" s="93"/>
      <c r="AI75" s="93"/>
      <c r="AJ75" s="93"/>
      <c r="AK75" s="93"/>
      <c r="AL75" s="122">
        <f t="shared" si="55"/>
        <v>0</v>
      </c>
      <c r="AM75" s="93">
        <v>0</v>
      </c>
      <c r="AN75" s="94">
        <f t="shared" si="56"/>
        <v>-26.837</v>
      </c>
      <c r="AO75" s="95">
        <f t="shared" si="57"/>
        <v>-352.32300000000004</v>
      </c>
      <c r="AP75" s="96"/>
      <c r="AQ75" s="97">
        <f t="shared" si="6"/>
        <v>740.11</v>
      </c>
      <c r="AR75" s="98">
        <f t="shared" si="35"/>
        <v>134.79</v>
      </c>
      <c r="AS75" s="98">
        <f t="shared" si="8"/>
        <v>276.16000000000003</v>
      </c>
      <c r="AT75" s="98">
        <f t="shared" si="9"/>
        <v>50</v>
      </c>
      <c r="AU75" s="98">
        <f t="shared" si="58"/>
        <v>0</v>
      </c>
      <c r="AV75" s="98">
        <f t="array" ref="AV75">_xlfn.IFS(U75=0,AO75,U75&lt;0,AO75/-U75,U75&gt;0,AO75/U75)</f>
        <v>-352.32300000000004</v>
      </c>
      <c r="AW75" s="234">
        <f t="shared" si="43"/>
        <v>-0.47604139925146266</v>
      </c>
      <c r="AX75" s="234">
        <f t="shared" si="44"/>
        <v>-2.6138660137992438</v>
      </c>
      <c r="AY75" s="99"/>
      <c r="AZ75" s="94">
        <f t="shared" si="12"/>
        <v>-11274.336000000001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48</v>
      </c>
      <c r="F76" s="93">
        <v>2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2"/>
        <v>5908.32</v>
      </c>
      <c r="M76" s="89">
        <v>207</v>
      </c>
      <c r="N76" s="89">
        <v>6</v>
      </c>
      <c r="O76" s="89">
        <v>1050</v>
      </c>
      <c r="P76" s="89">
        <v>50</v>
      </c>
      <c r="Q76" s="233">
        <f t="shared" si="46"/>
        <v>0.8571428571428571</v>
      </c>
      <c r="R76" s="92">
        <f t="shared" si="47"/>
        <v>0.42857142857142855</v>
      </c>
      <c r="S76" s="93">
        <v>3</v>
      </c>
      <c r="T76" s="93">
        <v>0</v>
      </c>
      <c r="U76" s="92">
        <f t="shared" si="48"/>
        <v>3</v>
      </c>
      <c r="V76" s="93">
        <v>2029</v>
      </c>
      <c r="W76" s="93">
        <v>0</v>
      </c>
      <c r="X76" s="92">
        <f t="shared" si="49"/>
        <v>2029</v>
      </c>
      <c r="Y76" s="93">
        <v>3150</v>
      </c>
      <c r="Z76" s="93">
        <v>0</v>
      </c>
      <c r="AA76" s="92">
        <f t="shared" si="50"/>
        <v>3150</v>
      </c>
      <c r="AB76" s="92">
        <f t="shared" si="51"/>
        <v>3150</v>
      </c>
      <c r="AC76" s="234">
        <f t="shared" si="52"/>
        <v>1.2834033215944713E-3</v>
      </c>
      <c r="AD76" s="92">
        <f t="shared" si="53"/>
        <v>369.27</v>
      </c>
      <c r="AE76" s="93">
        <v>1192.3499999999999</v>
      </c>
      <c r="AF76" s="234">
        <f t="shared" si="54"/>
        <v>0.37852380952380948</v>
      </c>
      <c r="AG76" s="93">
        <v>489.15</v>
      </c>
      <c r="AH76" s="93"/>
      <c r="AI76" s="93"/>
      <c r="AJ76" s="93"/>
      <c r="AK76" s="93"/>
      <c r="AL76" s="122">
        <f t="shared" si="55"/>
        <v>38.15886173956762</v>
      </c>
      <c r="AM76" s="93">
        <v>0</v>
      </c>
      <c r="AN76" s="94">
        <f t="shared" si="56"/>
        <v>115.85589999999999</v>
      </c>
      <c r="AO76" s="95">
        <f t="shared" si="57"/>
        <v>945.21523826043244</v>
      </c>
      <c r="AP76" s="96"/>
      <c r="AQ76" s="97">
        <f t="shared" si="6"/>
        <v>1050</v>
      </c>
      <c r="AR76" s="98">
        <f t="shared" si="35"/>
        <v>123.09</v>
      </c>
      <c r="AS76" s="98">
        <f t="shared" si="8"/>
        <v>397.45</v>
      </c>
      <c r="AT76" s="98">
        <f t="shared" si="9"/>
        <v>163.04999999999998</v>
      </c>
      <c r="AU76" s="98">
        <f t="shared" si="58"/>
        <v>0</v>
      </c>
      <c r="AV76" s="98">
        <f t="array" ref="AV76">_xlfn.IFS(U76=0,AO76,U76&lt;0,AO76/-U76,U76&gt;0,AO76/U76)</f>
        <v>315.07174608681083</v>
      </c>
      <c r="AW76" s="234">
        <f t="shared" si="43"/>
        <v>0.30006832960648649</v>
      </c>
      <c r="AX76" s="234">
        <f t="shared" si="44"/>
        <v>2.5596859703209915</v>
      </c>
      <c r="AY76" s="99"/>
      <c r="AZ76" s="94">
        <f t="shared" si="12"/>
        <v>15123.443812166919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46"/>
        <v>0</v>
      </c>
      <c r="R77" s="92">
        <f t="shared" si="47"/>
        <v>0</v>
      </c>
      <c r="S77" s="93">
        <v>0</v>
      </c>
      <c r="T77" s="93">
        <v>0</v>
      </c>
      <c r="U77" s="92">
        <f t="shared" si="48"/>
        <v>0</v>
      </c>
      <c r="V77" s="93">
        <v>0</v>
      </c>
      <c r="W77" s="93">
        <v>0</v>
      </c>
      <c r="X77" s="92">
        <f t="shared" si="49"/>
        <v>0</v>
      </c>
      <c r="Y77" s="93">
        <v>0</v>
      </c>
      <c r="Z77" s="93">
        <v>0</v>
      </c>
      <c r="AA77" s="92">
        <f t="shared" si="50"/>
        <v>0</v>
      </c>
      <c r="AB77" s="92">
        <f t="shared" si="51"/>
        <v>0</v>
      </c>
      <c r="AC77" s="234">
        <f t="shared" si="52"/>
        <v>0</v>
      </c>
      <c r="AD77" s="92">
        <f t="shared" si="53"/>
        <v>0</v>
      </c>
      <c r="AE77" s="93">
        <v>0</v>
      </c>
      <c r="AF77" s="234">
        <f t="shared" si="54"/>
        <v>0</v>
      </c>
      <c r="AG77" s="93">
        <v>0</v>
      </c>
      <c r="AH77" s="93"/>
      <c r="AI77" s="93"/>
      <c r="AJ77" s="93"/>
      <c r="AK77" s="93"/>
      <c r="AL77" s="122">
        <f t="shared" si="55"/>
        <v>33.822627450980391</v>
      </c>
      <c r="AM77" s="93">
        <v>0</v>
      </c>
      <c r="AN77" s="94">
        <f t="shared" si="56"/>
        <v>0</v>
      </c>
      <c r="AO77" s="95">
        <f t="shared" si="57"/>
        <v>-33.822627450980391</v>
      </c>
      <c r="AP77" s="96"/>
      <c r="AQ77" s="97">
        <f t="shared" si="6"/>
        <v>0</v>
      </c>
      <c r="AR77" s="98">
        <f t="shared" si="35"/>
        <v>123.09</v>
      </c>
      <c r="AS77" s="98">
        <f t="shared" si="8"/>
        <v>0</v>
      </c>
      <c r="AT77" s="98">
        <f t="shared" si="9"/>
        <v>0</v>
      </c>
      <c r="AU77" s="98">
        <f t="shared" si="58"/>
        <v>0</v>
      </c>
      <c r="AV77" s="98">
        <f t="array" ref="AV77">_xlfn.IFS(U77=0,AO77,U77&lt;0,AO77/-U77,U77&gt;0,AO77/U77)</f>
        <v>-33.822627450980391</v>
      </c>
      <c r="AW77" s="234">
        <f t="shared" si="43"/>
        <v>0</v>
      </c>
      <c r="AX77" s="234">
        <f t="shared" si="44"/>
        <v>-0.27477965270111621</v>
      </c>
      <c r="AY77" s="99"/>
      <c r="AZ77" s="94">
        <f t="shared" si="12"/>
        <v>-1454.3729803921569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28</v>
      </c>
      <c r="F78" s="93">
        <v>3</v>
      </c>
      <c r="G78" s="93" t="s">
        <v>100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2"/>
        <v>3446.52</v>
      </c>
      <c r="M78" s="89">
        <v>189</v>
      </c>
      <c r="N78" s="89">
        <v>2</v>
      </c>
      <c r="O78" s="89">
        <v>1000</v>
      </c>
      <c r="P78" s="89">
        <v>0</v>
      </c>
      <c r="Q78" s="233">
        <f t="shared" si="46"/>
        <v>0.2857142857142857</v>
      </c>
      <c r="R78" s="92">
        <f t="shared" si="47"/>
        <v>0</v>
      </c>
      <c r="S78" s="93">
        <v>0</v>
      </c>
      <c r="T78" s="93">
        <v>0</v>
      </c>
      <c r="U78" s="92">
        <f t="shared" si="48"/>
        <v>0</v>
      </c>
      <c r="V78" s="93">
        <v>0</v>
      </c>
      <c r="W78" s="93">
        <v>0</v>
      </c>
      <c r="X78" s="92">
        <f t="shared" si="49"/>
        <v>0</v>
      </c>
      <c r="Y78" s="93">
        <v>0</v>
      </c>
      <c r="Z78" s="93">
        <v>0</v>
      </c>
      <c r="AA78" s="92">
        <f t="shared" si="50"/>
        <v>0</v>
      </c>
      <c r="AB78" s="92">
        <f t="shared" si="51"/>
        <v>0</v>
      </c>
      <c r="AC78" s="234">
        <f t="shared" si="52"/>
        <v>0</v>
      </c>
      <c r="AD78" s="92">
        <f t="shared" si="53"/>
        <v>0</v>
      </c>
      <c r="AE78" s="93">
        <v>0</v>
      </c>
      <c r="AF78" s="234">
        <f t="shared" si="54"/>
        <v>0</v>
      </c>
      <c r="AG78" s="93">
        <v>108.58</v>
      </c>
      <c r="AH78" s="93"/>
      <c r="AI78" s="93"/>
      <c r="AJ78" s="93"/>
      <c r="AK78" s="93"/>
      <c r="AL78" s="122">
        <f t="shared" si="55"/>
        <v>20.813924585218704</v>
      </c>
      <c r="AM78" s="93">
        <v>0</v>
      </c>
      <c r="AN78" s="94">
        <f t="shared" si="56"/>
        <v>0</v>
      </c>
      <c r="AO78" s="95">
        <f t="shared" si="57"/>
        <v>-129.39392458521871</v>
      </c>
      <c r="AP78" s="96"/>
      <c r="AQ78" s="97">
        <f t="shared" si="6"/>
        <v>0</v>
      </c>
      <c r="AR78" s="98">
        <f t="shared" si="35"/>
        <v>123.09</v>
      </c>
      <c r="AS78" s="98">
        <f t="shared" si="8"/>
        <v>0</v>
      </c>
      <c r="AT78" s="98">
        <f t="shared" si="9"/>
        <v>108.58</v>
      </c>
      <c r="AU78" s="98">
        <f t="shared" si="58"/>
        <v>0</v>
      </c>
      <c r="AV78" s="98">
        <f t="array" ref="AV78">_xlfn.IFS(U78=0,AO78,U78&lt;0,AO78/-U78,U78&gt;0,AO78/U78)</f>
        <v>-129.39392458521871</v>
      </c>
      <c r="AW78" s="234">
        <f t="shared" si="43"/>
        <v>0</v>
      </c>
      <c r="AX78" s="234">
        <f t="shared" si="44"/>
        <v>-1.0512139457731635</v>
      </c>
      <c r="AY78" s="99"/>
      <c r="AZ78" s="94">
        <f t="shared" si="12"/>
        <v>-3623.0298883861242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2</v>
      </c>
      <c r="G79" s="93">
        <v>1</v>
      </c>
      <c r="H79" s="93">
        <v>46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365</v>
      </c>
      <c r="N79" s="89">
        <v>2</v>
      </c>
      <c r="O79" s="89">
        <v>1500</v>
      </c>
      <c r="P79" s="89">
        <v>0</v>
      </c>
      <c r="Q79" s="233">
        <f t="shared" si="46"/>
        <v>0.2857142857142857</v>
      </c>
      <c r="R79" s="92">
        <f t="shared" si="47"/>
        <v>0</v>
      </c>
      <c r="S79" s="93">
        <v>0</v>
      </c>
      <c r="T79" s="93">
        <v>0</v>
      </c>
      <c r="U79" s="92">
        <f t="shared" si="48"/>
        <v>0</v>
      </c>
      <c r="V79" s="93">
        <v>0</v>
      </c>
      <c r="W79" s="93">
        <v>0</v>
      </c>
      <c r="X79" s="92">
        <f t="shared" si="49"/>
        <v>0</v>
      </c>
      <c r="Y79" s="93">
        <v>0</v>
      </c>
      <c r="Z79" s="93">
        <v>0</v>
      </c>
      <c r="AA79" s="92">
        <f t="shared" si="50"/>
        <v>0</v>
      </c>
      <c r="AB79" s="92">
        <f t="shared" si="51"/>
        <v>0</v>
      </c>
      <c r="AC79" s="234">
        <f t="shared" si="52"/>
        <v>0</v>
      </c>
      <c r="AD79" s="92">
        <f t="shared" si="53"/>
        <v>0</v>
      </c>
      <c r="AE79" s="93">
        <v>0</v>
      </c>
      <c r="AF79" s="234">
        <f t="shared" si="54"/>
        <v>0</v>
      </c>
      <c r="AG79" s="93">
        <v>96.86</v>
      </c>
      <c r="AH79" s="93"/>
      <c r="AI79" s="93"/>
      <c r="AJ79" s="93"/>
      <c r="AK79" s="93"/>
      <c r="AL79" s="122">
        <f t="shared" si="55"/>
        <v>39.893355455002521</v>
      </c>
      <c r="AM79" s="93">
        <v>0</v>
      </c>
      <c r="AN79" s="94">
        <f t="shared" si="56"/>
        <v>0</v>
      </c>
      <c r="AO79" s="95">
        <f t="shared" si="57"/>
        <v>-136.75335545500252</v>
      </c>
      <c r="AP79" s="96"/>
      <c r="AQ79" s="97">
        <f t="shared" si="6"/>
        <v>0</v>
      </c>
      <c r="AR79" s="98">
        <f t="shared" si="35"/>
        <v>164.04</v>
      </c>
      <c r="AS79" s="98">
        <f t="shared" si="8"/>
        <v>0</v>
      </c>
      <c r="AT79" s="98">
        <f t="shared" si="9"/>
        <v>96.86</v>
      </c>
      <c r="AU79" s="98">
        <f t="shared" si="58"/>
        <v>0</v>
      </c>
      <c r="AV79" s="98">
        <f t="array" ref="AV79">_xlfn.IFS(U79=0,AO79,U79&lt;0,AO79/-U79,U79&gt;0,AO79/U79)</f>
        <v>-136.75335545500252</v>
      </c>
      <c r="AW79" s="234">
        <f t="shared" si="43"/>
        <v>0</v>
      </c>
      <c r="AX79" s="234">
        <f t="shared" si="44"/>
        <v>-0.83365859214217586</v>
      </c>
      <c r="AY79" s="99"/>
      <c r="AZ79" s="94">
        <f t="shared" si="12"/>
        <v>-6837.6677727501265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47</v>
      </c>
      <c r="F80" s="93">
        <v>3</v>
      </c>
      <c r="G80" s="93" t="s">
        <v>100</v>
      </c>
      <c r="H80" s="93">
        <v>43</v>
      </c>
      <c r="I80" s="93">
        <v>0</v>
      </c>
      <c r="J80" s="93">
        <v>1</v>
      </c>
      <c r="K80" s="93">
        <v>164.04</v>
      </c>
      <c r="L80" s="92">
        <f t="shared" si="42"/>
        <v>7709.8799999999992</v>
      </c>
      <c r="M80" s="89">
        <v>227</v>
      </c>
      <c r="N80" s="89">
        <v>4</v>
      </c>
      <c r="O80" s="89">
        <v>1011</v>
      </c>
      <c r="P80" s="89">
        <v>100</v>
      </c>
      <c r="Q80" s="233">
        <f t="shared" si="46"/>
        <v>0.5714285714285714</v>
      </c>
      <c r="R80" s="92">
        <f t="shared" si="47"/>
        <v>0.14285714285714285</v>
      </c>
      <c r="S80" s="93">
        <v>1</v>
      </c>
      <c r="T80" s="93">
        <v>0</v>
      </c>
      <c r="U80" s="92">
        <f t="shared" si="48"/>
        <v>1</v>
      </c>
      <c r="V80" s="93">
        <v>616</v>
      </c>
      <c r="W80" s="93">
        <v>0</v>
      </c>
      <c r="X80" s="92">
        <f t="shared" si="49"/>
        <v>616</v>
      </c>
      <c r="Y80" s="93">
        <v>987</v>
      </c>
      <c r="Z80" s="93">
        <v>0</v>
      </c>
      <c r="AA80" s="92">
        <f t="shared" si="50"/>
        <v>987</v>
      </c>
      <c r="AB80" s="92">
        <f t="shared" si="51"/>
        <v>4044</v>
      </c>
      <c r="AC80" s="234">
        <f t="shared" si="52"/>
        <v>4.0213304076626769E-4</v>
      </c>
      <c r="AD80" s="92">
        <f t="shared" si="53"/>
        <v>164.04</v>
      </c>
      <c r="AE80" s="93">
        <v>372.54999999999995</v>
      </c>
      <c r="AF80" s="234">
        <f t="shared" si="54"/>
        <v>0.37745694022289761</v>
      </c>
      <c r="AG80" s="93">
        <v>141.25</v>
      </c>
      <c r="AH80" s="93"/>
      <c r="AI80" s="93"/>
      <c r="AJ80" s="93"/>
      <c r="AK80" s="93"/>
      <c r="AL80" s="122">
        <f t="shared" si="55"/>
        <v>37.29161488185018</v>
      </c>
      <c r="AM80" s="93">
        <v>0</v>
      </c>
      <c r="AN80" s="94">
        <f t="shared" si="56"/>
        <v>35.1736</v>
      </c>
      <c r="AO80" s="95">
        <f t="shared" si="57"/>
        <v>236.69478511814989</v>
      </c>
      <c r="AP80" s="96"/>
      <c r="AQ80" s="97">
        <f t="shared" si="6"/>
        <v>987</v>
      </c>
      <c r="AR80" s="98">
        <f t="shared" si="35"/>
        <v>164.04</v>
      </c>
      <c r="AS80" s="98">
        <f t="shared" si="8"/>
        <v>372.54999999999995</v>
      </c>
      <c r="AT80" s="98">
        <f t="shared" si="9"/>
        <v>141.25</v>
      </c>
      <c r="AU80" s="98">
        <f t="shared" si="58"/>
        <v>0</v>
      </c>
      <c r="AV80" s="98">
        <f t="array" ref="AV80">_xlfn.IFS(U80=0,AO80,U80&lt;0,AO80/-U80,U80&gt;0,AO80/U80)</f>
        <v>236.69478511814989</v>
      </c>
      <c r="AW80" s="234">
        <f t="shared" si="43"/>
        <v>0.23981234561109413</v>
      </c>
      <c r="AX80" s="234">
        <f t="shared" si="44"/>
        <v>1.4429089558531449</v>
      </c>
      <c r="AY80" s="99"/>
      <c r="AZ80" s="94">
        <f t="shared" si="12"/>
        <v>11124.654900553045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39</v>
      </c>
      <c r="F81" s="93">
        <v>9</v>
      </c>
      <c r="G81" s="93">
        <v>3</v>
      </c>
      <c r="H81" s="93">
        <v>26</v>
      </c>
      <c r="I81" s="93">
        <v>0</v>
      </c>
      <c r="J81" s="93">
        <v>1</v>
      </c>
      <c r="K81" s="93">
        <v>128.94</v>
      </c>
      <c r="L81" s="92">
        <f t="shared" si="42"/>
        <v>5028.66</v>
      </c>
      <c r="M81" s="89">
        <v>56</v>
      </c>
      <c r="N81" s="89">
        <v>12</v>
      </c>
      <c r="O81" s="89">
        <v>1167</v>
      </c>
      <c r="P81" s="89">
        <v>25</v>
      </c>
      <c r="Q81" s="233">
        <f t="shared" si="46"/>
        <v>1.7142857142857142</v>
      </c>
      <c r="R81" s="92">
        <f t="shared" si="47"/>
        <v>0.8571428571428571</v>
      </c>
      <c r="S81" s="93">
        <v>6</v>
      </c>
      <c r="T81" s="93">
        <v>0</v>
      </c>
      <c r="U81" s="92">
        <f t="shared" si="48"/>
        <v>6</v>
      </c>
      <c r="V81" s="93">
        <v>4422</v>
      </c>
      <c r="W81" s="93">
        <v>0</v>
      </c>
      <c r="X81" s="92">
        <f t="shared" si="49"/>
        <v>4422</v>
      </c>
      <c r="Y81" s="93">
        <v>7106</v>
      </c>
      <c r="Z81" s="93">
        <v>0</v>
      </c>
      <c r="AA81" s="92">
        <f t="shared" si="50"/>
        <v>7106</v>
      </c>
      <c r="AB81" s="92">
        <f t="shared" si="51"/>
        <v>3501</v>
      </c>
      <c r="AC81" s="234">
        <f t="shared" si="52"/>
        <v>2.8951949216667662E-3</v>
      </c>
      <c r="AD81" s="92">
        <f t="shared" si="53"/>
        <v>773.64</v>
      </c>
      <c r="AE81" s="93">
        <v>2635.6899999999996</v>
      </c>
      <c r="AF81" s="234">
        <f t="shared" si="54"/>
        <v>0.37091049817056004</v>
      </c>
      <c r="AG81" s="93">
        <v>1057.75</v>
      </c>
      <c r="AH81" s="93">
        <v>487</v>
      </c>
      <c r="AI81" s="93">
        <v>2056</v>
      </c>
      <c r="AJ81" s="93"/>
      <c r="AK81" s="93"/>
      <c r="AL81" s="122">
        <f t="shared" si="55"/>
        <v>22.548418300653598</v>
      </c>
      <c r="AM81" s="93">
        <v>0</v>
      </c>
      <c r="AN81" s="94">
        <f t="shared" si="56"/>
        <v>252.49619999999999</v>
      </c>
      <c r="AO81" s="95">
        <f t="shared" si="57"/>
        <v>-179.12461830065351</v>
      </c>
      <c r="AP81" s="96"/>
      <c r="AQ81" s="97">
        <f t="shared" si="6"/>
        <v>1184.3333333333333</v>
      </c>
      <c r="AR81" s="98">
        <f t="shared" si="35"/>
        <v>128.94</v>
      </c>
      <c r="AS81" s="98">
        <f t="shared" si="8"/>
        <v>439.28166666666658</v>
      </c>
      <c r="AT81" s="98">
        <f t="shared" si="9"/>
        <v>176.29166666666666</v>
      </c>
      <c r="AU81" s="98">
        <f t="shared" si="58"/>
        <v>423.83333333333331</v>
      </c>
      <c r="AV81" s="98">
        <f t="array" ref="AV81">_xlfn.IFS(U81=0,AO81,U81&lt;0,AO81/-U81,U81&gt;0,AO81/U81)</f>
        <v>-29.854103050108918</v>
      </c>
      <c r="AW81" s="234">
        <f t="shared" si="43"/>
        <v>-2.5207517351625883E-2</v>
      </c>
      <c r="AX81" s="234">
        <f t="shared" si="44"/>
        <v>-0.23153484605327221</v>
      </c>
      <c r="AY81" s="99"/>
      <c r="AZ81" s="94">
        <f t="shared" si="12"/>
        <v>-1164.3100189542479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6"/>
        <v>0</v>
      </c>
      <c r="R82" s="92">
        <f t="shared" si="47"/>
        <v>0</v>
      </c>
      <c r="S82" s="93">
        <v>0</v>
      </c>
      <c r="T82" s="93">
        <v>0</v>
      </c>
      <c r="U82" s="92">
        <f t="shared" si="48"/>
        <v>0</v>
      </c>
      <c r="V82" s="93">
        <v>0</v>
      </c>
      <c r="W82" s="93">
        <v>0</v>
      </c>
      <c r="X82" s="92">
        <f t="shared" si="49"/>
        <v>0</v>
      </c>
      <c r="Y82" s="93">
        <v>0</v>
      </c>
      <c r="Z82" s="93">
        <v>0</v>
      </c>
      <c r="AA82" s="92">
        <f t="shared" si="50"/>
        <v>0</v>
      </c>
      <c r="AB82" s="92">
        <f t="shared" si="51"/>
        <v>0</v>
      </c>
      <c r="AC82" s="234">
        <f t="shared" si="52"/>
        <v>0</v>
      </c>
      <c r="AD82" s="92">
        <f t="shared" si="53"/>
        <v>0</v>
      </c>
      <c r="AE82" s="93">
        <v>0</v>
      </c>
      <c r="AF82" s="234">
        <f t="shared" si="54"/>
        <v>0</v>
      </c>
      <c r="AG82" s="93">
        <v>0</v>
      </c>
      <c r="AH82" s="93"/>
      <c r="AI82" s="93"/>
      <c r="AJ82" s="93"/>
      <c r="AK82" s="93"/>
      <c r="AL82" s="122">
        <f t="shared" si="55"/>
        <v>41.627849170437408</v>
      </c>
      <c r="AM82" s="93">
        <v>0</v>
      </c>
      <c r="AN82" s="94">
        <f t="shared" si="56"/>
        <v>0</v>
      </c>
      <c r="AO82" s="95">
        <f t="shared" si="57"/>
        <v>-41.627849170437408</v>
      </c>
      <c r="AP82" s="96"/>
      <c r="AQ82" s="97">
        <f t="shared" si="6"/>
        <v>0</v>
      </c>
      <c r="AR82" s="98">
        <f t="shared" si="35"/>
        <v>128.94</v>
      </c>
      <c r="AS82" s="98">
        <f t="shared" si="8"/>
        <v>0</v>
      </c>
      <c r="AT82" s="98">
        <f t="shared" si="9"/>
        <v>0</v>
      </c>
      <c r="AU82" s="98">
        <f t="shared" si="58"/>
        <v>0</v>
      </c>
      <c r="AV82" s="98">
        <f t="array" ref="AV82">_xlfn.IFS(U82=0,AO82,U82&lt;0,AO82/-U82,U82&gt;0,AO82/U82)</f>
        <v>-41.627849170437408</v>
      </c>
      <c r="AW82" s="234">
        <f t="shared" si="43"/>
        <v>0</v>
      </c>
      <c r="AX82" s="234">
        <f t="shared" si="44"/>
        <v>-0.32284666643739263</v>
      </c>
      <c r="AY82" s="99"/>
      <c r="AZ82" s="94">
        <f t="shared" si="12"/>
        <v>-2039.7646093514329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50</v>
      </c>
      <c r="F83" s="93">
        <v>3</v>
      </c>
      <c r="G83" s="93">
        <v>1</v>
      </c>
      <c r="H83" s="93">
        <v>45</v>
      </c>
      <c r="I83" s="93">
        <v>0</v>
      </c>
      <c r="J83" s="93">
        <v>1</v>
      </c>
      <c r="K83" s="93">
        <v>123.09</v>
      </c>
      <c r="L83" s="92">
        <f t="shared" si="42"/>
        <v>6154.5</v>
      </c>
      <c r="M83" s="89">
        <v>363</v>
      </c>
      <c r="N83" s="89">
        <v>3</v>
      </c>
      <c r="O83" s="89">
        <v>1375</v>
      </c>
      <c r="P83" s="89">
        <v>0</v>
      </c>
      <c r="Q83" s="233">
        <f t="shared" si="46"/>
        <v>0.42857142857142855</v>
      </c>
      <c r="R83" s="92">
        <f t="shared" si="47"/>
        <v>0</v>
      </c>
      <c r="S83" s="93">
        <v>0</v>
      </c>
      <c r="T83" s="93">
        <v>0</v>
      </c>
      <c r="U83" s="92">
        <f t="shared" si="48"/>
        <v>0</v>
      </c>
      <c r="V83" s="93">
        <v>0</v>
      </c>
      <c r="W83" s="93">
        <v>0</v>
      </c>
      <c r="X83" s="92">
        <f t="shared" si="49"/>
        <v>0</v>
      </c>
      <c r="Y83" s="93">
        <v>0</v>
      </c>
      <c r="Z83" s="93">
        <v>0</v>
      </c>
      <c r="AA83" s="92">
        <f t="shared" si="50"/>
        <v>0</v>
      </c>
      <c r="AB83" s="92">
        <f t="shared" si="51"/>
        <v>0</v>
      </c>
      <c r="AC83" s="234">
        <f t="shared" si="52"/>
        <v>0</v>
      </c>
      <c r="AD83" s="92">
        <f t="shared" si="53"/>
        <v>0</v>
      </c>
      <c r="AE83" s="93">
        <v>0</v>
      </c>
      <c r="AF83" s="234">
        <f t="shared" si="54"/>
        <v>0</v>
      </c>
      <c r="AG83" s="93">
        <v>108.58</v>
      </c>
      <c r="AH83" s="93"/>
      <c r="AI83" s="93"/>
      <c r="AJ83" s="93"/>
      <c r="AK83" s="93"/>
      <c r="AL83" s="122">
        <f t="shared" si="55"/>
        <v>39.026108597285074</v>
      </c>
      <c r="AM83" s="93">
        <v>0</v>
      </c>
      <c r="AN83" s="94">
        <f t="shared" si="56"/>
        <v>0</v>
      </c>
      <c r="AO83" s="95">
        <f t="shared" si="57"/>
        <v>-147.60610859728507</v>
      </c>
      <c r="AP83" s="96"/>
      <c r="AQ83" s="97">
        <f t="shared" si="6"/>
        <v>0</v>
      </c>
      <c r="AR83" s="98">
        <f t="shared" si="35"/>
        <v>123.09</v>
      </c>
      <c r="AS83" s="98">
        <f t="shared" si="8"/>
        <v>0</v>
      </c>
      <c r="AT83" s="98">
        <f t="shared" si="9"/>
        <v>108.58</v>
      </c>
      <c r="AU83" s="98">
        <f t="shared" si="58"/>
        <v>0</v>
      </c>
      <c r="AV83" s="98">
        <f t="array" ref="AV83">_xlfn.IFS(U83=0,AO83,U83&lt;0,AO83/-U83,U83&gt;0,AO83/U83)</f>
        <v>-147.60610859728507</v>
      </c>
      <c r="AW83" s="234">
        <f t="shared" si="43"/>
        <v>0</v>
      </c>
      <c r="AX83" s="234">
        <f t="shared" si="44"/>
        <v>-1.1991722203045339</v>
      </c>
      <c r="AY83" s="99"/>
      <c r="AZ83" s="94">
        <f t="shared" si="12"/>
        <v>-7380.3054298642537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6"/>
        <v>0</v>
      </c>
      <c r="R84" s="92">
        <f t="shared" si="47"/>
        <v>0</v>
      </c>
      <c r="S84" s="93">
        <v>0</v>
      </c>
      <c r="T84" s="93">
        <v>0</v>
      </c>
      <c r="U84" s="92">
        <f t="shared" si="48"/>
        <v>0</v>
      </c>
      <c r="V84" s="93">
        <v>0</v>
      </c>
      <c r="W84" s="93">
        <v>0</v>
      </c>
      <c r="X84" s="92">
        <f t="shared" si="49"/>
        <v>0</v>
      </c>
      <c r="Y84" s="93">
        <v>0</v>
      </c>
      <c r="Z84" s="93">
        <v>0</v>
      </c>
      <c r="AA84" s="92">
        <f t="shared" si="50"/>
        <v>0</v>
      </c>
      <c r="AB84" s="92">
        <f t="shared" si="51"/>
        <v>0</v>
      </c>
      <c r="AC84" s="234">
        <f t="shared" si="52"/>
        <v>0</v>
      </c>
      <c r="AD84" s="92">
        <f t="shared" si="53"/>
        <v>0</v>
      </c>
      <c r="AE84" s="93">
        <v>0</v>
      </c>
      <c r="AF84" s="234">
        <f t="shared" si="54"/>
        <v>0</v>
      </c>
      <c r="AG84" s="93">
        <v>0</v>
      </c>
      <c r="AH84" s="93"/>
      <c r="AI84" s="93"/>
      <c r="AJ84" s="93"/>
      <c r="AK84" s="93"/>
      <c r="AL84" s="122">
        <f t="shared" si="55"/>
        <v>41.627849170437408</v>
      </c>
      <c r="AM84" s="93">
        <v>0</v>
      </c>
      <c r="AN84" s="94">
        <f t="shared" si="56"/>
        <v>0</v>
      </c>
      <c r="AO84" s="95">
        <f t="shared" si="57"/>
        <v>-41.627849170437408</v>
      </c>
      <c r="AP84" s="96"/>
      <c r="AQ84" s="97">
        <f t="shared" si="6"/>
        <v>0</v>
      </c>
      <c r="AR84" s="98">
        <f t="shared" si="35"/>
        <v>146.49</v>
      </c>
      <c r="AS84" s="98">
        <f t="shared" si="8"/>
        <v>0</v>
      </c>
      <c r="AT84" s="98">
        <f t="shared" si="9"/>
        <v>0</v>
      </c>
      <c r="AU84" s="98">
        <f t="shared" si="58"/>
        <v>0</v>
      </c>
      <c r="AV84" s="98">
        <f t="array" ref="AV84">_xlfn.IFS(U84=0,AO84,U84&lt;0,AO84/-U84,U84&gt;0,AO84/U84)</f>
        <v>-41.627849170437408</v>
      </c>
      <c r="AW84" s="234">
        <f t="shared" si="43"/>
        <v>0</v>
      </c>
      <c r="AX84" s="234">
        <f t="shared" si="44"/>
        <v>-0.28416853826498328</v>
      </c>
      <c r="AY84" s="99"/>
      <c r="AZ84" s="94">
        <f t="shared" si="12"/>
        <v>-2039.7646093514329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43</v>
      </c>
      <c r="F85" s="93">
        <v>3</v>
      </c>
      <c r="G85" s="93">
        <v>2</v>
      </c>
      <c r="H85" s="93">
        <v>37</v>
      </c>
      <c r="I85" s="93">
        <v>0</v>
      </c>
      <c r="J85" s="93">
        <v>1</v>
      </c>
      <c r="K85" s="93">
        <v>103.2</v>
      </c>
      <c r="L85" s="92">
        <f t="shared" si="42"/>
        <v>4437.6000000000004</v>
      </c>
      <c r="M85" s="89">
        <v>207</v>
      </c>
      <c r="N85" s="89">
        <v>1</v>
      </c>
      <c r="O85" s="89">
        <v>1008</v>
      </c>
      <c r="P85" s="89">
        <v>0</v>
      </c>
      <c r="Q85" s="233">
        <f t="shared" si="46"/>
        <v>0.14285714285714285</v>
      </c>
      <c r="R85" s="92">
        <f t="shared" si="47"/>
        <v>-0.14285714285714285</v>
      </c>
      <c r="S85" s="93">
        <v>0</v>
      </c>
      <c r="T85" s="93">
        <v>-1</v>
      </c>
      <c r="U85" s="92">
        <f t="shared" si="48"/>
        <v>-1</v>
      </c>
      <c r="V85" s="93">
        <v>0</v>
      </c>
      <c r="W85" s="93">
        <v>-647</v>
      </c>
      <c r="X85" s="92">
        <f t="shared" si="49"/>
        <v>-647</v>
      </c>
      <c r="Y85" s="93">
        <v>0</v>
      </c>
      <c r="Z85" s="93">
        <v>-1008</v>
      </c>
      <c r="AA85" s="92">
        <f t="shared" si="50"/>
        <v>-1008</v>
      </c>
      <c r="AB85" s="92">
        <f t="shared" si="51"/>
        <v>0</v>
      </c>
      <c r="AC85" s="234">
        <f t="shared" si="52"/>
        <v>-4.1068906291023084E-4</v>
      </c>
      <c r="AD85" s="92">
        <f t="shared" si="53"/>
        <v>-103.2</v>
      </c>
      <c r="AE85" s="93">
        <v>-376.35</v>
      </c>
      <c r="AF85" s="234">
        <f t="shared" si="54"/>
        <v>0.37336309523809524</v>
      </c>
      <c r="AG85" s="93">
        <v>370.44</v>
      </c>
      <c r="AH85" s="93"/>
      <c r="AI85" s="93"/>
      <c r="AJ85" s="93"/>
      <c r="AK85" s="93"/>
      <c r="AL85" s="122">
        <f t="shared" si="55"/>
        <v>32.088133735545497</v>
      </c>
      <c r="AM85" s="93">
        <v>0</v>
      </c>
      <c r="AN85" s="94">
        <f t="shared" si="56"/>
        <v>-36.9437</v>
      </c>
      <c r="AO85" s="95">
        <f t="shared" si="57"/>
        <v>-894.03443373554535</v>
      </c>
      <c r="AP85" s="96"/>
      <c r="AQ85" s="97">
        <f t="shared" si="6"/>
        <v>1008</v>
      </c>
      <c r="AR85" s="98">
        <f t="shared" si="35"/>
        <v>103.2</v>
      </c>
      <c r="AS85" s="98">
        <f t="shared" si="8"/>
        <v>376.35</v>
      </c>
      <c r="AT85" s="98">
        <f t="shared" si="9"/>
        <v>370.44</v>
      </c>
      <c r="AU85" s="98">
        <f t="shared" si="58"/>
        <v>0</v>
      </c>
      <c r="AV85" s="98">
        <f t="array" ref="AV85">_xlfn.IFS(U85=0,AO85,U85&lt;0,AO85/-U85,U85&gt;0,AO85/U85)</f>
        <v>-894.03443373554535</v>
      </c>
      <c r="AW85" s="234">
        <f t="shared" si="43"/>
        <v>-0.88693892235669181</v>
      </c>
      <c r="AX85" s="234">
        <f t="shared" si="44"/>
        <v>-8.6631243579025714</v>
      </c>
      <c r="AY85" s="99"/>
      <c r="AZ85" s="94">
        <f t="shared" si="12"/>
        <v>-38443.480650628451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48</v>
      </c>
      <c r="F86" s="93">
        <v>1</v>
      </c>
      <c r="G86" s="93" t="s">
        <v>100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7200</v>
      </c>
      <c r="M86" s="89">
        <v>476</v>
      </c>
      <c r="N86" s="89">
        <v>1</v>
      </c>
      <c r="O86" s="89">
        <v>1395</v>
      </c>
      <c r="P86" s="89">
        <v>0</v>
      </c>
      <c r="Q86" s="233">
        <f t="shared" si="46"/>
        <v>0.14285714285714285</v>
      </c>
      <c r="R86" s="92">
        <f t="shared" si="47"/>
        <v>0</v>
      </c>
      <c r="S86" s="93">
        <v>0</v>
      </c>
      <c r="T86" s="93">
        <v>0</v>
      </c>
      <c r="U86" s="92">
        <f t="shared" si="48"/>
        <v>0</v>
      </c>
      <c r="V86" s="93">
        <v>0</v>
      </c>
      <c r="W86" s="93">
        <v>0</v>
      </c>
      <c r="X86" s="92">
        <f t="shared" si="49"/>
        <v>0</v>
      </c>
      <c r="Y86" s="93">
        <v>0</v>
      </c>
      <c r="Z86" s="93">
        <v>0</v>
      </c>
      <c r="AA86" s="92">
        <f t="shared" si="50"/>
        <v>0</v>
      </c>
      <c r="AB86" s="92">
        <f t="shared" si="51"/>
        <v>0</v>
      </c>
      <c r="AC86" s="234">
        <f t="shared" si="52"/>
        <v>0</v>
      </c>
      <c r="AD86" s="92">
        <f t="shared" si="53"/>
        <v>0</v>
      </c>
      <c r="AE86" s="93">
        <v>0</v>
      </c>
      <c r="AF86" s="234">
        <f t="shared" si="54"/>
        <v>0</v>
      </c>
      <c r="AG86" s="93">
        <v>0</v>
      </c>
      <c r="AH86" s="93"/>
      <c r="AI86" s="93"/>
      <c r="AJ86" s="93"/>
      <c r="AK86" s="93"/>
      <c r="AL86" s="122">
        <f t="shared" si="55"/>
        <v>39.893355455002521</v>
      </c>
      <c r="AM86" s="93">
        <v>0</v>
      </c>
      <c r="AN86" s="94">
        <f t="shared" si="56"/>
        <v>0</v>
      </c>
      <c r="AO86" s="95">
        <f t="shared" si="57"/>
        <v>-39.893355455002521</v>
      </c>
      <c r="AP86" s="96"/>
      <c r="AQ86" s="97">
        <f t="shared" si="6"/>
        <v>0</v>
      </c>
      <c r="AR86" s="98">
        <f t="shared" si="35"/>
        <v>150</v>
      </c>
      <c r="AS86" s="98">
        <f t="shared" si="8"/>
        <v>0</v>
      </c>
      <c r="AT86" s="98">
        <f t="shared" si="9"/>
        <v>0</v>
      </c>
      <c r="AU86" s="98">
        <f t="shared" si="58"/>
        <v>0</v>
      </c>
      <c r="AV86" s="98">
        <f t="array" ref="AV86">_xlfn.IFS(U86=0,AO86,U86&lt;0,AO86/-U86,U86&gt;0,AO86/U86)</f>
        <v>-39.893355455002521</v>
      </c>
      <c r="AW86" s="234">
        <f t="shared" si="43"/>
        <v>0</v>
      </c>
      <c r="AX86" s="234">
        <f t="shared" si="44"/>
        <v>-0.26595570303335014</v>
      </c>
      <c r="AY86" s="99"/>
      <c r="AZ86" s="94">
        <f t="shared" si="12"/>
        <v>-1914.881061840121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46</v>
      </c>
      <c r="F87" s="93">
        <v>2</v>
      </c>
      <c r="G87" s="93">
        <v>1</v>
      </c>
      <c r="H87" s="93">
        <v>42</v>
      </c>
      <c r="I87" s="93">
        <v>0</v>
      </c>
      <c r="J87" s="93">
        <v>1</v>
      </c>
      <c r="K87" s="93">
        <v>150</v>
      </c>
      <c r="L87" s="92">
        <f t="shared" si="42"/>
        <v>6900</v>
      </c>
      <c r="M87" s="89">
        <v>336</v>
      </c>
      <c r="N87" s="89">
        <v>2</v>
      </c>
      <c r="O87" s="89">
        <v>1254</v>
      </c>
      <c r="P87" s="89">
        <v>100</v>
      </c>
      <c r="Q87" s="233">
        <f t="shared" si="46"/>
        <v>0.2857142857142857</v>
      </c>
      <c r="R87" s="92">
        <f t="shared" si="47"/>
        <v>0.14285714285714285</v>
      </c>
      <c r="S87" s="93">
        <v>1</v>
      </c>
      <c r="T87" s="93">
        <v>0</v>
      </c>
      <c r="U87" s="92">
        <f t="shared" si="48"/>
        <v>1</v>
      </c>
      <c r="V87" s="93">
        <v>863</v>
      </c>
      <c r="W87" s="93">
        <v>0</v>
      </c>
      <c r="X87" s="92">
        <f t="shared" si="49"/>
        <v>863</v>
      </c>
      <c r="Y87" s="93">
        <v>1353</v>
      </c>
      <c r="Z87" s="93">
        <v>0</v>
      </c>
      <c r="AA87" s="92">
        <f t="shared" si="50"/>
        <v>1353</v>
      </c>
      <c r="AB87" s="92">
        <f t="shared" si="51"/>
        <v>2508</v>
      </c>
      <c r="AC87" s="234">
        <f t="shared" si="52"/>
        <v>5.5125228384676815E-4</v>
      </c>
      <c r="AD87" s="92">
        <f t="shared" si="53"/>
        <v>150</v>
      </c>
      <c r="AE87" s="93">
        <v>519.04</v>
      </c>
      <c r="AF87" s="234">
        <f t="shared" si="54"/>
        <v>0.38362158167036214</v>
      </c>
      <c r="AG87" s="93">
        <v>167.74</v>
      </c>
      <c r="AH87" s="93"/>
      <c r="AI87" s="93"/>
      <c r="AJ87" s="93"/>
      <c r="AK87" s="93"/>
      <c r="AL87" s="122">
        <f t="shared" si="55"/>
        <v>36.424368024132733</v>
      </c>
      <c r="AM87" s="93">
        <v>0</v>
      </c>
      <c r="AN87" s="94">
        <f t="shared" si="56"/>
        <v>49.277299999999997</v>
      </c>
      <c r="AO87" s="95">
        <f t="shared" si="57"/>
        <v>430.51833197586734</v>
      </c>
      <c r="AP87" s="96"/>
      <c r="AQ87" s="97">
        <f t="shared" si="6"/>
        <v>1353</v>
      </c>
      <c r="AR87" s="98">
        <f t="shared" si="35"/>
        <v>150</v>
      </c>
      <c r="AS87" s="98">
        <f t="shared" si="8"/>
        <v>519.04</v>
      </c>
      <c r="AT87" s="98">
        <f t="shared" si="9"/>
        <v>167.74</v>
      </c>
      <c r="AU87" s="98">
        <f t="shared" si="58"/>
        <v>0</v>
      </c>
      <c r="AV87" s="98">
        <f t="array" ref="AV87">_xlfn.IFS(U87=0,AO87,U87&lt;0,AO87/-U87,U87&gt;0,AO87/U87)</f>
        <v>430.51833197586734</v>
      </c>
      <c r="AW87" s="234">
        <f t="shared" si="43"/>
        <v>0.31819536731401871</v>
      </c>
      <c r="AX87" s="234">
        <f t="shared" si="44"/>
        <v>2.8701222131724489</v>
      </c>
      <c r="AY87" s="99"/>
      <c r="AZ87" s="94">
        <f t="shared" si="12"/>
        <v>19803.843270889898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17</v>
      </c>
      <c r="F88" s="93">
        <v>8</v>
      </c>
      <c r="G88" s="93">
        <v>3</v>
      </c>
      <c r="H88" s="93">
        <v>5</v>
      </c>
      <c r="I88" s="93">
        <v>0</v>
      </c>
      <c r="J88" s="93">
        <v>1</v>
      </c>
      <c r="K88" s="93">
        <v>150</v>
      </c>
      <c r="L88" s="92">
        <f t="shared" si="42"/>
        <v>2550</v>
      </c>
      <c r="M88" s="89">
        <v>21</v>
      </c>
      <c r="N88" s="89">
        <v>10</v>
      </c>
      <c r="O88" s="89">
        <v>1257</v>
      </c>
      <c r="P88" s="89">
        <v>40</v>
      </c>
      <c r="Q88" s="233">
        <f t="shared" si="46"/>
        <v>1.4285714285714286</v>
      </c>
      <c r="R88" s="92">
        <f t="shared" si="47"/>
        <v>0.42857142857142855</v>
      </c>
      <c r="S88" s="93">
        <v>4</v>
      </c>
      <c r="T88" s="93">
        <v>-1</v>
      </c>
      <c r="U88" s="92">
        <f t="shared" si="48"/>
        <v>3</v>
      </c>
      <c r="V88" s="93">
        <v>3371.09</v>
      </c>
      <c r="W88" s="93">
        <v>-789</v>
      </c>
      <c r="X88" s="92">
        <f t="shared" si="49"/>
        <v>2582.09</v>
      </c>
      <c r="Y88" s="93">
        <v>5028.26</v>
      </c>
      <c r="Z88" s="93">
        <v>-1257</v>
      </c>
      <c r="AA88" s="92">
        <f t="shared" si="50"/>
        <v>3771.26</v>
      </c>
      <c r="AB88" s="92">
        <f t="shared" si="51"/>
        <v>5028</v>
      </c>
      <c r="AC88" s="234">
        <f t="shared" si="52"/>
        <v>1.5365230509829734E-3</v>
      </c>
      <c r="AD88" s="92">
        <f t="shared" si="53"/>
        <v>450</v>
      </c>
      <c r="AE88" s="93">
        <v>1412.56</v>
      </c>
      <c r="AF88" s="234">
        <f t="shared" si="54"/>
        <v>0.37455916590211225</v>
      </c>
      <c r="AG88" s="93">
        <v>1103.31</v>
      </c>
      <c r="AH88" s="93"/>
      <c r="AI88" s="93"/>
      <c r="AJ88" s="93"/>
      <c r="AK88" s="93"/>
      <c r="AL88" s="122">
        <f t="shared" si="55"/>
        <v>4.3362342885872307</v>
      </c>
      <c r="AM88" s="93">
        <v>0</v>
      </c>
      <c r="AN88" s="94">
        <f t="shared" si="56"/>
        <v>147.43733900000001</v>
      </c>
      <c r="AO88" s="95">
        <f t="shared" si="57"/>
        <v>653.61642671141317</v>
      </c>
      <c r="AP88" s="96"/>
      <c r="AQ88" s="97">
        <f t="shared" si="6"/>
        <v>1257.0866666666668</v>
      </c>
      <c r="AR88" s="98">
        <f t="shared" si="35"/>
        <v>150</v>
      </c>
      <c r="AS88" s="98">
        <f t="shared" si="8"/>
        <v>470.8533333333333</v>
      </c>
      <c r="AT88" s="98">
        <f t="shared" si="9"/>
        <v>275.82749999999999</v>
      </c>
      <c r="AU88" s="98">
        <f t="shared" si="58"/>
        <v>0</v>
      </c>
      <c r="AV88" s="98">
        <f t="array" ref="AV88">_xlfn.IFS(U88=0,AO88,U88&lt;0,AO88/-U88,U88&gt;0,AO88/U88)</f>
        <v>217.87214223713772</v>
      </c>
      <c r="AW88" s="234">
        <f t="shared" si="43"/>
        <v>0.17331513253167724</v>
      </c>
      <c r="AX88" s="234">
        <f t="shared" si="44"/>
        <v>1.4524809482475849</v>
      </c>
      <c r="AY88" s="99"/>
      <c r="AZ88" s="94">
        <f t="shared" si="12"/>
        <v>3703.8264180313413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41</v>
      </c>
      <c r="F89" s="93">
        <v>2</v>
      </c>
      <c r="G89" s="93">
        <v>1</v>
      </c>
      <c r="H89" s="93">
        <v>37</v>
      </c>
      <c r="I89" s="93">
        <v>0</v>
      </c>
      <c r="J89" s="93">
        <v>1</v>
      </c>
      <c r="K89" s="93">
        <v>169.89</v>
      </c>
      <c r="L89" s="92">
        <f t="shared" si="42"/>
        <v>6965.49</v>
      </c>
      <c r="M89" s="89">
        <v>144</v>
      </c>
      <c r="N89" s="89">
        <v>4</v>
      </c>
      <c r="O89" s="89">
        <v>1504</v>
      </c>
      <c r="P89" s="89">
        <v>100</v>
      </c>
      <c r="Q89" s="233">
        <f t="shared" si="46"/>
        <v>0.5714285714285714</v>
      </c>
      <c r="R89" s="92">
        <f t="shared" si="47"/>
        <v>0.5714285714285714</v>
      </c>
      <c r="S89" s="93">
        <v>4</v>
      </c>
      <c r="T89" s="93">
        <v>0</v>
      </c>
      <c r="U89" s="92">
        <f t="shared" si="48"/>
        <v>4</v>
      </c>
      <c r="V89" s="93">
        <v>3927.13</v>
      </c>
      <c r="W89" s="93">
        <v>0</v>
      </c>
      <c r="X89" s="92">
        <f t="shared" si="49"/>
        <v>3927.13</v>
      </c>
      <c r="Y89" s="93">
        <v>6015.8</v>
      </c>
      <c r="Z89" s="93">
        <v>0</v>
      </c>
      <c r="AA89" s="92">
        <f t="shared" si="50"/>
        <v>6015.8</v>
      </c>
      <c r="AB89" s="92">
        <f t="shared" si="51"/>
        <v>6016</v>
      </c>
      <c r="AC89" s="234">
        <f t="shared" si="52"/>
        <v>2.4510151435073084E-3</v>
      </c>
      <c r="AD89" s="92">
        <f t="shared" si="53"/>
        <v>679.56</v>
      </c>
      <c r="AE89" s="93">
        <v>2243.9900000000002</v>
      </c>
      <c r="AF89" s="234">
        <f t="shared" si="54"/>
        <v>0.37301605771468471</v>
      </c>
      <c r="AG89" s="93">
        <v>210.44</v>
      </c>
      <c r="AH89" s="93"/>
      <c r="AI89" s="93"/>
      <c r="AJ89" s="93"/>
      <c r="AK89" s="93"/>
      <c r="AL89" s="122">
        <f t="shared" si="55"/>
        <v>32.088133735545497</v>
      </c>
      <c r="AM89" s="93">
        <v>0</v>
      </c>
      <c r="AN89" s="94">
        <f t="shared" si="56"/>
        <v>224.23912300000001</v>
      </c>
      <c r="AO89" s="95">
        <f t="shared" si="57"/>
        <v>2625.4827432644543</v>
      </c>
      <c r="AP89" s="96"/>
      <c r="AQ89" s="97">
        <f t="shared" si="6"/>
        <v>1503.95</v>
      </c>
      <c r="AR89" s="98">
        <f t="shared" si="35"/>
        <v>169.89</v>
      </c>
      <c r="AS89" s="98">
        <f t="shared" si="8"/>
        <v>560.99750000000006</v>
      </c>
      <c r="AT89" s="98">
        <f t="shared" si="9"/>
        <v>52.61</v>
      </c>
      <c r="AU89" s="98">
        <f t="shared" si="58"/>
        <v>0</v>
      </c>
      <c r="AV89" s="98">
        <f t="array" ref="AV89">_xlfn.IFS(U89=0,AO89,U89&lt;0,AO89/-U89,U89&gt;0,AO89/U89)</f>
        <v>656.37068581611356</v>
      </c>
      <c r="AW89" s="234">
        <f t="shared" si="43"/>
        <v>0.43643118841458395</v>
      </c>
      <c r="AX89" s="234">
        <f t="shared" si="44"/>
        <v>3.8635039485320712</v>
      </c>
      <c r="AY89" s="99"/>
      <c r="AZ89" s="94">
        <f t="shared" si="12"/>
        <v>26911.198118460656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6"/>
        <v>0</v>
      </c>
      <c r="R90" s="92">
        <f t="shared" si="47"/>
        <v>0</v>
      </c>
      <c r="S90" s="93">
        <v>0</v>
      </c>
      <c r="T90" s="93">
        <v>0</v>
      </c>
      <c r="U90" s="92">
        <f t="shared" si="48"/>
        <v>0</v>
      </c>
      <c r="V90" s="93">
        <v>0</v>
      </c>
      <c r="W90" s="93">
        <v>0</v>
      </c>
      <c r="X90" s="92">
        <f t="shared" si="49"/>
        <v>0</v>
      </c>
      <c r="Y90" s="93">
        <v>0</v>
      </c>
      <c r="Z90" s="93">
        <v>0</v>
      </c>
      <c r="AA90" s="92">
        <f t="shared" si="50"/>
        <v>0</v>
      </c>
      <c r="AB90" s="92">
        <f t="shared" si="51"/>
        <v>0</v>
      </c>
      <c r="AC90" s="234">
        <f t="shared" si="52"/>
        <v>0</v>
      </c>
      <c r="AD90" s="92">
        <f t="shared" si="53"/>
        <v>0</v>
      </c>
      <c r="AE90" s="93">
        <v>0</v>
      </c>
      <c r="AF90" s="234">
        <f t="shared" si="54"/>
        <v>0</v>
      </c>
      <c r="AG90" s="93">
        <v>0</v>
      </c>
      <c r="AH90" s="93"/>
      <c r="AI90" s="93"/>
      <c r="AJ90" s="93"/>
      <c r="AK90" s="93"/>
      <c r="AL90" s="122">
        <f t="shared" si="55"/>
        <v>43.362342885872295</v>
      </c>
      <c r="AM90" s="93">
        <v>0</v>
      </c>
      <c r="AN90" s="94">
        <f t="shared" si="56"/>
        <v>0</v>
      </c>
      <c r="AO90" s="95">
        <f t="shared" si="57"/>
        <v>-43.362342885872295</v>
      </c>
      <c r="AP90" s="96"/>
      <c r="AQ90" s="97">
        <f t="shared" si="6"/>
        <v>0</v>
      </c>
      <c r="AR90" s="98">
        <f t="shared" si="35"/>
        <v>107.88</v>
      </c>
      <c r="AS90" s="98">
        <f t="shared" si="8"/>
        <v>0</v>
      </c>
      <c r="AT90" s="98">
        <f t="shared" si="9"/>
        <v>0</v>
      </c>
      <c r="AU90" s="98">
        <f t="shared" si="58"/>
        <v>0</v>
      </c>
      <c r="AV90" s="98">
        <f t="array" ref="AV90">_xlfn.IFS(U90=0,AO90,U90&lt;0,AO90/-U90,U90&gt;0,AO90/U90)</f>
        <v>-43.362342885872295</v>
      </c>
      <c r="AW90" s="234">
        <f t="shared" si="43"/>
        <v>0</v>
      </c>
      <c r="AX90" s="234">
        <f t="shared" si="44"/>
        <v>-0.40194978574223483</v>
      </c>
      <c r="AY90" s="99"/>
      <c r="AZ90" s="94">
        <f t="shared" si="12"/>
        <v>-2211.479487179487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41</v>
      </c>
      <c r="F91" s="93">
        <v>6</v>
      </c>
      <c r="G91" s="93">
        <v>2</v>
      </c>
      <c r="H91" s="93">
        <v>27</v>
      </c>
      <c r="I91" s="93">
        <v>0</v>
      </c>
      <c r="J91" s="93">
        <v>6</v>
      </c>
      <c r="K91" s="93">
        <v>93.84</v>
      </c>
      <c r="L91" s="92">
        <f t="shared" si="42"/>
        <v>3847.44</v>
      </c>
      <c r="M91" s="89">
        <v>89</v>
      </c>
      <c r="N91" s="89">
        <v>7</v>
      </c>
      <c r="O91" s="89">
        <v>1075</v>
      </c>
      <c r="P91" s="89">
        <v>0</v>
      </c>
      <c r="Q91" s="233">
        <f t="shared" si="46"/>
        <v>1</v>
      </c>
      <c r="R91" s="92">
        <f t="shared" si="47"/>
        <v>0.2857142857142857</v>
      </c>
      <c r="S91" s="93">
        <v>2</v>
      </c>
      <c r="T91" s="93">
        <v>0</v>
      </c>
      <c r="U91" s="92">
        <f t="shared" si="48"/>
        <v>2</v>
      </c>
      <c r="V91" s="93">
        <v>1532.5</v>
      </c>
      <c r="W91" s="93">
        <v>0</v>
      </c>
      <c r="X91" s="92">
        <f t="shared" si="49"/>
        <v>1532.5</v>
      </c>
      <c r="Y91" s="93">
        <v>2149.63</v>
      </c>
      <c r="Z91" s="93">
        <v>0</v>
      </c>
      <c r="AA91" s="92">
        <f t="shared" si="50"/>
        <v>2149.63</v>
      </c>
      <c r="AB91" s="92">
        <f t="shared" si="51"/>
        <v>0</v>
      </c>
      <c r="AC91" s="234">
        <f t="shared" si="52"/>
        <v>8.7582294672988053E-4</v>
      </c>
      <c r="AD91" s="92">
        <f t="shared" si="53"/>
        <v>187.68</v>
      </c>
      <c r="AE91" s="93">
        <v>780.99000000000024</v>
      </c>
      <c r="AF91" s="234">
        <f t="shared" si="54"/>
        <v>0.36331368654140489</v>
      </c>
      <c r="AG91" s="93">
        <v>745.37000000000012</v>
      </c>
      <c r="AH91" s="93"/>
      <c r="AI91" s="93"/>
      <c r="AJ91" s="93"/>
      <c r="AK91" s="93"/>
      <c r="AL91" s="122">
        <f t="shared" si="55"/>
        <v>23.415665158371041</v>
      </c>
      <c r="AM91" s="93">
        <v>0</v>
      </c>
      <c r="AN91" s="94">
        <f t="shared" si="56"/>
        <v>87.505749999999992</v>
      </c>
      <c r="AO91" s="95">
        <f t="shared" si="57"/>
        <v>324.66858484162867</v>
      </c>
      <c r="AP91" s="96"/>
      <c r="AQ91" s="97">
        <f t="shared" si="6"/>
        <v>1074.8150000000001</v>
      </c>
      <c r="AR91" s="98">
        <f t="shared" si="35"/>
        <v>93.84</v>
      </c>
      <c r="AS91" s="98">
        <f t="shared" si="8"/>
        <v>390.49500000000012</v>
      </c>
      <c r="AT91" s="98">
        <f t="shared" si="9"/>
        <v>372.68500000000006</v>
      </c>
      <c r="AU91" s="98">
        <f t="shared" si="58"/>
        <v>0</v>
      </c>
      <c r="AV91" s="98">
        <f t="array" ref="AV91">_xlfn.IFS(U91=0,AO91,U91&lt;0,AO91/-U91,U91&gt;0,AO91/U91)</f>
        <v>162.33429242081434</v>
      </c>
      <c r="AW91" s="234">
        <f t="shared" si="43"/>
        <v>0.15103463611953158</v>
      </c>
      <c r="AX91" s="234">
        <f t="shared" si="44"/>
        <v>1.7299050769481492</v>
      </c>
      <c r="AY91" s="99"/>
      <c r="AZ91" s="94">
        <f t="shared" si="12"/>
        <v>6655.705989253388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46"/>
        <v>0.14285714285714285</v>
      </c>
      <c r="R92" s="92">
        <f t="shared" si="47"/>
        <v>0</v>
      </c>
      <c r="S92" s="93">
        <v>0</v>
      </c>
      <c r="T92" s="93">
        <v>0</v>
      </c>
      <c r="U92" s="92">
        <f t="shared" si="48"/>
        <v>0</v>
      </c>
      <c r="V92" s="93">
        <v>0</v>
      </c>
      <c r="W92" s="93">
        <v>0</v>
      </c>
      <c r="X92" s="92">
        <f t="shared" si="49"/>
        <v>0</v>
      </c>
      <c r="Y92" s="93">
        <v>0</v>
      </c>
      <c r="Z92" s="93">
        <v>0</v>
      </c>
      <c r="AA92" s="92">
        <f t="shared" si="50"/>
        <v>0</v>
      </c>
      <c r="AB92" s="92">
        <f t="shared" si="51"/>
        <v>0</v>
      </c>
      <c r="AC92" s="234">
        <f t="shared" si="52"/>
        <v>0</v>
      </c>
      <c r="AD92" s="92">
        <f t="shared" si="53"/>
        <v>0</v>
      </c>
      <c r="AE92" s="93">
        <v>0</v>
      </c>
      <c r="AF92" s="234">
        <f t="shared" si="54"/>
        <v>0</v>
      </c>
      <c r="AG92" s="93">
        <v>107.68</v>
      </c>
      <c r="AH92" s="93"/>
      <c r="AI92" s="93"/>
      <c r="AJ92" s="93"/>
      <c r="AK92" s="93"/>
      <c r="AL92" s="122">
        <f t="shared" si="55"/>
        <v>42.495096028154855</v>
      </c>
      <c r="AM92" s="93">
        <v>0</v>
      </c>
      <c r="AN92" s="94">
        <f t="shared" si="56"/>
        <v>0</v>
      </c>
      <c r="AO92" s="95">
        <f t="shared" si="57"/>
        <v>-150.17509602815485</v>
      </c>
      <c r="AP92" s="96"/>
      <c r="AQ92" s="97">
        <f t="shared" si="6"/>
        <v>0</v>
      </c>
      <c r="AR92" s="98">
        <f t="shared" si="35"/>
        <v>139.47</v>
      </c>
      <c r="AS92" s="98">
        <f t="shared" si="8"/>
        <v>0</v>
      </c>
      <c r="AT92" s="98">
        <f t="shared" si="9"/>
        <v>107.68</v>
      </c>
      <c r="AU92" s="98">
        <f t="shared" si="58"/>
        <v>0</v>
      </c>
      <c r="AV92" s="98">
        <f t="array" ref="AV92">_xlfn.IFS(U92=0,AO92,U92&lt;0,AO92/-U92,U92&gt;0,AO92/U92)</f>
        <v>-150.17509602815485</v>
      </c>
      <c r="AW92" s="234">
        <f t="shared" si="43"/>
        <v>0</v>
      </c>
      <c r="AX92" s="234">
        <f t="shared" si="44"/>
        <v>-1.076755546197425</v>
      </c>
      <c r="AY92" s="99"/>
      <c r="AZ92" s="94">
        <f t="shared" si="12"/>
        <v>-7508.7548014077429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49</v>
      </c>
      <c r="F93" s="93" t="s">
        <v>100</v>
      </c>
      <c r="G93" s="93">
        <v>1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2"/>
        <v>6834.03</v>
      </c>
      <c r="M93" s="89">
        <v>999</v>
      </c>
      <c r="N93" s="89">
        <v>1</v>
      </c>
      <c r="O93" s="89">
        <v>1296</v>
      </c>
      <c r="P93" s="89">
        <v>0</v>
      </c>
      <c r="Q93" s="233">
        <f t="shared" si="46"/>
        <v>0.14285714285714285</v>
      </c>
      <c r="R93" s="92">
        <f t="shared" si="47"/>
        <v>0</v>
      </c>
      <c r="S93" s="93">
        <v>0</v>
      </c>
      <c r="T93" s="93">
        <v>0</v>
      </c>
      <c r="U93" s="92">
        <f t="shared" si="48"/>
        <v>0</v>
      </c>
      <c r="V93" s="93">
        <v>0</v>
      </c>
      <c r="W93" s="93">
        <v>0</v>
      </c>
      <c r="X93" s="92">
        <f t="shared" si="49"/>
        <v>0</v>
      </c>
      <c r="Y93" s="93">
        <v>0</v>
      </c>
      <c r="Z93" s="93">
        <v>0</v>
      </c>
      <c r="AA93" s="92">
        <f t="shared" si="50"/>
        <v>0</v>
      </c>
      <c r="AB93" s="92">
        <f t="shared" si="51"/>
        <v>0</v>
      </c>
      <c r="AC93" s="234">
        <f t="shared" si="52"/>
        <v>0</v>
      </c>
      <c r="AD93" s="92">
        <f t="shared" si="53"/>
        <v>0</v>
      </c>
      <c r="AE93" s="93">
        <v>0</v>
      </c>
      <c r="AF93" s="234">
        <f t="shared" si="54"/>
        <v>0</v>
      </c>
      <c r="AG93" s="93">
        <v>91.41</v>
      </c>
      <c r="AH93" s="93"/>
      <c r="AI93" s="93"/>
      <c r="AJ93" s="93"/>
      <c r="AK93" s="93"/>
      <c r="AL93" s="122">
        <f t="shared" si="55"/>
        <v>40.760602312719961</v>
      </c>
      <c r="AM93" s="93">
        <v>0</v>
      </c>
      <c r="AN93" s="94">
        <f t="shared" si="56"/>
        <v>0</v>
      </c>
      <c r="AO93" s="95">
        <f t="shared" si="57"/>
        <v>-132.17060231271995</v>
      </c>
      <c r="AP93" s="96"/>
      <c r="AQ93" s="97">
        <f t="shared" si="6"/>
        <v>0</v>
      </c>
      <c r="AR93" s="98">
        <f t="shared" si="35"/>
        <v>139.47</v>
      </c>
      <c r="AS93" s="98">
        <f t="shared" si="8"/>
        <v>0</v>
      </c>
      <c r="AT93" s="98">
        <f t="shared" si="9"/>
        <v>91.41</v>
      </c>
      <c r="AU93" s="98">
        <f t="shared" si="58"/>
        <v>0</v>
      </c>
      <c r="AV93" s="98">
        <f t="array" ref="AV93">_xlfn.IFS(U93=0,AO93,U93&lt;0,AO93/-U93,U93&gt;0,AO93/U93)</f>
        <v>-132.17060231271995</v>
      </c>
      <c r="AW93" s="234">
        <f t="shared" si="43"/>
        <v>0</v>
      </c>
      <c r="AX93" s="234">
        <f t="shared" si="44"/>
        <v>-0.94766331334853338</v>
      </c>
      <c r="AY93" s="99"/>
      <c r="AZ93" s="94">
        <f t="shared" si="12"/>
        <v>-6476.3595133232775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45</v>
      </c>
      <c r="N94" s="89">
        <v>0</v>
      </c>
      <c r="O94" s="89">
        <v>0</v>
      </c>
      <c r="P94" s="89">
        <v>0</v>
      </c>
      <c r="Q94" s="233">
        <f t="shared" si="46"/>
        <v>0</v>
      </c>
      <c r="R94" s="92">
        <f t="shared" si="47"/>
        <v>0</v>
      </c>
      <c r="S94" s="93">
        <v>0</v>
      </c>
      <c r="T94" s="93">
        <v>0</v>
      </c>
      <c r="U94" s="92">
        <f t="shared" si="48"/>
        <v>0</v>
      </c>
      <c r="V94" s="93">
        <v>0</v>
      </c>
      <c r="W94" s="93">
        <v>0</v>
      </c>
      <c r="X94" s="92">
        <f t="shared" si="49"/>
        <v>0</v>
      </c>
      <c r="Y94" s="93">
        <v>0</v>
      </c>
      <c r="Z94" s="93">
        <v>0</v>
      </c>
      <c r="AA94" s="92">
        <f t="shared" si="50"/>
        <v>0</v>
      </c>
      <c r="AB94" s="92">
        <f t="shared" si="51"/>
        <v>0</v>
      </c>
      <c r="AC94" s="234">
        <f t="shared" si="52"/>
        <v>0</v>
      </c>
      <c r="AD94" s="92">
        <f t="shared" si="53"/>
        <v>0</v>
      </c>
      <c r="AE94" s="93">
        <v>0</v>
      </c>
      <c r="AF94" s="234">
        <f t="shared" si="54"/>
        <v>0</v>
      </c>
      <c r="AG94" s="93">
        <v>0</v>
      </c>
      <c r="AH94" s="93"/>
      <c r="AI94" s="93"/>
      <c r="AJ94" s="93"/>
      <c r="AK94" s="93"/>
      <c r="AL94" s="122">
        <f t="shared" si="55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6"/>
        <v>0</v>
      </c>
      <c r="AR94" s="98">
        <f t="shared" si="35"/>
        <v>400.08</v>
      </c>
      <c r="AS94" s="98">
        <f t="shared" si="8"/>
        <v>0</v>
      </c>
      <c r="AT94" s="98">
        <f t="shared" si="9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2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8</v>
      </c>
      <c r="N95" s="89">
        <v>0</v>
      </c>
      <c r="O95" s="89">
        <v>0</v>
      </c>
      <c r="P95" s="89">
        <v>0</v>
      </c>
      <c r="Q95" s="233">
        <f t="shared" si="46"/>
        <v>0</v>
      </c>
      <c r="R95" s="92">
        <f t="shared" si="47"/>
        <v>0</v>
      </c>
      <c r="S95" s="93">
        <v>0</v>
      </c>
      <c r="T95" s="93">
        <v>0</v>
      </c>
      <c r="U95" s="92">
        <f t="shared" si="48"/>
        <v>0</v>
      </c>
      <c r="V95" s="93">
        <v>0</v>
      </c>
      <c r="W95" s="93">
        <v>0</v>
      </c>
      <c r="X95" s="92">
        <f t="shared" si="49"/>
        <v>0</v>
      </c>
      <c r="Y95" s="93">
        <v>0</v>
      </c>
      <c r="Z95" s="93">
        <v>0</v>
      </c>
      <c r="AA95" s="92">
        <f t="shared" si="50"/>
        <v>0</v>
      </c>
      <c r="AB95" s="92">
        <f t="shared" si="51"/>
        <v>0</v>
      </c>
      <c r="AC95" s="234">
        <f t="shared" si="52"/>
        <v>0</v>
      </c>
      <c r="AD95" s="92">
        <f t="shared" si="53"/>
        <v>0</v>
      </c>
      <c r="AE95" s="93">
        <v>0</v>
      </c>
      <c r="AF95" s="234">
        <f t="shared" si="54"/>
        <v>0</v>
      </c>
      <c r="AG95" s="93">
        <v>0</v>
      </c>
      <c r="AH95" s="93"/>
      <c r="AI95" s="93"/>
      <c r="AJ95" s="93"/>
      <c r="AK95" s="93"/>
      <c r="AL95" s="122">
        <f t="shared" si="55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6"/>
        <v>0</v>
      </c>
      <c r="AR95" s="98">
        <f t="shared" si="35"/>
        <v>400.08</v>
      </c>
      <c r="AS95" s="98">
        <f t="shared" si="8"/>
        <v>0</v>
      </c>
      <c r="AT95" s="98">
        <f t="shared" si="9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6"/>
        <v>0</v>
      </c>
      <c r="R96" s="92">
        <f t="shared" si="47"/>
        <v>0</v>
      </c>
      <c r="S96" s="93">
        <v>0</v>
      </c>
      <c r="T96" s="93">
        <v>0</v>
      </c>
      <c r="U96" s="92">
        <f t="shared" si="48"/>
        <v>0</v>
      </c>
      <c r="V96" s="93">
        <v>0</v>
      </c>
      <c r="W96" s="93">
        <v>0</v>
      </c>
      <c r="X96" s="92">
        <f t="shared" si="49"/>
        <v>0</v>
      </c>
      <c r="Y96" s="93">
        <v>0</v>
      </c>
      <c r="Z96" s="93">
        <v>0</v>
      </c>
      <c r="AA96" s="92">
        <f t="shared" si="50"/>
        <v>0</v>
      </c>
      <c r="AB96" s="92">
        <f t="shared" si="51"/>
        <v>0</v>
      </c>
      <c r="AC96" s="234">
        <f t="shared" si="52"/>
        <v>0</v>
      </c>
      <c r="AD96" s="92">
        <f t="shared" si="53"/>
        <v>0</v>
      </c>
      <c r="AE96" s="93">
        <v>0</v>
      </c>
      <c r="AF96" s="234">
        <f t="shared" si="54"/>
        <v>0</v>
      </c>
      <c r="AG96" s="93">
        <v>0</v>
      </c>
      <c r="AH96" s="93"/>
      <c r="AI96" s="93"/>
      <c r="AJ96" s="93"/>
      <c r="AK96" s="93"/>
      <c r="AL96" s="122">
        <f t="shared" si="55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6"/>
        <v>0</v>
      </c>
      <c r="AR96" s="98">
        <f t="shared" si="35"/>
        <v>300.08</v>
      </c>
      <c r="AS96" s="98">
        <f t="shared" si="8"/>
        <v>0</v>
      </c>
      <c r="AT96" s="98">
        <f t="shared" si="9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6"/>
        <v>0</v>
      </c>
      <c r="R97" s="92">
        <f t="shared" si="47"/>
        <v>0</v>
      </c>
      <c r="S97" s="93">
        <v>0</v>
      </c>
      <c r="T97" s="93">
        <v>0</v>
      </c>
      <c r="U97" s="92">
        <f t="shared" si="48"/>
        <v>0</v>
      </c>
      <c r="V97" s="93">
        <v>0</v>
      </c>
      <c r="W97" s="93">
        <v>0</v>
      </c>
      <c r="X97" s="92">
        <f t="shared" si="49"/>
        <v>0</v>
      </c>
      <c r="Y97" s="93">
        <v>0</v>
      </c>
      <c r="Z97" s="93">
        <v>0</v>
      </c>
      <c r="AA97" s="92">
        <f t="shared" si="50"/>
        <v>0</v>
      </c>
      <c r="AB97" s="92">
        <f t="shared" si="51"/>
        <v>0</v>
      </c>
      <c r="AC97" s="234">
        <f t="shared" si="52"/>
        <v>0</v>
      </c>
      <c r="AD97" s="92">
        <f t="shared" si="53"/>
        <v>0</v>
      </c>
      <c r="AE97" s="93">
        <v>0</v>
      </c>
      <c r="AF97" s="234">
        <f t="shared" si="54"/>
        <v>0</v>
      </c>
      <c r="AG97" s="93">
        <v>0</v>
      </c>
      <c r="AH97" s="93"/>
      <c r="AI97" s="93"/>
      <c r="AJ97" s="93"/>
      <c r="AK97" s="93"/>
      <c r="AL97" s="122">
        <f t="shared" si="55"/>
        <v>2.601740573152338</v>
      </c>
      <c r="AM97" s="93">
        <v>0</v>
      </c>
      <c r="AN97" s="94">
        <f t="shared" si="56"/>
        <v>0</v>
      </c>
      <c r="AO97" s="95">
        <f t="shared" si="57"/>
        <v>-2.601740573152338</v>
      </c>
      <c r="AP97" s="96"/>
      <c r="AQ97" s="97">
        <f t="shared" si="6"/>
        <v>0</v>
      </c>
      <c r="AR97" s="98">
        <f t="shared" si="35"/>
        <v>400.08</v>
      </c>
      <c r="AS97" s="98">
        <f t="shared" si="8"/>
        <v>0</v>
      </c>
      <c r="AT97" s="98">
        <f t="shared" si="9"/>
        <v>0</v>
      </c>
      <c r="AU97" s="98">
        <f t="shared" si="58"/>
        <v>0</v>
      </c>
      <c r="AV97" s="98">
        <f t="array" ref="AV97">_xlfn.IFS(U97=0,AO97,U97&lt;0,AO97/-U97,U97&gt;0,AO97/U97)</f>
        <v>-2.601740573152338</v>
      </c>
      <c r="AW97" s="234">
        <f t="shared" si="43"/>
        <v>0</v>
      </c>
      <c r="AX97" s="234">
        <f t="shared" si="44"/>
        <v>-6.503050822716302E-3</v>
      </c>
      <c r="AY97" s="99"/>
      <c r="AZ97" s="94">
        <f t="shared" si="12"/>
        <v>-10.406962292609352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14</v>
      </c>
      <c r="F98" s="93">
        <v>1</v>
      </c>
      <c r="G98" s="93">
        <v>3</v>
      </c>
      <c r="H98" s="93">
        <v>10</v>
      </c>
      <c r="I98" s="93">
        <v>0</v>
      </c>
      <c r="J98" s="93">
        <v>0</v>
      </c>
      <c r="K98" s="93">
        <v>300.08</v>
      </c>
      <c r="L98" s="92">
        <f t="shared" si="42"/>
        <v>4201.12</v>
      </c>
      <c r="M98" s="89">
        <v>156</v>
      </c>
      <c r="N98" s="89">
        <v>3</v>
      </c>
      <c r="O98" s="89">
        <v>879</v>
      </c>
      <c r="P98" s="89">
        <v>100</v>
      </c>
      <c r="Q98" s="233">
        <f t="shared" si="46"/>
        <v>0.42857142857142855</v>
      </c>
      <c r="R98" s="92">
        <f t="shared" si="47"/>
        <v>0.2857142857142857</v>
      </c>
      <c r="S98" s="93">
        <v>2</v>
      </c>
      <c r="T98" s="93">
        <v>0</v>
      </c>
      <c r="U98" s="92">
        <f t="shared" si="48"/>
        <v>2</v>
      </c>
      <c r="V98" s="93">
        <v>1186</v>
      </c>
      <c r="W98" s="93">
        <v>0</v>
      </c>
      <c r="X98" s="92">
        <f t="shared" si="49"/>
        <v>1186</v>
      </c>
      <c r="Y98" s="93">
        <v>1756</v>
      </c>
      <c r="Z98" s="93">
        <v>0</v>
      </c>
      <c r="AA98" s="92">
        <f t="shared" si="50"/>
        <v>1756</v>
      </c>
      <c r="AB98" s="92">
        <f t="shared" si="51"/>
        <v>2637</v>
      </c>
      <c r="AC98" s="234">
        <f t="shared" si="52"/>
        <v>7.1544642308567989E-4</v>
      </c>
      <c r="AD98" s="92">
        <f t="shared" si="53"/>
        <v>600.16</v>
      </c>
      <c r="AE98" s="93">
        <v>666.44</v>
      </c>
      <c r="AF98" s="234">
        <f t="shared" si="54"/>
        <v>0.37952164009111622</v>
      </c>
      <c r="AG98" s="93">
        <v>187.53</v>
      </c>
      <c r="AH98" s="93"/>
      <c r="AI98" s="93"/>
      <c r="AJ98" s="93"/>
      <c r="AK98" s="93"/>
      <c r="AL98" s="122">
        <f t="shared" si="55"/>
        <v>8.6724685771744614</v>
      </c>
      <c r="AM98" s="93">
        <v>0</v>
      </c>
      <c r="AN98" s="94">
        <f t="shared" si="56"/>
        <v>67.720600000000005</v>
      </c>
      <c r="AO98" s="95">
        <f t="shared" si="57"/>
        <v>225.47693142282566</v>
      </c>
      <c r="AP98" s="96"/>
      <c r="AQ98" s="97">
        <f t="shared" ref="AQ98" si="59">IF(U98=0,0,AA98/U98)</f>
        <v>878</v>
      </c>
      <c r="AR98" s="98">
        <f t="shared" si="35"/>
        <v>300.08</v>
      </c>
      <c r="AS98" s="98">
        <f t="shared" ref="AS98" si="60">IF(U98=0,0,AE98/U98)</f>
        <v>333.22</v>
      </c>
      <c r="AT98" s="98">
        <f t="shared" ref="AT98" si="61">IF(S98=0,AG98/1,AG98/S98)</f>
        <v>93.765000000000001</v>
      </c>
      <c r="AU98" s="98">
        <f t="shared" si="58"/>
        <v>0</v>
      </c>
      <c r="AV98" s="98">
        <f t="array" ref="AV98">_xlfn.IFS(U98=0,AO98,U98&lt;0,AO98/-U98,U98&gt;0,AO98/U98)</f>
        <v>112.73846571141283</v>
      </c>
      <c r="AW98" s="234">
        <f t="shared" si="43"/>
        <v>0.12840371948908066</v>
      </c>
      <c r="AX98" s="234">
        <f t="shared" si="44"/>
        <v>0.3756947004512558</v>
      </c>
      <c r="AY98" s="99"/>
      <c r="AZ98" s="94">
        <f t="shared" ref="AZ98" si="62">AV98*E98</f>
        <v>1578.3385199597797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2"/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6"/>
        <v>0</v>
      </c>
      <c r="R99" s="92">
        <f t="shared" si="47"/>
        <v>0</v>
      </c>
      <c r="S99" s="93">
        <v>0</v>
      </c>
      <c r="T99" s="93">
        <v>0</v>
      </c>
      <c r="U99" s="92">
        <f t="shared" ref="U99:U103" si="63">S99+T99</f>
        <v>0</v>
      </c>
      <c r="V99" s="93">
        <v>0</v>
      </c>
      <c r="W99" s="93">
        <v>0</v>
      </c>
      <c r="X99" s="92">
        <f t="shared" ref="X99:X103" si="64">V99+W99</f>
        <v>0</v>
      </c>
      <c r="Y99" s="93">
        <v>0</v>
      </c>
      <c r="Z99" s="93">
        <v>0</v>
      </c>
      <c r="AA99" s="92">
        <f t="shared" ref="AA99:AA103" si="65">Y99+Z99</f>
        <v>0</v>
      </c>
      <c r="AB99" s="92">
        <f t="shared" ref="AB99:AB103" si="66">N99*O99*P99/100</f>
        <v>0</v>
      </c>
      <c r="AC99" s="234">
        <f t="shared" ref="AC99:AC103" si="67">AA99/$AA$126</f>
        <v>0</v>
      </c>
      <c r="AD99" s="92">
        <f t="shared" ref="AD99:AD103" si="68">U99*K99</f>
        <v>0</v>
      </c>
      <c r="AE99" s="93">
        <v>0</v>
      </c>
      <c r="AF99" s="234">
        <f t="shared" ref="AF99:AF103" si="69">IF(AA99=0,0,AE99/AA99)</f>
        <v>0</v>
      </c>
      <c r="AG99" s="93">
        <v>0</v>
      </c>
      <c r="AH99" s="93"/>
      <c r="AI99" s="93"/>
      <c r="AJ99" s="93"/>
      <c r="AK99" s="93"/>
      <c r="AL99" s="122">
        <f t="shared" ref="AL99:AL103" si="70">IFERROR($AL$126*H99/$H$126,0)</f>
        <v>0</v>
      </c>
      <c r="AM99" s="93">
        <v>0</v>
      </c>
      <c r="AN99" s="94">
        <f t="shared" ref="AN99:AN103" si="71">X99*5.71%</f>
        <v>0</v>
      </c>
      <c r="AO99" s="95">
        <f t="shared" ref="AO99:AO103" si="72">AA99-AD99-AE99-AG99-AH99-AI99-AK99-AL99-AN99-AM99</f>
        <v>0</v>
      </c>
      <c r="AP99" s="96"/>
      <c r="AQ99" s="97">
        <f t="shared" ref="AQ99:AQ103" si="73">IF(U99=0,0,AA99/U99)</f>
        <v>0</v>
      </c>
      <c r="AR99" s="98">
        <f t="shared" ref="AR99:AR103" si="74">K99</f>
        <v>142.97999999999999</v>
      </c>
      <c r="AS99" s="98">
        <f t="shared" ref="AS99:AS103" si="75">IF(U99=0,0,AE99/U99)</f>
        <v>0</v>
      </c>
      <c r="AT99" s="98">
        <f t="shared" ref="AT99:AT103" si="76">IF(S99=0,AG99/1,AG99/S99)</f>
        <v>0</v>
      </c>
      <c r="AU99" s="98">
        <f t="shared" ref="AU99:AU103" si="77">IF(S99=0,0,(AH99+AI99+AJ99)/S99)</f>
        <v>0</v>
      </c>
      <c r="AV99" s="98">
        <f t="array" ref="AV99">_xlfn.IFS(U99=0,AO99,U99&lt;0,AO99/-U99,U99&gt;0,AO99/U99)</f>
        <v>0</v>
      </c>
      <c r="AW99" s="234">
        <f t="shared" ref="AW99:AW103" si="78">IF(AQ99=0,0,AV99/AQ99)</f>
        <v>0</v>
      </c>
      <c r="AX99" s="234">
        <f t="shared" ref="AX99:AX103" si="79">IF(AR99=0,0,AV99/AR99)</f>
        <v>0</v>
      </c>
      <c r="AY99" s="99"/>
      <c r="AZ99" s="94">
        <f t="shared" ref="AZ99:AZ103" si="80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81">E100*K100</f>
        <v>0</v>
      </c>
      <c r="M100" s="89" t="s">
        <v>100</v>
      </c>
      <c r="N100" s="89">
        <v>0</v>
      </c>
      <c r="O100" s="89">
        <v>0</v>
      </c>
      <c r="P100" s="89">
        <v>0</v>
      </c>
      <c r="Q100" s="233">
        <f t="shared" si="46"/>
        <v>0</v>
      </c>
      <c r="R100" s="92">
        <f t="shared" si="47"/>
        <v>0</v>
      </c>
      <c r="S100" s="93">
        <v>0</v>
      </c>
      <c r="T100" s="93">
        <v>0</v>
      </c>
      <c r="U100" s="92">
        <f t="shared" si="63"/>
        <v>0</v>
      </c>
      <c r="V100" s="93">
        <v>0</v>
      </c>
      <c r="W100" s="93">
        <v>0</v>
      </c>
      <c r="X100" s="92">
        <f t="shared" si="64"/>
        <v>0</v>
      </c>
      <c r="Y100" s="93">
        <v>0</v>
      </c>
      <c r="Z100" s="93">
        <v>0</v>
      </c>
      <c r="AA100" s="92">
        <f t="shared" si="65"/>
        <v>0</v>
      </c>
      <c r="AB100" s="92">
        <f t="shared" si="66"/>
        <v>0</v>
      </c>
      <c r="AC100" s="234">
        <f t="shared" si="67"/>
        <v>0</v>
      </c>
      <c r="AD100" s="92">
        <f t="shared" si="68"/>
        <v>0</v>
      </c>
      <c r="AE100" s="93">
        <v>0</v>
      </c>
      <c r="AF100" s="234">
        <f t="shared" si="69"/>
        <v>0</v>
      </c>
      <c r="AG100" s="93">
        <v>0</v>
      </c>
      <c r="AH100" s="93"/>
      <c r="AI100" s="93"/>
      <c r="AJ100" s="93"/>
      <c r="AK100" s="93"/>
      <c r="AL100" s="122">
        <f t="shared" si="70"/>
        <v>0</v>
      </c>
      <c r="AM100" s="93">
        <v>0</v>
      </c>
      <c r="AN100" s="94">
        <f t="shared" si="71"/>
        <v>0</v>
      </c>
      <c r="AO100" s="95">
        <f t="shared" si="72"/>
        <v>0</v>
      </c>
      <c r="AP100" s="96"/>
      <c r="AQ100" s="97">
        <f t="shared" si="73"/>
        <v>0</v>
      </c>
      <c r="AR100" s="98">
        <f t="shared" si="74"/>
        <v>142.97999999999999</v>
      </c>
      <c r="AS100" s="98">
        <f t="shared" si="75"/>
        <v>0</v>
      </c>
      <c r="AT100" s="98">
        <f t="shared" si="76"/>
        <v>0</v>
      </c>
      <c r="AU100" s="98">
        <f t="shared" si="77"/>
        <v>0</v>
      </c>
      <c r="AV100" s="98">
        <f t="array" ref="AV100">_xlfn.IFS(U100=0,AO100,U100&lt;0,AO100/-U100,U100&gt;0,AO100/U100)</f>
        <v>0</v>
      </c>
      <c r="AW100" s="234">
        <f t="shared" si="78"/>
        <v>0</v>
      </c>
      <c r="AX100" s="234">
        <f t="shared" si="79"/>
        <v>0</v>
      </c>
      <c r="AY100" s="99"/>
      <c r="AZ100" s="94">
        <f t="shared" si="8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81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6"/>
        <v>0</v>
      </c>
      <c r="R101" s="92">
        <f t="shared" si="47"/>
        <v>0.2857142857142857</v>
      </c>
      <c r="S101" s="93">
        <v>2</v>
      </c>
      <c r="T101" s="93">
        <v>0</v>
      </c>
      <c r="U101" s="92">
        <f t="shared" si="63"/>
        <v>2</v>
      </c>
      <c r="V101" s="93">
        <v>1254.94</v>
      </c>
      <c r="W101" s="93">
        <v>0</v>
      </c>
      <c r="X101" s="92">
        <f t="shared" si="64"/>
        <v>1254.94</v>
      </c>
      <c r="Y101" s="93">
        <v>1799.94</v>
      </c>
      <c r="Z101" s="93">
        <v>0</v>
      </c>
      <c r="AA101" s="92">
        <f t="shared" si="65"/>
        <v>1799.94</v>
      </c>
      <c r="AB101" s="92">
        <f t="shared" si="66"/>
        <v>0</v>
      </c>
      <c r="AC101" s="234">
        <f t="shared" si="67"/>
        <v>7.3334888084785807E-4</v>
      </c>
      <c r="AD101" s="92">
        <f t="shared" si="68"/>
        <v>246.18</v>
      </c>
      <c r="AE101" s="93">
        <v>748.51</v>
      </c>
      <c r="AF101" s="234">
        <f t="shared" si="69"/>
        <v>0.41585275064724375</v>
      </c>
      <c r="AG101" s="93">
        <v>116.58</v>
      </c>
      <c r="AH101" s="93"/>
      <c r="AI101" s="93"/>
      <c r="AJ101" s="93"/>
      <c r="AK101" s="93"/>
      <c r="AL101" s="122">
        <f t="shared" si="70"/>
        <v>0</v>
      </c>
      <c r="AM101" s="93">
        <v>0</v>
      </c>
      <c r="AN101" s="94">
        <f t="shared" si="71"/>
        <v>71.657073999999994</v>
      </c>
      <c r="AO101" s="95">
        <f t="shared" si="72"/>
        <v>617.01292599999999</v>
      </c>
      <c r="AP101" s="96"/>
      <c r="AQ101" s="97">
        <f t="shared" si="73"/>
        <v>899.97</v>
      </c>
      <c r="AR101" s="98">
        <f t="shared" si="74"/>
        <v>123.09</v>
      </c>
      <c r="AS101" s="98">
        <f t="shared" si="75"/>
        <v>374.255</v>
      </c>
      <c r="AT101" s="98">
        <f t="shared" si="76"/>
        <v>58.29</v>
      </c>
      <c r="AU101" s="98">
        <f t="shared" si="77"/>
        <v>0</v>
      </c>
      <c r="AV101" s="98">
        <f t="array" ref="AV101">_xlfn.IFS(U101=0,AO101,U101&lt;0,AO101/-U101,U101&gt;0,AO101/U101)</f>
        <v>308.506463</v>
      </c>
      <c r="AW101" s="234">
        <f t="shared" si="78"/>
        <v>0.34279638543507002</v>
      </c>
      <c r="AX101" s="234">
        <f t="shared" si="79"/>
        <v>2.5063487123243156</v>
      </c>
      <c r="AY101" s="99"/>
      <c r="AZ101" s="94">
        <f t="shared" si="8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81"/>
        <v>0</v>
      </c>
      <c r="M102" s="89" t="s">
        <v>100</v>
      </c>
      <c r="N102" s="89">
        <v>0</v>
      </c>
      <c r="O102" s="89">
        <v>0</v>
      </c>
      <c r="P102" s="89">
        <v>0</v>
      </c>
      <c r="Q102" s="233">
        <f t="shared" si="46"/>
        <v>0</v>
      </c>
      <c r="R102" s="92">
        <f t="shared" si="47"/>
        <v>0</v>
      </c>
      <c r="S102" s="93">
        <v>0</v>
      </c>
      <c r="T102" s="93">
        <v>0</v>
      </c>
      <c r="U102" s="92">
        <f t="shared" si="63"/>
        <v>0</v>
      </c>
      <c r="V102" s="93">
        <v>0</v>
      </c>
      <c r="W102" s="93">
        <v>0</v>
      </c>
      <c r="X102" s="92">
        <f t="shared" si="64"/>
        <v>0</v>
      </c>
      <c r="Y102" s="93">
        <v>0</v>
      </c>
      <c r="Z102" s="93">
        <v>0</v>
      </c>
      <c r="AA102" s="92">
        <f t="shared" si="65"/>
        <v>0</v>
      </c>
      <c r="AB102" s="92">
        <f t="shared" si="66"/>
        <v>0</v>
      </c>
      <c r="AC102" s="234">
        <f t="shared" si="67"/>
        <v>0</v>
      </c>
      <c r="AD102" s="92">
        <f t="shared" si="68"/>
        <v>0</v>
      </c>
      <c r="AE102" s="93">
        <v>0</v>
      </c>
      <c r="AF102" s="234">
        <f t="shared" si="69"/>
        <v>0</v>
      </c>
      <c r="AG102" s="93">
        <v>0</v>
      </c>
      <c r="AH102" s="93"/>
      <c r="AI102" s="93"/>
      <c r="AJ102" s="93"/>
      <c r="AK102" s="93"/>
      <c r="AL102" s="122">
        <f t="shared" si="70"/>
        <v>0</v>
      </c>
      <c r="AM102" s="93">
        <v>0</v>
      </c>
      <c r="AN102" s="94">
        <f t="shared" si="71"/>
        <v>0</v>
      </c>
      <c r="AO102" s="95">
        <f t="shared" si="72"/>
        <v>0</v>
      </c>
      <c r="AP102" s="96"/>
      <c r="AQ102" s="97">
        <f t="shared" si="73"/>
        <v>0</v>
      </c>
      <c r="AR102" s="98">
        <f t="shared" si="74"/>
        <v>123.09</v>
      </c>
      <c r="AS102" s="98">
        <f t="shared" si="75"/>
        <v>0</v>
      </c>
      <c r="AT102" s="98">
        <f t="shared" si="76"/>
        <v>0</v>
      </c>
      <c r="AU102" s="98">
        <f t="shared" si="77"/>
        <v>0</v>
      </c>
      <c r="AV102" s="98">
        <f t="array" ref="AV102">_xlfn.IFS(U102=0,AO102,U102&lt;0,AO102/-U102,U102&gt;0,AO102/U102)</f>
        <v>0</v>
      </c>
      <c r="AW102" s="234">
        <f t="shared" si="78"/>
        <v>0</v>
      </c>
      <c r="AX102" s="234">
        <f t="shared" si="79"/>
        <v>0</v>
      </c>
      <c r="AY102" s="99"/>
      <c r="AZ102" s="94">
        <f t="shared" si="8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81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6"/>
        <v>0</v>
      </c>
      <c r="R103" s="92">
        <f t="shared" si="47"/>
        <v>0</v>
      </c>
      <c r="S103" s="93">
        <v>0</v>
      </c>
      <c r="T103" s="93">
        <v>0</v>
      </c>
      <c r="U103" s="92">
        <f t="shared" si="63"/>
        <v>0</v>
      </c>
      <c r="V103" s="93">
        <v>0</v>
      </c>
      <c r="W103" s="93">
        <v>0</v>
      </c>
      <c r="X103" s="92">
        <f t="shared" si="64"/>
        <v>0</v>
      </c>
      <c r="Y103" s="93">
        <v>0</v>
      </c>
      <c r="Z103" s="93">
        <v>0</v>
      </c>
      <c r="AA103" s="92">
        <f t="shared" si="65"/>
        <v>0</v>
      </c>
      <c r="AB103" s="92">
        <f t="shared" si="66"/>
        <v>0</v>
      </c>
      <c r="AC103" s="234">
        <f t="shared" si="67"/>
        <v>0</v>
      </c>
      <c r="AD103" s="92">
        <f t="shared" si="68"/>
        <v>0</v>
      </c>
      <c r="AE103" s="93">
        <v>0</v>
      </c>
      <c r="AF103" s="234">
        <f t="shared" si="69"/>
        <v>0</v>
      </c>
      <c r="AG103" s="93">
        <v>0</v>
      </c>
      <c r="AH103" s="93"/>
      <c r="AI103" s="93"/>
      <c r="AJ103" s="93"/>
      <c r="AK103" s="93"/>
      <c r="AL103" s="122">
        <f t="shared" si="70"/>
        <v>0</v>
      </c>
      <c r="AM103" s="93">
        <v>336</v>
      </c>
      <c r="AN103" s="94">
        <f t="shared" si="71"/>
        <v>0</v>
      </c>
      <c r="AO103" s="95">
        <f t="shared" si="72"/>
        <v>-336</v>
      </c>
      <c r="AP103" s="96"/>
      <c r="AQ103" s="97">
        <f t="shared" si="73"/>
        <v>0</v>
      </c>
      <c r="AR103" s="98">
        <f t="shared" si="74"/>
        <v>107.88</v>
      </c>
      <c r="AS103" s="98">
        <f t="shared" si="75"/>
        <v>0</v>
      </c>
      <c r="AT103" s="98">
        <f t="shared" si="76"/>
        <v>0</v>
      </c>
      <c r="AU103" s="98">
        <f t="shared" si="77"/>
        <v>0</v>
      </c>
      <c r="AV103" s="98">
        <f t="array" ref="AV103">_xlfn.IFS(U103=0,AO103,U103&lt;0,AO103/-U103,U103&gt;0,AO103/U103)</f>
        <v>-336</v>
      </c>
      <c r="AW103" s="234">
        <f t="shared" si="78"/>
        <v>0</v>
      </c>
      <c r="AX103" s="234">
        <f t="shared" si="79"/>
        <v>-3.1145717463848723</v>
      </c>
      <c r="AY103" s="99"/>
      <c r="AZ103" s="94">
        <f t="shared" si="8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82">AVERAGE(AQ7:AQ98)</f>
        <v>567.22545765286566</v>
      </c>
      <c r="AR104" s="111">
        <f t="shared" si="82"/>
        <v>141.22217391304349</v>
      </c>
      <c r="AS104" s="111">
        <f t="shared" si="82"/>
        <v>212.20411687512183</v>
      </c>
      <c r="AT104" s="111">
        <f t="shared" si="82"/>
        <v>125.02405860977662</v>
      </c>
      <c r="AU104" s="111">
        <f t="shared" si="82"/>
        <v>52.696982753394657</v>
      </c>
      <c r="AV104" s="111">
        <f t="shared" si="82"/>
        <v>42.784488291723349</v>
      </c>
      <c r="AW104" s="112">
        <f t="shared" si="82"/>
        <v>6.3996868000588764E-2</v>
      </c>
      <c r="AX104" s="112">
        <f t="shared" si="82"/>
        <v>0.30840792428761499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83">SUM(E3:E104)</f>
        <v>77418</v>
      </c>
      <c r="F105" s="116">
        <f t="shared" si="83"/>
        <v>2880</v>
      </c>
      <c r="G105" s="116">
        <f t="shared" si="83"/>
        <v>750</v>
      </c>
      <c r="H105" s="116">
        <f t="shared" si="83"/>
        <v>9944</v>
      </c>
      <c r="I105" s="116">
        <f t="shared" si="83"/>
        <v>1611</v>
      </c>
      <c r="J105" s="116">
        <f t="shared" si="83"/>
        <v>62233</v>
      </c>
      <c r="K105" s="116"/>
      <c r="L105" s="116">
        <f>SUM(L3:L104)</f>
        <v>9579708.6399999969</v>
      </c>
      <c r="M105" s="116"/>
      <c r="N105" s="116">
        <f>SUM(N3:N104)</f>
        <v>4413</v>
      </c>
      <c r="O105" s="116"/>
      <c r="P105" s="116"/>
      <c r="Q105" s="212"/>
      <c r="R105" s="116"/>
      <c r="S105" s="116">
        <f t="shared" ref="S105:AE105" si="84">SUM(S3:S104)</f>
        <v>2295</v>
      </c>
      <c r="T105" s="116">
        <f t="shared" si="84"/>
        <v>-43</v>
      </c>
      <c r="U105" s="116">
        <f t="shared" si="84"/>
        <v>2252</v>
      </c>
      <c r="V105" s="116">
        <f t="shared" si="84"/>
        <v>1593380.0800000003</v>
      </c>
      <c r="W105" s="116">
        <f t="shared" si="84"/>
        <v>-29254.63</v>
      </c>
      <c r="X105" s="116">
        <f t="shared" si="84"/>
        <v>1564125.4500000002</v>
      </c>
      <c r="Y105" s="116">
        <f t="shared" si="84"/>
        <v>2501418.8899999997</v>
      </c>
      <c r="Z105" s="116">
        <f t="shared" si="84"/>
        <v>-47007.29</v>
      </c>
      <c r="AA105" s="116">
        <f t="shared" si="84"/>
        <v>2454411.5999999992</v>
      </c>
      <c r="AB105" s="116">
        <f t="shared" si="84"/>
        <v>3169175.0699999994</v>
      </c>
      <c r="AC105" s="239">
        <f t="shared" si="84"/>
        <v>1.0000000000000004</v>
      </c>
      <c r="AD105" s="117">
        <f t="shared" si="84"/>
        <v>280478.83000000019</v>
      </c>
      <c r="AE105" s="116">
        <f t="shared" si="84"/>
        <v>918234.84000000067</v>
      </c>
      <c r="AF105" s="239">
        <f>AE105/AA105</f>
        <v>0.37411607735230756</v>
      </c>
      <c r="AG105" s="116">
        <f t="shared" ref="AG105:AO105" si="85">SUM(AG3:AG104)</f>
        <v>267875.32999999996</v>
      </c>
      <c r="AH105" s="117">
        <f t="shared" si="85"/>
        <v>50989</v>
      </c>
      <c r="AI105" s="117">
        <f t="shared" si="85"/>
        <v>265182</v>
      </c>
      <c r="AJ105" s="117">
        <f t="shared" si="85"/>
        <v>0</v>
      </c>
      <c r="AK105" s="117">
        <f t="shared" si="85"/>
        <v>0</v>
      </c>
      <c r="AL105" s="117">
        <f t="shared" si="85"/>
        <v>8623.9027531422835</v>
      </c>
      <c r="AM105" s="116">
        <f t="shared" si="85"/>
        <v>466</v>
      </c>
      <c r="AN105" s="117">
        <f t="shared" si="85"/>
        <v>89311.563195000068</v>
      </c>
      <c r="AO105" s="117">
        <f t="shared" si="85"/>
        <v>573250.13405185717</v>
      </c>
      <c r="AP105" s="118"/>
      <c r="AQ105" s="116"/>
      <c r="AR105" s="116"/>
      <c r="AS105" s="116"/>
      <c r="AT105" s="116"/>
      <c r="AU105" s="294">
        <f>(AH105+AI105+AJ104)/S105</f>
        <v>137.76514161220044</v>
      </c>
      <c r="AV105" s="116"/>
      <c r="AW105" s="116"/>
      <c r="AX105" s="116"/>
      <c r="AY105" s="119"/>
      <c r="AZ105" s="116">
        <f>SUM(AZ3:AZ104)</f>
        <v>17633094.073768727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45"/>
      <c r="AI106" s="545"/>
      <c r="AJ106" s="216"/>
      <c r="AK106" s="21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6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" si="87">N107/7</f>
        <v>0</v>
      </c>
      <c r="R107" s="92">
        <f t="shared" ref="R107" si="88">U107/7</f>
        <v>0</v>
      </c>
      <c r="S107" s="93">
        <v>0</v>
      </c>
      <c r="T107" s="93">
        <v>0</v>
      </c>
      <c r="U107" s="92">
        <f t="shared" ref="U107" si="89">S107+T107</f>
        <v>0</v>
      </c>
      <c r="V107" s="93">
        <v>0</v>
      </c>
      <c r="W107" s="93">
        <v>0</v>
      </c>
      <c r="X107" s="92">
        <f t="shared" ref="X107" si="90">V107+W107</f>
        <v>0</v>
      </c>
      <c r="Y107" s="93">
        <v>0</v>
      </c>
      <c r="Z107" s="93">
        <v>0</v>
      </c>
      <c r="AA107" s="92">
        <f t="shared" ref="AA107" si="91">Y107+Z107</f>
        <v>0</v>
      </c>
      <c r="AB107" s="92">
        <f t="shared" ref="AB107" si="92">N107*O107*P107/100</f>
        <v>0</v>
      </c>
      <c r="AC107" s="234">
        <f t="shared" ref="AC107" si="93">AA107/$AA$126</f>
        <v>0</v>
      </c>
      <c r="AD107" s="92">
        <f t="shared" ref="AD107" si="94">U107*K107</f>
        <v>0</v>
      </c>
      <c r="AE107" s="93">
        <v>0</v>
      </c>
      <c r="AF107" s="234">
        <f t="shared" ref="AF107" si="95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96">IFERROR($AL$126*H107/$H$126,0)</f>
        <v>0</v>
      </c>
      <c r="AM107" s="93">
        <v>0</v>
      </c>
      <c r="AN107" s="94">
        <f t="shared" ref="AN107:AN111" si="97">X107*5.71%</f>
        <v>0</v>
      </c>
      <c r="AO107" s="95">
        <f t="shared" ref="AO107:AO111" si="98">AA107-AD107-AE107-AG107-AH107-AI107-AK107-AL107-AN107-AM107</f>
        <v>0</v>
      </c>
      <c r="AP107" s="96"/>
      <c r="AQ107" s="97">
        <f t="shared" ref="AQ107:AQ111" si="99">IF(U107=0,0,AA107/U107)</f>
        <v>0</v>
      </c>
      <c r="AR107" s="98">
        <f t="shared" ref="AR107:AR111" si="100">K107</f>
        <v>579.17999999999995</v>
      </c>
      <c r="AS107" s="98">
        <f t="shared" ref="AS107:AS111" si="101">IF(U107=0,0,AE107/U107)</f>
        <v>0</v>
      </c>
      <c r="AT107" s="98">
        <f t="shared" ref="AT107:AT111" si="102">IF(S107=0,AG107/1,AG107/S107)</f>
        <v>0</v>
      </c>
      <c r="AU107" s="98">
        <f t="shared" ref="AU107:AU111" si="103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104">IF(AQ107=0,0,AV107/AQ107)</f>
        <v>0</v>
      </c>
      <c r="AX107" s="234">
        <f t="shared" ref="AX107:AX111" si="105">IF(AR107=0,0,AV107/AR107)</f>
        <v>0</v>
      </c>
      <c r="AY107" s="99"/>
      <c r="AZ107" s="94">
        <f t="shared" ref="AZ107:AZ111" si="106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6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107">E108*K108</f>
        <v>1158.3599999999999</v>
      </c>
      <c r="M108" s="89">
        <v>4</v>
      </c>
      <c r="N108" s="89">
        <v>0</v>
      </c>
      <c r="O108" s="89">
        <v>0</v>
      </c>
      <c r="P108" s="89">
        <v>0</v>
      </c>
      <c r="Q108" s="233">
        <f t="shared" ref="Q108:Q111" si="108">N108/7</f>
        <v>0</v>
      </c>
      <c r="R108" s="92">
        <f t="shared" ref="R108:R111" si="109">U108/7</f>
        <v>0</v>
      </c>
      <c r="S108" s="93">
        <v>0</v>
      </c>
      <c r="T108" s="93">
        <v>0</v>
      </c>
      <c r="U108" s="92">
        <f t="shared" ref="U108:U111" si="110">S108+T108</f>
        <v>0</v>
      </c>
      <c r="V108" s="93">
        <v>0</v>
      </c>
      <c r="W108" s="93">
        <v>0</v>
      </c>
      <c r="X108" s="92">
        <f t="shared" ref="X108:X111" si="111">V108+W108</f>
        <v>0</v>
      </c>
      <c r="Y108" s="93">
        <v>0</v>
      </c>
      <c r="Z108" s="93">
        <v>0</v>
      </c>
      <c r="AA108" s="92">
        <f t="shared" ref="AA108:AA111" si="112">Y108+Z108</f>
        <v>0</v>
      </c>
      <c r="AB108" s="92">
        <f t="shared" ref="AB108:AB111" si="113">N108*O108*P108/100</f>
        <v>0</v>
      </c>
      <c r="AC108" s="234">
        <f t="shared" ref="AC108:AC111" si="114">AA108/$AA$126</f>
        <v>0</v>
      </c>
      <c r="AD108" s="92">
        <f t="shared" ref="AD108:AD111" si="115">U108*K108</f>
        <v>0</v>
      </c>
      <c r="AE108" s="93">
        <v>0</v>
      </c>
      <c r="AF108" s="234">
        <f t="shared" ref="AF108:AF111" si="116">IF(AA108=0,0,AE108/AA108)</f>
        <v>0</v>
      </c>
      <c r="AG108" s="93">
        <v>0</v>
      </c>
      <c r="AH108" s="93"/>
      <c r="AI108" s="93"/>
      <c r="AJ108" s="93"/>
      <c r="AK108" s="93"/>
      <c r="AL108" s="122">
        <f t="shared" ref="AL108:AL111" si="117">IFERROR($AL$126*H108/$H$126,0)</f>
        <v>0.86724685771744603</v>
      </c>
      <c r="AM108" s="93">
        <v>0</v>
      </c>
      <c r="AN108" s="94">
        <f t="shared" si="97"/>
        <v>0</v>
      </c>
      <c r="AO108" s="95">
        <f t="shared" si="98"/>
        <v>-0.86724685771744603</v>
      </c>
      <c r="AP108" s="96"/>
      <c r="AQ108" s="97">
        <f t="shared" si="99"/>
        <v>0</v>
      </c>
      <c r="AR108" s="98">
        <f t="shared" si="100"/>
        <v>579.17999999999995</v>
      </c>
      <c r="AS108" s="98">
        <f t="shared" si="101"/>
        <v>0</v>
      </c>
      <c r="AT108" s="98">
        <f t="shared" si="102"/>
        <v>0</v>
      </c>
      <c r="AU108" s="98">
        <f t="shared" si="103"/>
        <v>0</v>
      </c>
      <c r="AV108" s="98">
        <f t="array" ref="AV108">_xlfn.IFS(U108=0,AO108,U108&lt;0,AO108/-U108,U108&gt;0,AO108/U108)</f>
        <v>-0.86724685771744603</v>
      </c>
      <c r="AW108" s="234">
        <f t="shared" si="104"/>
        <v>0</v>
      </c>
      <c r="AX108" s="234">
        <f t="shared" si="105"/>
        <v>-1.4973701745872546E-3</v>
      </c>
      <c r="AY108" s="99"/>
      <c r="AZ108" s="94">
        <f t="shared" si="106"/>
        <v>-1.7344937154348921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6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7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108"/>
        <v>0</v>
      </c>
      <c r="R109" s="92">
        <f t="shared" si="109"/>
        <v>0</v>
      </c>
      <c r="S109" s="93">
        <v>0</v>
      </c>
      <c r="T109" s="93">
        <v>0</v>
      </c>
      <c r="U109" s="92">
        <f t="shared" si="110"/>
        <v>0</v>
      </c>
      <c r="V109" s="93">
        <v>0</v>
      </c>
      <c r="W109" s="93">
        <v>0</v>
      </c>
      <c r="X109" s="92">
        <f t="shared" si="111"/>
        <v>0</v>
      </c>
      <c r="Y109" s="93">
        <v>0</v>
      </c>
      <c r="Z109" s="93">
        <v>0</v>
      </c>
      <c r="AA109" s="92">
        <f t="shared" si="112"/>
        <v>0</v>
      </c>
      <c r="AB109" s="92">
        <f t="shared" si="113"/>
        <v>0</v>
      </c>
      <c r="AC109" s="234">
        <f t="shared" si="114"/>
        <v>0</v>
      </c>
      <c r="AD109" s="92">
        <f t="shared" si="115"/>
        <v>0</v>
      </c>
      <c r="AE109" s="93">
        <v>0</v>
      </c>
      <c r="AF109" s="234">
        <f t="shared" si="116"/>
        <v>0</v>
      </c>
      <c r="AG109" s="93">
        <v>0</v>
      </c>
      <c r="AH109" s="93"/>
      <c r="AI109" s="93"/>
      <c r="AJ109" s="93"/>
      <c r="AK109" s="93"/>
      <c r="AL109" s="122">
        <f t="shared" si="117"/>
        <v>0</v>
      </c>
      <c r="AM109" s="93">
        <v>0</v>
      </c>
      <c r="AN109" s="94">
        <f t="shared" si="97"/>
        <v>0</v>
      </c>
      <c r="AO109" s="95">
        <f t="shared" si="98"/>
        <v>0</v>
      </c>
      <c r="AP109" s="96"/>
      <c r="AQ109" s="97">
        <f t="shared" si="99"/>
        <v>0</v>
      </c>
      <c r="AR109" s="98">
        <f t="shared" si="100"/>
        <v>541.67999999999995</v>
      </c>
      <c r="AS109" s="98">
        <f t="shared" si="101"/>
        <v>0</v>
      </c>
      <c r="AT109" s="98">
        <f t="shared" si="102"/>
        <v>0</v>
      </c>
      <c r="AU109" s="98">
        <f t="shared" si="103"/>
        <v>0</v>
      </c>
      <c r="AV109" s="98">
        <f t="array" ref="AV109">_xlfn.IFS(U109=0,AO109,U109&lt;0,AO109/-U109,U109&gt;0,AO109/U109)</f>
        <v>0</v>
      </c>
      <c r="AW109" s="234">
        <f t="shared" si="104"/>
        <v>0</v>
      </c>
      <c r="AX109" s="234">
        <f t="shared" si="105"/>
        <v>0</v>
      </c>
      <c r="AY109" s="99"/>
      <c r="AZ109" s="94">
        <f t="shared" si="106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6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7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108"/>
        <v>0</v>
      </c>
      <c r="R110" s="92">
        <f t="shared" si="109"/>
        <v>0</v>
      </c>
      <c r="S110" s="93">
        <v>0</v>
      </c>
      <c r="T110" s="93">
        <v>0</v>
      </c>
      <c r="U110" s="92">
        <f t="shared" si="110"/>
        <v>0</v>
      </c>
      <c r="V110" s="93">
        <v>0</v>
      </c>
      <c r="W110" s="93">
        <v>0</v>
      </c>
      <c r="X110" s="92">
        <f t="shared" si="111"/>
        <v>0</v>
      </c>
      <c r="Y110" s="93">
        <v>0</v>
      </c>
      <c r="Z110" s="93">
        <v>0</v>
      </c>
      <c r="AA110" s="92">
        <f t="shared" si="112"/>
        <v>0</v>
      </c>
      <c r="AB110" s="92">
        <f t="shared" si="113"/>
        <v>0</v>
      </c>
      <c r="AC110" s="234">
        <f t="shared" si="114"/>
        <v>0</v>
      </c>
      <c r="AD110" s="92">
        <f t="shared" si="115"/>
        <v>0</v>
      </c>
      <c r="AE110" s="93">
        <v>0</v>
      </c>
      <c r="AF110" s="234">
        <f t="shared" si="116"/>
        <v>0</v>
      </c>
      <c r="AG110" s="93">
        <v>0</v>
      </c>
      <c r="AH110" s="93"/>
      <c r="AI110" s="93"/>
      <c r="AJ110" s="93"/>
      <c r="AK110" s="93"/>
      <c r="AL110" s="122">
        <f t="shared" si="117"/>
        <v>0</v>
      </c>
      <c r="AM110" s="93">
        <v>0</v>
      </c>
      <c r="AN110" s="94">
        <f t="shared" si="97"/>
        <v>0</v>
      </c>
      <c r="AO110" s="95">
        <f t="shared" si="98"/>
        <v>0</v>
      </c>
      <c r="AP110" s="96"/>
      <c r="AQ110" s="97">
        <f t="shared" si="99"/>
        <v>0</v>
      </c>
      <c r="AR110" s="98">
        <f t="shared" si="100"/>
        <v>541.67999999999995</v>
      </c>
      <c r="AS110" s="98">
        <f t="shared" si="101"/>
        <v>0</v>
      </c>
      <c r="AT110" s="98">
        <f t="shared" si="102"/>
        <v>0</v>
      </c>
      <c r="AU110" s="98">
        <f t="shared" si="103"/>
        <v>0</v>
      </c>
      <c r="AV110" s="98">
        <f t="array" ref="AV110">_xlfn.IFS(U110=0,AO110,U110&lt;0,AO110/-U110,U110&gt;0,AO110/U110)</f>
        <v>0</v>
      </c>
      <c r="AW110" s="234">
        <f t="shared" si="104"/>
        <v>0</v>
      </c>
      <c r="AX110" s="234">
        <f t="shared" si="105"/>
        <v>0</v>
      </c>
      <c r="AY110" s="99"/>
      <c r="AZ110" s="94">
        <f t="shared" si="106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6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7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108"/>
        <v>0</v>
      </c>
      <c r="R111" s="92">
        <f t="shared" si="109"/>
        <v>0</v>
      </c>
      <c r="S111" s="93">
        <v>0</v>
      </c>
      <c r="T111" s="93">
        <v>0</v>
      </c>
      <c r="U111" s="92">
        <f t="shared" si="110"/>
        <v>0</v>
      </c>
      <c r="V111" s="93">
        <v>0</v>
      </c>
      <c r="W111" s="93">
        <v>0</v>
      </c>
      <c r="X111" s="92">
        <f t="shared" si="111"/>
        <v>0</v>
      </c>
      <c r="Y111" s="93">
        <v>0</v>
      </c>
      <c r="Z111" s="93">
        <v>0</v>
      </c>
      <c r="AA111" s="92">
        <f t="shared" si="112"/>
        <v>0</v>
      </c>
      <c r="AB111" s="92">
        <f t="shared" si="113"/>
        <v>0</v>
      </c>
      <c r="AC111" s="234">
        <f t="shared" si="114"/>
        <v>0</v>
      </c>
      <c r="AD111" s="92">
        <f t="shared" si="115"/>
        <v>0</v>
      </c>
      <c r="AE111" s="93">
        <v>0</v>
      </c>
      <c r="AF111" s="234">
        <f t="shared" si="116"/>
        <v>0</v>
      </c>
      <c r="AG111" s="93">
        <v>0</v>
      </c>
      <c r="AH111" s="93"/>
      <c r="AI111" s="93"/>
      <c r="AJ111" s="93"/>
      <c r="AK111" s="93"/>
      <c r="AL111" s="122">
        <f t="shared" si="117"/>
        <v>0</v>
      </c>
      <c r="AM111" s="93">
        <v>0</v>
      </c>
      <c r="AN111" s="94">
        <f t="shared" si="97"/>
        <v>0</v>
      </c>
      <c r="AO111" s="95">
        <f t="shared" si="98"/>
        <v>0</v>
      </c>
      <c r="AP111" s="96"/>
      <c r="AQ111" s="97">
        <f t="shared" si="99"/>
        <v>0</v>
      </c>
      <c r="AR111" s="98">
        <f t="shared" si="100"/>
        <v>541.67999999999995</v>
      </c>
      <c r="AS111" s="98">
        <f t="shared" si="101"/>
        <v>0</v>
      </c>
      <c r="AT111" s="98">
        <f t="shared" si="102"/>
        <v>0</v>
      </c>
      <c r="AU111" s="98">
        <f t="shared" si="103"/>
        <v>0</v>
      </c>
      <c r="AV111" s="98">
        <f t="array" ref="AV111">_xlfn.IFS(U111=0,AO111,U111&lt;0,AO111/-U111,U111&gt;0,AO111/U111)</f>
        <v>0</v>
      </c>
      <c r="AW111" s="234">
        <f t="shared" si="104"/>
        <v>0</v>
      </c>
      <c r="AX111" s="234">
        <f t="shared" si="105"/>
        <v>0</v>
      </c>
      <c r="AY111" s="99"/>
      <c r="AZ111" s="94">
        <f t="shared" si="106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16"/>
      <c r="AI112" s="216"/>
      <c r="AJ112" s="216"/>
      <c r="AK112" s="216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18">AVERAGE(AS107:AS111)</f>
        <v>0</v>
      </c>
      <c r="AT112" s="245">
        <f t="shared" si="118"/>
        <v>0</v>
      </c>
      <c r="AU112" s="245">
        <f t="shared" si="118"/>
        <v>0</v>
      </c>
      <c r="AV112" s="245">
        <f t="shared" si="118"/>
        <v>-0.17344937154348922</v>
      </c>
      <c r="AW112" s="246">
        <f t="shared" si="118"/>
        <v>0</v>
      </c>
      <c r="AX112" s="246">
        <f t="shared" si="118"/>
        <v>-2.9947403491745092E-4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19">SUM(E107:E111)</f>
        <v>7</v>
      </c>
      <c r="F113" s="249">
        <f t="shared" si="119"/>
        <v>0</v>
      </c>
      <c r="G113" s="249">
        <f t="shared" si="119"/>
        <v>0</v>
      </c>
      <c r="H113" s="249">
        <f t="shared" si="119"/>
        <v>1</v>
      </c>
      <c r="I113" s="249">
        <f t="shared" si="119"/>
        <v>0</v>
      </c>
      <c r="J113" s="249">
        <f t="shared" si="119"/>
        <v>6</v>
      </c>
      <c r="K113" s="249"/>
      <c r="L113" s="249">
        <f>SUM(L107:L111)</f>
        <v>3904.2599999999993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20">SUM(S107:S111)</f>
        <v>0</v>
      </c>
      <c r="T113" s="249">
        <f t="shared" si="120"/>
        <v>0</v>
      </c>
      <c r="U113" s="249">
        <f t="shared" si="120"/>
        <v>0</v>
      </c>
      <c r="V113" s="249">
        <f t="shared" si="120"/>
        <v>0</v>
      </c>
      <c r="W113" s="249">
        <f t="shared" si="120"/>
        <v>0</v>
      </c>
      <c r="X113" s="249">
        <f t="shared" si="120"/>
        <v>0</v>
      </c>
      <c r="Y113" s="249">
        <f t="shared" si="120"/>
        <v>0</v>
      </c>
      <c r="Z113" s="249">
        <f t="shared" si="120"/>
        <v>0</v>
      </c>
      <c r="AA113" s="249">
        <f t="shared" si="120"/>
        <v>0</v>
      </c>
      <c r="AB113" s="249">
        <f t="shared" si="120"/>
        <v>0</v>
      </c>
      <c r="AC113" s="252">
        <f t="shared" si="120"/>
        <v>0</v>
      </c>
      <c r="AD113" s="253">
        <f t="shared" si="120"/>
        <v>0</v>
      </c>
      <c r="AE113" s="249">
        <f t="shared" si="120"/>
        <v>0</v>
      </c>
      <c r="AF113" s="252" t="e">
        <f>AE113/AA113</f>
        <v>#DIV/0!</v>
      </c>
      <c r="AG113" s="249">
        <f t="shared" ref="AG113:AO113" si="121">SUM(AG107:AG111)</f>
        <v>0</v>
      </c>
      <c r="AH113" s="253">
        <f t="shared" si="121"/>
        <v>0</v>
      </c>
      <c r="AI113" s="253">
        <f t="shared" si="121"/>
        <v>0</v>
      </c>
      <c r="AJ113" s="253">
        <f t="shared" si="121"/>
        <v>0</v>
      </c>
      <c r="AK113" s="253">
        <f t="shared" si="121"/>
        <v>0</v>
      </c>
      <c r="AL113" s="253">
        <f t="shared" si="121"/>
        <v>0.86724685771744603</v>
      </c>
      <c r="AM113" s="249">
        <f t="shared" si="121"/>
        <v>0</v>
      </c>
      <c r="AN113" s="253">
        <f t="shared" si="121"/>
        <v>0</v>
      </c>
      <c r="AO113" s="253">
        <f t="shared" si="121"/>
        <v>-0.86724685771744603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-1.7344937154348921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46"/>
      <c r="AI114" s="547"/>
      <c r="AJ114" s="26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22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" si="123">N115/7</f>
        <v>0</v>
      </c>
      <c r="R115" s="92">
        <f t="shared" ref="R115" si="124">U115/7</f>
        <v>0</v>
      </c>
      <c r="S115" s="93">
        <v>0</v>
      </c>
      <c r="T115" s="93">
        <v>0</v>
      </c>
      <c r="U115" s="92">
        <f t="shared" ref="U115" si="125">S115+T115</f>
        <v>0</v>
      </c>
      <c r="V115" s="93">
        <v>0</v>
      </c>
      <c r="W115" s="93">
        <v>0</v>
      </c>
      <c r="X115" s="92">
        <f t="shared" ref="X115" si="126">V115+W115</f>
        <v>0</v>
      </c>
      <c r="Y115" s="93">
        <v>0</v>
      </c>
      <c r="Z115" s="93">
        <v>0</v>
      </c>
      <c r="AA115" s="92">
        <f t="shared" ref="AA115" si="127">Y115+Z115</f>
        <v>0</v>
      </c>
      <c r="AB115" s="92">
        <f t="shared" ref="AB115" si="128">N115*O115*P115/100</f>
        <v>0</v>
      </c>
      <c r="AC115" s="234">
        <f t="shared" ref="AC115" si="129">AA115/$AA$126</f>
        <v>0</v>
      </c>
      <c r="AD115" s="92">
        <f t="shared" ref="AD115" si="130">U115*K115</f>
        <v>0</v>
      </c>
      <c r="AE115" s="93">
        <v>0</v>
      </c>
      <c r="AF115" s="234">
        <f t="shared" ref="AF115" si="131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32">IFERROR($AL$126*H115/$H$126,0)</f>
        <v>0</v>
      </c>
      <c r="AM115" s="93">
        <v>0</v>
      </c>
      <c r="AN115" s="94">
        <f t="shared" ref="AN115:AN122" si="133">X115*5.71%</f>
        <v>0</v>
      </c>
      <c r="AO115" s="95">
        <f t="shared" ref="AO115:AO122" si="134">AA115-AD115-AE115-AG115-AH115-AI115-AK115-AL115-AN115-AM115</f>
        <v>0</v>
      </c>
      <c r="AP115" s="96"/>
      <c r="AQ115" s="97">
        <f t="shared" ref="AQ115:AQ122" si="135">IF(U115=0,0,AA115/U115)</f>
        <v>0</v>
      </c>
      <c r="AR115" s="98">
        <f t="shared" ref="AR115:AR122" si="136">K115</f>
        <v>140</v>
      </c>
      <c r="AS115" s="98">
        <f t="shared" ref="AS115:AS122" si="137">IF(U115=0,0,AE115/U115)</f>
        <v>0</v>
      </c>
      <c r="AT115" s="98">
        <f t="shared" ref="AT115:AT122" si="138">IF(S115=0,AG115/1,AG115/S115)</f>
        <v>0</v>
      </c>
      <c r="AU115" s="98">
        <f t="shared" ref="AU115:AU122" si="139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40">IF(AQ115=0,0,AV115/AQ115)</f>
        <v>0</v>
      </c>
      <c r="AX115" s="234">
        <f t="shared" ref="AX115:AX122" si="141">IF(AR115=0,0,AV115/AR115)</f>
        <v>0</v>
      </c>
      <c r="AY115" s="99"/>
      <c r="AZ115" s="94">
        <f t="shared" ref="AZ115:AZ122" si="142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43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122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ref="Q116:Q122" si="144">N116/7</f>
        <v>0</v>
      </c>
      <c r="R116" s="92">
        <f t="shared" ref="R116:R122" si="145">U116/7</f>
        <v>0</v>
      </c>
      <c r="S116" s="93">
        <v>0</v>
      </c>
      <c r="T116" s="93">
        <v>0</v>
      </c>
      <c r="U116" s="92">
        <f t="shared" ref="U116:U122" si="146">S116+T116</f>
        <v>0</v>
      </c>
      <c r="V116" s="93">
        <v>0</v>
      </c>
      <c r="W116" s="93">
        <v>0</v>
      </c>
      <c r="X116" s="92">
        <f t="shared" ref="X116:X122" si="147">V116+W116</f>
        <v>0</v>
      </c>
      <c r="Y116" s="93">
        <v>0</v>
      </c>
      <c r="Z116" s="93">
        <v>0</v>
      </c>
      <c r="AA116" s="92">
        <f t="shared" ref="AA116:AA122" si="148">Y116+Z116</f>
        <v>0</v>
      </c>
      <c r="AB116" s="92">
        <f t="shared" ref="AB116:AB122" si="149">N116*O116*P116/100</f>
        <v>0</v>
      </c>
      <c r="AC116" s="234">
        <f t="shared" ref="AC116:AC122" si="150">AA116/$AA$126</f>
        <v>0</v>
      </c>
      <c r="AD116" s="92">
        <f t="shared" ref="AD116:AD122" si="151">U116*K116</f>
        <v>0</v>
      </c>
      <c r="AE116" s="93">
        <v>0</v>
      </c>
      <c r="AF116" s="234">
        <f t="shared" ref="AF116:AF122" si="152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53">IFERROR($AL$126*H116/$H$126,0)</f>
        <v>0</v>
      </c>
      <c r="AM116" s="93">
        <v>0</v>
      </c>
      <c r="AN116" s="94">
        <f t="shared" si="133"/>
        <v>0</v>
      </c>
      <c r="AO116" s="95">
        <f t="shared" si="134"/>
        <v>0</v>
      </c>
      <c r="AP116" s="96"/>
      <c r="AQ116" s="97">
        <f t="shared" si="135"/>
        <v>0</v>
      </c>
      <c r="AR116" s="98">
        <f t="shared" si="136"/>
        <v>154</v>
      </c>
      <c r="AS116" s="98">
        <f t="shared" si="137"/>
        <v>0</v>
      </c>
      <c r="AT116" s="98">
        <f t="shared" si="138"/>
        <v>0</v>
      </c>
      <c r="AU116" s="98">
        <f t="shared" si="139"/>
        <v>0</v>
      </c>
      <c r="AV116" s="98">
        <f t="array" ref="AV116">_xlfn.IFS(U116=0,AO116,U116&lt;0,AO116/-U116,U116&gt;0,AO116/U116)</f>
        <v>0</v>
      </c>
      <c r="AW116" s="234">
        <f t="shared" si="140"/>
        <v>0</v>
      </c>
      <c r="AX116" s="234">
        <f t="shared" si="141"/>
        <v>0</v>
      </c>
      <c r="AY116" s="99"/>
      <c r="AZ116" s="94">
        <f t="shared" si="142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43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122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44"/>
        <v>0</v>
      </c>
      <c r="R117" s="92">
        <f t="shared" si="145"/>
        <v>0</v>
      </c>
      <c r="S117" s="93">
        <v>0</v>
      </c>
      <c r="T117" s="93">
        <v>0</v>
      </c>
      <c r="U117" s="92">
        <f t="shared" si="146"/>
        <v>0</v>
      </c>
      <c r="V117" s="93">
        <v>0</v>
      </c>
      <c r="W117" s="93">
        <v>0</v>
      </c>
      <c r="X117" s="92">
        <f t="shared" si="147"/>
        <v>0</v>
      </c>
      <c r="Y117" s="93">
        <v>0</v>
      </c>
      <c r="Z117" s="93">
        <v>0</v>
      </c>
      <c r="AA117" s="92">
        <f t="shared" si="148"/>
        <v>0</v>
      </c>
      <c r="AB117" s="92">
        <f t="shared" si="149"/>
        <v>0</v>
      </c>
      <c r="AC117" s="234">
        <f t="shared" si="150"/>
        <v>0</v>
      </c>
      <c r="AD117" s="92">
        <f t="shared" si="151"/>
        <v>0</v>
      </c>
      <c r="AE117" s="93">
        <v>0</v>
      </c>
      <c r="AF117" s="234">
        <f t="shared" si="152"/>
        <v>0</v>
      </c>
      <c r="AG117" s="93">
        <v>0</v>
      </c>
      <c r="AH117" s="93"/>
      <c r="AI117" s="93"/>
      <c r="AJ117" s="93"/>
      <c r="AK117" s="93"/>
      <c r="AL117" s="122">
        <f t="shared" si="153"/>
        <v>0</v>
      </c>
      <c r="AM117" s="93">
        <v>0</v>
      </c>
      <c r="AN117" s="94">
        <f t="shared" si="133"/>
        <v>0</v>
      </c>
      <c r="AO117" s="95">
        <f t="shared" si="134"/>
        <v>0</v>
      </c>
      <c r="AP117" s="96"/>
      <c r="AQ117" s="97">
        <f t="shared" si="135"/>
        <v>0</v>
      </c>
      <c r="AR117" s="98">
        <f t="shared" si="136"/>
        <v>220</v>
      </c>
      <c r="AS117" s="98">
        <f t="shared" si="137"/>
        <v>0</v>
      </c>
      <c r="AT117" s="98">
        <f t="shared" si="138"/>
        <v>0</v>
      </c>
      <c r="AU117" s="98">
        <f t="shared" si="139"/>
        <v>0</v>
      </c>
      <c r="AV117" s="98">
        <f t="array" ref="AV117">_xlfn.IFS(U117=0,AO117,U117&lt;0,AO117/-U117,U117&gt;0,AO117/U117)</f>
        <v>0</v>
      </c>
      <c r="AW117" s="234">
        <f t="shared" si="140"/>
        <v>0</v>
      </c>
      <c r="AX117" s="234">
        <f t="shared" si="141"/>
        <v>0</v>
      </c>
      <c r="AY117" s="99"/>
      <c r="AZ117" s="94">
        <f t="shared" si="142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43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122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44"/>
        <v>0</v>
      </c>
      <c r="R118" s="92">
        <f t="shared" si="145"/>
        <v>0</v>
      </c>
      <c r="S118" s="93">
        <v>0</v>
      </c>
      <c r="T118" s="93">
        <v>0</v>
      </c>
      <c r="U118" s="92">
        <f t="shared" si="146"/>
        <v>0</v>
      </c>
      <c r="V118" s="93">
        <v>0</v>
      </c>
      <c r="W118" s="93">
        <v>0</v>
      </c>
      <c r="X118" s="92">
        <f t="shared" si="147"/>
        <v>0</v>
      </c>
      <c r="Y118" s="93">
        <v>0</v>
      </c>
      <c r="Z118" s="93">
        <v>0</v>
      </c>
      <c r="AA118" s="92">
        <f t="shared" si="148"/>
        <v>0</v>
      </c>
      <c r="AB118" s="92">
        <f t="shared" si="149"/>
        <v>0</v>
      </c>
      <c r="AC118" s="234">
        <f t="shared" si="150"/>
        <v>0</v>
      </c>
      <c r="AD118" s="92">
        <f t="shared" si="151"/>
        <v>0</v>
      </c>
      <c r="AE118" s="93">
        <v>0</v>
      </c>
      <c r="AF118" s="234">
        <f t="shared" si="152"/>
        <v>0</v>
      </c>
      <c r="AG118" s="93">
        <v>0</v>
      </c>
      <c r="AH118" s="93"/>
      <c r="AI118" s="93"/>
      <c r="AJ118" s="93"/>
      <c r="AK118" s="93"/>
      <c r="AL118" s="122">
        <f t="shared" si="153"/>
        <v>0</v>
      </c>
      <c r="AM118" s="93">
        <v>0</v>
      </c>
      <c r="AN118" s="94">
        <f t="shared" si="133"/>
        <v>0</v>
      </c>
      <c r="AO118" s="95">
        <f t="shared" si="134"/>
        <v>0</v>
      </c>
      <c r="AP118" s="96"/>
      <c r="AQ118" s="97">
        <f t="shared" si="135"/>
        <v>0</v>
      </c>
      <c r="AR118" s="98">
        <f t="shared" si="136"/>
        <v>220</v>
      </c>
      <c r="AS118" s="98">
        <f t="shared" si="137"/>
        <v>0</v>
      </c>
      <c r="AT118" s="98">
        <f t="shared" si="138"/>
        <v>0</v>
      </c>
      <c r="AU118" s="98">
        <f t="shared" si="139"/>
        <v>0</v>
      </c>
      <c r="AV118" s="98">
        <f t="array" ref="AV118">_xlfn.IFS(U118=0,AO118,U118&lt;0,AO118/-U118,U118&gt;0,AO118/U118)</f>
        <v>0</v>
      </c>
      <c r="AW118" s="234">
        <f t="shared" si="140"/>
        <v>0</v>
      </c>
      <c r="AX118" s="234">
        <f t="shared" si="141"/>
        <v>0</v>
      </c>
      <c r="AY118" s="99"/>
      <c r="AZ118" s="94">
        <f t="shared" si="142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43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122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44"/>
        <v>0</v>
      </c>
      <c r="R119" s="92">
        <f t="shared" si="145"/>
        <v>0</v>
      </c>
      <c r="S119" s="93">
        <v>0</v>
      </c>
      <c r="T119" s="93">
        <v>0</v>
      </c>
      <c r="U119" s="92">
        <f t="shared" si="146"/>
        <v>0</v>
      </c>
      <c r="V119" s="93">
        <v>0</v>
      </c>
      <c r="W119" s="93">
        <v>0</v>
      </c>
      <c r="X119" s="92">
        <f t="shared" si="147"/>
        <v>0</v>
      </c>
      <c r="Y119" s="93">
        <v>0</v>
      </c>
      <c r="Z119" s="93">
        <v>0</v>
      </c>
      <c r="AA119" s="92">
        <f t="shared" si="148"/>
        <v>0</v>
      </c>
      <c r="AB119" s="92">
        <f t="shared" si="149"/>
        <v>0</v>
      </c>
      <c r="AC119" s="234">
        <f t="shared" si="150"/>
        <v>0</v>
      </c>
      <c r="AD119" s="92">
        <f t="shared" si="151"/>
        <v>0</v>
      </c>
      <c r="AE119" s="93">
        <v>0</v>
      </c>
      <c r="AF119" s="234">
        <f t="shared" si="152"/>
        <v>0</v>
      </c>
      <c r="AG119" s="93">
        <v>0</v>
      </c>
      <c r="AH119" s="93"/>
      <c r="AI119" s="93"/>
      <c r="AJ119" s="93"/>
      <c r="AK119" s="93"/>
      <c r="AL119" s="122">
        <f t="shared" si="153"/>
        <v>0</v>
      </c>
      <c r="AM119" s="93">
        <v>0</v>
      </c>
      <c r="AN119" s="94">
        <f t="shared" si="133"/>
        <v>0</v>
      </c>
      <c r="AO119" s="95">
        <f t="shared" si="134"/>
        <v>0</v>
      </c>
      <c r="AP119" s="96"/>
      <c r="AQ119" s="97">
        <f t="shared" si="135"/>
        <v>0</v>
      </c>
      <c r="AR119" s="98">
        <f t="shared" si="136"/>
        <v>220</v>
      </c>
      <c r="AS119" s="98">
        <f t="shared" si="137"/>
        <v>0</v>
      </c>
      <c r="AT119" s="98">
        <f t="shared" si="138"/>
        <v>0</v>
      </c>
      <c r="AU119" s="98">
        <f t="shared" si="139"/>
        <v>0</v>
      </c>
      <c r="AV119" s="98">
        <f t="array" ref="AV119">_xlfn.IFS(U119=0,AO119,U119&lt;0,AO119/-U119,U119&gt;0,AO119/U119)</f>
        <v>0</v>
      </c>
      <c r="AW119" s="234">
        <f t="shared" si="140"/>
        <v>0</v>
      </c>
      <c r="AX119" s="234">
        <f t="shared" si="141"/>
        <v>0</v>
      </c>
      <c r="AY119" s="99"/>
      <c r="AZ119" s="94">
        <f t="shared" si="142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43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122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44"/>
        <v>0</v>
      </c>
      <c r="R120" s="92">
        <f t="shared" si="145"/>
        <v>0</v>
      </c>
      <c r="S120" s="93">
        <v>0</v>
      </c>
      <c r="T120" s="93">
        <v>0</v>
      </c>
      <c r="U120" s="92">
        <f t="shared" si="146"/>
        <v>0</v>
      </c>
      <c r="V120" s="93">
        <v>0</v>
      </c>
      <c r="W120" s="93">
        <v>0</v>
      </c>
      <c r="X120" s="92">
        <f t="shared" si="147"/>
        <v>0</v>
      </c>
      <c r="Y120" s="93">
        <v>0</v>
      </c>
      <c r="Z120" s="93">
        <v>0</v>
      </c>
      <c r="AA120" s="92">
        <f t="shared" si="148"/>
        <v>0</v>
      </c>
      <c r="AB120" s="92">
        <f t="shared" si="149"/>
        <v>0</v>
      </c>
      <c r="AC120" s="234">
        <f t="shared" si="150"/>
        <v>0</v>
      </c>
      <c r="AD120" s="92">
        <f t="shared" si="151"/>
        <v>0</v>
      </c>
      <c r="AE120" s="93">
        <v>0</v>
      </c>
      <c r="AF120" s="234">
        <f t="shared" si="152"/>
        <v>0</v>
      </c>
      <c r="AG120" s="93">
        <v>0</v>
      </c>
      <c r="AH120" s="93"/>
      <c r="AI120" s="93"/>
      <c r="AJ120" s="93"/>
      <c r="AK120" s="93"/>
      <c r="AL120" s="122">
        <f t="shared" si="153"/>
        <v>0</v>
      </c>
      <c r="AM120" s="93">
        <v>0</v>
      </c>
      <c r="AN120" s="94">
        <f t="shared" si="133"/>
        <v>0</v>
      </c>
      <c r="AO120" s="95">
        <f t="shared" si="134"/>
        <v>0</v>
      </c>
      <c r="AP120" s="96"/>
      <c r="AQ120" s="97">
        <f t="shared" si="135"/>
        <v>0</v>
      </c>
      <c r="AR120" s="98">
        <f t="shared" si="136"/>
        <v>205</v>
      </c>
      <c r="AS120" s="98">
        <f t="shared" si="137"/>
        <v>0</v>
      </c>
      <c r="AT120" s="98">
        <f t="shared" si="138"/>
        <v>0</v>
      </c>
      <c r="AU120" s="98">
        <f t="shared" si="139"/>
        <v>0</v>
      </c>
      <c r="AV120" s="98">
        <f t="array" ref="AV120">_xlfn.IFS(U120=0,AO120,U120&lt;0,AO120/-U120,U120&gt;0,AO120/U120)</f>
        <v>0</v>
      </c>
      <c r="AW120" s="234">
        <f t="shared" si="140"/>
        <v>0</v>
      </c>
      <c r="AX120" s="234">
        <f t="shared" si="141"/>
        <v>0</v>
      </c>
      <c r="AY120" s="99"/>
      <c r="AZ120" s="94">
        <f t="shared" si="142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43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122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44"/>
        <v>0</v>
      </c>
      <c r="R121" s="92">
        <f t="shared" si="145"/>
        <v>0</v>
      </c>
      <c r="S121" s="93">
        <v>0</v>
      </c>
      <c r="T121" s="93">
        <v>0</v>
      </c>
      <c r="U121" s="92">
        <f t="shared" si="146"/>
        <v>0</v>
      </c>
      <c r="V121" s="93">
        <v>0</v>
      </c>
      <c r="W121" s="93">
        <v>0</v>
      </c>
      <c r="X121" s="92">
        <f t="shared" si="147"/>
        <v>0</v>
      </c>
      <c r="Y121" s="93">
        <v>0</v>
      </c>
      <c r="Z121" s="93">
        <v>0</v>
      </c>
      <c r="AA121" s="92">
        <f t="shared" si="148"/>
        <v>0</v>
      </c>
      <c r="AB121" s="92">
        <f t="shared" si="149"/>
        <v>0</v>
      </c>
      <c r="AC121" s="234">
        <f t="shared" si="150"/>
        <v>0</v>
      </c>
      <c r="AD121" s="92">
        <f t="shared" si="151"/>
        <v>0</v>
      </c>
      <c r="AE121" s="93">
        <v>0</v>
      </c>
      <c r="AF121" s="234">
        <f t="shared" si="152"/>
        <v>0</v>
      </c>
      <c r="AG121" s="93">
        <v>0</v>
      </c>
      <c r="AH121" s="93"/>
      <c r="AI121" s="93"/>
      <c r="AJ121" s="93"/>
      <c r="AK121" s="93"/>
      <c r="AL121" s="122">
        <f t="shared" si="153"/>
        <v>0</v>
      </c>
      <c r="AM121" s="93">
        <v>0</v>
      </c>
      <c r="AN121" s="94">
        <f t="shared" si="133"/>
        <v>0</v>
      </c>
      <c r="AO121" s="95">
        <f t="shared" si="134"/>
        <v>0</v>
      </c>
      <c r="AP121" s="96"/>
      <c r="AQ121" s="97">
        <f t="shared" si="135"/>
        <v>0</v>
      </c>
      <c r="AR121" s="98">
        <f t="shared" si="136"/>
        <v>205</v>
      </c>
      <c r="AS121" s="98">
        <f t="shared" si="137"/>
        <v>0</v>
      </c>
      <c r="AT121" s="98">
        <f t="shared" si="138"/>
        <v>0</v>
      </c>
      <c r="AU121" s="98">
        <f t="shared" si="139"/>
        <v>0</v>
      </c>
      <c r="AV121" s="98">
        <f t="array" ref="AV121">_xlfn.IFS(U121=0,AO121,U121&lt;0,AO121/-U121,U121&gt;0,AO121/U121)</f>
        <v>0</v>
      </c>
      <c r="AW121" s="234">
        <f t="shared" si="140"/>
        <v>0</v>
      </c>
      <c r="AX121" s="234">
        <f t="shared" si="141"/>
        <v>0</v>
      </c>
      <c r="AY121" s="99"/>
      <c r="AZ121" s="94">
        <f t="shared" si="142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43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122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44"/>
        <v>0</v>
      </c>
      <c r="R122" s="92">
        <f t="shared" si="145"/>
        <v>0</v>
      </c>
      <c r="S122" s="93">
        <v>0</v>
      </c>
      <c r="T122" s="93">
        <v>0</v>
      </c>
      <c r="U122" s="92">
        <f t="shared" si="146"/>
        <v>0</v>
      </c>
      <c r="V122" s="93">
        <v>0</v>
      </c>
      <c r="W122" s="93">
        <v>0</v>
      </c>
      <c r="X122" s="92">
        <f t="shared" si="147"/>
        <v>0</v>
      </c>
      <c r="Y122" s="93">
        <v>0</v>
      </c>
      <c r="Z122" s="93">
        <v>0</v>
      </c>
      <c r="AA122" s="92">
        <f t="shared" si="148"/>
        <v>0</v>
      </c>
      <c r="AB122" s="92">
        <f t="shared" si="149"/>
        <v>0</v>
      </c>
      <c r="AC122" s="234">
        <f t="shared" si="150"/>
        <v>0</v>
      </c>
      <c r="AD122" s="92">
        <f t="shared" si="151"/>
        <v>0</v>
      </c>
      <c r="AE122" s="93">
        <v>0</v>
      </c>
      <c r="AF122" s="234">
        <f t="shared" si="152"/>
        <v>0</v>
      </c>
      <c r="AG122" s="93">
        <v>0</v>
      </c>
      <c r="AH122" s="93"/>
      <c r="AI122" s="93"/>
      <c r="AJ122" s="93"/>
      <c r="AK122" s="93"/>
      <c r="AL122" s="122">
        <f t="shared" si="153"/>
        <v>0</v>
      </c>
      <c r="AM122" s="93">
        <v>0</v>
      </c>
      <c r="AN122" s="94">
        <f t="shared" si="133"/>
        <v>0</v>
      </c>
      <c r="AO122" s="95">
        <f t="shared" si="134"/>
        <v>0</v>
      </c>
      <c r="AP122" s="96"/>
      <c r="AQ122" s="97">
        <f t="shared" si="135"/>
        <v>0</v>
      </c>
      <c r="AR122" s="98">
        <f t="shared" si="136"/>
        <v>453</v>
      </c>
      <c r="AS122" s="98">
        <f t="shared" si="137"/>
        <v>0</v>
      </c>
      <c r="AT122" s="98">
        <f t="shared" si="138"/>
        <v>0</v>
      </c>
      <c r="AU122" s="98">
        <f t="shared" si="139"/>
        <v>0</v>
      </c>
      <c r="AV122" s="98">
        <f t="array" ref="AV122">_xlfn.IFS(U122=0,AO122,U122&lt;0,AO122/-U122,U122&gt;0,AO122/U122)</f>
        <v>0</v>
      </c>
      <c r="AW122" s="234">
        <f t="shared" si="140"/>
        <v>0</v>
      </c>
      <c r="AX122" s="234">
        <f t="shared" si="141"/>
        <v>0</v>
      </c>
      <c r="AY122" s="99"/>
      <c r="AZ122" s="94">
        <f t="shared" si="142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54">AVERAGE(AQ115:AQ122)</f>
        <v>0</v>
      </c>
      <c r="AR123" s="130">
        <f t="shared" si="154"/>
        <v>227.125</v>
      </c>
      <c r="AS123" s="130">
        <f t="shared" si="154"/>
        <v>0</v>
      </c>
      <c r="AT123" s="130">
        <f t="shared" si="154"/>
        <v>0</v>
      </c>
      <c r="AU123" s="130">
        <f t="shared" si="154"/>
        <v>0</v>
      </c>
      <c r="AV123" s="130">
        <f t="shared" si="154"/>
        <v>0</v>
      </c>
      <c r="AW123" s="131">
        <f t="shared" si="154"/>
        <v>0</v>
      </c>
      <c r="AX123" s="131">
        <f t="shared" si="154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55">SUM(E115:E122)</f>
        <v>14</v>
      </c>
      <c r="F124" s="134">
        <f t="shared" si="155"/>
        <v>0</v>
      </c>
      <c r="G124" s="134">
        <f t="shared" si="155"/>
        <v>0</v>
      </c>
      <c r="H124" s="134">
        <f t="shared" si="155"/>
        <v>0</v>
      </c>
      <c r="I124" s="134">
        <f t="shared" si="155"/>
        <v>8</v>
      </c>
      <c r="J124" s="134">
        <f t="shared" si="155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56">SUM(S115:S122)</f>
        <v>0</v>
      </c>
      <c r="T124" s="134">
        <f t="shared" si="156"/>
        <v>0</v>
      </c>
      <c r="U124" s="134">
        <f t="shared" si="156"/>
        <v>0</v>
      </c>
      <c r="V124" s="134">
        <f t="shared" si="156"/>
        <v>0</v>
      </c>
      <c r="W124" s="134">
        <f t="shared" si="156"/>
        <v>0</v>
      </c>
      <c r="X124" s="134">
        <f t="shared" si="156"/>
        <v>0</v>
      </c>
      <c r="Y124" s="134">
        <f t="shared" si="156"/>
        <v>0</v>
      </c>
      <c r="Z124" s="134">
        <f t="shared" si="156"/>
        <v>0</v>
      </c>
      <c r="AA124" s="134">
        <f t="shared" si="156"/>
        <v>0</v>
      </c>
      <c r="AB124" s="134">
        <f t="shared" si="156"/>
        <v>0</v>
      </c>
      <c r="AC124" s="265">
        <f t="shared" si="156"/>
        <v>0</v>
      </c>
      <c r="AD124" s="135">
        <f t="shared" si="156"/>
        <v>0</v>
      </c>
      <c r="AE124" s="134">
        <f t="shared" si="156"/>
        <v>0</v>
      </c>
      <c r="AF124" s="265" t="e">
        <f>AE124/AA124</f>
        <v>#DIV/0!</v>
      </c>
      <c r="AG124" s="134">
        <f t="shared" ref="AG124:AO124" si="157">SUM(AG115:AG122)</f>
        <v>0</v>
      </c>
      <c r="AH124" s="134">
        <f t="shared" si="157"/>
        <v>0</v>
      </c>
      <c r="AI124" s="134">
        <f t="shared" si="157"/>
        <v>0</v>
      </c>
      <c r="AJ124" s="134">
        <f t="shared" si="157"/>
        <v>0</v>
      </c>
      <c r="AK124" s="134">
        <f t="shared" si="157"/>
        <v>0</v>
      </c>
      <c r="AL124" s="136">
        <f t="shared" si="157"/>
        <v>0</v>
      </c>
      <c r="AM124" s="134">
        <f t="shared" si="157"/>
        <v>0</v>
      </c>
      <c r="AN124" s="134">
        <f t="shared" si="157"/>
        <v>0</v>
      </c>
      <c r="AO124" s="134">
        <f t="shared" si="157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548"/>
      <c r="AI125" s="548"/>
      <c r="AJ125" s="217"/>
      <c r="AK125" s="217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58">E105+E113+E124</f>
        <v>77439</v>
      </c>
      <c r="F126" s="267">
        <f t="shared" si="158"/>
        <v>2880</v>
      </c>
      <c r="G126" s="267">
        <f t="shared" si="158"/>
        <v>750</v>
      </c>
      <c r="H126" s="267">
        <f t="shared" si="158"/>
        <v>9945</v>
      </c>
      <c r="I126" s="267">
        <f t="shared" si="158"/>
        <v>1619</v>
      </c>
      <c r="J126" s="267">
        <f t="shared" si="158"/>
        <v>62245</v>
      </c>
      <c r="K126" s="267">
        <f t="shared" si="158"/>
        <v>0</v>
      </c>
      <c r="L126" s="267">
        <f t="shared" si="158"/>
        <v>9586669.8999999966</v>
      </c>
      <c r="M126" s="267">
        <f t="shared" si="158"/>
        <v>0</v>
      </c>
      <c r="N126" s="267">
        <f t="shared" si="158"/>
        <v>4413</v>
      </c>
      <c r="O126" s="267">
        <f t="shared" si="158"/>
        <v>0</v>
      </c>
      <c r="P126" s="267">
        <f t="shared" si="158"/>
        <v>0</v>
      </c>
      <c r="Q126" s="215">
        <f t="shared" si="158"/>
        <v>0</v>
      </c>
      <c r="R126" s="267">
        <f t="shared" si="158"/>
        <v>0</v>
      </c>
      <c r="S126" s="267">
        <f t="shared" si="158"/>
        <v>2295</v>
      </c>
      <c r="T126" s="267">
        <f t="shared" si="158"/>
        <v>-43</v>
      </c>
      <c r="U126" s="267">
        <f t="shared" si="158"/>
        <v>2252</v>
      </c>
      <c r="V126" s="267">
        <f t="shared" si="158"/>
        <v>1593380.0800000003</v>
      </c>
      <c r="W126" s="267">
        <f t="shared" si="158"/>
        <v>-29254.63</v>
      </c>
      <c r="X126" s="267">
        <f t="shared" si="158"/>
        <v>1564125.4500000002</v>
      </c>
      <c r="Y126" s="267">
        <f t="shared" si="158"/>
        <v>2501418.8899999997</v>
      </c>
      <c r="Z126" s="267">
        <f t="shared" si="158"/>
        <v>-47007.29</v>
      </c>
      <c r="AA126" s="267">
        <f t="shared" si="158"/>
        <v>2454411.5999999992</v>
      </c>
      <c r="AB126" s="267">
        <f t="shared" si="158"/>
        <v>3169175.0699999994</v>
      </c>
      <c r="AC126" s="267">
        <f t="shared" si="158"/>
        <v>1.0000000000000004</v>
      </c>
      <c r="AD126" s="267">
        <f t="shared" si="158"/>
        <v>280478.83000000019</v>
      </c>
      <c r="AE126" s="267">
        <f t="shared" si="158"/>
        <v>918234.84000000067</v>
      </c>
      <c r="AF126" s="268">
        <f>AE126/AA126</f>
        <v>0.37411607735230756</v>
      </c>
      <c r="AG126" s="267">
        <f>AG105+AG113+AG124</f>
        <v>267875.32999999996</v>
      </c>
      <c r="AH126" s="267">
        <f>AH105+AH113+AH124</f>
        <v>50989</v>
      </c>
      <c r="AI126" s="267">
        <f>AI105+AI113+AI124</f>
        <v>265182</v>
      </c>
      <c r="AJ126" s="267">
        <f>AJ105+AJ113+AJ124</f>
        <v>0</v>
      </c>
      <c r="AK126" s="267">
        <f>AK105+AK113+AK124</f>
        <v>0</v>
      </c>
      <c r="AL126" s="156">
        <v>8624.77</v>
      </c>
      <c r="AM126" s="267">
        <f>AM105+AM113+AM124</f>
        <v>466</v>
      </c>
      <c r="AN126" s="267">
        <f>AN105+AN113+AN124</f>
        <v>89311.563195000068</v>
      </c>
      <c r="AO126" s="267">
        <f>AO105+AO113+AO124</f>
        <v>573249.26680499944</v>
      </c>
      <c r="AP126" s="155"/>
      <c r="AQ126" s="155"/>
      <c r="AR126" s="155"/>
      <c r="AS126" s="155"/>
      <c r="AT126" s="155"/>
      <c r="AU126" s="155">
        <f>(AH126+AI126)/S126</f>
        <v>137.76514161220044</v>
      </c>
      <c r="AV126" s="155"/>
      <c r="AW126" s="155"/>
      <c r="AX126" s="155"/>
      <c r="AY126" s="157"/>
      <c r="AZ126" s="155">
        <f>AZ105+AZ124</f>
        <v>17633094.073768727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48">
        <f>AH106+AH114+AH125</f>
        <v>0</v>
      </c>
      <c r="AI127" s="548"/>
      <c r="AJ127" s="217"/>
      <c r="AK127" s="217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29" priority="19" operator="greaterThan">
      <formula>0.23</formula>
    </cfRule>
  </conditionalFormatting>
  <conditionalFormatting sqref="M123:O123 M3:M104 M106:M112">
    <cfRule type="cellIs" dxfId="28" priority="34" operator="greaterThan">
      <formula>120</formula>
    </cfRule>
  </conditionalFormatting>
  <conditionalFormatting sqref="AC125 AC127">
    <cfRule type="cellIs" dxfId="27" priority="35" operator="greaterThan">
      <formula>0.23</formula>
    </cfRule>
  </conditionalFormatting>
  <conditionalFormatting sqref="AA123:AC123 AA106:AC106 AA112:AC112 AA3:AC104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{08686EDD-200E-47DA-9473-A0446E6FA0BA}</x14:id>
        </ext>
      </extLst>
    </cfRule>
  </conditionalFormatting>
  <conditionalFormatting sqref="AC112 AC106 AC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{11E472C3-9330-433D-9872-0B8EC34B0FAB}</x14:id>
        </ext>
      </extLst>
    </cfRule>
  </conditionalFormatting>
  <conditionalFormatting sqref="AC1">
    <cfRule type="cellIs" dxfId="26" priority="33" operator="greaterThan">
      <formula>0.23</formula>
    </cfRule>
  </conditionalFormatting>
  <conditionalFormatting sqref="AV107:AV11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{04465431-BDEB-4CDA-A37A-69C56887EEF7}</x14:id>
        </ext>
      </extLst>
    </cfRule>
  </conditionalFormatting>
  <conditionalFormatting sqref="AW107:AX111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{72931096-0FAF-4DA0-B7F7-4BD734494EE0}</x14:id>
        </ext>
      </extLst>
    </cfRule>
  </conditionalFormatting>
  <conditionalFormatting sqref="AZ107:AZ1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{A866C127-04D5-425F-9FFF-B098B49FFB56}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{542D91F6-8D67-41A2-A2DE-1274688F6EA5}</x14:id>
        </ext>
      </extLst>
    </cfRule>
  </conditionalFormatting>
  <conditionalFormatting sqref="Q123">
    <cfRule type="cellIs" dxfId="25" priority="28" operator="between">
      <formula>0.000001</formula>
      <formula>25</formula>
    </cfRule>
  </conditionalFormatting>
  <conditionalFormatting sqref="AV44:AV9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{13E4651F-6D5F-4299-9D6B-301CC7C90ABB}</x14:id>
        </ext>
      </extLst>
    </cfRule>
  </conditionalFormatting>
  <conditionalFormatting sqref="AW44:AX9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{60A9E7AC-9C77-4DD2-AF42-BCCE73C8D715}</x14:id>
        </ext>
      </extLst>
    </cfRule>
  </conditionalFormatting>
  <conditionalFormatting sqref="AZ44:AZ9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{33841EFB-602A-425E-BB33-67C6A029C397}</x14:id>
        </ext>
      </extLst>
    </cfRule>
  </conditionalFormatting>
  <conditionalFormatting sqref="AV17:AV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{5CC5F4D7-DC33-4EC6-8BD7-98025260D154}</x14:id>
        </ext>
      </extLst>
    </cfRule>
  </conditionalFormatting>
  <conditionalFormatting sqref="AW17:AX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{EEAFE2DA-2196-4C10-AB3D-5D9357E1164F}</x14:id>
        </ext>
      </extLst>
    </cfRule>
  </conditionalFormatting>
  <conditionalFormatting sqref="AZ17:AZ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{9CDBAFF0-6AA0-46FB-8583-893198EF92AD}</x14:id>
        </ext>
      </extLst>
    </cfRule>
  </conditionalFormatting>
  <conditionalFormatting sqref="AZ3:AZ16 AZ106 AZ123 AZ112 AZ26:AZ43 AZ94:AZ10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{999DAE49-EF4C-4C6C-AD6A-63947711850F}</x14:id>
        </ext>
      </extLst>
    </cfRule>
  </conditionalFormatting>
  <conditionalFormatting sqref="AZ115:AZ12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{19F43516-925E-4A75-A912-5F2D8005B340}</x14:id>
        </ext>
      </extLst>
    </cfRule>
  </conditionalFormatting>
  <conditionalFormatting sqref="AV3:AV16 AV106 AV26:AV43 AV94:AV10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{4A5F993E-D5FA-41E6-8FD2-3C0EB73C38D8}</x14:id>
        </ext>
      </extLst>
    </cfRule>
  </conditionalFormatting>
  <conditionalFormatting sqref="AW106:AX106 AW3:AX16 AW26:AX43 AW94:AX103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{2A500EB5-1ACF-4191-81A1-9DF470144532}</x14:id>
        </ext>
      </extLst>
    </cfRule>
  </conditionalFormatting>
  <conditionalFormatting sqref="AZ3:AZ16 AZ106 AZ112 AZ26:AZ43 AZ94:AZ10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{B7FBCB8B-B7B3-4B0F-8EFD-D2D2B8EEE951}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{EE99E895-7E1A-45A3-ADB1-B153B13C3D57}</x14:id>
        </ext>
      </extLst>
    </cfRule>
  </conditionalFormatting>
  <conditionalFormatting sqref="AV115:AV122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{722F8C98-CADB-4186-B9B2-469F6DD37816}</x14:id>
        </ext>
      </extLst>
    </cfRule>
  </conditionalFormatting>
  <conditionalFormatting sqref="AW115:AX122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{9C5395D7-B741-4B4A-A6BE-399CA796D4E4}</x14:id>
        </ext>
      </extLst>
    </cfRule>
  </conditionalFormatting>
  <conditionalFormatting sqref="AO123 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{AE122F3C-56AF-4C6A-96D5-3D5BFCE287FA}</x14:id>
        </ext>
      </extLst>
    </cfRule>
  </conditionalFormatting>
  <conditionalFormatting sqref="AO112 AO106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{FDEB8B8C-E087-49B5-A5E2-7441885376DD}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{16D9895E-7F35-448E-ADFB-6373600206CD}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{B0D52DD6-AB7A-4E74-B27C-48218DD2BC6F}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{86D1C175-0CD8-4DD5-9275-9CD8490B240F}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{2C7AB659-F3B1-42C4-ABDD-3A364E430A11}</x14:id>
        </ext>
      </extLst>
    </cfRule>
  </conditionalFormatting>
  <conditionalFormatting sqref="M115:M122">
    <cfRule type="cellIs" dxfId="24" priority="9" operator="greaterThan">
      <formula>120</formula>
    </cfRule>
  </conditionalFormatting>
  <conditionalFormatting sqref="AA107:AC1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{5DDC0A03-5DD3-4009-BF4A-89ED94D9318C}</x14:id>
        </ext>
      </extLst>
    </cfRule>
  </conditionalFormatting>
  <conditionalFormatting sqref="AC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{9CF5FC93-4A2E-4A58-9A3C-965FBD71D31F}</x14:id>
        </ext>
      </extLst>
    </cfRule>
  </conditionalFormatting>
  <conditionalFormatting sqref="AA115:AC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{4D16438D-B828-4B05-BDD8-F0345BC16C19}</x14:id>
        </ext>
      </extLst>
    </cfRule>
  </conditionalFormatting>
  <conditionalFormatting sqref="AC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{0C106B49-DCDF-4843-8CAB-BFFC88821290}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686EDD-200E-47DA-9473-A0446E6FA0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11E472C3-9330-433D-9872-0B8EC34B0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04465431-BDEB-4CDA-A37A-69C56887E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2931096-0FAF-4DA0-B7F7-4BD734494E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A866C127-04D5-425F-9FFF-B098B49FF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42D91F6-8D67-41A2-A2DE-1274688F6E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3E4651F-6D5F-4299-9D6B-301CC7C90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0A9E7AC-9C77-4DD2-AF42-BCCE73C8D7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33841EFB-602A-425E-BB33-67C6A029C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5CC5F4D7-DC33-4EC6-8BD7-98025260D1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EAFE2DA-2196-4C10-AB3D-5D9357E116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9CDBAFF0-6AA0-46FB-8583-893198EF92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999DAE49-EF4C-4C6C-AD6A-6394771185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19F43516-925E-4A75-A912-5F2D8005B3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A5F993E-D5FA-41E6-8FD2-3C0EB73C3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A500EB5-1ACF-4191-81A1-9DF4701445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BCB8B-B7B3-4B0F-8EFD-D2D2B8EEE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EE99E895-7E1A-45A3-ADB1-B153B13C3D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22F8C98-CADB-4186-B9B2-469F6DD378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9C5395D7-B741-4B4A-A6BE-399CA796D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E122F3C-56AF-4C6A-96D5-3D5BFCE2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FDEB8B8C-E087-49B5-A5E2-7441885376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AO112 AO106 AO3:AO104</xm:sqref>
        </x14:conditionalFormatting>
        <x14:conditionalFormatting xmlns:xm="http://schemas.microsoft.com/office/excel/2006/main">
          <x14:cfRule type="dataBar" id="{16D9895E-7F35-448E-ADFB-6373600206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0D52DD6-AB7A-4E74-B27C-48218DD2BC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86D1C175-0CD8-4DD5-9275-9CD8490B2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2C7AB659-F3B1-42C4-ABDD-3A364E430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5DDC0A03-5DD3-4009-BF4A-89ED94D93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9CF5FC93-4A2E-4A58-9A3C-965FBD71D3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4D16438D-B828-4B05-BDD8-F0345BC16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0C106B49-DCDF-4843-8CAB-BFFC888212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4643-E024-45EB-A19E-BCED5B845FA6}">
  <dimension ref="A1:AZ129"/>
  <sheetViews>
    <sheetView zoomScale="70" zoomScaleNormal="70" workbookViewId="0">
      <pane xSplit="3" ySplit="2" topLeftCell="AD93" activePane="bottomRight" state="frozen"/>
      <selection pane="topRight" activeCell="D1" sqref="D1"/>
      <selection pane="bottomLeft" activeCell="A3" sqref="A3"/>
      <selection pane="bottomRight" activeCell="AM100" sqref="AM10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271</v>
      </c>
      <c r="B1" s="73"/>
      <c r="C1" s="72"/>
      <c r="D1" s="72"/>
      <c r="E1" s="222"/>
      <c r="F1" s="539" t="s">
        <v>42</v>
      </c>
      <c r="G1" s="539"/>
      <c r="H1" s="539"/>
      <c r="I1" s="540" t="s">
        <v>115</v>
      </c>
      <c r="J1" s="541"/>
      <c r="M1" s="299" t="s">
        <v>43</v>
      </c>
      <c r="N1" s="539" t="s">
        <v>116</v>
      </c>
      <c r="O1" s="539"/>
      <c r="P1" s="539"/>
      <c r="R1" s="224"/>
      <c r="S1" s="542"/>
      <c r="T1" s="542"/>
      <c r="U1" s="224"/>
      <c r="V1" s="543"/>
      <c r="W1" s="544"/>
      <c r="X1" s="224"/>
      <c r="Y1" s="542"/>
      <c r="Z1" s="542"/>
      <c r="AA1" s="224"/>
      <c r="AB1" s="224"/>
      <c r="AC1" s="224"/>
      <c r="AD1" s="224"/>
      <c r="AE1" s="225"/>
      <c r="AF1" s="224"/>
      <c r="AG1" s="225"/>
      <c r="AH1" s="535"/>
      <c r="AI1" s="535"/>
      <c r="AJ1" s="283" t="s">
        <v>248</v>
      </c>
      <c r="AK1" s="295"/>
      <c r="AL1" s="300" t="s">
        <v>44</v>
      </c>
      <c r="AM1" s="225"/>
      <c r="AQ1" s="536" t="s">
        <v>45</v>
      </c>
      <c r="AR1" s="537"/>
      <c r="AS1" s="537"/>
      <c r="AT1" s="537"/>
      <c r="AU1" s="537"/>
      <c r="AV1" s="537"/>
      <c r="AW1" s="537"/>
      <c r="AX1" s="538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270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4464</v>
      </c>
      <c r="F3" s="93">
        <v>84</v>
      </c>
      <c r="G3" s="93">
        <v>24</v>
      </c>
      <c r="H3" s="93">
        <v>915</v>
      </c>
      <c r="I3" s="93">
        <v>1</v>
      </c>
      <c r="J3" s="93">
        <v>3440</v>
      </c>
      <c r="K3" s="92">
        <v>142.97999999999999</v>
      </c>
      <c r="L3" s="92">
        <f t="shared" ref="L3" si="0">E3*K3</f>
        <v>638262.72</v>
      </c>
      <c r="M3" s="89">
        <v>88</v>
      </c>
      <c r="N3" s="89">
        <v>111</v>
      </c>
      <c r="O3" s="89">
        <v>1322</v>
      </c>
      <c r="P3" s="89">
        <v>66</v>
      </c>
      <c r="Q3" s="233">
        <f>N3/7</f>
        <v>15.857142857142858</v>
      </c>
      <c r="R3" s="92">
        <f>U3/7</f>
        <v>10</v>
      </c>
      <c r="S3" s="93">
        <v>72</v>
      </c>
      <c r="T3" s="93">
        <v>-2</v>
      </c>
      <c r="U3" s="92">
        <f t="shared" ref="U3" si="1">S3+T3</f>
        <v>70</v>
      </c>
      <c r="V3" s="93">
        <v>59385.89</v>
      </c>
      <c r="W3" s="93">
        <v>-1633</v>
      </c>
      <c r="X3" s="92">
        <f t="shared" ref="X3" si="2">V3+W3</f>
        <v>57752.89</v>
      </c>
      <c r="Y3" s="93">
        <v>94234.719999999972</v>
      </c>
      <c r="Z3" s="93">
        <v>-2604.34</v>
      </c>
      <c r="AA3" s="92">
        <f t="shared" ref="AA3" si="3">Y3+Z3</f>
        <v>91630.379999999976</v>
      </c>
      <c r="AB3" s="92">
        <f>N3*O3*P3/100</f>
        <v>96849.72</v>
      </c>
      <c r="AC3" s="234">
        <f>AA3/$AA$126</f>
        <v>4.870989225074171E-2</v>
      </c>
      <c r="AD3" s="92">
        <f t="shared" ref="AD3" si="4">U3*K3</f>
        <v>10008.599999999999</v>
      </c>
      <c r="AE3" s="93">
        <v>33692.219999999958</v>
      </c>
      <c r="AF3" s="234">
        <f t="shared" ref="AF3" si="5">IF(AA3=0,0,AE3/AA3)</f>
        <v>0.36769704545588444</v>
      </c>
      <c r="AG3" s="93">
        <v>7425.1500000000005</v>
      </c>
      <c r="AH3" s="93">
        <v>9058</v>
      </c>
      <c r="AI3" s="93">
        <v>9052</v>
      </c>
      <c r="AJ3" s="93"/>
      <c r="AK3" s="93"/>
      <c r="AL3" s="122">
        <f>IFERROR($AL$126*H3/$H$126,0)</f>
        <v>649.07777583951145</v>
      </c>
      <c r="AM3" s="93">
        <v>0</v>
      </c>
      <c r="AN3" s="94">
        <f>X3*5.71%</f>
        <v>3297.6900189999997</v>
      </c>
      <c r="AO3" s="95">
        <f>AA3-AD3-AE3-AG3-AH3-AI3-AK3-AL3-AN3-AM3</f>
        <v>18447.642205160497</v>
      </c>
      <c r="AP3" s="96"/>
      <c r="AQ3" s="97">
        <f t="shared" ref="AQ3:AQ97" si="6">IF(U3=0,0,AA3/U3)</f>
        <v>1309.0054285714282</v>
      </c>
      <c r="AR3" s="98">
        <f t="shared" ref="AR3:AR19" si="7">K3</f>
        <v>142.97999999999999</v>
      </c>
      <c r="AS3" s="98">
        <f t="shared" ref="AS3:AS97" si="8">IF(U3=0,0,AE3/U3)</f>
        <v>481.31742857142797</v>
      </c>
      <c r="AT3" s="98">
        <f t="shared" ref="AT3:AT97" si="9">IF(S3=0,AG3/1,AG3/S3)</f>
        <v>103.12708333333335</v>
      </c>
      <c r="AU3" s="98">
        <f>IF(S3=0,0,(AH3+AI3+AJ3)/S3)</f>
        <v>251.52777777777777</v>
      </c>
      <c r="AV3" s="98">
        <f>_xlfn.IFS(U3=0,AO3,U3&lt;0,AO3/-U3,U3&gt;0,AO3/U3)</f>
        <v>263.5377457880071</v>
      </c>
      <c r="AW3" s="234">
        <f t="shared" ref="AW3" si="10">IF(AQ3=0,0,AV3/AQ3)</f>
        <v>0.20132670196457225</v>
      </c>
      <c r="AX3" s="234">
        <f t="shared" ref="AX3" si="11">IF(AR3=0,0,AV3/AR3)</f>
        <v>1.8431790865016584</v>
      </c>
      <c r="AY3" s="99"/>
      <c r="AZ3" s="94">
        <f t="shared" ref="AZ3:AZ97" si="12">AV3*E3</f>
        <v>1176432.4971976636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8558</v>
      </c>
      <c r="F4" s="93">
        <v>438</v>
      </c>
      <c r="G4" s="93">
        <v>68</v>
      </c>
      <c r="H4" s="93">
        <v>1061</v>
      </c>
      <c r="I4" s="93">
        <v>0</v>
      </c>
      <c r="J4" s="93">
        <v>6991</v>
      </c>
      <c r="K4" s="92">
        <v>123.09</v>
      </c>
      <c r="L4" s="92">
        <f>E4*K4</f>
        <v>1053404.22</v>
      </c>
      <c r="M4" s="89">
        <v>7</v>
      </c>
      <c r="N4" s="89">
        <v>614</v>
      </c>
      <c r="O4" s="89">
        <v>929</v>
      </c>
      <c r="P4" s="89">
        <v>79</v>
      </c>
      <c r="Q4" s="233">
        <f t="shared" ref="Q4:Q67" si="13">N4/7</f>
        <v>87.714285714285708</v>
      </c>
      <c r="R4" s="92">
        <f t="shared" ref="R4:R67" si="14">U4/7</f>
        <v>65.142857142857139</v>
      </c>
      <c r="S4" s="93">
        <v>463</v>
      </c>
      <c r="T4" s="93">
        <v>-7</v>
      </c>
      <c r="U4" s="92">
        <f t="shared" ref="U4:U67" si="15">S4+T4</f>
        <v>456</v>
      </c>
      <c r="V4" s="93">
        <v>269689.82999999996</v>
      </c>
      <c r="W4" s="93">
        <v>-4176.2700000000004</v>
      </c>
      <c r="X4" s="92">
        <f t="shared" ref="X4:X67" si="16">V4+W4</f>
        <v>265513.55999999994</v>
      </c>
      <c r="Y4" s="93">
        <v>402614.41</v>
      </c>
      <c r="Z4" s="93">
        <v>-6123.8099999999995</v>
      </c>
      <c r="AA4" s="92">
        <f t="shared" ref="AA4:AA67" si="17">Y4+Z4</f>
        <v>396490.6</v>
      </c>
      <c r="AB4" s="92">
        <f t="shared" ref="AB4:AB67" si="18">N4*O4*P4/100</f>
        <v>450620.74</v>
      </c>
      <c r="AC4" s="234">
        <f t="shared" ref="AC4:AC67" si="19">AA4/$AA$126</f>
        <v>0.21077086447128054</v>
      </c>
      <c r="AD4" s="92">
        <f t="shared" ref="AD4:AD67" si="20">U4*K4</f>
        <v>56129.04</v>
      </c>
      <c r="AE4" s="93">
        <v>147223.69999999972</v>
      </c>
      <c r="AF4" s="234">
        <f t="shared" ref="AF4:AF67" si="21">IF(AA4=0,0,AE4/AA4)</f>
        <v>0.37131699969683957</v>
      </c>
      <c r="AG4" s="93">
        <v>39712.410000000127</v>
      </c>
      <c r="AH4" s="93">
        <v>2536</v>
      </c>
      <c r="AI4" s="93">
        <v>2000</v>
      </c>
      <c r="AJ4" s="93"/>
      <c r="AK4" s="93"/>
      <c r="AL4" s="122">
        <f t="shared" ref="AL4:AL67" si="22">IFERROR($AL$126*H4/$H$126,0)</f>
        <v>752.64647012647185</v>
      </c>
      <c r="AM4" s="93">
        <v>0</v>
      </c>
      <c r="AN4" s="94">
        <f t="shared" ref="AN4:AN67" si="23">X4*5.71%</f>
        <v>15160.824275999996</v>
      </c>
      <c r="AO4" s="95">
        <f>AA4-AD4-AE4-AG4-AH4-AI4-AK4-AL4-AN4-AM4</f>
        <v>132975.97925387369</v>
      </c>
      <c r="AP4" s="96"/>
      <c r="AQ4" s="97">
        <f t="shared" si="6"/>
        <v>869.49692982456133</v>
      </c>
      <c r="AR4" s="98">
        <f t="shared" si="7"/>
        <v>123.09</v>
      </c>
      <c r="AS4" s="98">
        <f t="shared" si="8"/>
        <v>322.85899122806956</v>
      </c>
      <c r="AT4" s="98">
        <f t="shared" si="9"/>
        <v>85.771943844492711</v>
      </c>
      <c r="AU4" s="98">
        <f t="shared" ref="AU4:AU70" si="24">IF(S4=0,0,(AH4+AI4+AJ4)/S4)</f>
        <v>9.7969762419006479</v>
      </c>
      <c r="AV4" s="98">
        <f t="array" ref="AV4">_xlfn.IFS(U4=0,AO4,U4&lt;0,AO4/-U4,U4&gt;0,AO4/U4)</f>
        <v>291.61398959182827</v>
      </c>
      <c r="AW4" s="234">
        <f>IF(AQ4=0,0,AV4/AQ4)</f>
        <v>0.33538242584786043</v>
      </c>
      <c r="AX4" s="234">
        <f>IF(AR4=0,0,AV4/AR4)</f>
        <v>2.369111947289205</v>
      </c>
      <c r="AY4" s="99"/>
      <c r="AZ4" s="94">
        <f t="shared" si="12"/>
        <v>2495632.5229268665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5691</v>
      </c>
      <c r="F5" s="93">
        <v>138</v>
      </c>
      <c r="G5" s="93">
        <v>25</v>
      </c>
      <c r="H5" s="93">
        <v>614</v>
      </c>
      <c r="I5" s="93">
        <v>0</v>
      </c>
      <c r="J5" s="93">
        <v>4914</v>
      </c>
      <c r="K5" s="92">
        <v>123.09</v>
      </c>
      <c r="L5" s="92">
        <f>E5*K5</f>
        <v>700505.19000000006</v>
      </c>
      <c r="M5" s="89">
        <v>48</v>
      </c>
      <c r="N5" s="89">
        <v>205</v>
      </c>
      <c r="O5" s="89">
        <v>1062</v>
      </c>
      <c r="P5" s="89">
        <v>76</v>
      </c>
      <c r="Q5" s="233">
        <f t="shared" si="13"/>
        <v>29.285714285714285</v>
      </c>
      <c r="R5" s="92">
        <f t="shared" si="14"/>
        <v>17.857142857142858</v>
      </c>
      <c r="S5" s="93">
        <v>125</v>
      </c>
      <c r="T5" s="93">
        <v>0</v>
      </c>
      <c r="U5" s="92">
        <f t="shared" si="15"/>
        <v>125</v>
      </c>
      <c r="V5" s="93">
        <v>80750.41</v>
      </c>
      <c r="W5" s="93">
        <v>0</v>
      </c>
      <c r="X5" s="92">
        <f t="shared" si="16"/>
        <v>80750.41</v>
      </c>
      <c r="Y5" s="93">
        <v>130219.78</v>
      </c>
      <c r="Z5" s="93">
        <v>0</v>
      </c>
      <c r="AA5" s="92">
        <f t="shared" si="17"/>
        <v>130219.78</v>
      </c>
      <c r="AB5" s="92">
        <f t="shared" si="18"/>
        <v>165459.6</v>
      </c>
      <c r="AC5" s="234">
        <f t="shared" si="19"/>
        <v>6.922367289882779E-2</v>
      </c>
      <c r="AD5" s="92">
        <f t="shared" si="20"/>
        <v>15386.25</v>
      </c>
      <c r="AE5" s="93">
        <v>48384.850000000006</v>
      </c>
      <c r="AF5" s="234">
        <f t="shared" si="21"/>
        <v>0.37156298374947344</v>
      </c>
      <c r="AG5" s="93">
        <v>10867.239999999996</v>
      </c>
      <c r="AH5" s="93">
        <v>9967</v>
      </c>
      <c r="AI5" s="93">
        <v>8000</v>
      </c>
      <c r="AJ5" s="93"/>
      <c r="AK5" s="93"/>
      <c r="AL5" s="122">
        <f t="shared" si="22"/>
        <v>435.55601569995639</v>
      </c>
      <c r="AM5" s="93">
        <v>40</v>
      </c>
      <c r="AN5" s="94">
        <f t="shared" si="23"/>
        <v>4610.8484109999999</v>
      </c>
      <c r="AO5" s="95">
        <f t="shared" ref="AO5:AO68" si="25">AA5-AD5-AE5-AG5-AH5-AI5-AK5-AL5-AN5-AM5</f>
        <v>32528.03557330004</v>
      </c>
      <c r="AP5" s="96"/>
      <c r="AQ5" s="97">
        <f t="shared" si="6"/>
        <v>1041.7582399999999</v>
      </c>
      <c r="AR5" s="98">
        <f t="shared" si="7"/>
        <v>123.09</v>
      </c>
      <c r="AS5" s="98">
        <f t="shared" si="8"/>
        <v>387.07880000000006</v>
      </c>
      <c r="AT5" s="98">
        <f t="shared" si="9"/>
        <v>86.937919999999963</v>
      </c>
      <c r="AU5" s="98">
        <f t="shared" si="24"/>
        <v>143.73599999999999</v>
      </c>
      <c r="AV5" s="98">
        <f t="array" ref="AV5">_xlfn.IFS(U5=0,AO5,U5&lt;0,AO5/-U5,U5&gt;0,AO5/U5)</f>
        <v>260.2242845864003</v>
      </c>
      <c r="AW5" s="234">
        <f>IF(AQ5=0,0,AV5/AQ5)</f>
        <v>0.24979335376929712</v>
      </c>
      <c r="AX5" s="234">
        <f>IF(AR5=0,0,AV5/AR5)</f>
        <v>2.1140976893850052</v>
      </c>
      <c r="AY5" s="99"/>
      <c r="AZ5" s="94">
        <f t="shared" si="12"/>
        <v>1480936.4035812041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714</v>
      </c>
      <c r="F6" s="93">
        <v>107</v>
      </c>
      <c r="G6" s="93">
        <v>15</v>
      </c>
      <c r="H6" s="93">
        <v>411</v>
      </c>
      <c r="I6" s="93">
        <v>0</v>
      </c>
      <c r="J6" s="93">
        <v>181</v>
      </c>
      <c r="K6" s="92">
        <v>123.09</v>
      </c>
      <c r="L6" s="92">
        <f t="shared" ref="L6" si="27">E6*K6</f>
        <v>87886.260000000009</v>
      </c>
      <c r="M6" s="89">
        <v>37</v>
      </c>
      <c r="N6" s="89">
        <v>152</v>
      </c>
      <c r="O6" s="89">
        <v>974</v>
      </c>
      <c r="P6" s="89">
        <v>84</v>
      </c>
      <c r="Q6" s="233">
        <f t="shared" si="13"/>
        <v>21.714285714285715</v>
      </c>
      <c r="R6" s="92">
        <f t="shared" si="14"/>
        <v>14.857142857142858</v>
      </c>
      <c r="S6" s="93">
        <v>104</v>
      </c>
      <c r="T6" s="93">
        <v>0</v>
      </c>
      <c r="U6" s="92">
        <f t="shared" si="15"/>
        <v>104</v>
      </c>
      <c r="V6" s="93">
        <v>64931.069999999992</v>
      </c>
      <c r="W6" s="93">
        <v>0</v>
      </c>
      <c r="X6" s="92">
        <f t="shared" si="16"/>
        <v>64931.069999999992</v>
      </c>
      <c r="Y6" s="93">
        <v>98498.84</v>
      </c>
      <c r="Z6" s="93">
        <v>0</v>
      </c>
      <c r="AA6" s="92">
        <f t="shared" si="17"/>
        <v>98498.84</v>
      </c>
      <c r="AB6" s="92">
        <f t="shared" si="18"/>
        <v>124360.32000000001</v>
      </c>
      <c r="AC6" s="234">
        <f t="shared" si="19"/>
        <v>5.2361104289025635E-2</v>
      </c>
      <c r="AD6" s="92">
        <f t="shared" si="20"/>
        <v>12801.36</v>
      </c>
      <c r="AE6" s="93">
        <v>36727.01999999996</v>
      </c>
      <c r="AF6" s="234">
        <f t="shared" si="21"/>
        <v>0.37286753833852215</v>
      </c>
      <c r="AG6" s="93">
        <v>8244.239999999998</v>
      </c>
      <c r="AH6" s="93">
        <v>3015</v>
      </c>
      <c r="AI6" s="93">
        <f>363+5122</f>
        <v>5485</v>
      </c>
      <c r="AJ6" s="93"/>
      <c r="AK6" s="93"/>
      <c r="AL6" s="122">
        <f t="shared" si="22"/>
        <v>291.55296816397731</v>
      </c>
      <c r="AM6" s="93">
        <v>20</v>
      </c>
      <c r="AN6" s="94">
        <f t="shared" si="23"/>
        <v>3707.5640969999995</v>
      </c>
      <c r="AO6" s="95">
        <f t="shared" si="25"/>
        <v>28207.102934836061</v>
      </c>
      <c r="AP6" s="96"/>
      <c r="AQ6" s="97">
        <f t="shared" si="6"/>
        <v>947.10423076923075</v>
      </c>
      <c r="AR6" s="98">
        <f t="shared" si="7"/>
        <v>123.09</v>
      </c>
      <c r="AS6" s="98">
        <f t="shared" si="8"/>
        <v>353.14442307692269</v>
      </c>
      <c r="AT6" s="98">
        <f t="shared" si="9"/>
        <v>79.271538461538441</v>
      </c>
      <c r="AU6" s="98">
        <f t="shared" si="24"/>
        <v>81.730769230769226</v>
      </c>
      <c r="AV6" s="98">
        <f t="array" ref="AV6">_xlfn.IFS(U6=0,AO6,U6&lt;0,AO6/-U6,U6&gt;0,AO6/U6)</f>
        <v>271.22214360419287</v>
      </c>
      <c r="AW6" s="234">
        <f t="shared" ref="AW6" si="28">IF(AQ6=0,0,AV6/AQ6)</f>
        <v>0.28636989973522592</v>
      </c>
      <c r="AX6" s="234">
        <f t="shared" ref="AX6" si="29">IF(AR6=0,0,AV6/AR6)</f>
        <v>2.2034458006677462</v>
      </c>
      <c r="AY6" s="99"/>
      <c r="AZ6" s="94">
        <f t="shared" si="12"/>
        <v>193652.61053339372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5500</v>
      </c>
      <c r="F7" s="93">
        <v>152</v>
      </c>
      <c r="G7" s="93">
        <v>33</v>
      </c>
      <c r="H7" s="93">
        <v>265</v>
      </c>
      <c r="I7" s="93">
        <v>3</v>
      </c>
      <c r="J7" s="93">
        <v>5047</v>
      </c>
      <c r="K7" s="92">
        <v>117.24</v>
      </c>
      <c r="L7" s="92">
        <f>E7*K7</f>
        <v>644820</v>
      </c>
      <c r="M7" s="89">
        <v>19</v>
      </c>
      <c r="N7" s="89">
        <v>248</v>
      </c>
      <c r="O7" s="89">
        <v>1057</v>
      </c>
      <c r="P7" s="89">
        <v>68</v>
      </c>
      <c r="Q7" s="233">
        <f t="shared" si="13"/>
        <v>35.428571428571431</v>
      </c>
      <c r="R7" s="92">
        <f t="shared" si="14"/>
        <v>19.857142857142858</v>
      </c>
      <c r="S7" s="93">
        <v>146</v>
      </c>
      <c r="T7" s="93">
        <v>-7</v>
      </c>
      <c r="U7" s="92">
        <f t="shared" si="15"/>
        <v>139</v>
      </c>
      <c r="V7" s="93">
        <v>94968.78</v>
      </c>
      <c r="W7" s="93">
        <v>-4376</v>
      </c>
      <c r="X7" s="92">
        <f t="shared" si="16"/>
        <v>90592.78</v>
      </c>
      <c r="Y7" s="93">
        <v>146591.04000000001</v>
      </c>
      <c r="Z7" s="93">
        <v>-6897.78</v>
      </c>
      <c r="AA7" s="92">
        <f t="shared" si="17"/>
        <v>139693.26</v>
      </c>
      <c r="AB7" s="92">
        <f t="shared" si="18"/>
        <v>178252.48</v>
      </c>
      <c r="AC7" s="234">
        <f t="shared" si="19"/>
        <v>7.4259690320555793E-2</v>
      </c>
      <c r="AD7" s="92">
        <f t="shared" si="20"/>
        <v>16296.359999999999</v>
      </c>
      <c r="AE7" s="93">
        <v>51937.899999999987</v>
      </c>
      <c r="AF7" s="234">
        <f t="shared" si="21"/>
        <v>0.37179961295197766</v>
      </c>
      <c r="AG7" s="93">
        <v>14519.889999999994</v>
      </c>
      <c r="AH7" s="93">
        <v>10000</v>
      </c>
      <c r="AI7" s="93">
        <v>9824</v>
      </c>
      <c r="AJ7" s="93"/>
      <c r="AK7" s="93"/>
      <c r="AL7" s="122">
        <f t="shared" si="22"/>
        <v>187.98427387701699</v>
      </c>
      <c r="AM7" s="93">
        <v>0</v>
      </c>
      <c r="AN7" s="94">
        <f t="shared" si="23"/>
        <v>5172.8477379999995</v>
      </c>
      <c r="AO7" s="95">
        <f t="shared" si="25"/>
        <v>31754.27798812302</v>
      </c>
      <c r="AP7" s="96"/>
      <c r="AQ7" s="97">
        <f t="shared" si="6"/>
        <v>1004.9874820143885</v>
      </c>
      <c r="AR7" s="98">
        <f t="shared" si="7"/>
        <v>117.24</v>
      </c>
      <c r="AS7" s="98">
        <f t="shared" si="8"/>
        <v>373.65395683453227</v>
      </c>
      <c r="AT7" s="98">
        <f t="shared" si="9"/>
        <v>99.451301369862975</v>
      </c>
      <c r="AU7" s="98">
        <f t="shared" si="24"/>
        <v>135.78082191780823</v>
      </c>
      <c r="AV7" s="98">
        <f t="array" ref="AV7">_xlfn.IFS(U7=0,AO7,U7&lt;0,AO7/-U7,U7&gt;0,AO7/U7)</f>
        <v>228.44804308002173</v>
      </c>
      <c r="AW7" s="234">
        <f>IF(AQ7=0,0,AV7/AQ7)</f>
        <v>0.22731431701230981</v>
      </c>
      <c r="AX7" s="234">
        <f>IF(AR7=0,0,AV7/AR7)</f>
        <v>1.948550350392543</v>
      </c>
      <c r="AY7" s="99"/>
      <c r="AZ7" s="94">
        <f t="shared" si="12"/>
        <v>1256464.2369401196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517</v>
      </c>
      <c r="F8" s="93">
        <v>98</v>
      </c>
      <c r="G8" s="93">
        <v>30</v>
      </c>
      <c r="H8" s="93">
        <v>381</v>
      </c>
      <c r="I8" s="93">
        <v>0</v>
      </c>
      <c r="J8" s="93">
        <v>8</v>
      </c>
      <c r="K8" s="92">
        <v>169.89</v>
      </c>
      <c r="L8" s="92">
        <f>E8*K8</f>
        <v>87833.12999999999</v>
      </c>
      <c r="M8" s="89">
        <v>42</v>
      </c>
      <c r="N8" s="89">
        <v>122</v>
      </c>
      <c r="O8" s="89">
        <v>1281</v>
      </c>
      <c r="P8" s="89">
        <v>64</v>
      </c>
      <c r="Q8" s="233">
        <f t="shared" si="13"/>
        <v>17.428571428571427</v>
      </c>
      <c r="R8" s="92">
        <f t="shared" si="14"/>
        <v>7.4285714285714288</v>
      </c>
      <c r="S8" s="93">
        <v>53</v>
      </c>
      <c r="T8" s="93">
        <v>-1</v>
      </c>
      <c r="U8" s="92">
        <f t="shared" si="15"/>
        <v>52</v>
      </c>
      <c r="V8" s="93">
        <v>41889.79</v>
      </c>
      <c r="W8" s="93">
        <v>-809</v>
      </c>
      <c r="X8" s="92">
        <f t="shared" si="16"/>
        <v>41080.79</v>
      </c>
      <c r="Y8" s="93">
        <v>67018.09</v>
      </c>
      <c r="Z8" s="93">
        <v>-1262</v>
      </c>
      <c r="AA8" s="92">
        <f t="shared" si="17"/>
        <v>65756.09</v>
      </c>
      <c r="AB8" s="92">
        <f t="shared" si="18"/>
        <v>100020.48</v>
      </c>
      <c r="AC8" s="234">
        <f t="shared" si="19"/>
        <v>3.4955350602388371E-2</v>
      </c>
      <c r="AD8" s="92">
        <f t="shared" si="20"/>
        <v>8834.2799999999988</v>
      </c>
      <c r="AE8" s="93">
        <v>24308.43</v>
      </c>
      <c r="AF8" s="234">
        <f t="shared" si="21"/>
        <v>0.36967572129060594</v>
      </c>
      <c r="AG8" s="93">
        <v>8343.3000000000029</v>
      </c>
      <c r="AH8" s="93">
        <v>6376</v>
      </c>
      <c r="AI8" s="93">
        <v>5957</v>
      </c>
      <c r="AJ8" s="93"/>
      <c r="AK8" s="93"/>
      <c r="AL8" s="122">
        <f t="shared" si="22"/>
        <v>270.27172961186216</v>
      </c>
      <c r="AM8" s="93">
        <v>0</v>
      </c>
      <c r="AN8" s="94">
        <f t="shared" si="23"/>
        <v>2345.7131089999998</v>
      </c>
      <c r="AO8" s="95">
        <f t="shared" si="25"/>
        <v>9321.0951613881316</v>
      </c>
      <c r="AP8" s="96"/>
      <c r="AQ8" s="97">
        <f t="shared" si="6"/>
        <v>1264.5401923076922</v>
      </c>
      <c r="AR8" s="98">
        <f t="shared" si="7"/>
        <v>169.89</v>
      </c>
      <c r="AS8" s="98">
        <f t="shared" si="8"/>
        <v>467.46980769230771</v>
      </c>
      <c r="AT8" s="98">
        <f t="shared" si="9"/>
        <v>157.42075471698118</v>
      </c>
      <c r="AU8" s="98">
        <f t="shared" si="24"/>
        <v>232.69811320754718</v>
      </c>
      <c r="AV8" s="98">
        <f t="array" ref="AV8">_xlfn.IFS(U8=0,AO8,U8&lt;0,AO8/-U8,U8&gt;0,AO8/U8)</f>
        <v>179.25183002669485</v>
      </c>
      <c r="AW8" s="234">
        <f>IF(AQ8=0,0,AV8/AQ8)</f>
        <v>0.14175257624636947</v>
      </c>
      <c r="AX8" s="234">
        <f>IF(AR8=0,0,AV8/AR8)</f>
        <v>1.0551052447271461</v>
      </c>
      <c r="AY8" s="99"/>
      <c r="AZ8" s="94">
        <f t="shared" si="12"/>
        <v>92673.19612380123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11512</v>
      </c>
      <c r="F9" s="93">
        <v>148</v>
      </c>
      <c r="G9" s="93">
        <v>41</v>
      </c>
      <c r="H9" s="93">
        <v>474</v>
      </c>
      <c r="I9" s="93">
        <v>0</v>
      </c>
      <c r="J9" s="93">
        <v>10849</v>
      </c>
      <c r="K9" s="92">
        <v>123.09</v>
      </c>
      <c r="L9" s="92">
        <f>E9*K9</f>
        <v>1417012.08</v>
      </c>
      <c r="M9" s="89">
        <v>32</v>
      </c>
      <c r="N9" s="89">
        <v>231</v>
      </c>
      <c r="O9" s="89">
        <v>1323</v>
      </c>
      <c r="P9" s="89">
        <v>64</v>
      </c>
      <c r="Q9" s="233">
        <f t="shared" si="13"/>
        <v>33</v>
      </c>
      <c r="R9" s="92">
        <f t="shared" si="14"/>
        <v>18</v>
      </c>
      <c r="S9" s="93">
        <v>129</v>
      </c>
      <c r="T9" s="93">
        <v>-3</v>
      </c>
      <c r="U9" s="92">
        <f t="shared" si="15"/>
        <v>126</v>
      </c>
      <c r="V9" s="93">
        <v>106743.09999999998</v>
      </c>
      <c r="W9" s="93">
        <v>-2435</v>
      </c>
      <c r="X9" s="92">
        <f t="shared" si="16"/>
        <v>104308.09999999998</v>
      </c>
      <c r="Y9" s="93">
        <v>169137.4</v>
      </c>
      <c r="Z9" s="93">
        <v>-3969</v>
      </c>
      <c r="AA9" s="92">
        <f t="shared" si="17"/>
        <v>165168.4</v>
      </c>
      <c r="AB9" s="92">
        <f t="shared" si="18"/>
        <v>195592.32000000001</v>
      </c>
      <c r="AC9" s="234">
        <f t="shared" si="19"/>
        <v>8.7802047391131732E-2</v>
      </c>
      <c r="AD9" s="92">
        <f t="shared" si="20"/>
        <v>15509.34</v>
      </c>
      <c r="AE9" s="93">
        <v>60716.350000000035</v>
      </c>
      <c r="AF9" s="234">
        <f t="shared" si="21"/>
        <v>0.36760270124309513</v>
      </c>
      <c r="AG9" s="93">
        <v>15707.529999999981</v>
      </c>
      <c r="AH9" s="93">
        <v>16631</v>
      </c>
      <c r="AI9" s="93">
        <v>12000</v>
      </c>
      <c r="AJ9" s="93"/>
      <c r="AK9" s="93"/>
      <c r="AL9" s="122">
        <f t="shared" si="22"/>
        <v>336.24356912341909</v>
      </c>
      <c r="AM9" s="93">
        <v>0</v>
      </c>
      <c r="AN9" s="94">
        <f t="shared" si="23"/>
        <v>5955.9925099999982</v>
      </c>
      <c r="AO9" s="95">
        <f t="shared" si="25"/>
        <v>38311.943920876562</v>
      </c>
      <c r="AP9" s="96"/>
      <c r="AQ9" s="97">
        <f t="shared" si="6"/>
        <v>1310.8603174603174</v>
      </c>
      <c r="AR9" s="98">
        <f t="shared" si="7"/>
        <v>123.09</v>
      </c>
      <c r="AS9" s="98">
        <f t="shared" si="8"/>
        <v>481.87579365079392</v>
      </c>
      <c r="AT9" s="98">
        <f t="shared" si="9"/>
        <v>121.76379844961225</v>
      </c>
      <c r="AU9" s="98">
        <f t="shared" si="24"/>
        <v>221.94573643410854</v>
      </c>
      <c r="AV9" s="98">
        <f t="array" ref="AV9">_xlfn.IFS(U9=0,AO9,U9&lt;0,AO9/-U9,U9&gt;0,AO9/U9)</f>
        <v>304.06304699108381</v>
      </c>
      <c r="AW9" s="234">
        <f>IF(AQ9=0,0,AV9/AQ9)</f>
        <v>0.23195686294034792</v>
      </c>
      <c r="AX9" s="234">
        <f>IF(AR9=0,0,AV9/AR9)</f>
        <v>2.470249792762075</v>
      </c>
      <c r="AY9" s="99"/>
      <c r="AZ9" s="94">
        <f t="shared" si="12"/>
        <v>3500373.7969613569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10301</v>
      </c>
      <c r="F10" s="93">
        <v>135</v>
      </c>
      <c r="G10" s="93">
        <v>34</v>
      </c>
      <c r="H10" s="93">
        <v>342</v>
      </c>
      <c r="I10" s="93">
        <v>0</v>
      </c>
      <c r="J10" s="93">
        <v>9790</v>
      </c>
      <c r="K10" s="92">
        <v>123.09</v>
      </c>
      <c r="L10" s="92">
        <f>E10*K10</f>
        <v>1267950.0900000001</v>
      </c>
      <c r="M10" s="89">
        <v>24</v>
      </c>
      <c r="N10" s="89">
        <v>241</v>
      </c>
      <c r="O10" s="89">
        <v>922</v>
      </c>
      <c r="P10" s="89">
        <v>70</v>
      </c>
      <c r="Q10" s="233">
        <f t="shared" si="13"/>
        <v>34.428571428571431</v>
      </c>
      <c r="R10" s="92">
        <f t="shared" si="14"/>
        <v>21.142857142857142</v>
      </c>
      <c r="S10" s="93">
        <v>150</v>
      </c>
      <c r="T10" s="93">
        <v>-2</v>
      </c>
      <c r="U10" s="92">
        <f t="shared" si="15"/>
        <v>148</v>
      </c>
      <c r="V10" s="93">
        <v>86553.4</v>
      </c>
      <c r="W10" s="93">
        <v>-1106</v>
      </c>
      <c r="X10" s="92">
        <f t="shared" si="16"/>
        <v>85447.4</v>
      </c>
      <c r="Y10" s="93">
        <v>131297.87999999998</v>
      </c>
      <c r="Z10" s="93">
        <v>-1693.62</v>
      </c>
      <c r="AA10" s="92">
        <f t="shared" si="17"/>
        <v>129604.25999999998</v>
      </c>
      <c r="AB10" s="92">
        <f t="shared" si="18"/>
        <v>155541.4</v>
      </c>
      <c r="AC10" s="234">
        <f t="shared" si="19"/>
        <v>6.8896467960049002E-2</v>
      </c>
      <c r="AD10" s="92">
        <f t="shared" si="20"/>
        <v>18217.32</v>
      </c>
      <c r="AE10" s="93">
        <v>48299.739999999962</v>
      </c>
      <c r="AF10" s="234">
        <f t="shared" si="21"/>
        <v>0.37267092918087702</v>
      </c>
      <c r="AG10" s="93">
        <v>15934.669999999975</v>
      </c>
      <c r="AH10" s="93">
        <v>11026</v>
      </c>
      <c r="AI10" s="93">
        <v>11109</v>
      </c>
      <c r="AJ10" s="93"/>
      <c r="AK10" s="93"/>
      <c r="AL10" s="122">
        <f t="shared" si="22"/>
        <v>242.60611949411248</v>
      </c>
      <c r="AM10" s="93">
        <v>80</v>
      </c>
      <c r="AN10" s="94">
        <f t="shared" si="23"/>
        <v>4879.0465399999994</v>
      </c>
      <c r="AO10" s="95">
        <f t="shared" si="25"/>
        <v>19815.877340505922</v>
      </c>
      <c r="AP10" s="96"/>
      <c r="AQ10" s="97">
        <f t="shared" si="6"/>
        <v>875.70445945945937</v>
      </c>
      <c r="AR10" s="98">
        <f t="shared" si="7"/>
        <v>123.09</v>
      </c>
      <c r="AS10" s="98">
        <f t="shared" si="8"/>
        <v>326.34959459459435</v>
      </c>
      <c r="AT10" s="98">
        <f t="shared" si="9"/>
        <v>106.23113333333316</v>
      </c>
      <c r="AU10" s="98">
        <f t="shared" si="24"/>
        <v>147.56666666666666</v>
      </c>
      <c r="AV10" s="98">
        <f t="array" ref="AV10">_xlfn.IFS(U10=0,AO10,U10&lt;0,AO10/-U10,U10&gt;0,AO10/U10)</f>
        <v>133.89106311152651</v>
      </c>
      <c r="AW10" s="234">
        <f>IF(AQ10=0,0,AV10/AQ10)</f>
        <v>0.15289526239728482</v>
      </c>
      <c r="AX10" s="234">
        <f>IF(AR10=0,0,AV10/AR10)</f>
        <v>1.087749314416496</v>
      </c>
      <c r="AY10" s="99"/>
      <c r="AZ10" s="94">
        <f t="shared" si="12"/>
        <v>1379211.8411118346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2951</v>
      </c>
      <c r="F11" s="93">
        <v>38</v>
      </c>
      <c r="G11" s="93">
        <v>16</v>
      </c>
      <c r="H11" s="93">
        <v>515</v>
      </c>
      <c r="I11" s="93">
        <v>0</v>
      </c>
      <c r="J11" s="93">
        <v>2382</v>
      </c>
      <c r="K11" s="92">
        <v>123.09</v>
      </c>
      <c r="L11" s="92">
        <f t="shared" ref="L11" si="31">E11*K11</f>
        <v>363238.59</v>
      </c>
      <c r="M11" s="89">
        <v>95</v>
      </c>
      <c r="N11" s="89">
        <v>67</v>
      </c>
      <c r="O11" s="89">
        <v>1217</v>
      </c>
      <c r="P11" s="89">
        <v>63</v>
      </c>
      <c r="Q11" s="233">
        <f t="shared" si="13"/>
        <v>9.5714285714285712</v>
      </c>
      <c r="R11" s="92">
        <f t="shared" si="14"/>
        <v>6.1428571428571432</v>
      </c>
      <c r="S11" s="93">
        <v>43</v>
      </c>
      <c r="T11" s="93">
        <v>0</v>
      </c>
      <c r="U11" s="92">
        <f t="shared" si="15"/>
        <v>43</v>
      </c>
      <c r="V11" s="93">
        <v>32508.880000000001</v>
      </c>
      <c r="W11" s="93">
        <v>0</v>
      </c>
      <c r="X11" s="92">
        <f t="shared" si="16"/>
        <v>32508.880000000001</v>
      </c>
      <c r="Y11" s="93">
        <v>52054.85</v>
      </c>
      <c r="Z11" s="93">
        <v>0</v>
      </c>
      <c r="AA11" s="92">
        <f t="shared" si="17"/>
        <v>52054.85</v>
      </c>
      <c r="AB11" s="92">
        <f t="shared" si="18"/>
        <v>51369.57</v>
      </c>
      <c r="AC11" s="234">
        <f t="shared" si="19"/>
        <v>2.7671893695393631E-2</v>
      </c>
      <c r="AD11" s="92">
        <f t="shared" si="20"/>
        <v>5292.87</v>
      </c>
      <c r="AE11" s="93">
        <v>19275.07</v>
      </c>
      <c r="AF11" s="234">
        <f t="shared" si="21"/>
        <v>0.37028384482906013</v>
      </c>
      <c r="AG11" s="93">
        <v>4649.3199999999988</v>
      </c>
      <c r="AH11" s="93">
        <v>2359</v>
      </c>
      <c r="AI11" s="93">
        <v>4325</v>
      </c>
      <c r="AJ11" s="93"/>
      <c r="AK11" s="93"/>
      <c r="AL11" s="122">
        <f t="shared" si="22"/>
        <v>365.3279284779764</v>
      </c>
      <c r="AM11" s="93">
        <v>0</v>
      </c>
      <c r="AN11" s="94">
        <f t="shared" si="23"/>
        <v>1856.2570479999999</v>
      </c>
      <c r="AO11" s="95">
        <f t="shared" si="25"/>
        <v>13932.005023522021</v>
      </c>
      <c r="AP11" s="96"/>
      <c r="AQ11" s="97">
        <f t="shared" si="6"/>
        <v>1210.5779069767441</v>
      </c>
      <c r="AR11" s="98">
        <f t="shared" si="7"/>
        <v>123.09</v>
      </c>
      <c r="AS11" s="98">
        <f t="shared" si="8"/>
        <v>448.25744186046512</v>
      </c>
      <c r="AT11" s="98">
        <f t="shared" si="9"/>
        <v>108.12372093023254</v>
      </c>
      <c r="AU11" s="98">
        <f t="shared" si="24"/>
        <v>155.44186046511629</v>
      </c>
      <c r="AV11" s="98">
        <f t="array" ref="AV11">_xlfn.IFS(U11=0,AO11,U11&lt;0,AO11/-U11,U11&gt;0,AO11/U11)</f>
        <v>324.00011682609352</v>
      </c>
      <c r="AW11" s="234">
        <f t="shared" ref="AW11:AW28" si="32">IF(AQ11=0,0,AV11/AQ11)</f>
        <v>0.26764086388726549</v>
      </c>
      <c r="AX11" s="234">
        <f t="shared" ref="AX11:AX28" si="33">IF(AR11=0,0,AV11/AR11)</f>
        <v>2.6322212757014665</v>
      </c>
      <c r="AY11" s="99"/>
      <c r="AZ11" s="94">
        <f t="shared" si="12"/>
        <v>956124.34475380194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3363</v>
      </c>
      <c r="F12" s="93">
        <v>71</v>
      </c>
      <c r="G12" s="93">
        <v>25</v>
      </c>
      <c r="H12" s="93">
        <v>569</v>
      </c>
      <c r="I12" s="93">
        <v>1</v>
      </c>
      <c r="J12" s="93">
        <v>2697</v>
      </c>
      <c r="K12" s="92">
        <v>117.24</v>
      </c>
      <c r="L12" s="92">
        <f>E12*K12</f>
        <v>394278.12</v>
      </c>
      <c r="M12" s="89">
        <v>85</v>
      </c>
      <c r="N12" s="89">
        <v>118</v>
      </c>
      <c r="O12" s="89">
        <v>1166</v>
      </c>
      <c r="P12" s="89">
        <v>59</v>
      </c>
      <c r="Q12" s="233">
        <f t="shared" si="13"/>
        <v>16.857142857142858</v>
      </c>
      <c r="R12" s="92">
        <f t="shared" si="14"/>
        <v>10</v>
      </c>
      <c r="S12" s="93">
        <v>71</v>
      </c>
      <c r="T12" s="93">
        <v>-1</v>
      </c>
      <c r="U12" s="92">
        <f t="shared" si="15"/>
        <v>70</v>
      </c>
      <c r="V12" s="93">
        <v>50435.040000000001</v>
      </c>
      <c r="W12" s="93">
        <v>-734</v>
      </c>
      <c r="X12" s="92">
        <f t="shared" si="16"/>
        <v>49701.04</v>
      </c>
      <c r="Y12" s="93">
        <v>81267.11</v>
      </c>
      <c r="Z12" s="93">
        <v>-1170</v>
      </c>
      <c r="AA12" s="92">
        <f t="shared" si="17"/>
        <v>80097.11</v>
      </c>
      <c r="AB12" s="92">
        <f t="shared" si="18"/>
        <v>81176.92</v>
      </c>
      <c r="AC12" s="234">
        <f t="shared" si="19"/>
        <v>4.2578908847653009E-2</v>
      </c>
      <c r="AD12" s="92">
        <f t="shared" si="20"/>
        <v>8206.7999999999993</v>
      </c>
      <c r="AE12" s="93">
        <v>29759.509999999995</v>
      </c>
      <c r="AF12" s="234">
        <f t="shared" si="21"/>
        <v>0.37154286840062012</v>
      </c>
      <c r="AG12" s="93">
        <v>8412.1999999999989</v>
      </c>
      <c r="AH12" s="93">
        <v>5507</v>
      </c>
      <c r="AI12" s="93">
        <v>7556</v>
      </c>
      <c r="AJ12" s="93"/>
      <c r="AK12" s="93"/>
      <c r="AL12" s="122">
        <f t="shared" si="22"/>
        <v>403.63415787178371</v>
      </c>
      <c r="AM12" s="93">
        <v>0</v>
      </c>
      <c r="AN12" s="94">
        <f t="shared" si="23"/>
        <v>2837.929384</v>
      </c>
      <c r="AO12" s="95">
        <f t="shared" si="25"/>
        <v>17414.036458128223</v>
      </c>
      <c r="AP12" s="96"/>
      <c r="AQ12" s="97">
        <f t="shared" si="6"/>
        <v>1144.2444285714287</v>
      </c>
      <c r="AR12" s="98">
        <f t="shared" si="7"/>
        <v>117.24</v>
      </c>
      <c r="AS12" s="98">
        <f t="shared" si="8"/>
        <v>425.13585714285705</v>
      </c>
      <c r="AT12" s="98">
        <f t="shared" si="9"/>
        <v>118.48169014084506</v>
      </c>
      <c r="AU12" s="98">
        <f t="shared" si="24"/>
        <v>183.98591549295776</v>
      </c>
      <c r="AV12" s="98">
        <f t="array" ref="AV12">_xlfn.IFS(U12=0,AO12,U12&lt;0,AO12/-U12,U12&gt;0,AO12/U12)</f>
        <v>248.77194940183176</v>
      </c>
      <c r="AW12" s="234">
        <f t="shared" si="32"/>
        <v>0.21741154528706744</v>
      </c>
      <c r="AX12" s="234">
        <f t="shared" si="33"/>
        <v>2.121903355525689</v>
      </c>
      <c r="AY12" s="99"/>
      <c r="AZ12" s="94">
        <f t="shared" si="12"/>
        <v>836620.06583836023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4342</v>
      </c>
      <c r="F13" s="93">
        <v>84</v>
      </c>
      <c r="G13" s="93">
        <v>14</v>
      </c>
      <c r="H13" s="93">
        <v>608</v>
      </c>
      <c r="I13" s="93">
        <v>1</v>
      </c>
      <c r="J13" s="93">
        <v>3635</v>
      </c>
      <c r="K13" s="92">
        <v>123.09</v>
      </c>
      <c r="L13" s="92">
        <f t="shared" ref="L13:L28" si="34">E13*K13</f>
        <v>534456.78</v>
      </c>
      <c r="M13" s="89">
        <v>102</v>
      </c>
      <c r="N13" s="89">
        <v>126</v>
      </c>
      <c r="O13" s="89">
        <v>1323</v>
      </c>
      <c r="P13" s="89">
        <v>48</v>
      </c>
      <c r="Q13" s="233">
        <f t="shared" si="13"/>
        <v>18</v>
      </c>
      <c r="R13" s="92">
        <f t="shared" si="14"/>
        <v>6.1428571428571432</v>
      </c>
      <c r="S13" s="93">
        <v>43</v>
      </c>
      <c r="T13" s="93">
        <v>0</v>
      </c>
      <c r="U13" s="92">
        <f t="shared" si="15"/>
        <v>43</v>
      </c>
      <c r="V13" s="93">
        <v>34815.599999999999</v>
      </c>
      <c r="W13" s="93">
        <v>0</v>
      </c>
      <c r="X13" s="92">
        <f t="shared" si="16"/>
        <v>34815.599999999999</v>
      </c>
      <c r="Y13" s="93">
        <v>56310.749999999993</v>
      </c>
      <c r="Z13" s="93">
        <v>0</v>
      </c>
      <c r="AA13" s="92">
        <f t="shared" si="17"/>
        <v>56310.749999999993</v>
      </c>
      <c r="AB13" s="92">
        <f t="shared" si="18"/>
        <v>80015.039999999994</v>
      </c>
      <c r="AC13" s="234">
        <f t="shared" si="19"/>
        <v>2.9934292153524347E-2</v>
      </c>
      <c r="AD13" s="92">
        <f t="shared" si="20"/>
        <v>5292.87</v>
      </c>
      <c r="AE13" s="93">
        <v>20656.43</v>
      </c>
      <c r="AF13" s="234">
        <f t="shared" si="21"/>
        <v>0.36682924663585553</v>
      </c>
      <c r="AG13" s="93">
        <v>5601.6799999999985</v>
      </c>
      <c r="AH13" s="93">
        <v>8500</v>
      </c>
      <c r="AI13" s="93">
        <v>8125</v>
      </c>
      <c r="AJ13" s="93"/>
      <c r="AK13" s="93"/>
      <c r="AL13" s="122">
        <f t="shared" si="22"/>
        <v>431.29976798953334</v>
      </c>
      <c r="AM13" s="93">
        <v>0</v>
      </c>
      <c r="AN13" s="94">
        <f t="shared" si="23"/>
        <v>1987.9707599999999</v>
      </c>
      <c r="AO13" s="95">
        <f t="shared" si="25"/>
        <v>5715.499472010456</v>
      </c>
      <c r="AP13" s="96"/>
      <c r="AQ13" s="97">
        <f t="shared" si="6"/>
        <v>1309.5523255813953</v>
      </c>
      <c r="AR13" s="98">
        <f t="shared" si="7"/>
        <v>123.09</v>
      </c>
      <c r="AS13" s="98">
        <f t="shared" si="8"/>
        <v>480.38209302325583</v>
      </c>
      <c r="AT13" s="98">
        <f t="shared" si="9"/>
        <v>130.2716279069767</v>
      </c>
      <c r="AU13" s="98">
        <f t="shared" si="24"/>
        <v>386.62790697674421</v>
      </c>
      <c r="AV13" s="98">
        <f t="array" ref="AV13">_xlfn.IFS(U13=0,AO13,U13&lt;0,AO13/-U13,U13&gt;0,AO13/U13)</f>
        <v>132.91859237233618</v>
      </c>
      <c r="AW13" s="234">
        <f t="shared" si="32"/>
        <v>0.10149926030128271</v>
      </c>
      <c r="AX13" s="234">
        <f t="shared" si="33"/>
        <v>1.0798488290871409</v>
      </c>
      <c r="AY13" s="99"/>
      <c r="AZ13" s="94">
        <f t="shared" si="12"/>
        <v>577132.52808068367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3049</v>
      </c>
      <c r="F14" s="93">
        <v>21</v>
      </c>
      <c r="G14" s="93">
        <v>9</v>
      </c>
      <c r="H14" s="93">
        <v>513</v>
      </c>
      <c r="I14" s="93">
        <v>2</v>
      </c>
      <c r="J14" s="93">
        <v>2504</v>
      </c>
      <c r="K14" s="92">
        <v>123.09</v>
      </c>
      <c r="L14" s="92">
        <f t="shared" si="34"/>
        <v>375301.41000000003</v>
      </c>
      <c r="M14" s="89">
        <v>158</v>
      </c>
      <c r="N14" s="89">
        <v>37</v>
      </c>
      <c r="O14" s="89">
        <v>1005</v>
      </c>
      <c r="P14" s="89">
        <v>63</v>
      </c>
      <c r="Q14" s="233">
        <f t="shared" si="13"/>
        <v>5.2857142857142856</v>
      </c>
      <c r="R14" s="92">
        <f t="shared" si="14"/>
        <v>4.8571428571428568</v>
      </c>
      <c r="S14" s="93">
        <v>34</v>
      </c>
      <c r="T14" s="93">
        <v>0</v>
      </c>
      <c r="U14" s="92">
        <f t="shared" si="15"/>
        <v>34</v>
      </c>
      <c r="V14" s="93">
        <v>22432.66</v>
      </c>
      <c r="W14" s="93">
        <v>0</v>
      </c>
      <c r="X14" s="92">
        <f t="shared" si="16"/>
        <v>22432.66</v>
      </c>
      <c r="Y14" s="93">
        <v>33346.86</v>
      </c>
      <c r="Z14" s="93">
        <v>0</v>
      </c>
      <c r="AA14" s="92">
        <f t="shared" si="17"/>
        <v>33346.86</v>
      </c>
      <c r="AB14" s="92">
        <f t="shared" si="18"/>
        <v>23426.55</v>
      </c>
      <c r="AC14" s="234">
        <f t="shared" si="19"/>
        <v>1.7726893171244835E-2</v>
      </c>
      <c r="AD14" s="92">
        <f t="shared" si="20"/>
        <v>4185.0600000000004</v>
      </c>
      <c r="AE14" s="93">
        <v>12386.759999999998</v>
      </c>
      <c r="AF14" s="234">
        <f t="shared" si="21"/>
        <v>0.37145206475212356</v>
      </c>
      <c r="AG14" s="93">
        <v>3218.2899999999995</v>
      </c>
      <c r="AH14" s="93">
        <v>1223</v>
      </c>
      <c r="AI14" s="93">
        <v>3333</v>
      </c>
      <c r="AJ14" s="93"/>
      <c r="AK14" s="93"/>
      <c r="AL14" s="122">
        <f t="shared" si="22"/>
        <v>363.90917924116877</v>
      </c>
      <c r="AM14" s="93">
        <v>0</v>
      </c>
      <c r="AN14" s="94">
        <f t="shared" si="23"/>
        <v>1280.904886</v>
      </c>
      <c r="AO14" s="95">
        <f t="shared" si="25"/>
        <v>7355.9359347588324</v>
      </c>
      <c r="AP14" s="96"/>
      <c r="AQ14" s="97">
        <f t="shared" si="6"/>
        <v>980.79</v>
      </c>
      <c r="AR14" s="98">
        <f t="shared" si="7"/>
        <v>123.09</v>
      </c>
      <c r="AS14" s="98">
        <f t="shared" si="8"/>
        <v>364.31647058823523</v>
      </c>
      <c r="AT14" s="98">
        <f t="shared" si="9"/>
        <v>94.655588235294104</v>
      </c>
      <c r="AU14" s="98">
        <f t="shared" si="24"/>
        <v>134</v>
      </c>
      <c r="AV14" s="98">
        <f t="array" ref="AV14">_xlfn.IFS(U14=0,AO14,U14&lt;0,AO14/-U14,U14&gt;0,AO14/U14)</f>
        <v>216.35105690467154</v>
      </c>
      <c r="AW14" s="234">
        <f t="shared" si="32"/>
        <v>0.22058856320381687</v>
      </c>
      <c r="AX14" s="234">
        <f t="shared" si="33"/>
        <v>1.7576655853820093</v>
      </c>
      <c r="AY14" s="99"/>
      <c r="AZ14" s="94">
        <f t="shared" si="12"/>
        <v>659654.3725023435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1119</v>
      </c>
      <c r="F15" s="93">
        <v>27</v>
      </c>
      <c r="G15" s="93">
        <v>2</v>
      </c>
      <c r="H15" s="93">
        <v>591</v>
      </c>
      <c r="I15" s="93">
        <v>0</v>
      </c>
      <c r="J15" s="93">
        <v>499</v>
      </c>
      <c r="K15" s="92">
        <v>123.09</v>
      </c>
      <c r="L15" s="92">
        <f t="shared" si="34"/>
        <v>137737.71</v>
      </c>
      <c r="M15" s="89">
        <v>189</v>
      </c>
      <c r="N15" s="89">
        <v>34</v>
      </c>
      <c r="O15" s="89">
        <v>966</v>
      </c>
      <c r="P15" s="89">
        <v>93</v>
      </c>
      <c r="Q15" s="233">
        <f t="shared" si="13"/>
        <v>4.8571428571428568</v>
      </c>
      <c r="R15" s="92">
        <f t="shared" si="14"/>
        <v>3.1428571428571428</v>
      </c>
      <c r="S15" s="93">
        <v>22</v>
      </c>
      <c r="T15" s="93">
        <v>0</v>
      </c>
      <c r="U15" s="92">
        <f t="shared" si="15"/>
        <v>22</v>
      </c>
      <c r="V15" s="93">
        <v>13787.6</v>
      </c>
      <c r="W15" s="93">
        <v>0</v>
      </c>
      <c r="X15" s="92">
        <f t="shared" si="16"/>
        <v>13787.6</v>
      </c>
      <c r="Y15" s="93">
        <v>20902.010000000002</v>
      </c>
      <c r="Z15" s="93">
        <v>0</v>
      </c>
      <c r="AA15" s="92">
        <f t="shared" si="17"/>
        <v>20902.010000000002</v>
      </c>
      <c r="AB15" s="92">
        <f t="shared" si="18"/>
        <v>30544.92</v>
      </c>
      <c r="AC15" s="234">
        <f t="shared" si="19"/>
        <v>1.1111321975571051E-2</v>
      </c>
      <c r="AD15" s="92">
        <f t="shared" si="20"/>
        <v>2707.98</v>
      </c>
      <c r="AE15" s="93">
        <v>7818.5100000000039</v>
      </c>
      <c r="AF15" s="234">
        <f t="shared" si="21"/>
        <v>0.37405541380948548</v>
      </c>
      <c r="AG15" s="93">
        <v>2067.3099999999995</v>
      </c>
      <c r="AH15" s="93">
        <v>1788</v>
      </c>
      <c r="AI15" s="93">
        <v>1960</v>
      </c>
      <c r="AJ15" s="93"/>
      <c r="AK15" s="93"/>
      <c r="AL15" s="122">
        <f t="shared" si="22"/>
        <v>419.24039947666807</v>
      </c>
      <c r="AM15" s="93">
        <v>0</v>
      </c>
      <c r="AN15" s="94">
        <f t="shared" si="23"/>
        <v>787.27196000000004</v>
      </c>
      <c r="AO15" s="95">
        <f t="shared" si="25"/>
        <v>3353.6976405233308</v>
      </c>
      <c r="AP15" s="96"/>
      <c r="AQ15" s="97">
        <f t="shared" si="6"/>
        <v>950.09136363636378</v>
      </c>
      <c r="AR15" s="98">
        <f t="shared" si="7"/>
        <v>123.09</v>
      </c>
      <c r="AS15" s="98">
        <f t="shared" si="8"/>
        <v>355.38681818181834</v>
      </c>
      <c r="AT15" s="98">
        <f t="shared" si="9"/>
        <v>93.968636363636335</v>
      </c>
      <c r="AU15" s="98">
        <f t="shared" si="24"/>
        <v>170.36363636363637</v>
      </c>
      <c r="AV15" s="98">
        <f t="array" ref="AV15">_xlfn.IFS(U15=0,AO15,U15&lt;0,AO15/-U15,U15&gt;0,AO15/U15)</f>
        <v>152.44080184196957</v>
      </c>
      <c r="AW15" s="234">
        <f t="shared" si="32"/>
        <v>0.16044857123900191</v>
      </c>
      <c r="AX15" s="234">
        <f t="shared" si="33"/>
        <v>1.2384499296609763</v>
      </c>
      <c r="AY15" s="99"/>
      <c r="AZ15" s="94">
        <f t="shared" si="12"/>
        <v>170581.25726116396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3682</v>
      </c>
      <c r="F16" s="93">
        <v>81</v>
      </c>
      <c r="G16" s="93">
        <v>13</v>
      </c>
      <c r="H16" s="93">
        <v>360</v>
      </c>
      <c r="I16" s="93">
        <v>2</v>
      </c>
      <c r="J16" s="93">
        <v>3226</v>
      </c>
      <c r="K16" s="92">
        <v>117.24</v>
      </c>
      <c r="L16" s="92">
        <f t="shared" si="34"/>
        <v>431677.68</v>
      </c>
      <c r="M16" s="89">
        <v>37</v>
      </c>
      <c r="N16" s="89">
        <v>118</v>
      </c>
      <c r="O16" s="89">
        <v>923</v>
      </c>
      <c r="P16" s="89">
        <v>72</v>
      </c>
      <c r="Q16" s="233">
        <f t="shared" si="13"/>
        <v>16.857142857142858</v>
      </c>
      <c r="R16" s="92">
        <f t="shared" si="14"/>
        <v>9.2857142857142865</v>
      </c>
      <c r="S16" s="93">
        <v>66</v>
      </c>
      <c r="T16" s="93">
        <v>-1</v>
      </c>
      <c r="U16" s="92">
        <f t="shared" si="15"/>
        <v>65</v>
      </c>
      <c r="V16" s="93">
        <v>39866.289999999994</v>
      </c>
      <c r="W16" s="93">
        <v>-611</v>
      </c>
      <c r="X16" s="92">
        <f t="shared" si="16"/>
        <v>39255.289999999994</v>
      </c>
      <c r="Y16" s="93">
        <v>59274.97</v>
      </c>
      <c r="Z16" s="93">
        <v>-910</v>
      </c>
      <c r="AA16" s="92">
        <f t="shared" si="17"/>
        <v>58364.97</v>
      </c>
      <c r="AB16" s="92">
        <f t="shared" si="18"/>
        <v>78418.080000000002</v>
      </c>
      <c r="AC16" s="234">
        <f t="shared" si="19"/>
        <v>3.1026297172594648E-2</v>
      </c>
      <c r="AD16" s="92">
        <f t="shared" si="20"/>
        <v>7620.5999999999995</v>
      </c>
      <c r="AE16" s="93">
        <v>21015.979999999992</v>
      </c>
      <c r="AF16" s="234">
        <f t="shared" si="21"/>
        <v>0.36007865676963413</v>
      </c>
      <c r="AG16" s="93">
        <v>6497.9299999999967</v>
      </c>
      <c r="AH16" s="93">
        <v>2907</v>
      </c>
      <c r="AI16" s="93">
        <v>5500</v>
      </c>
      <c r="AJ16" s="93"/>
      <c r="AK16" s="93"/>
      <c r="AL16" s="122">
        <f t="shared" si="22"/>
        <v>255.37486262538158</v>
      </c>
      <c r="AM16" s="93">
        <v>10</v>
      </c>
      <c r="AN16" s="94">
        <f t="shared" si="23"/>
        <v>2241.4770589999994</v>
      </c>
      <c r="AO16" s="95">
        <f t="shared" si="25"/>
        <v>12316.608078374633</v>
      </c>
      <c r="AP16" s="96"/>
      <c r="AQ16" s="97">
        <f t="shared" si="6"/>
        <v>897.92261538461537</v>
      </c>
      <c r="AR16" s="98">
        <f t="shared" si="7"/>
        <v>117.24</v>
      </c>
      <c r="AS16" s="98">
        <f t="shared" si="8"/>
        <v>323.3227692307691</v>
      </c>
      <c r="AT16" s="98">
        <f t="shared" si="9"/>
        <v>98.453484848484791</v>
      </c>
      <c r="AU16" s="98">
        <f t="shared" si="24"/>
        <v>127.37878787878788</v>
      </c>
      <c r="AV16" s="98">
        <f t="array" ref="AV16">_xlfn.IFS(U16=0,AO16,U16&lt;0,AO16/-U16,U16&gt;0,AO16/U16)</f>
        <v>189.4862781288405</v>
      </c>
      <c r="AW16" s="234">
        <f t="shared" si="32"/>
        <v>0.2110274035671505</v>
      </c>
      <c r="AX16" s="234">
        <f t="shared" si="33"/>
        <v>1.6162255043401612</v>
      </c>
      <c r="AY16" s="99"/>
      <c r="AZ16" s="94">
        <f t="shared" si="12"/>
        <v>697688.47607039066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2255</v>
      </c>
      <c r="F17" s="93">
        <v>38</v>
      </c>
      <c r="G17" s="93">
        <v>7</v>
      </c>
      <c r="H17" s="93">
        <v>39</v>
      </c>
      <c r="I17" s="93">
        <v>1</v>
      </c>
      <c r="J17" s="93">
        <v>2170</v>
      </c>
      <c r="K17" s="93">
        <v>123.09</v>
      </c>
      <c r="L17" s="92">
        <f t="shared" si="34"/>
        <v>277567.95</v>
      </c>
      <c r="M17" s="89">
        <v>32</v>
      </c>
      <c r="N17" s="89">
        <v>55</v>
      </c>
      <c r="O17" s="89">
        <v>1245</v>
      </c>
      <c r="P17" s="89">
        <v>43</v>
      </c>
      <c r="Q17" s="233">
        <f t="shared" si="13"/>
        <v>7.8571428571428568</v>
      </c>
      <c r="R17" s="92">
        <f t="shared" si="14"/>
        <v>3.1428571428571428</v>
      </c>
      <c r="S17" s="93">
        <v>24</v>
      </c>
      <c r="T17" s="93">
        <v>-2</v>
      </c>
      <c r="U17" s="92">
        <f t="shared" si="15"/>
        <v>22</v>
      </c>
      <c r="V17" s="93">
        <v>18210.97</v>
      </c>
      <c r="W17" s="93">
        <v>-1508</v>
      </c>
      <c r="X17" s="92">
        <f t="shared" si="16"/>
        <v>16702.97</v>
      </c>
      <c r="Y17" s="93">
        <v>29390.980000000003</v>
      </c>
      <c r="Z17" s="93">
        <v>-2328.92</v>
      </c>
      <c r="AA17" s="92">
        <f t="shared" si="17"/>
        <v>27062.060000000005</v>
      </c>
      <c r="AB17" s="92">
        <f t="shared" si="18"/>
        <v>29444.25</v>
      </c>
      <c r="AC17" s="234">
        <f t="shared" si="19"/>
        <v>1.4385949580074947E-2</v>
      </c>
      <c r="AD17" s="92">
        <f t="shared" si="20"/>
        <v>2707.98</v>
      </c>
      <c r="AE17" s="93">
        <v>10067.319999999998</v>
      </c>
      <c r="AF17" s="234">
        <f t="shared" si="21"/>
        <v>0.37200863496718267</v>
      </c>
      <c r="AG17" s="93">
        <v>3497.16</v>
      </c>
      <c r="AH17" s="93">
        <v>2113</v>
      </c>
      <c r="AI17" s="93">
        <v>1718</v>
      </c>
      <c r="AJ17" s="93"/>
      <c r="AK17" s="93"/>
      <c r="AL17" s="122">
        <f t="shared" si="22"/>
        <v>27.665610117749669</v>
      </c>
      <c r="AM17" s="93">
        <v>0</v>
      </c>
      <c r="AN17" s="94">
        <f t="shared" si="23"/>
        <v>953.73958700000003</v>
      </c>
      <c r="AO17" s="95">
        <f t="shared" si="25"/>
        <v>5977.194802882258</v>
      </c>
      <c r="AP17" s="96"/>
      <c r="AQ17" s="97">
        <f t="shared" si="6"/>
        <v>1230.0936363636365</v>
      </c>
      <c r="AR17" s="98">
        <f t="shared" si="7"/>
        <v>123.09</v>
      </c>
      <c r="AS17" s="98">
        <f t="shared" si="8"/>
        <v>457.60545454545445</v>
      </c>
      <c r="AT17" s="98">
        <f t="shared" si="9"/>
        <v>145.715</v>
      </c>
      <c r="AU17" s="98">
        <f t="shared" si="24"/>
        <v>159.625</v>
      </c>
      <c r="AV17" s="98">
        <f t="array" ref="AV17">_xlfn.IFS(U17=0,AO17,U17&lt;0,AO17/-U17,U17&gt;0,AO17/U17)</f>
        <v>271.69067285828447</v>
      </c>
      <c r="AW17" s="234">
        <f t="shared" si="32"/>
        <v>0.2208699117096872</v>
      </c>
      <c r="AX17" s="234">
        <f t="shared" si="33"/>
        <v>2.207252196427691</v>
      </c>
      <c r="AY17" s="99"/>
      <c r="AZ17" s="94">
        <f t="shared" si="12"/>
        <v>612662.46729543153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2193</v>
      </c>
      <c r="F18" s="93">
        <v>43</v>
      </c>
      <c r="G18" s="93">
        <v>12</v>
      </c>
      <c r="H18" s="93">
        <v>276</v>
      </c>
      <c r="I18" s="93">
        <v>2</v>
      </c>
      <c r="J18" s="93">
        <v>1860</v>
      </c>
      <c r="K18" s="93">
        <v>123.09</v>
      </c>
      <c r="L18" s="92">
        <f t="shared" si="34"/>
        <v>269936.37</v>
      </c>
      <c r="M18" s="89">
        <v>93</v>
      </c>
      <c r="N18" s="89">
        <v>69</v>
      </c>
      <c r="O18" s="89">
        <v>1238</v>
      </c>
      <c r="P18" s="89">
        <v>48</v>
      </c>
      <c r="Q18" s="233">
        <f t="shared" si="13"/>
        <v>9.8571428571428577</v>
      </c>
      <c r="R18" s="92">
        <f t="shared" si="14"/>
        <v>3.4285714285714284</v>
      </c>
      <c r="S18" s="93">
        <v>24</v>
      </c>
      <c r="T18" s="93">
        <v>0</v>
      </c>
      <c r="U18" s="92">
        <f t="shared" si="15"/>
        <v>24</v>
      </c>
      <c r="V18" s="93">
        <v>18075.63</v>
      </c>
      <c r="W18" s="93">
        <v>0</v>
      </c>
      <c r="X18" s="92">
        <f t="shared" si="16"/>
        <v>18075.63</v>
      </c>
      <c r="Y18" s="93">
        <v>29213.309999999998</v>
      </c>
      <c r="Z18" s="93">
        <v>0</v>
      </c>
      <c r="AA18" s="92">
        <f t="shared" si="17"/>
        <v>29213.309999999998</v>
      </c>
      <c r="AB18" s="92">
        <f t="shared" si="18"/>
        <v>41002.559999999998</v>
      </c>
      <c r="AC18" s="234">
        <f t="shared" si="19"/>
        <v>1.552953488119896E-2</v>
      </c>
      <c r="AD18" s="92">
        <f t="shared" si="20"/>
        <v>2954.16</v>
      </c>
      <c r="AE18" s="93">
        <v>10842.169999999998</v>
      </c>
      <c r="AF18" s="234">
        <f t="shared" si="21"/>
        <v>0.37113801893725834</v>
      </c>
      <c r="AG18" s="93">
        <v>3557.6900000000005</v>
      </c>
      <c r="AH18" s="93">
        <v>5907</v>
      </c>
      <c r="AI18" s="93">
        <v>115</v>
      </c>
      <c r="AJ18" s="93"/>
      <c r="AK18" s="93"/>
      <c r="AL18" s="122">
        <f t="shared" si="22"/>
        <v>195.78739467945923</v>
      </c>
      <c r="AM18" s="93">
        <v>40</v>
      </c>
      <c r="AN18" s="94">
        <f t="shared" si="23"/>
        <v>1032.118473</v>
      </c>
      <c r="AO18" s="95">
        <f t="shared" si="25"/>
        <v>4569.3841323205397</v>
      </c>
      <c r="AP18" s="96"/>
      <c r="AQ18" s="97">
        <f t="shared" si="6"/>
        <v>1217.2212499999998</v>
      </c>
      <c r="AR18" s="98">
        <f t="shared" si="7"/>
        <v>123.09</v>
      </c>
      <c r="AS18" s="98">
        <f t="shared" si="8"/>
        <v>451.75708333333324</v>
      </c>
      <c r="AT18" s="98">
        <f t="shared" si="9"/>
        <v>148.23708333333335</v>
      </c>
      <c r="AU18" s="98">
        <f t="shared" si="24"/>
        <v>250.91666666666666</v>
      </c>
      <c r="AV18" s="98">
        <f t="array" ref="AV18">_xlfn.IFS(U18=0,AO18,U18&lt;0,AO18/-U18,U18&gt;0,AO18/U18)</f>
        <v>190.39100551335582</v>
      </c>
      <c r="AW18" s="234">
        <f t="shared" si="32"/>
        <v>0.15641446081668048</v>
      </c>
      <c r="AX18" s="234">
        <f t="shared" si="33"/>
        <v>1.546762576272287</v>
      </c>
      <c r="AY18" s="99"/>
      <c r="AZ18" s="94">
        <f t="shared" si="12"/>
        <v>417527.47509078932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3"/>
        <v>0</v>
      </c>
      <c r="R19" s="92">
        <f t="shared" si="14"/>
        <v>0</v>
      </c>
      <c r="S19" s="93">
        <v>0</v>
      </c>
      <c r="T19" s="93">
        <v>0</v>
      </c>
      <c r="U19" s="92">
        <f t="shared" si="15"/>
        <v>0</v>
      </c>
      <c r="V19" s="93">
        <v>0</v>
      </c>
      <c r="W19" s="93">
        <v>0</v>
      </c>
      <c r="X19" s="92">
        <f t="shared" si="16"/>
        <v>0</v>
      </c>
      <c r="Y19" s="93">
        <v>0</v>
      </c>
      <c r="Z19" s="93">
        <v>0</v>
      </c>
      <c r="AA19" s="92">
        <f t="shared" si="17"/>
        <v>0</v>
      </c>
      <c r="AB19" s="92">
        <f t="shared" si="18"/>
        <v>0</v>
      </c>
      <c r="AC19" s="234">
        <f t="shared" si="19"/>
        <v>0</v>
      </c>
      <c r="AD19" s="92">
        <f t="shared" si="20"/>
        <v>0</v>
      </c>
      <c r="AE19" s="93">
        <v>0</v>
      </c>
      <c r="AF19" s="234">
        <f t="shared" si="21"/>
        <v>0</v>
      </c>
      <c r="AG19" s="93">
        <v>0</v>
      </c>
      <c r="AH19" s="93"/>
      <c r="AI19" s="93"/>
      <c r="AJ19" s="93"/>
      <c r="AK19" s="93"/>
      <c r="AL19" s="122">
        <f t="shared" si="22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3"/>
        <v>0</v>
      </c>
      <c r="R20" s="92">
        <f t="shared" si="14"/>
        <v>0</v>
      </c>
      <c r="S20" s="93">
        <v>0</v>
      </c>
      <c r="T20" s="93">
        <v>0</v>
      </c>
      <c r="U20" s="92">
        <f t="shared" si="15"/>
        <v>0</v>
      </c>
      <c r="V20" s="93">
        <v>0</v>
      </c>
      <c r="W20" s="93">
        <v>0</v>
      </c>
      <c r="X20" s="92">
        <f t="shared" si="16"/>
        <v>0</v>
      </c>
      <c r="Y20" s="93">
        <v>0</v>
      </c>
      <c r="Z20" s="93">
        <v>0</v>
      </c>
      <c r="AA20" s="92">
        <f t="shared" si="17"/>
        <v>0</v>
      </c>
      <c r="AB20" s="92">
        <f t="shared" si="18"/>
        <v>0</v>
      </c>
      <c r="AC20" s="234">
        <f t="shared" si="19"/>
        <v>0</v>
      </c>
      <c r="AD20" s="92">
        <f t="shared" si="20"/>
        <v>0</v>
      </c>
      <c r="AE20" s="93">
        <v>0</v>
      </c>
      <c r="AF20" s="234">
        <f t="shared" si="21"/>
        <v>0</v>
      </c>
      <c r="AG20" s="93">
        <v>0</v>
      </c>
      <c r="AH20" s="93"/>
      <c r="AI20" s="93"/>
      <c r="AJ20" s="93"/>
      <c r="AK20" s="93"/>
      <c r="AL20" s="122">
        <f t="shared" si="22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3"/>
        <v>0</v>
      </c>
      <c r="R21" s="92">
        <f t="shared" si="14"/>
        <v>0</v>
      </c>
      <c r="S21" s="93">
        <v>0</v>
      </c>
      <c r="T21" s="93">
        <v>0</v>
      </c>
      <c r="U21" s="92">
        <f t="shared" si="15"/>
        <v>0</v>
      </c>
      <c r="V21" s="93">
        <v>0</v>
      </c>
      <c r="W21" s="93">
        <v>0</v>
      </c>
      <c r="X21" s="92">
        <f t="shared" si="16"/>
        <v>0</v>
      </c>
      <c r="Y21" s="93">
        <v>0</v>
      </c>
      <c r="Z21" s="93">
        <v>0</v>
      </c>
      <c r="AA21" s="92">
        <f t="shared" si="17"/>
        <v>0</v>
      </c>
      <c r="AB21" s="92">
        <f t="shared" si="18"/>
        <v>0</v>
      </c>
      <c r="AC21" s="234">
        <f t="shared" si="19"/>
        <v>0</v>
      </c>
      <c r="AD21" s="92">
        <f t="shared" si="20"/>
        <v>0</v>
      </c>
      <c r="AE21" s="93">
        <v>0</v>
      </c>
      <c r="AF21" s="234">
        <f t="shared" si="21"/>
        <v>0</v>
      </c>
      <c r="AG21" s="93">
        <v>0</v>
      </c>
      <c r="AH21" s="93"/>
      <c r="AI21" s="93"/>
      <c r="AJ21" s="93"/>
      <c r="AK21" s="93"/>
      <c r="AL21" s="122">
        <f t="shared" si="22"/>
        <v>0.70937461840383775</v>
      </c>
      <c r="AM21" s="93">
        <v>0</v>
      </c>
      <c r="AN21" s="94">
        <f t="shared" si="23"/>
        <v>0</v>
      </c>
      <c r="AO21" s="95">
        <f t="shared" si="25"/>
        <v>-0.70937461840383775</v>
      </c>
      <c r="AP21" s="96"/>
      <c r="AQ21" s="97">
        <f t="shared" si="6"/>
        <v>0</v>
      </c>
      <c r="AR21" s="98">
        <f t="shared" ref="AR21:AR98" si="35">K21</f>
        <v>117.24</v>
      </c>
      <c r="AS21" s="98">
        <f t="shared" si="8"/>
        <v>0</v>
      </c>
      <c r="AT21" s="98">
        <f t="shared" si="9"/>
        <v>0</v>
      </c>
      <c r="AU21" s="98">
        <f t="shared" si="24"/>
        <v>0</v>
      </c>
      <c r="AV21" s="98">
        <f t="array" ref="AV21">_xlfn.IFS(U21=0,AO21,U21&lt;0,AO21/-U21,U21&gt;0,AO21/U21)</f>
        <v>-0.70937461840383775</v>
      </c>
      <c r="AW21" s="234">
        <f t="shared" si="32"/>
        <v>0</v>
      </c>
      <c r="AX21" s="234">
        <f t="shared" si="33"/>
        <v>-6.0506193995550819E-3</v>
      </c>
      <c r="AY21" s="99"/>
      <c r="AZ21" s="94">
        <f t="shared" si="12"/>
        <v>-228.41862712603574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323</v>
      </c>
      <c r="F22" s="93">
        <v>1</v>
      </c>
      <c r="G22" s="93" t="s">
        <v>100</v>
      </c>
      <c r="H22" s="93">
        <v>1</v>
      </c>
      <c r="I22" s="93">
        <v>1</v>
      </c>
      <c r="J22" s="93">
        <v>320</v>
      </c>
      <c r="K22" s="93">
        <v>117.24</v>
      </c>
      <c r="L22" s="92">
        <f t="shared" si="34"/>
        <v>37868.519999999997</v>
      </c>
      <c r="M22" s="89">
        <v>17</v>
      </c>
      <c r="N22" s="89">
        <v>3</v>
      </c>
      <c r="O22" s="89">
        <v>838</v>
      </c>
      <c r="P22" s="89">
        <v>50</v>
      </c>
      <c r="Q22" s="233">
        <f t="shared" si="13"/>
        <v>0.42857142857142855</v>
      </c>
      <c r="R22" s="92">
        <f t="shared" si="14"/>
        <v>0.14285714285714285</v>
      </c>
      <c r="S22" s="93">
        <v>1</v>
      </c>
      <c r="T22" s="93">
        <v>0</v>
      </c>
      <c r="U22" s="92">
        <f t="shared" si="15"/>
        <v>1</v>
      </c>
      <c r="V22" s="93">
        <v>520</v>
      </c>
      <c r="W22" s="93">
        <v>0</v>
      </c>
      <c r="X22" s="92">
        <f t="shared" si="16"/>
        <v>520</v>
      </c>
      <c r="Y22" s="93">
        <v>838</v>
      </c>
      <c r="Z22" s="93">
        <v>0</v>
      </c>
      <c r="AA22" s="92">
        <f t="shared" si="17"/>
        <v>838</v>
      </c>
      <c r="AB22" s="92">
        <f t="shared" si="18"/>
        <v>1257</v>
      </c>
      <c r="AC22" s="234">
        <f t="shared" si="19"/>
        <v>4.454733212513313E-4</v>
      </c>
      <c r="AD22" s="92">
        <f t="shared" si="20"/>
        <v>117.24</v>
      </c>
      <c r="AE22" s="93">
        <v>312.29999999999995</v>
      </c>
      <c r="AF22" s="234">
        <f t="shared" si="21"/>
        <v>0.37267303102625293</v>
      </c>
      <c r="AG22" s="93">
        <v>140.79</v>
      </c>
      <c r="AH22" s="93"/>
      <c r="AI22" s="93"/>
      <c r="AJ22" s="93"/>
      <c r="AK22" s="93"/>
      <c r="AL22" s="122">
        <f t="shared" si="22"/>
        <v>0.70937461840383775</v>
      </c>
      <c r="AM22" s="93">
        <v>0</v>
      </c>
      <c r="AN22" s="94">
        <f t="shared" si="23"/>
        <v>29.692</v>
      </c>
      <c r="AO22" s="95">
        <f t="shared" si="25"/>
        <v>237.26862538159622</v>
      </c>
      <c r="AP22" s="96"/>
      <c r="AQ22" s="97">
        <f t="shared" si="6"/>
        <v>838</v>
      </c>
      <c r="AR22" s="98">
        <f t="shared" si="35"/>
        <v>117.24</v>
      </c>
      <c r="AS22" s="98">
        <f t="shared" si="8"/>
        <v>312.29999999999995</v>
      </c>
      <c r="AT22" s="98">
        <f t="shared" si="9"/>
        <v>140.79</v>
      </c>
      <c r="AU22" s="98">
        <f t="shared" si="24"/>
        <v>0</v>
      </c>
      <c r="AV22" s="98">
        <f t="array" ref="AV22">_xlfn.IFS(U22=0,AO22,U22&lt;0,AO22/-U22,U22&gt;0,AO22/U22)</f>
        <v>237.26862538159622</v>
      </c>
      <c r="AW22" s="234">
        <f t="shared" si="32"/>
        <v>0.28313678446491197</v>
      </c>
      <c r="AX22" s="234">
        <f t="shared" si="33"/>
        <v>2.0237856139678967</v>
      </c>
      <c r="AY22" s="99"/>
      <c r="AZ22" s="94">
        <f t="shared" si="12"/>
        <v>76637.765998255578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3"/>
        <v>0</v>
      </c>
      <c r="R23" s="92">
        <f t="shared" si="14"/>
        <v>0</v>
      </c>
      <c r="S23" s="93">
        <v>0</v>
      </c>
      <c r="T23" s="93">
        <v>0</v>
      </c>
      <c r="U23" s="92">
        <f t="shared" si="15"/>
        <v>0</v>
      </c>
      <c r="V23" s="93">
        <v>0</v>
      </c>
      <c r="W23" s="93">
        <v>0</v>
      </c>
      <c r="X23" s="92">
        <f t="shared" si="16"/>
        <v>0</v>
      </c>
      <c r="Y23" s="93">
        <v>0</v>
      </c>
      <c r="Z23" s="93">
        <v>0</v>
      </c>
      <c r="AA23" s="92">
        <f t="shared" si="17"/>
        <v>0</v>
      </c>
      <c r="AB23" s="92">
        <f t="shared" si="18"/>
        <v>0</v>
      </c>
      <c r="AC23" s="234">
        <f t="shared" si="19"/>
        <v>0</v>
      </c>
      <c r="AD23" s="92">
        <f t="shared" si="20"/>
        <v>0</v>
      </c>
      <c r="AE23" s="93">
        <v>0</v>
      </c>
      <c r="AF23" s="234">
        <f t="shared" si="21"/>
        <v>0</v>
      </c>
      <c r="AG23" s="93">
        <v>0</v>
      </c>
      <c r="AH23" s="93"/>
      <c r="AI23" s="93"/>
      <c r="AJ23" s="93"/>
      <c r="AK23" s="93"/>
      <c r="AL23" s="122">
        <f t="shared" si="22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6"/>
        <v>0</v>
      </c>
      <c r="AR23" s="98">
        <f t="shared" si="35"/>
        <v>117.24</v>
      </c>
      <c r="AS23" s="98">
        <f t="shared" si="8"/>
        <v>0</v>
      </c>
      <c r="AT23" s="98">
        <f t="shared" si="9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3"/>
        <v>0</v>
      </c>
      <c r="R24" s="92">
        <f t="shared" si="14"/>
        <v>0</v>
      </c>
      <c r="S24" s="93">
        <v>0</v>
      </c>
      <c r="T24" s="93">
        <v>0</v>
      </c>
      <c r="U24" s="92">
        <f t="shared" si="15"/>
        <v>0</v>
      </c>
      <c r="V24" s="93">
        <v>0</v>
      </c>
      <c r="W24" s="93">
        <v>0</v>
      </c>
      <c r="X24" s="92">
        <f t="shared" si="16"/>
        <v>0</v>
      </c>
      <c r="Y24" s="93">
        <v>0</v>
      </c>
      <c r="Z24" s="93">
        <v>0</v>
      </c>
      <c r="AA24" s="92">
        <f t="shared" si="17"/>
        <v>0</v>
      </c>
      <c r="AB24" s="92">
        <f t="shared" si="18"/>
        <v>0</v>
      </c>
      <c r="AC24" s="234">
        <f t="shared" si="19"/>
        <v>0</v>
      </c>
      <c r="AD24" s="92">
        <f t="shared" si="20"/>
        <v>0</v>
      </c>
      <c r="AE24" s="93">
        <v>0</v>
      </c>
      <c r="AF24" s="234">
        <f t="shared" si="21"/>
        <v>0</v>
      </c>
      <c r="AG24" s="93">
        <v>0</v>
      </c>
      <c r="AH24" s="93"/>
      <c r="AI24" s="93"/>
      <c r="AJ24" s="93"/>
      <c r="AK24" s="93"/>
      <c r="AL24" s="122">
        <f t="shared" si="22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6"/>
        <v>0</v>
      </c>
      <c r="AR24" s="98">
        <f t="shared" si="35"/>
        <v>117.24</v>
      </c>
      <c r="AS24" s="98">
        <f t="shared" si="8"/>
        <v>0</v>
      </c>
      <c r="AT24" s="98">
        <f t="shared" si="9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3</v>
      </c>
      <c r="F25" s="93" t="s">
        <v>100</v>
      </c>
      <c r="G25" s="93">
        <v>1</v>
      </c>
      <c r="H25" s="93">
        <v>1</v>
      </c>
      <c r="I25" s="93">
        <v>1</v>
      </c>
      <c r="J25" s="93">
        <v>0</v>
      </c>
      <c r="K25" s="93">
        <v>117.24</v>
      </c>
      <c r="L25" s="92">
        <f t="shared" si="34"/>
        <v>351.71999999999997</v>
      </c>
      <c r="M25" s="89">
        <v>15</v>
      </c>
      <c r="N25" s="89">
        <v>1</v>
      </c>
      <c r="O25" s="89">
        <v>918</v>
      </c>
      <c r="P25" s="89">
        <v>0</v>
      </c>
      <c r="Q25" s="233">
        <f t="shared" si="13"/>
        <v>0.14285714285714285</v>
      </c>
      <c r="R25" s="92">
        <f t="shared" si="14"/>
        <v>0.14285714285714285</v>
      </c>
      <c r="S25" s="93">
        <v>1</v>
      </c>
      <c r="T25" s="93">
        <v>0</v>
      </c>
      <c r="U25" s="92">
        <f t="shared" si="15"/>
        <v>1</v>
      </c>
      <c r="V25" s="93">
        <v>551</v>
      </c>
      <c r="W25" s="93">
        <v>0</v>
      </c>
      <c r="X25" s="92">
        <f t="shared" si="16"/>
        <v>551</v>
      </c>
      <c r="Y25" s="93">
        <v>918</v>
      </c>
      <c r="Z25" s="93">
        <v>0</v>
      </c>
      <c r="AA25" s="92">
        <f t="shared" si="17"/>
        <v>918</v>
      </c>
      <c r="AB25" s="92">
        <f t="shared" si="18"/>
        <v>0</v>
      </c>
      <c r="AC25" s="234">
        <f t="shared" si="19"/>
        <v>4.8800060728964456E-4</v>
      </c>
      <c r="AD25" s="92">
        <f t="shared" si="20"/>
        <v>117.24</v>
      </c>
      <c r="AE25" s="93">
        <v>341.51</v>
      </c>
      <c r="AF25" s="234">
        <f t="shared" si="21"/>
        <v>0.37201525054466228</v>
      </c>
      <c r="AG25" s="93">
        <v>344.93</v>
      </c>
      <c r="AH25" s="93"/>
      <c r="AI25" s="93"/>
      <c r="AJ25" s="93"/>
      <c r="AK25" s="93"/>
      <c r="AL25" s="122">
        <f t="shared" si="22"/>
        <v>0.70937461840383775</v>
      </c>
      <c r="AM25" s="93">
        <v>0</v>
      </c>
      <c r="AN25" s="94">
        <f t="shared" si="23"/>
        <v>31.4621</v>
      </c>
      <c r="AO25" s="95">
        <f t="shared" si="25"/>
        <v>82.148525381596158</v>
      </c>
      <c r="AP25" s="96"/>
      <c r="AQ25" s="97">
        <f t="shared" si="6"/>
        <v>918</v>
      </c>
      <c r="AR25" s="98">
        <f t="shared" si="35"/>
        <v>117.24</v>
      </c>
      <c r="AS25" s="98">
        <f t="shared" si="8"/>
        <v>341.51</v>
      </c>
      <c r="AT25" s="98">
        <f t="shared" si="9"/>
        <v>344.93</v>
      </c>
      <c r="AU25" s="98">
        <f t="shared" si="24"/>
        <v>0</v>
      </c>
      <c r="AV25" s="98">
        <f t="array" ref="AV25">_xlfn.IFS(U25=0,AO25,U25&lt;0,AO25/-U25,U25&gt;0,AO25/U25)</f>
        <v>82.148525381596158</v>
      </c>
      <c r="AW25" s="234">
        <f t="shared" si="32"/>
        <v>8.9486411091063353E-2</v>
      </c>
      <c r="AX25" s="234">
        <f t="shared" si="33"/>
        <v>0.70068684221764044</v>
      </c>
      <c r="AY25" s="99"/>
      <c r="AZ25" s="94">
        <f t="shared" si="12"/>
        <v>246.44557614478848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879</v>
      </c>
      <c r="F26" s="93">
        <v>89</v>
      </c>
      <c r="G26" s="93">
        <v>18</v>
      </c>
      <c r="H26" s="93">
        <v>246</v>
      </c>
      <c r="I26" s="93">
        <v>526</v>
      </c>
      <c r="J26" s="93">
        <v>0</v>
      </c>
      <c r="K26" s="93">
        <v>123.09</v>
      </c>
      <c r="L26" s="92">
        <f t="shared" si="34"/>
        <v>108196.11</v>
      </c>
      <c r="M26" s="89">
        <v>67</v>
      </c>
      <c r="N26" s="89">
        <v>105</v>
      </c>
      <c r="O26" s="89">
        <v>699</v>
      </c>
      <c r="P26" s="89">
        <v>38</v>
      </c>
      <c r="Q26" s="233">
        <f t="shared" si="13"/>
        <v>15</v>
      </c>
      <c r="R26" s="92">
        <f t="shared" si="14"/>
        <v>4.1428571428571432</v>
      </c>
      <c r="S26" s="93">
        <v>29</v>
      </c>
      <c r="T26" s="93">
        <v>0</v>
      </c>
      <c r="U26" s="92">
        <f t="shared" si="15"/>
        <v>29</v>
      </c>
      <c r="V26" s="93">
        <v>13502.24</v>
      </c>
      <c r="W26" s="93">
        <v>0</v>
      </c>
      <c r="X26" s="92">
        <f t="shared" si="16"/>
        <v>13502.24</v>
      </c>
      <c r="Y26" s="93">
        <v>20269.84</v>
      </c>
      <c r="Z26" s="93">
        <v>0</v>
      </c>
      <c r="AA26" s="92">
        <f t="shared" si="17"/>
        <v>20269.84</v>
      </c>
      <c r="AB26" s="92">
        <f t="shared" si="18"/>
        <v>27890.1</v>
      </c>
      <c r="AC26" s="234">
        <f t="shared" si="19"/>
        <v>1.0775266045385545E-2</v>
      </c>
      <c r="AD26" s="92">
        <f t="shared" si="20"/>
        <v>3569.61</v>
      </c>
      <c r="AE26" s="93">
        <v>7555.3199999999979</v>
      </c>
      <c r="AF26" s="234">
        <f t="shared" si="21"/>
        <v>0.37273703196473174</v>
      </c>
      <c r="AG26" s="93">
        <v>6842.2499999999927</v>
      </c>
      <c r="AH26" s="93">
        <v>3825</v>
      </c>
      <c r="AI26" s="93">
        <v>4500</v>
      </c>
      <c r="AJ26" s="93"/>
      <c r="AK26" s="93"/>
      <c r="AL26" s="122">
        <f t="shared" si="22"/>
        <v>174.50615612734407</v>
      </c>
      <c r="AM26" s="93">
        <v>0</v>
      </c>
      <c r="AN26" s="94">
        <f t="shared" si="23"/>
        <v>770.97790399999997</v>
      </c>
      <c r="AO26" s="95">
        <f t="shared" si="25"/>
        <v>-6967.8240601273355</v>
      </c>
      <c r="AP26" s="96"/>
      <c r="AQ26" s="97">
        <f t="shared" si="6"/>
        <v>698.96</v>
      </c>
      <c r="AR26" s="98">
        <f t="shared" si="35"/>
        <v>123.09</v>
      </c>
      <c r="AS26" s="98">
        <f t="shared" si="8"/>
        <v>260.52827586206888</v>
      </c>
      <c r="AT26" s="98">
        <f t="shared" si="9"/>
        <v>235.93965517241355</v>
      </c>
      <c r="AU26" s="98">
        <f t="shared" si="24"/>
        <v>287.06896551724139</v>
      </c>
      <c r="AV26" s="98">
        <f t="array" ref="AV26">_xlfn.IFS(U26=0,AO26,U26&lt;0,AO26/-U26,U26&gt;0,AO26/U26)</f>
        <v>-240.26979517680468</v>
      </c>
      <c r="AW26" s="234">
        <f t="shared" si="32"/>
        <v>-0.34375328370265062</v>
      </c>
      <c r="AX26" s="234">
        <f t="shared" si="33"/>
        <v>-1.9519846874384976</v>
      </c>
      <c r="AY26" s="99"/>
      <c r="AZ26" s="94">
        <f t="shared" si="12"/>
        <v>-211197.14996041131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383</v>
      </c>
      <c r="F27" s="93">
        <v>9</v>
      </c>
      <c r="G27" s="93">
        <v>3</v>
      </c>
      <c r="H27" s="93">
        <v>51</v>
      </c>
      <c r="I27" s="93">
        <v>320</v>
      </c>
      <c r="J27" s="93">
        <v>0</v>
      </c>
      <c r="K27" s="93">
        <v>181.59</v>
      </c>
      <c r="L27" s="92">
        <f t="shared" si="34"/>
        <v>69548.97</v>
      </c>
      <c r="M27" s="89">
        <v>84</v>
      </c>
      <c r="N27" s="89">
        <v>13</v>
      </c>
      <c r="O27" s="89">
        <v>478</v>
      </c>
      <c r="P27" s="89">
        <v>83</v>
      </c>
      <c r="Q27" s="233">
        <f t="shared" si="13"/>
        <v>1.8571428571428572</v>
      </c>
      <c r="R27" s="92">
        <f t="shared" si="14"/>
        <v>1.5714285714285714</v>
      </c>
      <c r="S27" s="93">
        <v>11</v>
      </c>
      <c r="T27" s="93">
        <v>0</v>
      </c>
      <c r="U27" s="92">
        <f t="shared" si="15"/>
        <v>11</v>
      </c>
      <c r="V27" s="93">
        <v>3223.5299999999997</v>
      </c>
      <c r="W27" s="93">
        <v>0</v>
      </c>
      <c r="X27" s="92">
        <f t="shared" si="16"/>
        <v>3223.5299999999997</v>
      </c>
      <c r="Y27" s="93">
        <v>5258.8799999999992</v>
      </c>
      <c r="Z27" s="93">
        <v>0</v>
      </c>
      <c r="AA27" s="92">
        <f t="shared" si="17"/>
        <v>5258.8799999999992</v>
      </c>
      <c r="AB27" s="92">
        <f t="shared" si="18"/>
        <v>5157.62</v>
      </c>
      <c r="AC27" s="234">
        <f t="shared" si="19"/>
        <v>2.7955736750145594E-3</v>
      </c>
      <c r="AD27" s="92">
        <f t="shared" si="20"/>
        <v>1997.49</v>
      </c>
      <c r="AE27" s="93">
        <v>1953.3699999999994</v>
      </c>
      <c r="AF27" s="234">
        <f t="shared" si="21"/>
        <v>0.3714422082268467</v>
      </c>
      <c r="AG27" s="93">
        <v>1115.49</v>
      </c>
      <c r="AH27" s="93"/>
      <c r="AI27" s="93">
        <v>1056</v>
      </c>
      <c r="AJ27" s="93"/>
      <c r="AK27" s="93"/>
      <c r="AL27" s="122">
        <f t="shared" si="22"/>
        <v>36.178105538595723</v>
      </c>
      <c r="AM27" s="93">
        <v>0</v>
      </c>
      <c r="AN27" s="94">
        <f t="shared" si="23"/>
        <v>184.06356299999999</v>
      </c>
      <c r="AO27" s="95">
        <f t="shared" si="25"/>
        <v>-1083.7116685385956</v>
      </c>
      <c r="AP27" s="96"/>
      <c r="AQ27" s="97">
        <f t="shared" si="6"/>
        <v>478.07999999999993</v>
      </c>
      <c r="AR27" s="98">
        <f t="shared" si="35"/>
        <v>181.59</v>
      </c>
      <c r="AS27" s="98">
        <f t="shared" si="8"/>
        <v>177.57909090909087</v>
      </c>
      <c r="AT27" s="98">
        <f t="shared" si="9"/>
        <v>101.40818181818182</v>
      </c>
      <c r="AU27" s="98">
        <f t="shared" si="24"/>
        <v>96</v>
      </c>
      <c r="AV27" s="98">
        <f t="array" ref="AV27">_xlfn.IFS(U27=0,AO27,U27&lt;0,AO27/-U27,U27&gt;0,AO27/U27)</f>
        <v>-98.51924259441779</v>
      </c>
      <c r="AW27" s="234">
        <f t="shared" si="32"/>
        <v>-0.20607271292339735</v>
      </c>
      <c r="AX27" s="234">
        <f t="shared" si="33"/>
        <v>-0.54253671785019986</v>
      </c>
      <c r="AY27" s="99"/>
      <c r="AZ27" s="94">
        <f t="shared" si="12"/>
        <v>-37732.869913662013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1463</v>
      </c>
      <c r="F28" s="93">
        <v>146</v>
      </c>
      <c r="G28" s="93">
        <v>48</v>
      </c>
      <c r="H28" s="93">
        <v>564</v>
      </c>
      <c r="I28" s="93">
        <v>0</v>
      </c>
      <c r="J28" s="93">
        <v>705</v>
      </c>
      <c r="K28" s="93">
        <v>133.62</v>
      </c>
      <c r="L28" s="92">
        <f t="shared" si="34"/>
        <v>195486.06</v>
      </c>
      <c r="M28" s="89">
        <v>64</v>
      </c>
      <c r="N28" s="89">
        <v>196</v>
      </c>
      <c r="O28" s="89">
        <v>1112</v>
      </c>
      <c r="P28" s="89">
        <v>45</v>
      </c>
      <c r="Q28" s="233">
        <f t="shared" si="13"/>
        <v>28</v>
      </c>
      <c r="R28" s="92">
        <f t="shared" si="14"/>
        <v>12</v>
      </c>
      <c r="S28" s="93">
        <v>85</v>
      </c>
      <c r="T28" s="93">
        <v>-1</v>
      </c>
      <c r="U28" s="92">
        <f t="shared" si="15"/>
        <v>84</v>
      </c>
      <c r="V28" s="93">
        <v>56943.659999999996</v>
      </c>
      <c r="W28" s="93">
        <v>-652</v>
      </c>
      <c r="X28" s="92">
        <f t="shared" si="16"/>
        <v>56291.659999999996</v>
      </c>
      <c r="Y28" s="93">
        <v>91317.579999999987</v>
      </c>
      <c r="Z28" s="93">
        <v>-1115</v>
      </c>
      <c r="AA28" s="92">
        <f t="shared" si="17"/>
        <v>90202.579999999987</v>
      </c>
      <c r="AB28" s="92">
        <f t="shared" si="18"/>
        <v>98078.399999999994</v>
      </c>
      <c r="AC28" s="234">
        <f t="shared" si="19"/>
        <v>4.7950886513172919E-2</v>
      </c>
      <c r="AD28" s="92">
        <f t="shared" si="20"/>
        <v>11224.08</v>
      </c>
      <c r="AE28" s="93">
        <v>33120.74</v>
      </c>
      <c r="AF28" s="234">
        <f t="shared" si="21"/>
        <v>0.36718173693036277</v>
      </c>
      <c r="AG28" s="93">
        <v>14684.409999999991</v>
      </c>
      <c r="AH28" s="93">
        <v>7698</v>
      </c>
      <c r="AI28" s="93">
        <v>7000</v>
      </c>
      <c r="AJ28" s="93"/>
      <c r="AK28" s="93"/>
      <c r="AL28" s="122">
        <f t="shared" si="22"/>
        <v>400.0872847797645</v>
      </c>
      <c r="AM28" s="93">
        <v>70</v>
      </c>
      <c r="AN28" s="94">
        <f t="shared" si="23"/>
        <v>3214.2537859999998</v>
      </c>
      <c r="AO28" s="95">
        <f t="shared" si="25"/>
        <v>12791.008929220236</v>
      </c>
      <c r="AP28" s="96"/>
      <c r="AQ28" s="97">
        <f t="shared" si="6"/>
        <v>1073.840238095238</v>
      </c>
      <c r="AR28" s="98">
        <f t="shared" si="35"/>
        <v>133.62</v>
      </c>
      <c r="AS28" s="98">
        <f t="shared" si="8"/>
        <v>394.29452380952381</v>
      </c>
      <c r="AT28" s="98">
        <f t="shared" si="9"/>
        <v>172.75776470588224</v>
      </c>
      <c r="AU28" s="98">
        <f t="shared" si="24"/>
        <v>172.91764705882352</v>
      </c>
      <c r="AV28" s="98">
        <f>_xlfn.IFS(U28=0,AO28,U28&lt;0,AO28/-U28,U28&gt;0,AO28/U28)</f>
        <v>152.27391582405042</v>
      </c>
      <c r="AW28" s="234">
        <f t="shared" si="32"/>
        <v>0.1418031383273099</v>
      </c>
      <c r="AX28" s="234">
        <f t="shared" si="33"/>
        <v>1.1396042196082203</v>
      </c>
      <c r="AY28" s="99"/>
      <c r="AZ28" s="94">
        <f t="shared" si="12"/>
        <v>222776.73885058577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641</v>
      </c>
      <c r="F29" s="93" t="s">
        <v>100</v>
      </c>
      <c r="G29" s="93">
        <v>1</v>
      </c>
      <c r="H29" s="93" t="s">
        <v>100</v>
      </c>
      <c r="I29" s="93">
        <v>640</v>
      </c>
      <c r="J29" s="93">
        <v>0</v>
      </c>
      <c r="K29" s="93">
        <v>111.39</v>
      </c>
      <c r="L29" s="92">
        <f>E29*K29</f>
        <v>71400.990000000005</v>
      </c>
      <c r="M29" s="89">
        <v>7</v>
      </c>
      <c r="N29" s="89">
        <v>0</v>
      </c>
      <c r="O29" s="89">
        <v>0</v>
      </c>
      <c r="P29" s="89">
        <v>0</v>
      </c>
      <c r="Q29" s="233">
        <f t="shared" si="13"/>
        <v>0</v>
      </c>
      <c r="R29" s="92">
        <f t="shared" si="14"/>
        <v>0.14285714285714285</v>
      </c>
      <c r="S29" s="93">
        <v>1</v>
      </c>
      <c r="T29" s="93">
        <v>0</v>
      </c>
      <c r="U29" s="92">
        <f t="shared" si="15"/>
        <v>1</v>
      </c>
      <c r="V29" s="93">
        <v>300</v>
      </c>
      <c r="W29" s="93">
        <v>0</v>
      </c>
      <c r="X29" s="92">
        <f t="shared" si="16"/>
        <v>300</v>
      </c>
      <c r="Y29" s="93">
        <v>478</v>
      </c>
      <c r="Z29" s="93">
        <v>0</v>
      </c>
      <c r="AA29" s="92">
        <f t="shared" si="17"/>
        <v>478</v>
      </c>
      <c r="AB29" s="92">
        <f t="shared" si="18"/>
        <v>0</v>
      </c>
      <c r="AC29" s="234">
        <f t="shared" si="19"/>
        <v>2.5410053407892171E-4</v>
      </c>
      <c r="AD29" s="92">
        <f t="shared" si="20"/>
        <v>111.39</v>
      </c>
      <c r="AE29" s="93">
        <v>178.25</v>
      </c>
      <c r="AF29" s="234">
        <f t="shared" si="21"/>
        <v>0.372907949790795</v>
      </c>
      <c r="AG29" s="93">
        <v>65.25</v>
      </c>
      <c r="AH29" s="93"/>
      <c r="AI29" s="93"/>
      <c r="AJ29" s="93"/>
      <c r="AK29" s="93"/>
      <c r="AL29" s="122">
        <f t="shared" si="22"/>
        <v>0</v>
      </c>
      <c r="AM29" s="93">
        <v>0</v>
      </c>
      <c r="AN29" s="94">
        <f t="shared" si="23"/>
        <v>17.13</v>
      </c>
      <c r="AO29" s="95">
        <f t="shared" si="25"/>
        <v>105.98000000000002</v>
      </c>
      <c r="AP29" s="96"/>
      <c r="AQ29" s="97">
        <f t="shared" si="6"/>
        <v>478</v>
      </c>
      <c r="AR29" s="98">
        <f t="shared" si="35"/>
        <v>111.39</v>
      </c>
      <c r="AS29" s="98">
        <f t="shared" si="8"/>
        <v>178.25</v>
      </c>
      <c r="AT29" s="98">
        <f t="shared" si="9"/>
        <v>65.25</v>
      </c>
      <c r="AU29" s="98">
        <f t="shared" si="24"/>
        <v>0</v>
      </c>
      <c r="AV29" s="98">
        <f t="array" ref="AV29">_xlfn.IFS(U29=0,AO29,U29&lt;0,AO29/-U29,U29&gt;0,AO29/U29)</f>
        <v>105.98000000000002</v>
      </c>
      <c r="AW29" s="234">
        <f>IF(AQ29=0,0,AV29/AQ29)</f>
        <v>0.22171548117154816</v>
      </c>
      <c r="AX29" s="234">
        <f>IF(AR29=0,0,AV29/AR29)</f>
        <v>0.95143190591615057</v>
      </c>
      <c r="AY29" s="99"/>
      <c r="AZ29" s="94">
        <f t="shared" si="12"/>
        <v>67933.180000000008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2</v>
      </c>
      <c r="F30" s="93">
        <v>1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222.78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3"/>
        <v>0.14285714285714285</v>
      </c>
      <c r="R30" s="92">
        <f t="shared" si="14"/>
        <v>0</v>
      </c>
      <c r="S30" s="93">
        <v>0</v>
      </c>
      <c r="T30" s="93">
        <v>0</v>
      </c>
      <c r="U30" s="92">
        <f t="shared" si="15"/>
        <v>0</v>
      </c>
      <c r="V30" s="93">
        <v>0</v>
      </c>
      <c r="W30" s="93">
        <v>0</v>
      </c>
      <c r="X30" s="92">
        <f t="shared" si="16"/>
        <v>0</v>
      </c>
      <c r="Y30" s="93">
        <v>0</v>
      </c>
      <c r="Z30" s="93">
        <v>0</v>
      </c>
      <c r="AA30" s="92">
        <f t="shared" si="17"/>
        <v>0</v>
      </c>
      <c r="AB30" s="92">
        <f t="shared" si="18"/>
        <v>0</v>
      </c>
      <c r="AC30" s="234">
        <f t="shared" si="19"/>
        <v>0</v>
      </c>
      <c r="AD30" s="92">
        <f t="shared" si="20"/>
        <v>0</v>
      </c>
      <c r="AE30" s="93">
        <v>0</v>
      </c>
      <c r="AF30" s="234">
        <f t="shared" si="21"/>
        <v>0</v>
      </c>
      <c r="AG30" s="93">
        <v>93.5</v>
      </c>
      <c r="AH30" s="93"/>
      <c r="AI30" s="93">
        <v>49</v>
      </c>
      <c r="AJ30" s="93">
        <v>44</v>
      </c>
      <c r="AK30" s="93"/>
      <c r="AL30" s="122">
        <f t="shared" si="22"/>
        <v>0</v>
      </c>
      <c r="AM30" s="93">
        <v>0</v>
      </c>
      <c r="AN30" s="94">
        <f t="shared" si="23"/>
        <v>0</v>
      </c>
      <c r="AO30" s="95">
        <f t="shared" si="25"/>
        <v>-142.5</v>
      </c>
      <c r="AP30" s="96"/>
      <c r="AQ30" s="97">
        <f t="shared" si="6"/>
        <v>0</v>
      </c>
      <c r="AR30" s="98">
        <f t="shared" si="35"/>
        <v>111.39</v>
      </c>
      <c r="AS30" s="98">
        <f t="shared" si="8"/>
        <v>0</v>
      </c>
      <c r="AT30" s="98">
        <f t="shared" si="9"/>
        <v>93.5</v>
      </c>
      <c r="AU30" s="98">
        <f t="shared" si="24"/>
        <v>0</v>
      </c>
      <c r="AV30" s="98">
        <f t="array" ref="AV30">_xlfn.IFS(U30=0,AO30,U30&lt;0,AO30/-U30,U30&gt;0,AO30/U30)</f>
        <v>-142.5</v>
      </c>
      <c r="AW30" s="234">
        <f>IF(AQ30=0,0,AV30/AQ30)</f>
        <v>0</v>
      </c>
      <c r="AX30" s="234">
        <f>IF(AR30=0,0,AV30/AR30)</f>
        <v>-1.2792889846485322</v>
      </c>
      <c r="AY30" s="99"/>
      <c r="AZ30" s="94">
        <f t="shared" si="12"/>
        <v>-285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2</v>
      </c>
      <c r="F31" s="93">
        <v>1</v>
      </c>
      <c r="G31" s="93">
        <v>1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211.08</v>
      </c>
      <c r="M31" s="89">
        <v>999</v>
      </c>
      <c r="N31" s="89">
        <v>2</v>
      </c>
      <c r="O31" s="89">
        <v>499</v>
      </c>
      <c r="P31" s="89">
        <v>0</v>
      </c>
      <c r="Q31" s="233">
        <f t="shared" si="13"/>
        <v>0.2857142857142857</v>
      </c>
      <c r="R31" s="92">
        <f t="shared" si="14"/>
        <v>0</v>
      </c>
      <c r="S31" s="93">
        <v>1</v>
      </c>
      <c r="T31" s="93">
        <v>-1</v>
      </c>
      <c r="U31" s="92">
        <f t="shared" si="15"/>
        <v>0</v>
      </c>
      <c r="V31" s="93">
        <v>342</v>
      </c>
      <c r="W31" s="93">
        <v>-342</v>
      </c>
      <c r="X31" s="92">
        <f t="shared" si="16"/>
        <v>0</v>
      </c>
      <c r="Y31" s="93">
        <v>499</v>
      </c>
      <c r="Z31" s="93">
        <v>-499</v>
      </c>
      <c r="AA31" s="92">
        <f t="shared" si="17"/>
        <v>0</v>
      </c>
      <c r="AB31" s="92">
        <f t="shared" si="18"/>
        <v>0</v>
      </c>
      <c r="AC31" s="234">
        <f t="shared" si="19"/>
        <v>0</v>
      </c>
      <c r="AD31" s="92">
        <f t="shared" si="20"/>
        <v>0</v>
      </c>
      <c r="AE31" s="93">
        <v>0</v>
      </c>
      <c r="AF31" s="234">
        <f t="shared" si="21"/>
        <v>0</v>
      </c>
      <c r="AG31" s="93">
        <v>293.55</v>
      </c>
      <c r="AH31" s="93"/>
      <c r="AI31" s="93">
        <v>30</v>
      </c>
      <c r="AJ31" s="93"/>
      <c r="AK31" s="93"/>
      <c r="AL31" s="122">
        <f t="shared" si="22"/>
        <v>0</v>
      </c>
      <c r="AM31" s="93">
        <v>0</v>
      </c>
      <c r="AN31" s="94">
        <f t="shared" si="23"/>
        <v>0</v>
      </c>
      <c r="AO31" s="95">
        <f>AA31-AD31-AE31-AG31-AH31-AI31-AK31-AL31-AN31-AM31</f>
        <v>-323.55</v>
      </c>
      <c r="AP31" s="96"/>
      <c r="AQ31" s="97">
        <f t="shared" si="6"/>
        <v>0</v>
      </c>
      <c r="AR31" s="98">
        <f t="shared" si="35"/>
        <v>105.54</v>
      </c>
      <c r="AS31" s="98">
        <f t="shared" si="8"/>
        <v>0</v>
      </c>
      <c r="AT31" s="98">
        <f t="shared" si="9"/>
        <v>293.55</v>
      </c>
      <c r="AU31" s="98">
        <f t="shared" si="24"/>
        <v>30</v>
      </c>
      <c r="AV31" s="98">
        <f t="array" ref="AV31">_xlfn.IFS(U31=0,AO31,U31&lt;0,AO31/-U31,U31&gt;0,AO31/U31)</f>
        <v>-323.55</v>
      </c>
      <c r="AW31" s="234">
        <f>IF(AQ31=0,0,AV31/AQ31)</f>
        <v>0</v>
      </c>
      <c r="AX31" s="234">
        <f>IF(AR31=0,0,AV31/AR31)</f>
        <v>-3.0656623081296188</v>
      </c>
      <c r="AY31" s="99"/>
      <c r="AZ31" s="94">
        <f t="shared" si="12"/>
        <v>-647.1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7</v>
      </c>
      <c r="N32" s="89">
        <v>0</v>
      </c>
      <c r="O32" s="89">
        <v>0</v>
      </c>
      <c r="P32" s="89">
        <v>0</v>
      </c>
      <c r="Q32" s="233">
        <f t="shared" si="13"/>
        <v>0</v>
      </c>
      <c r="R32" s="92">
        <f t="shared" si="14"/>
        <v>0.14285714285714285</v>
      </c>
      <c r="S32" s="93">
        <v>1</v>
      </c>
      <c r="T32" s="93">
        <v>0</v>
      </c>
      <c r="U32" s="92">
        <f t="shared" si="15"/>
        <v>1</v>
      </c>
      <c r="V32" s="93">
        <v>349</v>
      </c>
      <c r="W32" s="93">
        <v>0</v>
      </c>
      <c r="X32" s="92">
        <f t="shared" si="16"/>
        <v>349</v>
      </c>
      <c r="Y32" s="93">
        <v>539</v>
      </c>
      <c r="Z32" s="93">
        <v>0</v>
      </c>
      <c r="AA32" s="92">
        <f t="shared" si="17"/>
        <v>539</v>
      </c>
      <c r="AB32" s="92">
        <f t="shared" si="18"/>
        <v>0</v>
      </c>
      <c r="AC32" s="234">
        <f t="shared" si="19"/>
        <v>2.8652758968313556E-4</v>
      </c>
      <c r="AD32" s="92">
        <f t="shared" si="20"/>
        <v>140.63999999999999</v>
      </c>
      <c r="AE32" s="93">
        <v>201.32999999999998</v>
      </c>
      <c r="AF32" s="234">
        <f t="shared" si="21"/>
        <v>0.3735250463821892</v>
      </c>
      <c r="AG32" s="93">
        <v>58</v>
      </c>
      <c r="AH32" s="93"/>
      <c r="AI32" s="93"/>
      <c r="AJ32" s="93"/>
      <c r="AK32" s="93"/>
      <c r="AL32" s="122">
        <f t="shared" si="22"/>
        <v>0</v>
      </c>
      <c r="AM32" s="93">
        <v>0</v>
      </c>
      <c r="AN32" s="94">
        <f t="shared" si="23"/>
        <v>19.927900000000001</v>
      </c>
      <c r="AO32" s="95">
        <f t="shared" si="25"/>
        <v>119.10210000000004</v>
      </c>
      <c r="AP32" s="96"/>
      <c r="AQ32" s="97">
        <f t="shared" si="6"/>
        <v>539</v>
      </c>
      <c r="AR32" s="98">
        <f t="shared" si="35"/>
        <v>140.63999999999999</v>
      </c>
      <c r="AS32" s="98">
        <f t="shared" si="8"/>
        <v>201.32999999999998</v>
      </c>
      <c r="AT32" s="98">
        <f t="shared" si="9"/>
        <v>58</v>
      </c>
      <c r="AU32" s="98">
        <f t="shared" si="24"/>
        <v>0</v>
      </c>
      <c r="AV32" s="98">
        <f t="array" ref="AV32">_xlfn.IFS(U32=0,AO32,U32&lt;0,AO32/-U32,U32&gt;0,AO32/U32)</f>
        <v>119.10210000000004</v>
      </c>
      <c r="AW32" s="234">
        <f t="shared" ref="AW32" si="39">IF(AQ32=0,0,AV32/AQ32)</f>
        <v>0.22096864564007429</v>
      </c>
      <c r="AX32" s="234">
        <f t="shared" ref="AX32" si="40">IF(AR32=0,0,AV32/AR32)</f>
        <v>0.84685793515358398</v>
      </c>
      <c r="AY32" s="99"/>
      <c r="AZ32" s="94">
        <f t="shared" si="12"/>
        <v>10004.576400000004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170</v>
      </c>
      <c r="F33" s="93">
        <v>6</v>
      </c>
      <c r="G33" s="93" t="s">
        <v>100</v>
      </c>
      <c r="H33" s="93">
        <v>144</v>
      </c>
      <c r="I33" s="93">
        <v>20</v>
      </c>
      <c r="J33" s="93">
        <v>0</v>
      </c>
      <c r="K33" s="93">
        <v>123.09</v>
      </c>
      <c r="L33" s="92">
        <f>E33*K33</f>
        <v>20925.3</v>
      </c>
      <c r="M33" s="89">
        <v>328</v>
      </c>
      <c r="N33" s="89">
        <v>7</v>
      </c>
      <c r="O33" s="89">
        <v>417</v>
      </c>
      <c r="P33" s="89">
        <v>100</v>
      </c>
      <c r="Q33" s="233">
        <f t="shared" si="13"/>
        <v>1</v>
      </c>
      <c r="R33" s="92">
        <f t="shared" si="14"/>
        <v>0.7142857142857143</v>
      </c>
      <c r="S33" s="93">
        <v>6</v>
      </c>
      <c r="T33" s="93">
        <v>-1</v>
      </c>
      <c r="U33" s="92">
        <f t="shared" si="15"/>
        <v>5</v>
      </c>
      <c r="V33" s="93">
        <v>1524.06</v>
      </c>
      <c r="W33" s="93">
        <v>-227</v>
      </c>
      <c r="X33" s="92">
        <f t="shared" si="16"/>
        <v>1297.06</v>
      </c>
      <c r="Y33" s="93">
        <v>2502.54</v>
      </c>
      <c r="Z33" s="93">
        <v>-417</v>
      </c>
      <c r="AA33" s="92">
        <f t="shared" si="17"/>
        <v>2085.54</v>
      </c>
      <c r="AB33" s="92">
        <f t="shared" si="18"/>
        <v>2919</v>
      </c>
      <c r="AC33" s="234">
        <f t="shared" si="19"/>
        <v>1.1086544515542978E-3</v>
      </c>
      <c r="AD33" s="92">
        <f t="shared" si="20"/>
        <v>615.45000000000005</v>
      </c>
      <c r="AE33" s="93">
        <v>775.50999999999988</v>
      </c>
      <c r="AF33" s="234">
        <f t="shared" si="21"/>
        <v>0.37185093548912984</v>
      </c>
      <c r="AG33" s="93">
        <v>504.09000000000003</v>
      </c>
      <c r="AH33" s="93"/>
      <c r="AI33" s="93">
        <v>750</v>
      </c>
      <c r="AJ33" s="93"/>
      <c r="AK33" s="93"/>
      <c r="AL33" s="122">
        <f t="shared" si="22"/>
        <v>102.14994505015262</v>
      </c>
      <c r="AM33" s="93">
        <v>0</v>
      </c>
      <c r="AN33" s="94">
        <f t="shared" si="23"/>
        <v>74.062125999999992</v>
      </c>
      <c r="AO33" s="95">
        <f t="shared" si="25"/>
        <v>-735.72207105015264</v>
      </c>
      <c r="AP33" s="96"/>
      <c r="AQ33" s="97">
        <f t="shared" si="6"/>
        <v>417.108</v>
      </c>
      <c r="AR33" s="98">
        <f t="shared" si="35"/>
        <v>123.09</v>
      </c>
      <c r="AS33" s="98">
        <f t="shared" si="8"/>
        <v>155.10199999999998</v>
      </c>
      <c r="AT33" s="98">
        <f t="shared" si="9"/>
        <v>84.015000000000001</v>
      </c>
      <c r="AU33" s="98">
        <f t="shared" si="24"/>
        <v>125</v>
      </c>
      <c r="AV33" s="98">
        <f t="array" ref="AV33">_xlfn.IFS(U33=0,AO33,U33&lt;0,AO33/-U33,U33&gt;0,AO33/U33)</f>
        <v>-147.14441421003053</v>
      </c>
      <c r="AW33" s="234">
        <f>IF(AQ33=0,0,AV33/AQ33)</f>
        <v>-0.35277293700919315</v>
      </c>
      <c r="AX33" s="234">
        <f>IF(AR33=0,0,AV33/AR33)</f>
        <v>-1.1954213519378547</v>
      </c>
      <c r="AY33" s="99"/>
      <c r="AZ33" s="94">
        <f t="shared" si="12"/>
        <v>-25014.550415705191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10</v>
      </c>
      <c r="F34" s="93">
        <v>7</v>
      </c>
      <c r="G34" s="93">
        <v>1</v>
      </c>
      <c r="H34" s="93">
        <v>1</v>
      </c>
      <c r="I34" s="93">
        <v>1</v>
      </c>
      <c r="J34" s="93">
        <v>0</v>
      </c>
      <c r="K34" s="93">
        <v>117.24</v>
      </c>
      <c r="L34" s="92">
        <f>E34*K34</f>
        <v>1172.3999999999999</v>
      </c>
      <c r="M34" s="89">
        <v>21</v>
      </c>
      <c r="N34" s="89">
        <v>13</v>
      </c>
      <c r="O34" s="89">
        <v>439</v>
      </c>
      <c r="P34" s="89">
        <v>57</v>
      </c>
      <c r="Q34" s="233">
        <f t="shared" si="13"/>
        <v>1.8571428571428572</v>
      </c>
      <c r="R34" s="92">
        <f t="shared" si="14"/>
        <v>1.2857142857142858</v>
      </c>
      <c r="S34" s="93">
        <v>9</v>
      </c>
      <c r="T34" s="93">
        <v>0</v>
      </c>
      <c r="U34" s="92">
        <f t="shared" si="15"/>
        <v>9</v>
      </c>
      <c r="V34" s="93">
        <v>2373.27</v>
      </c>
      <c r="W34" s="93">
        <v>0</v>
      </c>
      <c r="X34" s="92">
        <f t="shared" si="16"/>
        <v>2373.27</v>
      </c>
      <c r="Y34" s="93">
        <v>3950.95</v>
      </c>
      <c r="Z34" s="93">
        <v>0</v>
      </c>
      <c r="AA34" s="92">
        <f t="shared" si="17"/>
        <v>3950.95</v>
      </c>
      <c r="AB34" s="92">
        <f t="shared" si="18"/>
        <v>3252.99</v>
      </c>
      <c r="AC34" s="234">
        <f t="shared" si="19"/>
        <v>2.1002897596634216E-3</v>
      </c>
      <c r="AD34" s="92">
        <f t="shared" si="20"/>
        <v>1055.1599999999999</v>
      </c>
      <c r="AE34" s="93">
        <v>1466.5899999999997</v>
      </c>
      <c r="AF34" s="234">
        <f t="shared" si="21"/>
        <v>0.3711993318062744</v>
      </c>
      <c r="AG34" s="93">
        <v>876.44999999999993</v>
      </c>
      <c r="AH34" s="93"/>
      <c r="AI34" s="93"/>
      <c r="AJ34" s="93"/>
      <c r="AK34" s="93"/>
      <c r="AL34" s="122">
        <f t="shared" si="22"/>
        <v>0.70937461840383775</v>
      </c>
      <c r="AM34" s="93">
        <v>0</v>
      </c>
      <c r="AN34" s="94">
        <f t="shared" si="23"/>
        <v>135.51371699999999</v>
      </c>
      <c r="AO34" s="95">
        <f t="shared" si="25"/>
        <v>416.52690838159657</v>
      </c>
      <c r="AP34" s="96"/>
      <c r="AQ34" s="97">
        <f t="shared" si="6"/>
        <v>438.99444444444441</v>
      </c>
      <c r="AR34" s="98">
        <f t="shared" si="35"/>
        <v>117.24</v>
      </c>
      <c r="AS34" s="98">
        <f t="shared" si="8"/>
        <v>162.95444444444442</v>
      </c>
      <c r="AT34" s="98">
        <f t="shared" si="9"/>
        <v>97.383333333333326</v>
      </c>
      <c r="AU34" s="98">
        <f t="shared" si="24"/>
        <v>0</v>
      </c>
      <c r="AV34" s="98">
        <f t="array" ref="AV34">_xlfn.IFS(U34=0,AO34,U34&lt;0,AO34/-U34,U34&gt;0,AO34/U34)</f>
        <v>46.280767597955176</v>
      </c>
      <c r="AW34" s="234">
        <f>IF(AQ34=0,0,AV34/AQ34)</f>
        <v>0.10542449496490632</v>
      </c>
      <c r="AX34" s="234">
        <f>IF(AR34=0,0,AV34/AR34)</f>
        <v>0.3947523677751209</v>
      </c>
      <c r="AY34" s="99"/>
      <c r="AZ34" s="94">
        <f t="shared" si="12"/>
        <v>462.80767597955173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3"/>
        <v>0</v>
      </c>
      <c r="R35" s="92">
        <f t="shared" si="14"/>
        <v>0</v>
      </c>
      <c r="S35" s="93">
        <v>0</v>
      </c>
      <c r="T35" s="93">
        <v>0</v>
      </c>
      <c r="U35" s="92">
        <f t="shared" si="15"/>
        <v>0</v>
      </c>
      <c r="V35" s="93">
        <v>0</v>
      </c>
      <c r="W35" s="93">
        <v>0</v>
      </c>
      <c r="X35" s="92">
        <f t="shared" si="16"/>
        <v>0</v>
      </c>
      <c r="Y35" s="93">
        <v>0</v>
      </c>
      <c r="Z35" s="93">
        <v>0</v>
      </c>
      <c r="AA35" s="92">
        <f t="shared" si="17"/>
        <v>0</v>
      </c>
      <c r="AB35" s="92">
        <f t="shared" si="18"/>
        <v>0</v>
      </c>
      <c r="AC35" s="234">
        <f t="shared" si="19"/>
        <v>0</v>
      </c>
      <c r="AD35" s="92">
        <f t="shared" si="20"/>
        <v>0</v>
      </c>
      <c r="AE35" s="93">
        <v>0</v>
      </c>
      <c r="AF35" s="234">
        <f t="shared" si="21"/>
        <v>0</v>
      </c>
      <c r="AG35" s="93">
        <v>0</v>
      </c>
      <c r="AH35" s="93"/>
      <c r="AI35" s="93"/>
      <c r="AJ35" s="93"/>
      <c r="AK35" s="93"/>
      <c r="AL35" s="122">
        <f t="shared" si="22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6"/>
        <v>0</v>
      </c>
      <c r="AR35" s="98">
        <f t="shared" si="35"/>
        <v>128.94</v>
      </c>
      <c r="AS35" s="98">
        <f t="shared" si="8"/>
        <v>0</v>
      </c>
      <c r="AT35" s="98">
        <f t="shared" si="9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3"/>
        <v>0</v>
      </c>
      <c r="R36" s="92">
        <f t="shared" si="14"/>
        <v>0</v>
      </c>
      <c r="S36" s="93">
        <v>0</v>
      </c>
      <c r="T36" s="93">
        <v>0</v>
      </c>
      <c r="U36" s="92">
        <f t="shared" si="15"/>
        <v>0</v>
      </c>
      <c r="V36" s="93">
        <v>0</v>
      </c>
      <c r="W36" s="93">
        <v>0</v>
      </c>
      <c r="X36" s="92">
        <f t="shared" si="16"/>
        <v>0</v>
      </c>
      <c r="Y36" s="93">
        <v>0</v>
      </c>
      <c r="Z36" s="93">
        <v>0</v>
      </c>
      <c r="AA36" s="92">
        <f t="shared" si="17"/>
        <v>0</v>
      </c>
      <c r="AB36" s="92">
        <f t="shared" si="18"/>
        <v>0</v>
      </c>
      <c r="AC36" s="234">
        <f t="shared" si="19"/>
        <v>0</v>
      </c>
      <c r="AD36" s="92">
        <f t="shared" si="20"/>
        <v>0</v>
      </c>
      <c r="AE36" s="93">
        <v>0</v>
      </c>
      <c r="AF36" s="234">
        <f t="shared" si="21"/>
        <v>0</v>
      </c>
      <c r="AG36" s="93">
        <v>0</v>
      </c>
      <c r="AH36" s="93"/>
      <c r="AI36" s="93"/>
      <c r="AJ36" s="93"/>
      <c r="AK36" s="93"/>
      <c r="AL36" s="122">
        <f t="shared" si="22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6"/>
        <v>0</v>
      </c>
      <c r="AR36" s="98">
        <f t="shared" si="35"/>
        <v>169.89</v>
      </c>
      <c r="AS36" s="98">
        <f t="shared" si="8"/>
        <v>0</v>
      </c>
      <c r="AT36" s="98">
        <f t="shared" si="9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13</v>
      </c>
      <c r="F37" s="93">
        <v>3</v>
      </c>
      <c r="G37" s="93" t="s">
        <v>100</v>
      </c>
      <c r="H37" s="93">
        <v>9</v>
      </c>
      <c r="I37" s="93">
        <v>0</v>
      </c>
      <c r="J37" s="93">
        <v>1</v>
      </c>
      <c r="K37" s="93">
        <v>169.89</v>
      </c>
      <c r="L37" s="92">
        <f t="shared" si="42"/>
        <v>2208.5699999999997</v>
      </c>
      <c r="M37" s="89">
        <v>60</v>
      </c>
      <c r="N37" s="89">
        <v>2</v>
      </c>
      <c r="O37" s="89">
        <v>998</v>
      </c>
      <c r="P37" s="89">
        <v>0</v>
      </c>
      <c r="Q37" s="233">
        <f t="shared" si="13"/>
        <v>0.2857142857142857</v>
      </c>
      <c r="R37" s="92">
        <f t="shared" si="14"/>
        <v>0.14285714285714285</v>
      </c>
      <c r="S37" s="93">
        <v>1</v>
      </c>
      <c r="T37" s="93">
        <v>0</v>
      </c>
      <c r="U37" s="92">
        <f t="shared" si="15"/>
        <v>1</v>
      </c>
      <c r="V37" s="93">
        <v>641</v>
      </c>
      <c r="W37" s="93">
        <v>0</v>
      </c>
      <c r="X37" s="92">
        <f t="shared" si="16"/>
        <v>641</v>
      </c>
      <c r="Y37" s="93">
        <v>998</v>
      </c>
      <c r="Z37" s="93">
        <v>0</v>
      </c>
      <c r="AA37" s="92">
        <f t="shared" si="17"/>
        <v>998</v>
      </c>
      <c r="AB37" s="92">
        <f t="shared" si="18"/>
        <v>0</v>
      </c>
      <c r="AC37" s="234">
        <f t="shared" si="19"/>
        <v>5.3052789332795787E-4</v>
      </c>
      <c r="AD37" s="92">
        <f t="shared" si="20"/>
        <v>169.89</v>
      </c>
      <c r="AE37" s="93">
        <v>372.63</v>
      </c>
      <c r="AF37" s="234">
        <f t="shared" si="21"/>
        <v>0.37337675350701405</v>
      </c>
      <c r="AG37" s="93">
        <v>331.25</v>
      </c>
      <c r="AH37" s="93"/>
      <c r="AI37" s="93"/>
      <c r="AJ37" s="93"/>
      <c r="AK37" s="93"/>
      <c r="AL37" s="122">
        <f t="shared" si="22"/>
        <v>6.384371565634539</v>
      </c>
      <c r="AM37" s="93">
        <v>0</v>
      </c>
      <c r="AN37" s="94">
        <f t="shared" si="23"/>
        <v>36.601099999999995</v>
      </c>
      <c r="AO37" s="95">
        <f t="shared" si="25"/>
        <v>81.244528434365492</v>
      </c>
      <c r="AP37" s="96"/>
      <c r="AQ37" s="97">
        <f t="shared" si="6"/>
        <v>998</v>
      </c>
      <c r="AR37" s="98">
        <f t="shared" si="35"/>
        <v>169.89</v>
      </c>
      <c r="AS37" s="98">
        <f t="shared" si="8"/>
        <v>372.63</v>
      </c>
      <c r="AT37" s="98">
        <f t="shared" si="9"/>
        <v>331.25</v>
      </c>
      <c r="AU37" s="98">
        <f t="shared" si="24"/>
        <v>0</v>
      </c>
      <c r="AV37" s="98">
        <f t="array" ref="AV37">_xlfn.IFS(U37=0,AO37,U37&lt;0,AO37/-U37,U37&gt;0,AO37/U37)</f>
        <v>81.244528434365492</v>
      </c>
      <c r="AW37" s="234">
        <f t="shared" si="43"/>
        <v>8.1407343120606712E-2</v>
      </c>
      <c r="AX37" s="234">
        <f t="shared" si="44"/>
        <v>0.47821842624265992</v>
      </c>
      <c r="AY37" s="99"/>
      <c r="AZ37" s="94">
        <f t="shared" si="12"/>
        <v>1056.1788696467513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1</v>
      </c>
      <c r="G38" s="93" t="s">
        <v>100</v>
      </c>
      <c r="H38" s="93">
        <v>46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3"/>
        <v>0</v>
      </c>
      <c r="R38" s="92">
        <f t="shared" si="14"/>
        <v>0</v>
      </c>
      <c r="S38" s="93">
        <v>0</v>
      </c>
      <c r="T38" s="93">
        <v>0</v>
      </c>
      <c r="U38" s="92">
        <f t="shared" si="15"/>
        <v>0</v>
      </c>
      <c r="V38" s="93">
        <v>0</v>
      </c>
      <c r="W38" s="93">
        <v>0</v>
      </c>
      <c r="X38" s="92">
        <f t="shared" si="16"/>
        <v>0</v>
      </c>
      <c r="Y38" s="93">
        <v>0</v>
      </c>
      <c r="Z38" s="93">
        <v>0</v>
      </c>
      <c r="AA38" s="92">
        <f t="shared" si="17"/>
        <v>0</v>
      </c>
      <c r="AB38" s="92">
        <f t="shared" si="18"/>
        <v>0</v>
      </c>
      <c r="AC38" s="234">
        <f t="shared" si="19"/>
        <v>0</v>
      </c>
      <c r="AD38" s="92">
        <f t="shared" si="20"/>
        <v>0</v>
      </c>
      <c r="AE38" s="93">
        <v>0</v>
      </c>
      <c r="AF38" s="234">
        <f t="shared" si="21"/>
        <v>0</v>
      </c>
      <c r="AG38" s="93">
        <v>108</v>
      </c>
      <c r="AH38" s="93"/>
      <c r="AI38" s="93"/>
      <c r="AJ38" s="93"/>
      <c r="AK38" s="93"/>
      <c r="AL38" s="122">
        <f t="shared" si="22"/>
        <v>32.631232446576533</v>
      </c>
      <c r="AM38" s="93">
        <v>0</v>
      </c>
      <c r="AN38" s="94">
        <f t="shared" si="23"/>
        <v>0</v>
      </c>
      <c r="AO38" s="95">
        <f t="shared" si="25"/>
        <v>-140.63123244657652</v>
      </c>
      <c r="AP38" s="96"/>
      <c r="AQ38" s="97">
        <f t="shared" si="6"/>
        <v>0</v>
      </c>
      <c r="AR38" s="98">
        <f t="shared" si="35"/>
        <v>105.54</v>
      </c>
      <c r="AS38" s="98">
        <f t="shared" si="8"/>
        <v>0</v>
      </c>
      <c r="AT38" s="98">
        <f t="shared" si="9"/>
        <v>108</v>
      </c>
      <c r="AU38" s="98">
        <f t="shared" si="24"/>
        <v>0</v>
      </c>
      <c r="AV38" s="98">
        <f t="array" ref="AV38">_xlfn.IFS(U38=0,AO38,U38&lt;0,AO38/-U38,U38&gt;0,AO38/U38)</f>
        <v>-140.63123244657652</v>
      </c>
      <c r="AW38" s="234">
        <f t="shared" si="43"/>
        <v>0</v>
      </c>
      <c r="AX38" s="234">
        <f t="shared" si="44"/>
        <v>-1.3324922536154682</v>
      </c>
      <c r="AY38" s="99"/>
      <c r="AZ38" s="94">
        <f t="shared" si="12"/>
        <v>-6750.2991574356729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42</v>
      </c>
      <c r="F39" s="93">
        <v>7</v>
      </c>
      <c r="G39" s="93">
        <v>2</v>
      </c>
      <c r="H39" s="93">
        <v>32</v>
      </c>
      <c r="I39" s="93">
        <v>0</v>
      </c>
      <c r="J39" s="93">
        <v>1</v>
      </c>
      <c r="K39" s="92">
        <v>105.54</v>
      </c>
      <c r="L39" s="92">
        <f t="shared" si="42"/>
        <v>4432.68</v>
      </c>
      <c r="M39" s="89">
        <v>80</v>
      </c>
      <c r="N39" s="89">
        <v>12</v>
      </c>
      <c r="O39" s="89">
        <v>1077</v>
      </c>
      <c r="P39" s="89">
        <v>50</v>
      </c>
      <c r="Q39" s="233">
        <f t="shared" si="13"/>
        <v>1.7142857142857142</v>
      </c>
      <c r="R39" s="92">
        <f t="shared" si="14"/>
        <v>0.8571428571428571</v>
      </c>
      <c r="S39" s="93">
        <v>6</v>
      </c>
      <c r="T39" s="93">
        <v>0</v>
      </c>
      <c r="U39" s="92">
        <f t="shared" si="15"/>
        <v>6</v>
      </c>
      <c r="V39" s="93">
        <v>3915</v>
      </c>
      <c r="W39" s="93">
        <v>0</v>
      </c>
      <c r="X39" s="92">
        <f t="shared" si="16"/>
        <v>3915</v>
      </c>
      <c r="Y39" s="93">
        <v>6429.6900000000005</v>
      </c>
      <c r="Z39" s="93">
        <v>0</v>
      </c>
      <c r="AA39" s="92">
        <f t="shared" si="17"/>
        <v>6429.6900000000005</v>
      </c>
      <c r="AB39" s="92">
        <f t="shared" si="18"/>
        <v>6462</v>
      </c>
      <c r="AC39" s="234">
        <f t="shared" si="19"/>
        <v>3.4179658220960295E-3</v>
      </c>
      <c r="AD39" s="92">
        <f t="shared" si="20"/>
        <v>633.24</v>
      </c>
      <c r="AE39" s="93">
        <v>2398.4100000000003</v>
      </c>
      <c r="AF39" s="234">
        <f t="shared" si="21"/>
        <v>0.37302109432958669</v>
      </c>
      <c r="AG39" s="93">
        <v>726.04000000000008</v>
      </c>
      <c r="AH39" s="93">
        <v>1155</v>
      </c>
      <c r="AI39" s="93">
        <v>2000</v>
      </c>
      <c r="AJ39" s="93"/>
      <c r="AK39" s="93"/>
      <c r="AL39" s="122">
        <f t="shared" si="22"/>
        <v>22.699987788922808</v>
      </c>
      <c r="AM39" s="93">
        <v>0</v>
      </c>
      <c r="AN39" s="94">
        <f t="shared" si="23"/>
        <v>223.54649999999998</v>
      </c>
      <c r="AO39" s="95">
        <f t="shared" si="25"/>
        <v>-729.24648778892231</v>
      </c>
      <c r="AP39" s="96"/>
      <c r="AQ39" s="97">
        <f t="shared" si="6"/>
        <v>1071.615</v>
      </c>
      <c r="AR39" s="98">
        <f t="shared" si="35"/>
        <v>105.54</v>
      </c>
      <c r="AS39" s="98">
        <f t="shared" si="8"/>
        <v>399.73500000000007</v>
      </c>
      <c r="AT39" s="98">
        <f t="shared" si="9"/>
        <v>121.00666666666667</v>
      </c>
      <c r="AU39" s="98">
        <f t="shared" si="24"/>
        <v>525.83333333333337</v>
      </c>
      <c r="AV39" s="98">
        <f t="array" ref="AV39">_xlfn.IFS(U39=0,AO39,U39&lt;0,AO39/-U39,U39&gt;0,AO39/U39)</f>
        <v>-121.54108129815371</v>
      </c>
      <c r="AW39" s="234">
        <f t="shared" si="43"/>
        <v>-0.11341860770720241</v>
      </c>
      <c r="AX39" s="234">
        <f t="shared" si="44"/>
        <v>-1.1516115339980453</v>
      </c>
      <c r="AY39" s="99"/>
      <c r="AZ39" s="94">
        <f t="shared" si="12"/>
        <v>-5104.725414522456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4</v>
      </c>
      <c r="G40" s="93">
        <v>1</v>
      </c>
      <c r="H40" s="93">
        <v>41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265</v>
      </c>
      <c r="N40" s="89">
        <v>3</v>
      </c>
      <c r="O40" s="89">
        <v>1197</v>
      </c>
      <c r="P40" s="89">
        <v>0</v>
      </c>
      <c r="Q40" s="233">
        <f t="shared" si="13"/>
        <v>0.42857142857142855</v>
      </c>
      <c r="R40" s="92">
        <f t="shared" si="14"/>
        <v>0</v>
      </c>
      <c r="S40" s="93">
        <v>0</v>
      </c>
      <c r="T40" s="93">
        <v>0</v>
      </c>
      <c r="U40" s="92">
        <f t="shared" si="15"/>
        <v>0</v>
      </c>
      <c r="V40" s="93">
        <v>0</v>
      </c>
      <c r="W40" s="93">
        <v>0</v>
      </c>
      <c r="X40" s="92">
        <f t="shared" si="16"/>
        <v>0</v>
      </c>
      <c r="Y40" s="93">
        <v>0</v>
      </c>
      <c r="Z40" s="93">
        <v>0</v>
      </c>
      <c r="AA40" s="92">
        <f t="shared" si="17"/>
        <v>0</v>
      </c>
      <c r="AB40" s="92">
        <f t="shared" si="18"/>
        <v>0</v>
      </c>
      <c r="AC40" s="234">
        <f t="shared" si="19"/>
        <v>0</v>
      </c>
      <c r="AD40" s="92">
        <f t="shared" si="20"/>
        <v>0</v>
      </c>
      <c r="AE40" s="93">
        <v>0</v>
      </c>
      <c r="AF40" s="234">
        <f t="shared" si="21"/>
        <v>0</v>
      </c>
      <c r="AG40" s="93">
        <v>313.44</v>
      </c>
      <c r="AH40" s="93"/>
      <c r="AI40" s="93"/>
      <c r="AJ40" s="93"/>
      <c r="AK40" s="93"/>
      <c r="AL40" s="122">
        <f t="shared" si="22"/>
        <v>29.084359354557346</v>
      </c>
      <c r="AM40" s="93">
        <v>0</v>
      </c>
      <c r="AN40" s="94">
        <f t="shared" si="23"/>
        <v>0</v>
      </c>
      <c r="AO40" s="95">
        <f t="shared" si="25"/>
        <v>-342.52435935455736</v>
      </c>
      <c r="AP40" s="96"/>
      <c r="AQ40" s="97">
        <f t="shared" si="6"/>
        <v>0</v>
      </c>
      <c r="AR40" s="98">
        <f t="shared" si="35"/>
        <v>105.54</v>
      </c>
      <c r="AS40" s="98">
        <f t="shared" si="8"/>
        <v>0</v>
      </c>
      <c r="AT40" s="98">
        <f t="shared" si="9"/>
        <v>313.44</v>
      </c>
      <c r="AU40" s="98">
        <f t="shared" si="24"/>
        <v>0</v>
      </c>
      <c r="AV40" s="98">
        <f t="array" ref="AV40">_xlfn.IFS(U40=0,AO40,U40&lt;0,AO40/-U40,U40&gt;0,AO40/U40)</f>
        <v>-342.52435935455736</v>
      </c>
      <c r="AW40" s="234">
        <f t="shared" si="43"/>
        <v>0</v>
      </c>
      <c r="AX40" s="234">
        <f t="shared" si="44"/>
        <v>-3.2454458911745059</v>
      </c>
      <c r="AY40" s="99"/>
      <c r="AZ40" s="94">
        <f t="shared" si="12"/>
        <v>-16098.644889664196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47</v>
      </c>
      <c r="F41" s="93" t="s">
        <v>100</v>
      </c>
      <c r="G41" s="93" t="s">
        <v>100</v>
      </c>
      <c r="H41" s="93">
        <v>46</v>
      </c>
      <c r="I41" s="93">
        <v>0</v>
      </c>
      <c r="J41" s="93">
        <v>1</v>
      </c>
      <c r="K41" s="92">
        <v>123.09</v>
      </c>
      <c r="L41" s="92">
        <f t="shared" si="42"/>
        <v>5785.2300000000005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3"/>
        <v>0</v>
      </c>
      <c r="R41" s="92">
        <f t="shared" si="14"/>
        <v>0</v>
      </c>
      <c r="S41" s="93">
        <v>0</v>
      </c>
      <c r="T41" s="93">
        <v>0</v>
      </c>
      <c r="U41" s="92">
        <f t="shared" si="15"/>
        <v>0</v>
      </c>
      <c r="V41" s="93">
        <v>0</v>
      </c>
      <c r="W41" s="93">
        <v>0</v>
      </c>
      <c r="X41" s="92">
        <f t="shared" si="16"/>
        <v>0</v>
      </c>
      <c r="Y41" s="93">
        <v>0</v>
      </c>
      <c r="Z41" s="93">
        <v>0</v>
      </c>
      <c r="AA41" s="92">
        <f t="shared" si="17"/>
        <v>0</v>
      </c>
      <c r="AB41" s="92">
        <f t="shared" si="18"/>
        <v>0</v>
      </c>
      <c r="AC41" s="234">
        <f t="shared" si="19"/>
        <v>0</v>
      </c>
      <c r="AD41" s="92">
        <f t="shared" si="20"/>
        <v>0</v>
      </c>
      <c r="AE41" s="93">
        <v>0</v>
      </c>
      <c r="AF41" s="234">
        <f t="shared" si="21"/>
        <v>0</v>
      </c>
      <c r="AG41" s="93">
        <v>108</v>
      </c>
      <c r="AH41" s="93"/>
      <c r="AI41" s="93"/>
      <c r="AJ41" s="93"/>
      <c r="AK41" s="93"/>
      <c r="AL41" s="122">
        <f t="shared" si="22"/>
        <v>32.631232446576533</v>
      </c>
      <c r="AM41" s="93">
        <v>0</v>
      </c>
      <c r="AN41" s="94">
        <f t="shared" si="23"/>
        <v>0</v>
      </c>
      <c r="AO41" s="95">
        <f t="shared" si="25"/>
        <v>-140.63123244657652</v>
      </c>
      <c r="AP41" s="96"/>
      <c r="AQ41" s="97">
        <f t="shared" si="6"/>
        <v>0</v>
      </c>
      <c r="AR41" s="98">
        <f t="shared" si="35"/>
        <v>123.09</v>
      </c>
      <c r="AS41" s="98">
        <f t="shared" si="8"/>
        <v>0</v>
      </c>
      <c r="AT41" s="98">
        <f t="shared" si="9"/>
        <v>108</v>
      </c>
      <c r="AU41" s="98">
        <f t="shared" si="24"/>
        <v>0</v>
      </c>
      <c r="AV41" s="98">
        <f t="array" ref="AV41">_xlfn.IFS(U41=0,AO41,U41&lt;0,AO41/-U41,U41&gt;0,AO41/U41)</f>
        <v>-140.63123244657652</v>
      </c>
      <c r="AW41" s="234">
        <f t="shared" si="43"/>
        <v>0</v>
      </c>
      <c r="AX41" s="234">
        <f t="shared" si="44"/>
        <v>-1.1425073722201358</v>
      </c>
      <c r="AY41" s="99"/>
      <c r="AZ41" s="94">
        <f t="shared" si="12"/>
        <v>-6609.6679249890967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1</v>
      </c>
      <c r="G42" s="93" t="s">
        <v>100</v>
      </c>
      <c r="H42" s="93">
        <v>45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467</v>
      </c>
      <c r="N42" s="89">
        <v>1</v>
      </c>
      <c r="O42" s="89">
        <v>1176</v>
      </c>
      <c r="P42" s="89">
        <v>100</v>
      </c>
      <c r="Q42" s="233">
        <f t="shared" si="13"/>
        <v>0.14285714285714285</v>
      </c>
      <c r="R42" s="92">
        <f t="shared" si="14"/>
        <v>0.2857142857142857</v>
      </c>
      <c r="S42" s="93">
        <v>2</v>
      </c>
      <c r="T42" s="93">
        <v>0</v>
      </c>
      <c r="U42" s="92">
        <f t="shared" si="15"/>
        <v>2</v>
      </c>
      <c r="V42" s="93">
        <v>1454</v>
      </c>
      <c r="W42" s="93">
        <v>0</v>
      </c>
      <c r="X42" s="92">
        <f t="shared" si="16"/>
        <v>1454</v>
      </c>
      <c r="Y42" s="93">
        <v>2352</v>
      </c>
      <c r="Z42" s="93">
        <v>0</v>
      </c>
      <c r="AA42" s="92">
        <f t="shared" si="17"/>
        <v>2352</v>
      </c>
      <c r="AB42" s="92">
        <f t="shared" si="18"/>
        <v>1176</v>
      </c>
      <c r="AC42" s="234">
        <f t="shared" si="19"/>
        <v>1.2503022095264097E-3</v>
      </c>
      <c r="AD42" s="92">
        <f t="shared" si="20"/>
        <v>246.18</v>
      </c>
      <c r="AE42" s="93">
        <v>876.33999999999992</v>
      </c>
      <c r="AF42" s="234">
        <f t="shared" si="21"/>
        <v>0.37259353741496593</v>
      </c>
      <c r="AG42" s="93">
        <v>195.4</v>
      </c>
      <c r="AH42" s="93"/>
      <c r="AI42" s="93"/>
      <c r="AJ42" s="93"/>
      <c r="AK42" s="93"/>
      <c r="AL42" s="122">
        <f t="shared" si="22"/>
        <v>31.921857828172698</v>
      </c>
      <c r="AM42" s="93">
        <v>0</v>
      </c>
      <c r="AN42" s="94">
        <f t="shared" si="23"/>
        <v>83.023399999999995</v>
      </c>
      <c r="AO42" s="95">
        <f t="shared" si="25"/>
        <v>919.13474217182738</v>
      </c>
      <c r="AP42" s="96"/>
      <c r="AQ42" s="97">
        <f t="shared" si="6"/>
        <v>1176</v>
      </c>
      <c r="AR42" s="98">
        <f t="shared" si="35"/>
        <v>123.09</v>
      </c>
      <c r="AS42" s="98">
        <f t="shared" si="8"/>
        <v>438.16999999999996</v>
      </c>
      <c r="AT42" s="98">
        <f t="shared" si="9"/>
        <v>97.7</v>
      </c>
      <c r="AU42" s="98">
        <f t="shared" si="24"/>
        <v>0</v>
      </c>
      <c r="AV42" s="98">
        <f t="array" ref="AV42">_xlfn.IFS(U42=0,AO42,U42&lt;0,AO42/-U42,U42&gt;0,AO42/U42)</f>
        <v>459.56737108591369</v>
      </c>
      <c r="AW42" s="234">
        <f t="shared" si="43"/>
        <v>0.39078858085536877</v>
      </c>
      <c r="AX42" s="234">
        <f t="shared" si="44"/>
        <v>3.7335881963271889</v>
      </c>
      <c r="AY42" s="99"/>
      <c r="AZ42" s="94">
        <f t="shared" si="12"/>
        <v>21599.666441037945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47</v>
      </c>
      <c r="F43" s="93">
        <v>4</v>
      </c>
      <c r="G43" s="93">
        <v>2</v>
      </c>
      <c r="H43" s="93">
        <v>40</v>
      </c>
      <c r="I43" s="93">
        <v>0</v>
      </c>
      <c r="J43" s="93">
        <v>1</v>
      </c>
      <c r="K43" s="92">
        <v>123.09</v>
      </c>
      <c r="L43" s="92">
        <f t="shared" si="42"/>
        <v>5785.2300000000005</v>
      </c>
      <c r="M43" s="89">
        <v>156</v>
      </c>
      <c r="N43" s="89">
        <v>6</v>
      </c>
      <c r="O43" s="89">
        <v>1102</v>
      </c>
      <c r="P43" s="89">
        <v>67</v>
      </c>
      <c r="Q43" s="233">
        <f t="shared" si="13"/>
        <v>0.8571428571428571</v>
      </c>
      <c r="R43" s="92">
        <f t="shared" si="14"/>
        <v>0.2857142857142857</v>
      </c>
      <c r="S43" s="93">
        <v>2</v>
      </c>
      <c r="T43" s="93">
        <v>0</v>
      </c>
      <c r="U43" s="92">
        <f t="shared" si="15"/>
        <v>2</v>
      </c>
      <c r="V43" s="93">
        <v>1315</v>
      </c>
      <c r="W43" s="93">
        <v>0</v>
      </c>
      <c r="X43" s="92">
        <f t="shared" si="16"/>
        <v>1315</v>
      </c>
      <c r="Y43" s="93">
        <v>2148.94</v>
      </c>
      <c r="Z43" s="93">
        <v>0</v>
      </c>
      <c r="AA43" s="92">
        <f t="shared" si="17"/>
        <v>2148.94</v>
      </c>
      <c r="AB43" s="92">
        <f t="shared" si="18"/>
        <v>4430.04</v>
      </c>
      <c r="AC43" s="234">
        <f t="shared" si="19"/>
        <v>1.142357325739661E-3</v>
      </c>
      <c r="AD43" s="92">
        <f t="shared" si="20"/>
        <v>246.18</v>
      </c>
      <c r="AE43" s="93">
        <v>805.09999999999991</v>
      </c>
      <c r="AF43" s="234">
        <f t="shared" si="21"/>
        <v>0.37464982735674329</v>
      </c>
      <c r="AG43" s="93">
        <v>538.14</v>
      </c>
      <c r="AH43" s="93"/>
      <c r="AI43" s="93">
        <v>2000</v>
      </c>
      <c r="AJ43" s="93"/>
      <c r="AK43" s="93"/>
      <c r="AL43" s="122">
        <f t="shared" si="22"/>
        <v>28.374984736153507</v>
      </c>
      <c r="AM43" s="93">
        <v>0</v>
      </c>
      <c r="AN43" s="94">
        <f t="shared" si="23"/>
        <v>75.086500000000001</v>
      </c>
      <c r="AO43" s="95">
        <f t="shared" si="25"/>
        <v>-1543.9414847361536</v>
      </c>
      <c r="AP43" s="96"/>
      <c r="AQ43" s="97">
        <f t="shared" si="6"/>
        <v>1074.47</v>
      </c>
      <c r="AR43" s="98">
        <f t="shared" si="35"/>
        <v>123.09</v>
      </c>
      <c r="AS43" s="98">
        <f t="shared" si="8"/>
        <v>402.54999999999995</v>
      </c>
      <c r="AT43" s="98">
        <f t="shared" si="9"/>
        <v>269.07</v>
      </c>
      <c r="AU43" s="98">
        <f t="shared" si="24"/>
        <v>1000</v>
      </c>
      <c r="AV43" s="98">
        <f t="array" ref="AV43">_xlfn.IFS(U43=0,AO43,U43&lt;0,AO43/-U43,U43&gt;0,AO43/U43)</f>
        <v>-771.9707423680768</v>
      </c>
      <c r="AW43" s="234">
        <f t="shared" si="43"/>
        <v>-0.71846653919427883</v>
      </c>
      <c r="AX43" s="234">
        <f t="shared" si="44"/>
        <v>-6.271595924673627</v>
      </c>
      <c r="AY43" s="99"/>
      <c r="AZ43" s="94">
        <f t="shared" si="12"/>
        <v>-36282.624891299609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1768</v>
      </c>
      <c r="F44" s="93">
        <v>10</v>
      </c>
      <c r="G44" s="93">
        <v>3</v>
      </c>
      <c r="H44" s="93">
        <v>194</v>
      </c>
      <c r="I44" s="93">
        <v>0</v>
      </c>
      <c r="J44" s="93">
        <v>1561</v>
      </c>
      <c r="K44" s="92">
        <v>111.39</v>
      </c>
      <c r="L44" s="92">
        <f t="shared" si="42"/>
        <v>196937.52</v>
      </c>
      <c r="M44" s="89">
        <v>237</v>
      </c>
      <c r="N44" s="89">
        <v>19</v>
      </c>
      <c r="O44" s="89">
        <v>995</v>
      </c>
      <c r="P44" s="89">
        <v>80</v>
      </c>
      <c r="Q44" s="233">
        <f t="shared" si="13"/>
        <v>2.7142857142857144</v>
      </c>
      <c r="R44" s="92">
        <f t="shared" si="14"/>
        <v>1.5714285714285714</v>
      </c>
      <c r="S44" s="93">
        <v>11</v>
      </c>
      <c r="T44" s="93">
        <v>0</v>
      </c>
      <c r="U44" s="92">
        <f t="shared" si="15"/>
        <v>11</v>
      </c>
      <c r="V44" s="93">
        <v>7379.84</v>
      </c>
      <c r="W44" s="93">
        <v>0</v>
      </c>
      <c r="X44" s="92">
        <f t="shared" si="16"/>
        <v>7379.84</v>
      </c>
      <c r="Y44" s="93">
        <v>11212.49</v>
      </c>
      <c r="Z44" s="93">
        <v>0</v>
      </c>
      <c r="AA44" s="92">
        <f t="shared" si="17"/>
        <v>11212.49</v>
      </c>
      <c r="AB44" s="92">
        <f t="shared" si="18"/>
        <v>15124</v>
      </c>
      <c r="AC44" s="234">
        <f t="shared" si="19"/>
        <v>5.9604596178965867E-3</v>
      </c>
      <c r="AD44" s="92">
        <f t="shared" si="20"/>
        <v>1225.29</v>
      </c>
      <c r="AE44" s="93">
        <v>4189.2399999999989</v>
      </c>
      <c r="AF44" s="234">
        <f t="shared" si="21"/>
        <v>0.37362262976377225</v>
      </c>
      <c r="AG44" s="93">
        <v>1173.73</v>
      </c>
      <c r="AH44" s="93">
        <v>1518</v>
      </c>
      <c r="AI44" s="93">
        <v>2000</v>
      </c>
      <c r="AJ44" s="93"/>
      <c r="AK44" s="93"/>
      <c r="AL44" s="122">
        <f t="shared" si="22"/>
        <v>137.61867597034453</v>
      </c>
      <c r="AM44" s="93">
        <v>0</v>
      </c>
      <c r="AN44" s="94">
        <f t="shared" si="23"/>
        <v>421.38886400000001</v>
      </c>
      <c r="AO44" s="95">
        <f t="shared" si="25"/>
        <v>547.22246002965687</v>
      </c>
      <c r="AP44" s="96"/>
      <c r="AQ44" s="97">
        <f t="shared" si="6"/>
        <v>1019.3172727272727</v>
      </c>
      <c r="AR44" s="98">
        <f t="shared" si="35"/>
        <v>111.39</v>
      </c>
      <c r="AS44" s="98">
        <f t="shared" si="8"/>
        <v>380.83999999999992</v>
      </c>
      <c r="AT44" s="98">
        <f t="shared" si="9"/>
        <v>106.70272727272727</v>
      </c>
      <c r="AU44" s="98">
        <f t="shared" si="24"/>
        <v>319.81818181818181</v>
      </c>
      <c r="AV44" s="98">
        <f t="array" ref="AV44">_xlfn.IFS(U44=0,AO44,U44&lt;0,AO44/-U44,U44&gt;0,AO44/U44)</f>
        <v>49.747496366332442</v>
      </c>
      <c r="AW44" s="234">
        <f t="shared" si="43"/>
        <v>4.8804722236510972E-2</v>
      </c>
      <c r="AX44" s="234">
        <f t="shared" si="44"/>
        <v>0.44660648501959277</v>
      </c>
      <c r="AY44" s="99"/>
      <c r="AZ44" s="94">
        <f t="shared" si="12"/>
        <v>87953.573575675764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440</v>
      </c>
      <c r="F45" s="93">
        <v>70</v>
      </c>
      <c r="G45" s="93">
        <v>12</v>
      </c>
      <c r="H45" s="93">
        <v>173</v>
      </c>
      <c r="I45" s="93">
        <v>0</v>
      </c>
      <c r="J45" s="93">
        <v>185</v>
      </c>
      <c r="K45" s="92">
        <v>107.88</v>
      </c>
      <c r="L45" s="92">
        <f t="shared" si="42"/>
        <v>47467.199999999997</v>
      </c>
      <c r="M45" s="89">
        <v>68</v>
      </c>
      <c r="N45" s="89">
        <v>104</v>
      </c>
      <c r="O45" s="89">
        <v>1086</v>
      </c>
      <c r="P45" s="89">
        <v>73</v>
      </c>
      <c r="Q45" s="233">
        <f t="shared" si="13"/>
        <v>14.857142857142858</v>
      </c>
      <c r="R45" s="92">
        <f t="shared" si="14"/>
        <v>4.7142857142857144</v>
      </c>
      <c r="S45" s="93">
        <v>34</v>
      </c>
      <c r="T45" s="93">
        <v>-1</v>
      </c>
      <c r="U45" s="92">
        <f t="shared" si="15"/>
        <v>33</v>
      </c>
      <c r="V45" s="93">
        <v>23353.079999999998</v>
      </c>
      <c r="W45" s="93">
        <v>-674</v>
      </c>
      <c r="X45" s="92">
        <f t="shared" si="16"/>
        <v>22679.079999999998</v>
      </c>
      <c r="Y45" s="93">
        <v>36566.879999999997</v>
      </c>
      <c r="Z45" s="93">
        <v>-1049</v>
      </c>
      <c r="AA45" s="92">
        <f t="shared" si="17"/>
        <v>35517.879999999997</v>
      </c>
      <c r="AB45" s="92">
        <f t="shared" si="18"/>
        <v>82449.119999999995</v>
      </c>
      <c r="AC45" s="234">
        <f t="shared" si="19"/>
        <v>1.8880988027931069E-2</v>
      </c>
      <c r="AD45" s="92">
        <f t="shared" si="20"/>
        <v>3560.04</v>
      </c>
      <c r="AE45" s="93">
        <v>13159.899999999996</v>
      </c>
      <c r="AF45" s="234">
        <f t="shared" si="21"/>
        <v>0.37051479423884526</v>
      </c>
      <c r="AG45" s="93">
        <v>3694.72</v>
      </c>
      <c r="AH45" s="93">
        <v>22575</v>
      </c>
      <c r="AI45" s="93">
        <v>2000</v>
      </c>
      <c r="AJ45" s="93"/>
      <c r="AK45" s="93"/>
      <c r="AL45" s="122">
        <f t="shared" si="22"/>
        <v>122.72180898386394</v>
      </c>
      <c r="AM45" s="93">
        <v>0</v>
      </c>
      <c r="AN45" s="94">
        <f t="shared" si="23"/>
        <v>1294.9754679999999</v>
      </c>
      <c r="AO45" s="95">
        <f t="shared" si="25"/>
        <v>-10889.477276983862</v>
      </c>
      <c r="AP45" s="96"/>
      <c r="AQ45" s="97">
        <f t="shared" si="6"/>
        <v>1076.2993939393939</v>
      </c>
      <c r="AR45" s="98">
        <f t="shared" si="35"/>
        <v>107.88</v>
      </c>
      <c r="AS45" s="98">
        <f t="shared" si="8"/>
        <v>398.78484848484834</v>
      </c>
      <c r="AT45" s="98">
        <f t="shared" si="9"/>
        <v>108.66823529411764</v>
      </c>
      <c r="AU45" s="98">
        <f t="shared" si="24"/>
        <v>722.79411764705878</v>
      </c>
      <c r="AV45" s="98">
        <f t="array" ref="AV45">_xlfn.IFS(U45=0,AO45,U45&lt;0,AO45/-U45,U45&gt;0,AO45/U45)</f>
        <v>-329.9841599086019</v>
      </c>
      <c r="AW45" s="234">
        <f t="shared" si="43"/>
        <v>-0.30659142034895842</v>
      </c>
      <c r="AX45" s="234">
        <f t="shared" si="44"/>
        <v>-3.0588075631127354</v>
      </c>
      <c r="AY45" s="99"/>
      <c r="AZ45" s="94">
        <f t="shared" si="12"/>
        <v>-145193.03035978484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3"/>
        <v>0</v>
      </c>
      <c r="R46" s="92">
        <f t="shared" si="14"/>
        <v>0</v>
      </c>
      <c r="S46" s="93">
        <v>0</v>
      </c>
      <c r="T46" s="93">
        <v>0</v>
      </c>
      <c r="U46" s="92">
        <f t="shared" si="15"/>
        <v>0</v>
      </c>
      <c r="V46" s="93">
        <v>0</v>
      </c>
      <c r="W46" s="93">
        <v>0</v>
      </c>
      <c r="X46" s="92">
        <f t="shared" si="16"/>
        <v>0</v>
      </c>
      <c r="Y46" s="93">
        <v>0</v>
      </c>
      <c r="Z46" s="93">
        <v>0</v>
      </c>
      <c r="AA46" s="92">
        <f t="shared" si="17"/>
        <v>0</v>
      </c>
      <c r="AB46" s="92">
        <f t="shared" si="18"/>
        <v>0</v>
      </c>
      <c r="AC46" s="234">
        <f t="shared" si="19"/>
        <v>0</v>
      </c>
      <c r="AD46" s="92">
        <f t="shared" si="20"/>
        <v>0</v>
      </c>
      <c r="AE46" s="93">
        <v>0</v>
      </c>
      <c r="AF46" s="234">
        <f t="shared" si="21"/>
        <v>0</v>
      </c>
      <c r="AG46" s="93">
        <v>0</v>
      </c>
      <c r="AH46" s="93"/>
      <c r="AI46" s="93"/>
      <c r="AJ46" s="93"/>
      <c r="AK46" s="93"/>
      <c r="AL46" s="122">
        <f t="shared" si="22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6"/>
        <v>0</v>
      </c>
      <c r="AR46" s="98">
        <f t="shared" si="35"/>
        <v>107.88</v>
      </c>
      <c r="AS46" s="98">
        <f t="shared" si="8"/>
        <v>0</v>
      </c>
      <c r="AT46" s="98">
        <f t="shared" si="9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374</v>
      </c>
      <c r="F47" s="93">
        <v>14</v>
      </c>
      <c r="G47" s="93" t="s">
        <v>100</v>
      </c>
      <c r="H47" s="93">
        <v>140</v>
      </c>
      <c r="I47" s="93">
        <v>0</v>
      </c>
      <c r="J47" s="93">
        <v>220</v>
      </c>
      <c r="K47" s="92">
        <v>123.09</v>
      </c>
      <c r="L47" s="92">
        <f t="shared" si="42"/>
        <v>46035.66</v>
      </c>
      <c r="M47" s="89">
        <v>186</v>
      </c>
      <c r="N47" s="89">
        <v>20</v>
      </c>
      <c r="O47" s="89">
        <v>1027</v>
      </c>
      <c r="P47" s="89">
        <v>75</v>
      </c>
      <c r="Q47" s="233">
        <f t="shared" si="13"/>
        <v>2.8571428571428572</v>
      </c>
      <c r="R47" s="92">
        <f t="shared" si="14"/>
        <v>0.8571428571428571</v>
      </c>
      <c r="S47" s="93">
        <v>6</v>
      </c>
      <c r="T47" s="93">
        <v>0</v>
      </c>
      <c r="U47" s="92">
        <f t="shared" si="15"/>
        <v>6</v>
      </c>
      <c r="V47" s="93">
        <v>3774</v>
      </c>
      <c r="W47" s="93">
        <v>0</v>
      </c>
      <c r="X47" s="92">
        <f t="shared" si="16"/>
        <v>3774</v>
      </c>
      <c r="Y47" s="93">
        <v>6142</v>
      </c>
      <c r="Z47" s="93">
        <v>0</v>
      </c>
      <c r="AA47" s="92">
        <f t="shared" si="17"/>
        <v>6142</v>
      </c>
      <c r="AB47" s="92">
        <f t="shared" si="18"/>
        <v>15405</v>
      </c>
      <c r="AC47" s="234">
        <f t="shared" si="19"/>
        <v>3.2650323855914999E-3</v>
      </c>
      <c r="AD47" s="92">
        <f t="shared" si="20"/>
        <v>738.54</v>
      </c>
      <c r="AE47" s="93">
        <v>2297.0300000000002</v>
      </c>
      <c r="AF47" s="234">
        <f t="shared" si="21"/>
        <v>0.37398730055356566</v>
      </c>
      <c r="AG47" s="93">
        <v>524.68000000000006</v>
      </c>
      <c r="AH47" s="93">
        <v>575</v>
      </c>
      <c r="AI47" s="93">
        <v>1000</v>
      </c>
      <c r="AJ47" s="93"/>
      <c r="AK47" s="93"/>
      <c r="AL47" s="122">
        <f t="shared" si="22"/>
        <v>99.312446576537283</v>
      </c>
      <c r="AM47" s="93">
        <v>0</v>
      </c>
      <c r="AN47" s="94">
        <f t="shared" si="23"/>
        <v>215.49539999999999</v>
      </c>
      <c r="AO47" s="95">
        <f t="shared" si="25"/>
        <v>691.94215342346274</v>
      </c>
      <c r="AP47" s="96"/>
      <c r="AQ47" s="97">
        <f t="shared" si="6"/>
        <v>1023.6666666666666</v>
      </c>
      <c r="AR47" s="98">
        <f t="shared" si="35"/>
        <v>123.09</v>
      </c>
      <c r="AS47" s="98">
        <f t="shared" si="8"/>
        <v>382.83833333333337</v>
      </c>
      <c r="AT47" s="98">
        <f t="shared" si="9"/>
        <v>87.446666666666673</v>
      </c>
      <c r="AU47" s="98">
        <f t="shared" si="24"/>
        <v>262.5</v>
      </c>
      <c r="AV47" s="98">
        <f t="array" ref="AV47">_xlfn.IFS(U47=0,AO47,U47&lt;0,AO47/-U47,U47&gt;0,AO47/U47)</f>
        <v>115.32369223724379</v>
      </c>
      <c r="AW47" s="234">
        <f t="shared" si="43"/>
        <v>0.11265746555250127</v>
      </c>
      <c r="AX47" s="234">
        <f t="shared" si="44"/>
        <v>0.93690545322320085</v>
      </c>
      <c r="AY47" s="99"/>
      <c r="AZ47" s="94">
        <f t="shared" si="12"/>
        <v>43131.060896729177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377</v>
      </c>
      <c r="F48" s="93">
        <v>29</v>
      </c>
      <c r="G48" s="93">
        <v>10</v>
      </c>
      <c r="H48" s="93">
        <v>327</v>
      </c>
      <c r="I48" s="93">
        <v>0</v>
      </c>
      <c r="J48" s="93">
        <v>11</v>
      </c>
      <c r="K48" s="92">
        <v>107.88</v>
      </c>
      <c r="L48" s="92">
        <f t="shared" si="42"/>
        <v>40670.759999999995</v>
      </c>
      <c r="M48" s="89">
        <v>132</v>
      </c>
      <c r="N48" s="89">
        <v>52</v>
      </c>
      <c r="O48" s="89">
        <v>1169</v>
      </c>
      <c r="P48" s="89">
        <v>58</v>
      </c>
      <c r="Q48" s="233">
        <f t="shared" si="13"/>
        <v>7.4285714285714288</v>
      </c>
      <c r="R48" s="92">
        <f t="shared" si="14"/>
        <v>3.5714285714285716</v>
      </c>
      <c r="S48" s="93">
        <v>27</v>
      </c>
      <c r="T48" s="93">
        <v>-2</v>
      </c>
      <c r="U48" s="92">
        <f t="shared" si="15"/>
        <v>25</v>
      </c>
      <c r="V48" s="93">
        <v>19713.379999999997</v>
      </c>
      <c r="W48" s="93">
        <v>-1424</v>
      </c>
      <c r="X48" s="92">
        <f t="shared" si="16"/>
        <v>18289.379999999997</v>
      </c>
      <c r="Y48" s="93">
        <v>31191.73</v>
      </c>
      <c r="Z48" s="93">
        <v>-2306</v>
      </c>
      <c r="AA48" s="92">
        <f t="shared" si="17"/>
        <v>28885.73</v>
      </c>
      <c r="AB48" s="92">
        <f t="shared" si="18"/>
        <v>35257.040000000001</v>
      </c>
      <c r="AC48" s="234">
        <f t="shared" si="19"/>
        <v>1.5355396276693578E-2</v>
      </c>
      <c r="AD48" s="92">
        <f t="shared" si="20"/>
        <v>2697</v>
      </c>
      <c r="AE48" s="93">
        <v>10779.459999999995</v>
      </c>
      <c r="AF48" s="234">
        <f t="shared" si="21"/>
        <v>0.37317595920200031</v>
      </c>
      <c r="AG48" s="93">
        <v>3458.92</v>
      </c>
      <c r="AH48" s="93">
        <v>1718</v>
      </c>
      <c r="AI48" s="93">
        <v>4000</v>
      </c>
      <c r="AJ48" s="93"/>
      <c r="AK48" s="93"/>
      <c r="AL48" s="122">
        <f t="shared" si="22"/>
        <v>231.96550021805496</v>
      </c>
      <c r="AM48" s="93">
        <v>0</v>
      </c>
      <c r="AN48" s="94">
        <f t="shared" si="23"/>
        <v>1044.3235979999997</v>
      </c>
      <c r="AO48" s="95">
        <f t="shared" si="25"/>
        <v>4956.0609017819488</v>
      </c>
      <c r="AP48" s="96"/>
      <c r="AQ48" s="97">
        <f t="shared" si="6"/>
        <v>1155.4292</v>
      </c>
      <c r="AR48" s="98">
        <f t="shared" si="35"/>
        <v>107.88</v>
      </c>
      <c r="AS48" s="98">
        <f t="shared" si="8"/>
        <v>431.17839999999984</v>
      </c>
      <c r="AT48" s="98">
        <f t="shared" si="9"/>
        <v>128.10814814814816</v>
      </c>
      <c r="AU48" s="98">
        <f t="shared" si="24"/>
        <v>211.77777777777777</v>
      </c>
      <c r="AV48" s="98">
        <f t="array" ref="AV48">_xlfn.IFS(U48=0,AO48,U48&lt;0,AO48/-U48,U48&gt;0,AO48/U48)</f>
        <v>198.24243607127795</v>
      </c>
      <c r="AW48" s="234">
        <f t="shared" si="43"/>
        <v>0.17157471532767041</v>
      </c>
      <c r="AX48" s="234">
        <f t="shared" si="44"/>
        <v>1.837619911672951</v>
      </c>
      <c r="AY48" s="99"/>
      <c r="AZ48" s="94">
        <f t="shared" si="12"/>
        <v>74737.398398871781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160</v>
      </c>
      <c r="F49" s="93">
        <v>40</v>
      </c>
      <c r="G49" s="93">
        <v>17</v>
      </c>
      <c r="H49" s="93">
        <v>101</v>
      </c>
      <c r="I49" s="93">
        <v>0</v>
      </c>
      <c r="J49" s="93">
        <v>2</v>
      </c>
      <c r="K49" s="92">
        <v>123.09</v>
      </c>
      <c r="L49" s="92">
        <f t="shared" si="42"/>
        <v>19694.400000000001</v>
      </c>
      <c r="M49" s="89">
        <v>49</v>
      </c>
      <c r="N49" s="89">
        <v>63</v>
      </c>
      <c r="O49" s="89">
        <v>1346</v>
      </c>
      <c r="P49" s="89">
        <v>44</v>
      </c>
      <c r="Q49" s="233">
        <f t="shared" si="13"/>
        <v>9</v>
      </c>
      <c r="R49" s="92">
        <f t="shared" si="14"/>
        <v>3.8571428571428572</v>
      </c>
      <c r="S49" s="93">
        <v>28</v>
      </c>
      <c r="T49" s="93">
        <v>-1</v>
      </c>
      <c r="U49" s="92">
        <f t="shared" si="15"/>
        <v>27</v>
      </c>
      <c r="V49" s="93">
        <v>23426.43</v>
      </c>
      <c r="W49" s="93">
        <v>-808</v>
      </c>
      <c r="X49" s="92">
        <f t="shared" si="16"/>
        <v>22618.43</v>
      </c>
      <c r="Y49" s="93">
        <v>37354.909999999996</v>
      </c>
      <c r="Z49" s="93">
        <v>-1258</v>
      </c>
      <c r="AA49" s="92">
        <f t="shared" si="17"/>
        <v>36096.909999999996</v>
      </c>
      <c r="AB49" s="92">
        <f t="shared" si="18"/>
        <v>37311.120000000003</v>
      </c>
      <c r="AC49" s="234">
        <f t="shared" si="19"/>
        <v>1.9188795208365625E-2</v>
      </c>
      <c r="AD49" s="92">
        <f t="shared" si="20"/>
        <v>3323.4300000000003</v>
      </c>
      <c r="AE49" s="93">
        <v>13273.349999999989</v>
      </c>
      <c r="AF49" s="234">
        <f t="shared" si="21"/>
        <v>0.36771430019910267</v>
      </c>
      <c r="AG49" s="93">
        <v>4011.0900000000015</v>
      </c>
      <c r="AH49" s="93">
        <v>3885</v>
      </c>
      <c r="AI49" s="93">
        <v>4875</v>
      </c>
      <c r="AJ49" s="93"/>
      <c r="AK49" s="93"/>
      <c r="AL49" s="122">
        <f t="shared" si="22"/>
        <v>71.646836458787618</v>
      </c>
      <c r="AM49" s="93">
        <v>10</v>
      </c>
      <c r="AN49" s="94">
        <f t="shared" si="23"/>
        <v>1291.5123530000001</v>
      </c>
      <c r="AO49" s="95">
        <f t="shared" si="25"/>
        <v>5355.8808105412154</v>
      </c>
      <c r="AP49" s="96"/>
      <c r="AQ49" s="97">
        <f t="shared" si="6"/>
        <v>1336.9225925925925</v>
      </c>
      <c r="AR49" s="98">
        <f t="shared" si="35"/>
        <v>123.09</v>
      </c>
      <c r="AS49" s="98">
        <f t="shared" si="8"/>
        <v>491.60555555555516</v>
      </c>
      <c r="AT49" s="98">
        <f t="shared" si="9"/>
        <v>143.25321428571434</v>
      </c>
      <c r="AU49" s="98">
        <f t="shared" si="24"/>
        <v>312.85714285714283</v>
      </c>
      <c r="AV49" s="98">
        <f t="array" ref="AV49">_xlfn.IFS(U49=0,AO49,U49&lt;0,AO49/-U49,U49&gt;0,AO49/U49)</f>
        <v>198.36595594597094</v>
      </c>
      <c r="AW49" s="234">
        <f t="shared" si="43"/>
        <v>0.1483750495690965</v>
      </c>
      <c r="AX49" s="234">
        <f t="shared" si="44"/>
        <v>1.6115521646435205</v>
      </c>
      <c r="AY49" s="99"/>
      <c r="AZ49" s="94">
        <f t="shared" si="12"/>
        <v>31738.552951355348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215</v>
      </c>
      <c r="F50" s="93">
        <v>14</v>
      </c>
      <c r="G50" s="93">
        <v>9</v>
      </c>
      <c r="H50" s="93">
        <v>191</v>
      </c>
      <c r="I50" s="93">
        <v>0</v>
      </c>
      <c r="J50" s="93">
        <v>1</v>
      </c>
      <c r="K50" s="92">
        <v>134.79</v>
      </c>
      <c r="L50" s="92">
        <f t="shared" si="42"/>
        <v>28979.85</v>
      </c>
      <c r="M50" s="89">
        <v>133</v>
      </c>
      <c r="N50" s="89">
        <v>19</v>
      </c>
      <c r="O50" s="89">
        <v>1218</v>
      </c>
      <c r="P50" s="89">
        <v>56</v>
      </c>
      <c r="Q50" s="233">
        <f t="shared" si="13"/>
        <v>2.7142857142857144</v>
      </c>
      <c r="R50" s="92">
        <f t="shared" si="14"/>
        <v>1.5714285714285714</v>
      </c>
      <c r="S50" s="93">
        <v>13</v>
      </c>
      <c r="T50" s="93">
        <v>-2</v>
      </c>
      <c r="U50" s="92">
        <f t="shared" si="15"/>
        <v>11</v>
      </c>
      <c r="V50" s="93">
        <v>10349.439999999999</v>
      </c>
      <c r="W50" s="93">
        <v>-1493</v>
      </c>
      <c r="X50" s="92">
        <f t="shared" si="16"/>
        <v>8856.4399999999987</v>
      </c>
      <c r="Y50" s="93">
        <v>15670.449999999999</v>
      </c>
      <c r="Z50" s="93">
        <v>-2413</v>
      </c>
      <c r="AA50" s="92">
        <f t="shared" si="17"/>
        <v>13257.449999999999</v>
      </c>
      <c r="AB50" s="92">
        <f t="shared" si="18"/>
        <v>12959.52</v>
      </c>
      <c r="AC50" s="234">
        <f t="shared" si="19"/>
        <v>7.0475421036079499E-3</v>
      </c>
      <c r="AD50" s="92">
        <f t="shared" si="20"/>
        <v>1482.6899999999998</v>
      </c>
      <c r="AE50" s="93">
        <v>4915.7999999999993</v>
      </c>
      <c r="AF50" s="234">
        <f t="shared" si="21"/>
        <v>0.37079528868673839</v>
      </c>
      <c r="AG50" s="93">
        <v>1642.53</v>
      </c>
      <c r="AH50" s="93">
        <v>296</v>
      </c>
      <c r="AI50" s="93">
        <v>2467</v>
      </c>
      <c r="AJ50" s="93"/>
      <c r="AK50" s="93"/>
      <c r="AL50" s="122">
        <f t="shared" si="22"/>
        <v>135.490552115133</v>
      </c>
      <c r="AM50" s="93">
        <v>0</v>
      </c>
      <c r="AN50" s="94">
        <f t="shared" si="23"/>
        <v>505.70272399999993</v>
      </c>
      <c r="AO50" s="95">
        <f t="shared" si="25"/>
        <v>1812.2367238848663</v>
      </c>
      <c r="AP50" s="96"/>
      <c r="AQ50" s="97">
        <f t="shared" si="6"/>
        <v>1205.2227272727271</v>
      </c>
      <c r="AR50" s="98">
        <f t="shared" si="35"/>
        <v>134.79</v>
      </c>
      <c r="AS50" s="98">
        <f t="shared" si="8"/>
        <v>446.89090909090902</v>
      </c>
      <c r="AT50" s="98">
        <f t="shared" si="9"/>
        <v>126.34846153846154</v>
      </c>
      <c r="AU50" s="98">
        <f t="shared" si="24"/>
        <v>212.53846153846155</v>
      </c>
      <c r="AV50" s="98">
        <f t="array" ref="AV50">_xlfn.IFS(U50=0,AO50,U50&lt;0,AO50/-U50,U50&gt;0,AO50/U50)</f>
        <v>164.7487930804424</v>
      </c>
      <c r="AW50" s="234">
        <f t="shared" si="43"/>
        <v>0.13669572382961026</v>
      </c>
      <c r="AX50" s="234">
        <f t="shared" si="44"/>
        <v>1.2222627278020803</v>
      </c>
      <c r="AY50" s="99"/>
      <c r="AZ50" s="94">
        <f t="shared" si="12"/>
        <v>35420.990512295117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11</v>
      </c>
      <c r="F51" s="93">
        <v>5</v>
      </c>
      <c r="G51" s="93">
        <v>3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2"/>
        <v>1585.65</v>
      </c>
      <c r="M51" s="89">
        <v>8</v>
      </c>
      <c r="N51" s="89">
        <v>4</v>
      </c>
      <c r="O51" s="89">
        <v>1119</v>
      </c>
      <c r="P51" s="89">
        <v>0</v>
      </c>
      <c r="Q51" s="233">
        <f t="shared" si="13"/>
        <v>0.5714285714285714</v>
      </c>
      <c r="R51" s="92">
        <f t="shared" si="14"/>
        <v>0.2857142857142857</v>
      </c>
      <c r="S51" s="93">
        <v>3</v>
      </c>
      <c r="T51" s="93">
        <v>-1</v>
      </c>
      <c r="U51" s="92">
        <f t="shared" si="15"/>
        <v>2</v>
      </c>
      <c r="V51" s="93">
        <v>2035</v>
      </c>
      <c r="W51" s="93">
        <v>-872</v>
      </c>
      <c r="X51" s="92">
        <f t="shared" si="16"/>
        <v>1163</v>
      </c>
      <c r="Y51" s="93">
        <v>3357</v>
      </c>
      <c r="Z51" s="93">
        <v>-1199</v>
      </c>
      <c r="AA51" s="92">
        <f t="shared" si="17"/>
        <v>2158</v>
      </c>
      <c r="AB51" s="92">
        <f t="shared" si="18"/>
        <v>0</v>
      </c>
      <c r="AC51" s="234">
        <f t="shared" si="19"/>
        <v>1.1471735408834999E-3</v>
      </c>
      <c r="AD51" s="92">
        <f t="shared" si="20"/>
        <v>288.3</v>
      </c>
      <c r="AE51" s="93">
        <v>803.95</v>
      </c>
      <c r="AF51" s="234">
        <f t="shared" si="21"/>
        <v>0.37254402224281746</v>
      </c>
      <c r="AG51" s="93">
        <v>1552.4599999999998</v>
      </c>
      <c r="AH51" s="93">
        <v>774</v>
      </c>
      <c r="AI51" s="93">
        <v>503</v>
      </c>
      <c r="AJ51" s="93"/>
      <c r="AK51" s="93"/>
      <c r="AL51" s="122">
        <f t="shared" si="22"/>
        <v>1.4187492368076755</v>
      </c>
      <c r="AM51" s="93">
        <v>80</v>
      </c>
      <c r="AN51" s="94">
        <f t="shared" si="23"/>
        <v>66.407299999999992</v>
      </c>
      <c r="AO51" s="95">
        <f t="shared" si="25"/>
        <v>-1911.5360492368075</v>
      </c>
      <c r="AP51" s="96"/>
      <c r="AQ51" s="97">
        <f t="shared" si="6"/>
        <v>1079</v>
      </c>
      <c r="AR51" s="98">
        <f t="shared" si="35"/>
        <v>144.15</v>
      </c>
      <c r="AS51" s="98">
        <f t="shared" si="8"/>
        <v>401.97500000000002</v>
      </c>
      <c r="AT51" s="98">
        <f t="shared" si="9"/>
        <v>517.48666666666657</v>
      </c>
      <c r="AU51" s="98">
        <f t="shared" si="24"/>
        <v>425.66666666666669</v>
      </c>
      <c r="AV51" s="98">
        <f t="array" ref="AV51">_xlfn.IFS(U51=0,AO51,U51&lt;0,AO51/-U51,U51&gt;0,AO51/U51)</f>
        <v>-955.76802461840373</v>
      </c>
      <c r="AW51" s="234">
        <f t="shared" si="43"/>
        <v>-0.88579056961853919</v>
      </c>
      <c r="AX51" s="234">
        <f t="shared" si="44"/>
        <v>-6.6303713119556278</v>
      </c>
      <c r="AY51" s="99"/>
      <c r="AZ51" s="94">
        <f t="shared" si="12"/>
        <v>-10513.448270802441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3</v>
      </c>
      <c r="G52" s="93">
        <v>1</v>
      </c>
      <c r="H52" s="93">
        <v>46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295</v>
      </c>
      <c r="N52" s="89">
        <v>4</v>
      </c>
      <c r="O52" s="89">
        <v>1106</v>
      </c>
      <c r="P52" s="89">
        <v>0</v>
      </c>
      <c r="Q52" s="233">
        <f t="shared" si="13"/>
        <v>0.5714285714285714</v>
      </c>
      <c r="R52" s="92">
        <f t="shared" si="14"/>
        <v>0</v>
      </c>
      <c r="S52" s="93">
        <v>0</v>
      </c>
      <c r="T52" s="93">
        <v>0</v>
      </c>
      <c r="U52" s="92">
        <f t="shared" si="15"/>
        <v>0</v>
      </c>
      <c r="V52" s="93">
        <v>0</v>
      </c>
      <c r="W52" s="93">
        <v>0</v>
      </c>
      <c r="X52" s="92">
        <f t="shared" si="16"/>
        <v>0</v>
      </c>
      <c r="Y52" s="93">
        <v>0</v>
      </c>
      <c r="Z52" s="93">
        <v>0</v>
      </c>
      <c r="AA52" s="92">
        <f t="shared" si="17"/>
        <v>0</v>
      </c>
      <c r="AB52" s="92">
        <f t="shared" si="18"/>
        <v>0</v>
      </c>
      <c r="AC52" s="234">
        <f t="shared" si="19"/>
        <v>0</v>
      </c>
      <c r="AD52" s="92">
        <f t="shared" si="20"/>
        <v>0</v>
      </c>
      <c r="AE52" s="93">
        <v>0</v>
      </c>
      <c r="AF52" s="234">
        <f t="shared" si="21"/>
        <v>0</v>
      </c>
      <c r="AG52" s="93">
        <v>217.16</v>
      </c>
      <c r="AH52" s="93"/>
      <c r="AI52" s="93"/>
      <c r="AJ52" s="93"/>
      <c r="AK52" s="93"/>
      <c r="AL52" s="122">
        <f t="shared" si="22"/>
        <v>32.631232446576533</v>
      </c>
      <c r="AM52" s="93">
        <v>0</v>
      </c>
      <c r="AN52" s="94">
        <f t="shared" si="23"/>
        <v>0</v>
      </c>
      <c r="AO52" s="95">
        <f t="shared" si="25"/>
        <v>-249.79123244657654</v>
      </c>
      <c r="AP52" s="96"/>
      <c r="AQ52" s="97">
        <f t="shared" si="6"/>
        <v>0</v>
      </c>
      <c r="AR52" s="98">
        <f t="shared" si="35"/>
        <v>96.18</v>
      </c>
      <c r="AS52" s="98">
        <f t="shared" si="8"/>
        <v>0</v>
      </c>
      <c r="AT52" s="98">
        <f t="shared" si="9"/>
        <v>217.16</v>
      </c>
      <c r="AU52" s="98">
        <f t="shared" si="24"/>
        <v>0</v>
      </c>
      <c r="AV52" s="98">
        <f t="array" ref="AV52">_xlfn.IFS(U52=0,AO52,U52&lt;0,AO52/-U52,U52&gt;0,AO52/U52)</f>
        <v>-249.79123244657654</v>
      </c>
      <c r="AW52" s="234">
        <f t="shared" si="43"/>
        <v>0</v>
      </c>
      <c r="AX52" s="234">
        <f t="shared" si="44"/>
        <v>-2.5971224001515547</v>
      </c>
      <c r="AY52" s="99"/>
      <c r="AZ52" s="94">
        <f t="shared" si="12"/>
        <v>-12739.352854775403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49</v>
      </c>
      <c r="F53" s="93">
        <v>2</v>
      </c>
      <c r="G53" s="93" t="s">
        <v>100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2"/>
        <v>4712.8200000000006</v>
      </c>
      <c r="M53" s="89">
        <v>715</v>
      </c>
      <c r="N53" s="89">
        <v>1</v>
      </c>
      <c r="O53" s="89">
        <v>1106</v>
      </c>
      <c r="P53" s="89">
        <v>0</v>
      </c>
      <c r="Q53" s="233">
        <f t="shared" si="13"/>
        <v>0.14285714285714285</v>
      </c>
      <c r="R53" s="92">
        <f t="shared" si="14"/>
        <v>0.14285714285714285</v>
      </c>
      <c r="S53" s="93">
        <v>1</v>
      </c>
      <c r="T53" s="93">
        <v>0</v>
      </c>
      <c r="U53" s="92">
        <f t="shared" si="15"/>
        <v>1</v>
      </c>
      <c r="V53" s="93">
        <v>673</v>
      </c>
      <c r="W53" s="93">
        <v>0</v>
      </c>
      <c r="X53" s="92">
        <f t="shared" si="16"/>
        <v>673</v>
      </c>
      <c r="Y53" s="93">
        <v>1106</v>
      </c>
      <c r="Z53" s="93">
        <v>0</v>
      </c>
      <c r="AA53" s="92">
        <f t="shared" si="17"/>
        <v>1106</v>
      </c>
      <c r="AB53" s="92">
        <f t="shared" si="18"/>
        <v>0</v>
      </c>
      <c r="AC53" s="234">
        <f t="shared" si="19"/>
        <v>5.8793972947968076E-4</v>
      </c>
      <c r="AD53" s="92">
        <f t="shared" si="20"/>
        <v>96.18</v>
      </c>
      <c r="AE53" s="93">
        <v>411.74</v>
      </c>
      <c r="AF53" s="234">
        <f t="shared" si="21"/>
        <v>0.37227848101265826</v>
      </c>
      <c r="AG53" s="93">
        <v>158.75</v>
      </c>
      <c r="AH53" s="93"/>
      <c r="AI53" s="93"/>
      <c r="AJ53" s="93"/>
      <c r="AK53" s="93"/>
      <c r="AL53" s="122">
        <f t="shared" si="22"/>
        <v>32.631232446576533</v>
      </c>
      <c r="AM53" s="93">
        <v>0</v>
      </c>
      <c r="AN53" s="94">
        <f t="shared" si="23"/>
        <v>38.4283</v>
      </c>
      <c r="AO53" s="95">
        <f t="shared" si="25"/>
        <v>368.27046755342343</v>
      </c>
      <c r="AP53" s="96"/>
      <c r="AQ53" s="97">
        <f t="shared" si="6"/>
        <v>1106</v>
      </c>
      <c r="AR53" s="98">
        <f t="shared" si="35"/>
        <v>96.18</v>
      </c>
      <c r="AS53" s="98">
        <f t="shared" si="8"/>
        <v>411.74</v>
      </c>
      <c r="AT53" s="98">
        <f t="shared" si="9"/>
        <v>158.75</v>
      </c>
      <c r="AU53" s="98">
        <f t="shared" si="24"/>
        <v>0</v>
      </c>
      <c r="AV53" s="98">
        <f t="array" ref="AV53">_xlfn.IFS(U53=0,AO53,U53&lt;0,AO53/-U53,U53&gt;0,AO53/U53)</f>
        <v>368.27046755342343</v>
      </c>
      <c r="AW53" s="234">
        <f t="shared" si="43"/>
        <v>0.33297510628700128</v>
      </c>
      <c r="AX53" s="234">
        <f t="shared" si="44"/>
        <v>3.8289713823396072</v>
      </c>
      <c r="AY53" s="99"/>
      <c r="AZ53" s="94">
        <f t="shared" si="12"/>
        <v>18045.25291011775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52</v>
      </c>
      <c r="F54" s="93">
        <v>2</v>
      </c>
      <c r="G54" s="93" t="s">
        <v>100</v>
      </c>
      <c r="H54" s="93">
        <v>49</v>
      </c>
      <c r="I54" s="93">
        <v>0</v>
      </c>
      <c r="J54" s="93">
        <v>1</v>
      </c>
      <c r="K54" s="93">
        <v>123.09</v>
      </c>
      <c r="L54" s="92">
        <f t="shared" si="42"/>
        <v>6400.68</v>
      </c>
      <c r="M54" s="89">
        <v>267</v>
      </c>
      <c r="N54" s="89">
        <v>3</v>
      </c>
      <c r="O54" s="89">
        <v>998</v>
      </c>
      <c r="P54" s="89">
        <v>100</v>
      </c>
      <c r="Q54" s="233">
        <f t="shared" si="13"/>
        <v>0.42857142857142855</v>
      </c>
      <c r="R54" s="92">
        <f t="shared" si="14"/>
        <v>0.14285714285714285</v>
      </c>
      <c r="S54" s="93">
        <v>1</v>
      </c>
      <c r="T54" s="93">
        <v>0</v>
      </c>
      <c r="U54" s="92">
        <f t="shared" si="15"/>
        <v>1</v>
      </c>
      <c r="V54" s="93">
        <v>641</v>
      </c>
      <c r="W54" s="93">
        <v>0</v>
      </c>
      <c r="X54" s="92">
        <f t="shared" si="16"/>
        <v>641</v>
      </c>
      <c r="Y54" s="93">
        <v>978</v>
      </c>
      <c r="Z54" s="93">
        <v>0</v>
      </c>
      <c r="AA54" s="92">
        <f t="shared" si="17"/>
        <v>978</v>
      </c>
      <c r="AB54" s="92">
        <f t="shared" si="18"/>
        <v>2994</v>
      </c>
      <c r="AC54" s="234">
        <f t="shared" si="19"/>
        <v>5.1989607181837953E-4</v>
      </c>
      <c r="AD54" s="92">
        <f t="shared" si="20"/>
        <v>123.09</v>
      </c>
      <c r="AE54" s="93">
        <v>370.15999999999997</v>
      </c>
      <c r="AF54" s="234">
        <f t="shared" si="21"/>
        <v>0.37848670756646213</v>
      </c>
      <c r="AG54" s="93">
        <v>46.86</v>
      </c>
      <c r="AH54" s="93"/>
      <c r="AI54" s="93"/>
      <c r="AJ54" s="93"/>
      <c r="AK54" s="93"/>
      <c r="AL54" s="122">
        <f t="shared" si="22"/>
        <v>34.759356301788046</v>
      </c>
      <c r="AM54" s="93">
        <v>0</v>
      </c>
      <c r="AN54" s="94">
        <f t="shared" si="23"/>
        <v>36.601099999999995</v>
      </c>
      <c r="AO54" s="95">
        <f t="shared" si="25"/>
        <v>366.52954369821197</v>
      </c>
      <c r="AP54" s="96"/>
      <c r="AQ54" s="97">
        <f t="shared" si="6"/>
        <v>978</v>
      </c>
      <c r="AR54" s="98">
        <f t="shared" si="35"/>
        <v>123.09</v>
      </c>
      <c r="AS54" s="98">
        <f t="shared" si="8"/>
        <v>370.15999999999997</v>
      </c>
      <c r="AT54" s="98">
        <f t="shared" si="9"/>
        <v>46.86</v>
      </c>
      <c r="AU54" s="98">
        <f t="shared" si="24"/>
        <v>0</v>
      </c>
      <c r="AV54" s="98">
        <f t="array" ref="AV54">_xlfn.IFS(U54=0,AO54,U54&lt;0,AO54/-U54,U54&gt;0,AO54/U54)</f>
        <v>366.52954369821197</v>
      </c>
      <c r="AW54" s="234">
        <f t="shared" si="43"/>
        <v>0.37477458455849894</v>
      </c>
      <c r="AX54" s="234">
        <f t="shared" si="44"/>
        <v>2.9777361580811759</v>
      </c>
      <c r="AY54" s="99"/>
      <c r="AZ54" s="94">
        <f t="shared" si="12"/>
        <v>19059.536272307021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3"/>
        <v>0</v>
      </c>
      <c r="R55" s="92">
        <f t="shared" si="14"/>
        <v>0</v>
      </c>
      <c r="S55" s="93">
        <v>0</v>
      </c>
      <c r="T55" s="93">
        <v>0</v>
      </c>
      <c r="U55" s="92">
        <f t="shared" si="15"/>
        <v>0</v>
      </c>
      <c r="V55" s="93">
        <v>0</v>
      </c>
      <c r="W55" s="93">
        <v>0</v>
      </c>
      <c r="X55" s="92">
        <f t="shared" si="16"/>
        <v>0</v>
      </c>
      <c r="Y55" s="93">
        <v>0</v>
      </c>
      <c r="Z55" s="93">
        <v>0</v>
      </c>
      <c r="AA55" s="92">
        <f t="shared" si="17"/>
        <v>0</v>
      </c>
      <c r="AB55" s="92">
        <f t="shared" si="18"/>
        <v>0</v>
      </c>
      <c r="AC55" s="234">
        <f t="shared" si="19"/>
        <v>0</v>
      </c>
      <c r="AD55" s="92">
        <f t="shared" si="20"/>
        <v>0</v>
      </c>
      <c r="AE55" s="93">
        <v>0</v>
      </c>
      <c r="AF55" s="234">
        <f t="shared" si="21"/>
        <v>0</v>
      </c>
      <c r="AG55" s="93">
        <v>0</v>
      </c>
      <c r="AH55" s="93"/>
      <c r="AI55" s="93"/>
      <c r="AJ55" s="93"/>
      <c r="AK55" s="93"/>
      <c r="AL55" s="122">
        <f t="shared" si="22"/>
        <v>0.70937461840383775</v>
      </c>
      <c r="AM55" s="93">
        <v>0</v>
      </c>
      <c r="AN55" s="94">
        <f t="shared" si="23"/>
        <v>0</v>
      </c>
      <c r="AO55" s="95">
        <f t="shared" si="25"/>
        <v>-0.70937461840383775</v>
      </c>
      <c r="AP55" s="96"/>
      <c r="AQ55" s="97">
        <f t="shared" si="6"/>
        <v>0</v>
      </c>
      <c r="AR55" s="98">
        <f t="shared" si="35"/>
        <v>158.19</v>
      </c>
      <c r="AS55" s="98">
        <f t="shared" si="8"/>
        <v>0</v>
      </c>
      <c r="AT55" s="98">
        <f t="shared" si="9"/>
        <v>0</v>
      </c>
      <c r="AU55" s="98">
        <f t="shared" si="24"/>
        <v>0</v>
      </c>
      <c r="AV55" s="98">
        <f t="array" ref="AV55">_xlfn.IFS(U55=0,AO55,U55&lt;0,AO55/-U55,U55&gt;0,AO55/U55)</f>
        <v>-0.70937461840383775</v>
      </c>
      <c r="AW55" s="234">
        <f t="shared" si="43"/>
        <v>0</v>
      </c>
      <c r="AX55" s="234">
        <f t="shared" si="44"/>
        <v>-4.4843202377131157E-3</v>
      </c>
      <c r="AY55" s="99"/>
      <c r="AZ55" s="94">
        <f t="shared" si="12"/>
        <v>-1.4187492368076755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4</v>
      </c>
      <c r="F56" s="93">
        <v>3</v>
      </c>
      <c r="G56" s="93" t="s">
        <v>100</v>
      </c>
      <c r="H56" s="93" t="s">
        <v>100</v>
      </c>
      <c r="I56" s="93">
        <v>0</v>
      </c>
      <c r="J56" s="93">
        <v>1</v>
      </c>
      <c r="K56" s="93">
        <v>152.34</v>
      </c>
      <c r="L56" s="92">
        <f t="shared" si="42"/>
        <v>609.36</v>
      </c>
      <c r="M56" s="89">
        <v>11</v>
      </c>
      <c r="N56" s="89">
        <v>2</v>
      </c>
      <c r="O56" s="89">
        <v>1049</v>
      </c>
      <c r="P56" s="89">
        <v>0</v>
      </c>
      <c r="Q56" s="233">
        <f t="shared" si="13"/>
        <v>0.2857142857142857</v>
      </c>
      <c r="R56" s="92">
        <f t="shared" si="14"/>
        <v>0</v>
      </c>
      <c r="S56" s="93">
        <v>0</v>
      </c>
      <c r="T56" s="93">
        <v>0</v>
      </c>
      <c r="U56" s="92">
        <f t="shared" si="15"/>
        <v>0</v>
      </c>
      <c r="V56" s="93">
        <v>0</v>
      </c>
      <c r="W56" s="93">
        <v>0</v>
      </c>
      <c r="X56" s="92">
        <f t="shared" si="16"/>
        <v>0</v>
      </c>
      <c r="Y56" s="93">
        <v>0</v>
      </c>
      <c r="Z56" s="93">
        <v>0</v>
      </c>
      <c r="AA56" s="92">
        <f t="shared" si="17"/>
        <v>0</v>
      </c>
      <c r="AB56" s="92">
        <f t="shared" si="18"/>
        <v>0</v>
      </c>
      <c r="AC56" s="234">
        <f t="shared" si="19"/>
        <v>0</v>
      </c>
      <c r="AD56" s="92">
        <f t="shared" si="20"/>
        <v>0</v>
      </c>
      <c r="AE56" s="93">
        <v>0</v>
      </c>
      <c r="AF56" s="234">
        <f t="shared" si="21"/>
        <v>0</v>
      </c>
      <c r="AG56" s="93">
        <v>0</v>
      </c>
      <c r="AH56" s="93"/>
      <c r="AI56" s="93"/>
      <c r="AJ56" s="93"/>
      <c r="AK56" s="93"/>
      <c r="AL56" s="122">
        <f t="shared" si="22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6"/>
        <v>0</v>
      </c>
      <c r="AR56" s="98">
        <f t="shared" si="35"/>
        <v>152.34</v>
      </c>
      <c r="AS56" s="98">
        <f t="shared" si="8"/>
        <v>0</v>
      </c>
      <c r="AT56" s="98">
        <f t="shared" si="9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2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3"/>
        <v>0</v>
      </c>
      <c r="R57" s="92">
        <f t="shared" si="14"/>
        <v>0</v>
      </c>
      <c r="S57" s="93">
        <v>0</v>
      </c>
      <c r="T57" s="93">
        <v>0</v>
      </c>
      <c r="U57" s="92">
        <f t="shared" si="15"/>
        <v>0</v>
      </c>
      <c r="V57" s="93">
        <v>0</v>
      </c>
      <c r="W57" s="93">
        <v>0</v>
      </c>
      <c r="X57" s="92">
        <f t="shared" si="16"/>
        <v>0</v>
      </c>
      <c r="Y57" s="93">
        <v>0</v>
      </c>
      <c r="Z57" s="93">
        <v>0</v>
      </c>
      <c r="AA57" s="92">
        <f t="shared" si="17"/>
        <v>0</v>
      </c>
      <c r="AB57" s="92">
        <f t="shared" si="18"/>
        <v>0</v>
      </c>
      <c r="AC57" s="234">
        <f t="shared" si="19"/>
        <v>0</v>
      </c>
      <c r="AD57" s="92">
        <f t="shared" si="20"/>
        <v>0</v>
      </c>
      <c r="AE57" s="93">
        <v>0</v>
      </c>
      <c r="AF57" s="234">
        <f t="shared" si="21"/>
        <v>0</v>
      </c>
      <c r="AG57" s="93">
        <v>0</v>
      </c>
      <c r="AH57" s="93"/>
      <c r="AI57" s="93"/>
      <c r="AJ57" s="93"/>
      <c r="AK57" s="93"/>
      <c r="AL57" s="122">
        <f t="shared" si="22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6"/>
        <v>0</v>
      </c>
      <c r="AR57" s="98">
        <f t="shared" si="35"/>
        <v>93.84</v>
      </c>
      <c r="AS57" s="98">
        <f t="shared" si="8"/>
        <v>0</v>
      </c>
      <c r="AT57" s="98">
        <f t="shared" si="9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44</v>
      </c>
      <c r="F58" s="93">
        <v>10</v>
      </c>
      <c r="G58" s="93">
        <v>2</v>
      </c>
      <c r="H58" s="93">
        <v>31</v>
      </c>
      <c r="I58" s="93">
        <v>0</v>
      </c>
      <c r="J58" s="93">
        <v>1</v>
      </c>
      <c r="K58" s="93">
        <v>169.89</v>
      </c>
      <c r="L58" s="92">
        <f t="shared" si="42"/>
        <v>7475.16</v>
      </c>
      <c r="M58" s="89">
        <v>74</v>
      </c>
      <c r="N58" s="89">
        <v>10</v>
      </c>
      <c r="O58" s="89">
        <v>1039</v>
      </c>
      <c r="P58" s="89">
        <v>0</v>
      </c>
      <c r="Q58" s="233">
        <f t="shared" si="13"/>
        <v>1.4285714285714286</v>
      </c>
      <c r="R58" s="92">
        <f t="shared" si="14"/>
        <v>0.42857142857142855</v>
      </c>
      <c r="S58" s="93">
        <v>3</v>
      </c>
      <c r="T58" s="93">
        <v>0</v>
      </c>
      <c r="U58" s="92">
        <f t="shared" si="15"/>
        <v>3</v>
      </c>
      <c r="V58" s="93">
        <v>1947</v>
      </c>
      <c r="W58" s="93">
        <v>0</v>
      </c>
      <c r="X58" s="92">
        <f t="shared" si="16"/>
        <v>1947</v>
      </c>
      <c r="Y58" s="93">
        <v>3117</v>
      </c>
      <c r="Z58" s="93">
        <v>0</v>
      </c>
      <c r="AA58" s="92">
        <f t="shared" si="17"/>
        <v>3117</v>
      </c>
      <c r="AB58" s="92">
        <f t="shared" si="18"/>
        <v>0</v>
      </c>
      <c r="AC58" s="234">
        <f t="shared" si="19"/>
        <v>1.65696938226778E-3</v>
      </c>
      <c r="AD58" s="92">
        <f t="shared" si="20"/>
        <v>509.66999999999996</v>
      </c>
      <c r="AE58" s="93">
        <v>1175.92</v>
      </c>
      <c r="AF58" s="234">
        <f t="shared" si="21"/>
        <v>0.37726018607635547</v>
      </c>
      <c r="AG58" s="93">
        <v>604.72</v>
      </c>
      <c r="AH58" s="93">
        <v>1040</v>
      </c>
      <c r="AI58" s="93">
        <v>1206</v>
      </c>
      <c r="AJ58" s="93"/>
      <c r="AK58" s="93"/>
      <c r="AL58" s="122">
        <f t="shared" si="22"/>
        <v>21.990613170518969</v>
      </c>
      <c r="AM58" s="93">
        <v>0</v>
      </c>
      <c r="AN58" s="94">
        <f t="shared" si="23"/>
        <v>111.1737</v>
      </c>
      <c r="AO58" s="95">
        <f t="shared" si="25"/>
        <v>-1552.4743131705193</v>
      </c>
      <c r="AP58" s="96"/>
      <c r="AQ58" s="97">
        <f t="shared" si="6"/>
        <v>1039</v>
      </c>
      <c r="AR58" s="98">
        <f t="shared" si="35"/>
        <v>169.89</v>
      </c>
      <c r="AS58" s="98">
        <f t="shared" si="8"/>
        <v>391.97333333333336</v>
      </c>
      <c r="AT58" s="98">
        <f t="shared" si="9"/>
        <v>201.57333333333335</v>
      </c>
      <c r="AU58" s="98">
        <f t="shared" si="24"/>
        <v>748.66666666666663</v>
      </c>
      <c r="AV58" s="98">
        <f t="array" ref="AV58">_xlfn.IFS(U58=0,AO58,U58&lt;0,AO58/-U58,U58&gt;0,AO58/U58)</f>
        <v>-517.49143772350646</v>
      </c>
      <c r="AW58" s="234">
        <f t="shared" si="43"/>
        <v>-0.49806683130270113</v>
      </c>
      <c r="AX58" s="234">
        <f t="shared" si="44"/>
        <v>-3.0460382466508125</v>
      </c>
      <c r="AY58" s="99"/>
      <c r="AZ58" s="94">
        <f t="shared" si="12"/>
        <v>-22769.623259834283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3"/>
        <v>0</v>
      </c>
      <c r="R59" s="92">
        <f t="shared" si="14"/>
        <v>0</v>
      </c>
      <c r="S59" s="93">
        <v>0</v>
      </c>
      <c r="T59" s="93">
        <v>0</v>
      </c>
      <c r="U59" s="92">
        <f t="shared" si="15"/>
        <v>0</v>
      </c>
      <c r="V59" s="93">
        <v>0</v>
      </c>
      <c r="W59" s="93">
        <v>0</v>
      </c>
      <c r="X59" s="92">
        <f t="shared" si="16"/>
        <v>0</v>
      </c>
      <c r="Y59" s="93">
        <v>0</v>
      </c>
      <c r="Z59" s="93">
        <v>0</v>
      </c>
      <c r="AA59" s="92">
        <f t="shared" si="17"/>
        <v>0</v>
      </c>
      <c r="AB59" s="92">
        <f t="shared" si="18"/>
        <v>0</v>
      </c>
      <c r="AC59" s="234">
        <f t="shared" si="19"/>
        <v>0</v>
      </c>
      <c r="AD59" s="92">
        <f t="shared" si="20"/>
        <v>0</v>
      </c>
      <c r="AE59" s="93">
        <v>0</v>
      </c>
      <c r="AF59" s="234">
        <f t="shared" si="21"/>
        <v>0</v>
      </c>
      <c r="AG59" s="93">
        <v>0</v>
      </c>
      <c r="AH59" s="93"/>
      <c r="AI59" s="93"/>
      <c r="AJ59" s="93"/>
      <c r="AK59" s="93"/>
      <c r="AL59" s="122">
        <f t="shared" si="22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6"/>
        <v>0</v>
      </c>
      <c r="AR59" s="98">
        <f t="shared" si="35"/>
        <v>158.19</v>
      </c>
      <c r="AS59" s="98">
        <f t="shared" si="8"/>
        <v>0</v>
      </c>
      <c r="AT59" s="98">
        <f t="shared" si="9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71</v>
      </c>
      <c r="F60" s="93">
        <v>1</v>
      </c>
      <c r="G60" s="93">
        <v>4</v>
      </c>
      <c r="H60" s="93">
        <v>25</v>
      </c>
      <c r="I60" s="93">
        <v>0</v>
      </c>
      <c r="J60" s="93">
        <v>41</v>
      </c>
      <c r="K60" s="93">
        <v>158.19</v>
      </c>
      <c r="L60" s="92">
        <f t="shared" si="42"/>
        <v>11231.49</v>
      </c>
      <c r="M60" s="89">
        <v>205</v>
      </c>
      <c r="N60" s="89">
        <v>2</v>
      </c>
      <c r="O60" s="89">
        <v>1049</v>
      </c>
      <c r="P60" s="89">
        <v>0</v>
      </c>
      <c r="Q60" s="233">
        <f t="shared" si="13"/>
        <v>0.2857142857142857</v>
      </c>
      <c r="R60" s="92">
        <f t="shared" si="14"/>
        <v>0</v>
      </c>
      <c r="S60" s="93">
        <v>0</v>
      </c>
      <c r="T60" s="93">
        <v>0</v>
      </c>
      <c r="U60" s="92">
        <f t="shared" si="15"/>
        <v>0</v>
      </c>
      <c r="V60" s="93">
        <v>0</v>
      </c>
      <c r="W60" s="93">
        <v>0</v>
      </c>
      <c r="X60" s="92">
        <f t="shared" si="16"/>
        <v>0</v>
      </c>
      <c r="Y60" s="93">
        <v>0</v>
      </c>
      <c r="Z60" s="93">
        <v>0</v>
      </c>
      <c r="AA60" s="92">
        <f t="shared" si="17"/>
        <v>0</v>
      </c>
      <c r="AB60" s="92">
        <f t="shared" si="18"/>
        <v>0</v>
      </c>
      <c r="AC60" s="234">
        <f t="shared" si="19"/>
        <v>0</v>
      </c>
      <c r="AD60" s="92">
        <f t="shared" si="20"/>
        <v>0</v>
      </c>
      <c r="AE60" s="93">
        <v>0</v>
      </c>
      <c r="AF60" s="234">
        <f t="shared" si="21"/>
        <v>0</v>
      </c>
      <c r="AG60" s="93">
        <v>308.7</v>
      </c>
      <c r="AH60" s="93"/>
      <c r="AI60" s="93"/>
      <c r="AJ60" s="93"/>
      <c r="AK60" s="93"/>
      <c r="AL60" s="122">
        <f t="shared" si="22"/>
        <v>17.734365460095944</v>
      </c>
      <c r="AM60" s="93">
        <v>0</v>
      </c>
      <c r="AN60" s="94">
        <f t="shared" si="23"/>
        <v>0</v>
      </c>
      <c r="AO60" s="95">
        <f t="shared" si="25"/>
        <v>-326.43436546009593</v>
      </c>
      <c r="AP60" s="96"/>
      <c r="AQ60" s="97">
        <f t="shared" si="6"/>
        <v>0</v>
      </c>
      <c r="AR60" s="98">
        <f t="shared" si="35"/>
        <v>158.19</v>
      </c>
      <c r="AS60" s="98">
        <f t="shared" si="8"/>
        <v>0</v>
      </c>
      <c r="AT60" s="98">
        <f t="shared" si="9"/>
        <v>308.7</v>
      </c>
      <c r="AU60" s="98">
        <f t="shared" si="24"/>
        <v>0</v>
      </c>
      <c r="AV60" s="98">
        <f t="array" ref="AV60">_xlfn.IFS(U60=0,AO60,U60&lt;0,AO60/-U60,U60&gt;0,AO60/U60)</f>
        <v>-326.43436546009593</v>
      </c>
      <c r="AW60" s="234">
        <f t="shared" si="43"/>
        <v>0</v>
      </c>
      <c r="AX60" s="234">
        <f t="shared" si="44"/>
        <v>-2.0635587929710848</v>
      </c>
      <c r="AY60" s="99"/>
      <c r="AZ60" s="94">
        <f t="shared" si="12"/>
        <v>-23176.839947666813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>
        <v>1</v>
      </c>
      <c r="G61" s="93" t="s">
        <v>100</v>
      </c>
      <c r="H61" s="93">
        <v>162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3"/>
        <v>0.14285714285714285</v>
      </c>
      <c r="R61" s="92">
        <f t="shared" si="14"/>
        <v>0</v>
      </c>
      <c r="S61" s="93">
        <v>0</v>
      </c>
      <c r="T61" s="93">
        <v>0</v>
      </c>
      <c r="U61" s="92">
        <f t="shared" si="15"/>
        <v>0</v>
      </c>
      <c r="V61" s="93">
        <v>0</v>
      </c>
      <c r="W61" s="93">
        <v>0</v>
      </c>
      <c r="X61" s="92">
        <f t="shared" si="16"/>
        <v>0</v>
      </c>
      <c r="Y61" s="93">
        <v>0</v>
      </c>
      <c r="Z61" s="93">
        <v>0</v>
      </c>
      <c r="AA61" s="92">
        <f t="shared" si="17"/>
        <v>0</v>
      </c>
      <c r="AB61" s="92">
        <f t="shared" si="18"/>
        <v>0</v>
      </c>
      <c r="AC61" s="234">
        <f t="shared" si="19"/>
        <v>0</v>
      </c>
      <c r="AD61" s="92">
        <f t="shared" si="20"/>
        <v>0</v>
      </c>
      <c r="AE61" s="93">
        <v>0</v>
      </c>
      <c r="AF61" s="234">
        <f t="shared" si="21"/>
        <v>0</v>
      </c>
      <c r="AG61" s="93">
        <v>0</v>
      </c>
      <c r="AH61" s="93"/>
      <c r="AI61" s="93"/>
      <c r="AJ61" s="93"/>
      <c r="AK61" s="93"/>
      <c r="AL61" s="122">
        <f t="shared" si="22"/>
        <v>114.91868818142171</v>
      </c>
      <c r="AM61" s="93">
        <v>0</v>
      </c>
      <c r="AN61" s="94">
        <f t="shared" si="23"/>
        <v>0</v>
      </c>
      <c r="AO61" s="95">
        <f t="shared" si="25"/>
        <v>-114.91868818142171</v>
      </c>
      <c r="AP61" s="96"/>
      <c r="AQ61" s="97">
        <f t="shared" si="6"/>
        <v>0</v>
      </c>
      <c r="AR61" s="98">
        <f t="shared" si="35"/>
        <v>128.94</v>
      </c>
      <c r="AS61" s="98">
        <f t="shared" si="8"/>
        <v>0</v>
      </c>
      <c r="AT61" s="98">
        <f t="shared" si="9"/>
        <v>0</v>
      </c>
      <c r="AU61" s="98">
        <f t="shared" si="24"/>
        <v>0</v>
      </c>
      <c r="AV61" s="98">
        <f t="array" ref="AV61">_xlfn.IFS(U61=0,AO61,U61&lt;0,AO61/-U61,U61&gt;0,AO61/U61)</f>
        <v>-114.91868818142171</v>
      </c>
      <c r="AW61" s="234">
        <f t="shared" si="43"/>
        <v>0</v>
      </c>
      <c r="AX61" s="234">
        <f t="shared" si="44"/>
        <v>-0.89125708221980549</v>
      </c>
      <c r="AY61" s="99"/>
      <c r="AZ61" s="94">
        <f t="shared" si="12"/>
        <v>-55620.645079808113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3"/>
        <v>0</v>
      </c>
      <c r="R62" s="92">
        <f t="shared" si="14"/>
        <v>0</v>
      </c>
      <c r="S62" s="93">
        <v>0</v>
      </c>
      <c r="T62" s="93">
        <v>0</v>
      </c>
      <c r="U62" s="92">
        <f t="shared" si="15"/>
        <v>0</v>
      </c>
      <c r="V62" s="93">
        <v>0</v>
      </c>
      <c r="W62" s="93">
        <v>0</v>
      </c>
      <c r="X62" s="92">
        <f t="shared" si="16"/>
        <v>0</v>
      </c>
      <c r="Y62" s="93">
        <v>0</v>
      </c>
      <c r="Z62" s="93">
        <v>0</v>
      </c>
      <c r="AA62" s="92">
        <f t="shared" si="17"/>
        <v>0</v>
      </c>
      <c r="AB62" s="92">
        <f t="shared" si="18"/>
        <v>0</v>
      </c>
      <c r="AC62" s="234">
        <f t="shared" si="19"/>
        <v>0</v>
      </c>
      <c r="AD62" s="92">
        <f t="shared" si="20"/>
        <v>0</v>
      </c>
      <c r="AE62" s="93">
        <v>0</v>
      </c>
      <c r="AF62" s="234">
        <f t="shared" si="21"/>
        <v>0</v>
      </c>
      <c r="AG62" s="93">
        <v>0</v>
      </c>
      <c r="AH62" s="93"/>
      <c r="AI62" s="93"/>
      <c r="AJ62" s="93"/>
      <c r="AK62" s="93"/>
      <c r="AL62" s="122">
        <f t="shared" si="22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6"/>
        <v>0</v>
      </c>
      <c r="AR62" s="98">
        <f t="shared" si="35"/>
        <v>175.74</v>
      </c>
      <c r="AS62" s="98">
        <f t="shared" si="8"/>
        <v>0</v>
      </c>
      <c r="AT62" s="98">
        <f t="shared" si="9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3"/>
        <v>0</v>
      </c>
      <c r="R63" s="92">
        <f t="shared" si="14"/>
        <v>0</v>
      </c>
      <c r="S63" s="93">
        <v>0</v>
      </c>
      <c r="T63" s="93">
        <v>0</v>
      </c>
      <c r="U63" s="92">
        <f t="shared" si="15"/>
        <v>0</v>
      </c>
      <c r="V63" s="93">
        <v>0</v>
      </c>
      <c r="W63" s="93">
        <v>0</v>
      </c>
      <c r="X63" s="92">
        <f t="shared" si="16"/>
        <v>0</v>
      </c>
      <c r="Y63" s="93">
        <v>0</v>
      </c>
      <c r="Z63" s="93">
        <v>0</v>
      </c>
      <c r="AA63" s="92">
        <f t="shared" si="17"/>
        <v>0</v>
      </c>
      <c r="AB63" s="92">
        <f t="shared" si="18"/>
        <v>0</v>
      </c>
      <c r="AC63" s="234">
        <f t="shared" si="19"/>
        <v>0</v>
      </c>
      <c r="AD63" s="92">
        <f t="shared" si="20"/>
        <v>0</v>
      </c>
      <c r="AE63" s="93">
        <v>0</v>
      </c>
      <c r="AF63" s="234">
        <f t="shared" si="21"/>
        <v>0</v>
      </c>
      <c r="AG63" s="93">
        <v>0</v>
      </c>
      <c r="AH63" s="93"/>
      <c r="AI63" s="93"/>
      <c r="AJ63" s="93"/>
      <c r="AK63" s="93"/>
      <c r="AL63" s="122">
        <f t="shared" si="22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6"/>
        <v>0</v>
      </c>
      <c r="AR63" s="98">
        <f t="shared" si="35"/>
        <v>140.63999999999999</v>
      </c>
      <c r="AS63" s="98">
        <f t="shared" si="8"/>
        <v>0</v>
      </c>
      <c r="AT63" s="98">
        <f t="shared" si="9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3"/>
        <v>0</v>
      </c>
      <c r="R64" s="92">
        <f t="shared" si="14"/>
        <v>0</v>
      </c>
      <c r="S64" s="93">
        <v>0</v>
      </c>
      <c r="T64" s="93">
        <v>0</v>
      </c>
      <c r="U64" s="92">
        <f t="shared" si="15"/>
        <v>0</v>
      </c>
      <c r="V64" s="93">
        <v>0</v>
      </c>
      <c r="W64" s="93">
        <v>0</v>
      </c>
      <c r="X64" s="92">
        <f t="shared" si="16"/>
        <v>0</v>
      </c>
      <c r="Y64" s="93">
        <v>0</v>
      </c>
      <c r="Z64" s="93">
        <v>0</v>
      </c>
      <c r="AA64" s="92">
        <f t="shared" si="17"/>
        <v>0</v>
      </c>
      <c r="AB64" s="92">
        <f t="shared" si="18"/>
        <v>0</v>
      </c>
      <c r="AC64" s="234">
        <f t="shared" si="19"/>
        <v>0</v>
      </c>
      <c r="AD64" s="92">
        <f t="shared" si="20"/>
        <v>0</v>
      </c>
      <c r="AE64" s="93">
        <v>0</v>
      </c>
      <c r="AF64" s="234">
        <f t="shared" si="21"/>
        <v>0</v>
      </c>
      <c r="AG64" s="93">
        <v>0</v>
      </c>
      <c r="AH64" s="93"/>
      <c r="AI64" s="93"/>
      <c r="AJ64" s="93"/>
      <c r="AK64" s="93"/>
      <c r="AL64" s="122">
        <f t="shared" si="22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6"/>
        <v>0</v>
      </c>
      <c r="AR64" s="98">
        <f t="shared" si="35"/>
        <v>99.69</v>
      </c>
      <c r="AS64" s="98">
        <f t="shared" si="8"/>
        <v>0</v>
      </c>
      <c r="AT64" s="98">
        <f t="shared" si="9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3"/>
        <v>0</v>
      </c>
      <c r="R65" s="92">
        <f t="shared" si="14"/>
        <v>0</v>
      </c>
      <c r="S65" s="93">
        <v>0</v>
      </c>
      <c r="T65" s="93">
        <v>0</v>
      </c>
      <c r="U65" s="92">
        <f t="shared" si="15"/>
        <v>0</v>
      </c>
      <c r="V65" s="93">
        <v>0</v>
      </c>
      <c r="W65" s="93">
        <v>0</v>
      </c>
      <c r="X65" s="92">
        <f t="shared" si="16"/>
        <v>0</v>
      </c>
      <c r="Y65" s="93">
        <v>0</v>
      </c>
      <c r="Z65" s="93">
        <v>0</v>
      </c>
      <c r="AA65" s="92">
        <f t="shared" si="17"/>
        <v>0</v>
      </c>
      <c r="AB65" s="92">
        <f t="shared" si="18"/>
        <v>0</v>
      </c>
      <c r="AC65" s="234">
        <f t="shared" si="19"/>
        <v>0</v>
      </c>
      <c r="AD65" s="92">
        <f t="shared" si="20"/>
        <v>0</v>
      </c>
      <c r="AE65" s="93">
        <v>0</v>
      </c>
      <c r="AF65" s="234">
        <f t="shared" si="21"/>
        <v>0</v>
      </c>
      <c r="AG65" s="93">
        <v>0</v>
      </c>
      <c r="AH65" s="93"/>
      <c r="AI65" s="93"/>
      <c r="AJ65" s="93"/>
      <c r="AK65" s="93"/>
      <c r="AL65" s="122">
        <f t="shared" si="22"/>
        <v>0</v>
      </c>
      <c r="AM65" s="93">
        <v>0</v>
      </c>
      <c r="AN65" s="94">
        <f t="shared" si="23"/>
        <v>0</v>
      </c>
      <c r="AO65" s="95">
        <f t="shared" si="25"/>
        <v>0</v>
      </c>
      <c r="AP65" s="96"/>
      <c r="AQ65" s="97">
        <f t="shared" si="6"/>
        <v>0</v>
      </c>
      <c r="AR65" s="98">
        <f t="shared" si="35"/>
        <v>99.69</v>
      </c>
      <c r="AS65" s="98">
        <f t="shared" si="8"/>
        <v>0</v>
      </c>
      <c r="AT65" s="98">
        <f t="shared" si="9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3"/>
        <v>0</v>
      </c>
      <c r="AX65" s="234">
        <f t="shared" si="44"/>
        <v>0</v>
      </c>
      <c r="AY65" s="99"/>
      <c r="AZ65" s="94">
        <f t="shared" si="12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3"/>
        <v>0</v>
      </c>
      <c r="R66" s="92">
        <f t="shared" si="14"/>
        <v>0</v>
      </c>
      <c r="S66" s="93">
        <v>0</v>
      </c>
      <c r="T66" s="93">
        <v>0</v>
      </c>
      <c r="U66" s="92">
        <f t="shared" si="15"/>
        <v>0</v>
      </c>
      <c r="V66" s="93">
        <v>0</v>
      </c>
      <c r="W66" s="93">
        <v>0</v>
      </c>
      <c r="X66" s="92">
        <f t="shared" si="16"/>
        <v>0</v>
      </c>
      <c r="Y66" s="93">
        <v>0</v>
      </c>
      <c r="Z66" s="93">
        <v>0</v>
      </c>
      <c r="AA66" s="92">
        <f t="shared" si="17"/>
        <v>0</v>
      </c>
      <c r="AB66" s="92">
        <f t="shared" si="18"/>
        <v>0</v>
      </c>
      <c r="AC66" s="234">
        <f t="shared" si="19"/>
        <v>0</v>
      </c>
      <c r="AD66" s="92">
        <f t="shared" si="20"/>
        <v>0</v>
      </c>
      <c r="AE66" s="93">
        <v>0</v>
      </c>
      <c r="AF66" s="234">
        <f t="shared" si="21"/>
        <v>0</v>
      </c>
      <c r="AG66" s="93">
        <v>0</v>
      </c>
      <c r="AH66" s="93"/>
      <c r="AI66" s="93"/>
      <c r="AJ66" s="93"/>
      <c r="AK66" s="93"/>
      <c r="AL66" s="122">
        <f t="shared" si="22"/>
        <v>0.70937461840383775</v>
      </c>
      <c r="AM66" s="93">
        <v>0</v>
      </c>
      <c r="AN66" s="94">
        <f t="shared" si="23"/>
        <v>0</v>
      </c>
      <c r="AO66" s="95">
        <f t="shared" si="25"/>
        <v>-0.70937461840383775</v>
      </c>
      <c r="AP66" s="96"/>
      <c r="AQ66" s="97">
        <f t="shared" si="6"/>
        <v>0</v>
      </c>
      <c r="AR66" s="98">
        <f t="shared" si="35"/>
        <v>97.35</v>
      </c>
      <c r="AS66" s="98">
        <f t="shared" si="8"/>
        <v>0</v>
      </c>
      <c r="AT66" s="98">
        <f t="shared" si="9"/>
        <v>0</v>
      </c>
      <c r="AU66" s="98">
        <f t="shared" si="24"/>
        <v>0</v>
      </c>
      <c r="AV66" s="98">
        <f t="array" ref="AV66">_xlfn.IFS(U66=0,AO66,U66&lt;0,AO66/-U66,U66&gt;0,AO66/U66)</f>
        <v>-0.70937461840383775</v>
      </c>
      <c r="AW66" s="234">
        <f t="shared" si="43"/>
        <v>0</v>
      </c>
      <c r="AX66" s="234">
        <f t="shared" si="44"/>
        <v>-7.2868476466752723E-3</v>
      </c>
      <c r="AY66" s="99"/>
      <c r="AZ66" s="94">
        <f t="shared" si="12"/>
        <v>-1.4187492368076755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5</v>
      </c>
      <c r="F67" s="93">
        <v>4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808.5</v>
      </c>
      <c r="M67" s="89">
        <v>18</v>
      </c>
      <c r="N67" s="89">
        <v>6</v>
      </c>
      <c r="O67" s="89">
        <v>1049</v>
      </c>
      <c r="P67" s="89">
        <v>100</v>
      </c>
      <c r="Q67" s="233">
        <f t="shared" si="13"/>
        <v>0.8571428571428571</v>
      </c>
      <c r="R67" s="92">
        <f t="shared" si="14"/>
        <v>0.2857142857142857</v>
      </c>
      <c r="S67" s="93">
        <v>2</v>
      </c>
      <c r="T67" s="93">
        <v>0</v>
      </c>
      <c r="U67" s="92">
        <f t="shared" si="15"/>
        <v>2</v>
      </c>
      <c r="V67" s="93">
        <v>1247</v>
      </c>
      <c r="W67" s="93">
        <v>0</v>
      </c>
      <c r="X67" s="92">
        <f t="shared" si="16"/>
        <v>1247</v>
      </c>
      <c r="Y67" s="93">
        <v>2066.5299999999997</v>
      </c>
      <c r="Z67" s="93">
        <v>0</v>
      </c>
      <c r="AA67" s="92">
        <f t="shared" si="17"/>
        <v>2066.5299999999997</v>
      </c>
      <c r="AB67" s="92">
        <f t="shared" si="18"/>
        <v>6294</v>
      </c>
      <c r="AC67" s="234">
        <f t="shared" si="19"/>
        <v>1.0985489052094434E-3</v>
      </c>
      <c r="AD67" s="92">
        <f t="shared" si="20"/>
        <v>323.39999999999998</v>
      </c>
      <c r="AE67" s="93">
        <v>768.95999999999958</v>
      </c>
      <c r="AF67" s="234">
        <f t="shared" si="21"/>
        <v>0.37210202610172594</v>
      </c>
      <c r="AG67" s="93">
        <v>87.86</v>
      </c>
      <c r="AH67" s="93"/>
      <c r="AI67" s="93"/>
      <c r="AJ67" s="93"/>
      <c r="AK67" s="93"/>
      <c r="AL67" s="122">
        <f t="shared" si="22"/>
        <v>0</v>
      </c>
      <c r="AM67" s="93">
        <v>0</v>
      </c>
      <c r="AN67" s="94">
        <f t="shared" si="23"/>
        <v>71.203699999999998</v>
      </c>
      <c r="AO67" s="95">
        <f t="shared" si="25"/>
        <v>815.10630000000003</v>
      </c>
      <c r="AP67" s="96"/>
      <c r="AQ67" s="97">
        <f t="shared" si="6"/>
        <v>1033.2649999999999</v>
      </c>
      <c r="AR67" s="98">
        <f t="shared" si="35"/>
        <v>161.69999999999999</v>
      </c>
      <c r="AS67" s="98">
        <f t="shared" si="8"/>
        <v>384.47999999999979</v>
      </c>
      <c r="AT67" s="98">
        <f t="shared" si="9"/>
        <v>43.93</v>
      </c>
      <c r="AU67" s="98">
        <f t="shared" si="24"/>
        <v>0</v>
      </c>
      <c r="AV67" s="98">
        <f t="array" ref="AV67">_xlfn.IFS(U67=0,AO67,U67&lt;0,AO67/-U67,U67&gt;0,AO67/U67)</f>
        <v>407.55315000000002</v>
      </c>
      <c r="AW67" s="234">
        <f t="shared" si="43"/>
        <v>0.39443235762364937</v>
      </c>
      <c r="AX67" s="234">
        <f t="shared" si="44"/>
        <v>2.520427643784787</v>
      </c>
      <c r="AY67" s="99"/>
      <c r="AZ67" s="94">
        <f t="shared" si="12"/>
        <v>2037.76575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6">N68/7</f>
        <v>0</v>
      </c>
      <c r="R68" s="92">
        <f t="shared" ref="R68:R103" si="47">U68/7</f>
        <v>0</v>
      </c>
      <c r="S68" s="93">
        <v>0</v>
      </c>
      <c r="T68" s="93">
        <v>0</v>
      </c>
      <c r="U68" s="92">
        <f t="shared" ref="U68:U103" si="48">S68+T68</f>
        <v>0</v>
      </c>
      <c r="V68" s="93">
        <v>0</v>
      </c>
      <c r="W68" s="93">
        <v>0</v>
      </c>
      <c r="X68" s="92">
        <f t="shared" ref="X68:X103" si="49">V68+W68</f>
        <v>0</v>
      </c>
      <c r="Y68" s="93">
        <v>0</v>
      </c>
      <c r="Z68" s="93">
        <v>0</v>
      </c>
      <c r="AA68" s="92">
        <f t="shared" ref="AA68:AA103" si="50">Y68+Z68</f>
        <v>0</v>
      </c>
      <c r="AB68" s="92">
        <f t="shared" ref="AB68:AB103" si="51">N68*O68*P68/100</f>
        <v>0</v>
      </c>
      <c r="AC68" s="234">
        <f t="shared" ref="AC68:AC103" si="52">AA68/$AA$126</f>
        <v>0</v>
      </c>
      <c r="AD68" s="92">
        <f t="shared" ref="AD68:AD103" si="53">U68*K68</f>
        <v>0</v>
      </c>
      <c r="AE68" s="93">
        <v>0</v>
      </c>
      <c r="AF68" s="234">
        <f t="shared" ref="AF68:AF103" si="54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5">IFERROR($AL$126*H68/$H$126,0)</f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6"/>
        <v>0</v>
      </c>
      <c r="AR68" s="98">
        <f t="shared" si="35"/>
        <v>161.69999999999999</v>
      </c>
      <c r="AS68" s="98">
        <f t="shared" si="8"/>
        <v>0</v>
      </c>
      <c r="AT68" s="98">
        <f t="shared" si="9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13</v>
      </c>
      <c r="F69" s="93" t="s">
        <v>100</v>
      </c>
      <c r="G69" s="93" t="s">
        <v>100</v>
      </c>
      <c r="H69" s="93">
        <v>12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999</v>
      </c>
      <c r="N69" s="89">
        <v>1</v>
      </c>
      <c r="O69" s="89">
        <v>998</v>
      </c>
      <c r="P69" s="89">
        <v>0</v>
      </c>
      <c r="Q69" s="233">
        <f t="shared" si="46"/>
        <v>0.14285714285714285</v>
      </c>
      <c r="R69" s="92">
        <f t="shared" si="47"/>
        <v>0</v>
      </c>
      <c r="S69" s="93">
        <v>1</v>
      </c>
      <c r="T69" s="93">
        <v>-1</v>
      </c>
      <c r="U69" s="92">
        <f t="shared" si="48"/>
        <v>0</v>
      </c>
      <c r="V69" s="93">
        <v>640</v>
      </c>
      <c r="W69" s="93">
        <v>-640</v>
      </c>
      <c r="X69" s="92">
        <f t="shared" si="49"/>
        <v>0</v>
      </c>
      <c r="Y69" s="93">
        <v>998</v>
      </c>
      <c r="Z69" s="93">
        <v>-998</v>
      </c>
      <c r="AA69" s="92">
        <f t="shared" si="50"/>
        <v>0</v>
      </c>
      <c r="AB69" s="92">
        <f t="shared" si="51"/>
        <v>0</v>
      </c>
      <c r="AC69" s="234">
        <f t="shared" si="52"/>
        <v>0</v>
      </c>
      <c r="AD69" s="92">
        <f t="shared" si="53"/>
        <v>0</v>
      </c>
      <c r="AE69" s="93">
        <v>0</v>
      </c>
      <c r="AF69" s="234">
        <f t="shared" si="54"/>
        <v>0</v>
      </c>
      <c r="AG69" s="93">
        <v>114.43</v>
      </c>
      <c r="AH69" s="93"/>
      <c r="AI69" s="93"/>
      <c r="AJ69" s="93"/>
      <c r="AK69" s="93"/>
      <c r="AL69" s="122">
        <f t="shared" si="55"/>
        <v>8.5124954208460526</v>
      </c>
      <c r="AM69" s="93">
        <v>0</v>
      </c>
      <c r="AN69" s="94">
        <f t="shared" si="56"/>
        <v>0</v>
      </c>
      <c r="AO69" s="95">
        <f t="shared" ref="AO69:AO103" si="57">AA69-AD69-AE69-AG69-AH69-AI69-AK69-AL69-AN69-AM69</f>
        <v>-122.94249542084606</v>
      </c>
      <c r="AP69" s="96"/>
      <c r="AQ69" s="97">
        <f t="shared" si="6"/>
        <v>0</v>
      </c>
      <c r="AR69" s="98">
        <f t="shared" si="35"/>
        <v>140.63999999999999</v>
      </c>
      <c r="AS69" s="98">
        <f t="shared" si="8"/>
        <v>0</v>
      </c>
      <c r="AT69" s="98">
        <f t="shared" si="9"/>
        <v>114.43</v>
      </c>
      <c r="AU69" s="98">
        <f t="shared" si="24"/>
        <v>0</v>
      </c>
      <c r="AV69" s="98">
        <f t="array" ref="AV69">_xlfn.IFS(U69=0,AO69,U69&lt;0,AO69/-U69,U69&gt;0,AO69/U69)</f>
        <v>-122.94249542084606</v>
      </c>
      <c r="AW69" s="234">
        <f t="shared" si="43"/>
        <v>0</v>
      </c>
      <c r="AX69" s="234">
        <f t="shared" si="44"/>
        <v>-0.87416450100146526</v>
      </c>
      <c r="AY69" s="99"/>
      <c r="AZ69" s="94">
        <f t="shared" si="12"/>
        <v>-1598.2524404709989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8</v>
      </c>
      <c r="F70" s="93">
        <v>1</v>
      </c>
      <c r="G70" s="93" t="s">
        <v>100</v>
      </c>
      <c r="H70" s="93">
        <v>6</v>
      </c>
      <c r="I70" s="93">
        <v>0</v>
      </c>
      <c r="J70" s="93">
        <v>1</v>
      </c>
      <c r="K70" s="93">
        <v>117.24</v>
      </c>
      <c r="L70" s="92">
        <f t="shared" si="42"/>
        <v>937.92</v>
      </c>
      <c r="M70" s="89">
        <v>57</v>
      </c>
      <c r="N70" s="89">
        <v>3</v>
      </c>
      <c r="O70" s="89">
        <v>1048</v>
      </c>
      <c r="P70" s="89">
        <v>50</v>
      </c>
      <c r="Q70" s="233">
        <f t="shared" si="46"/>
        <v>0.42857142857142855</v>
      </c>
      <c r="R70" s="92">
        <f t="shared" si="47"/>
        <v>0.14285714285714285</v>
      </c>
      <c r="S70" s="93">
        <v>1</v>
      </c>
      <c r="T70" s="93">
        <v>0</v>
      </c>
      <c r="U70" s="92">
        <f t="shared" si="48"/>
        <v>1</v>
      </c>
      <c r="V70" s="93">
        <v>658</v>
      </c>
      <c r="W70" s="93">
        <v>0</v>
      </c>
      <c r="X70" s="92">
        <f t="shared" si="49"/>
        <v>658</v>
      </c>
      <c r="Y70" s="93">
        <v>1048</v>
      </c>
      <c r="Z70" s="93">
        <v>0</v>
      </c>
      <c r="AA70" s="92">
        <f t="shared" si="50"/>
        <v>1048</v>
      </c>
      <c r="AB70" s="92">
        <f t="shared" si="51"/>
        <v>1572</v>
      </c>
      <c r="AC70" s="234">
        <f t="shared" si="52"/>
        <v>5.5710744710190361E-4</v>
      </c>
      <c r="AD70" s="92">
        <f t="shared" si="53"/>
        <v>117.24</v>
      </c>
      <c r="AE70" s="93">
        <v>390.79999999999995</v>
      </c>
      <c r="AF70" s="234">
        <f t="shared" si="54"/>
        <v>0.37290076335877859</v>
      </c>
      <c r="AG70" s="93">
        <v>244.54000000000002</v>
      </c>
      <c r="AH70" s="93"/>
      <c r="AI70" s="93"/>
      <c r="AJ70" s="93"/>
      <c r="AK70" s="93"/>
      <c r="AL70" s="122">
        <f t="shared" si="55"/>
        <v>4.2562477104230263</v>
      </c>
      <c r="AM70" s="93">
        <v>0</v>
      </c>
      <c r="AN70" s="94">
        <f t="shared" si="56"/>
        <v>37.571799999999996</v>
      </c>
      <c r="AO70" s="95">
        <f t="shared" si="57"/>
        <v>253.59195228957697</v>
      </c>
      <c r="AP70" s="96"/>
      <c r="AQ70" s="97">
        <f t="shared" si="6"/>
        <v>1048</v>
      </c>
      <c r="AR70" s="98">
        <f t="shared" si="35"/>
        <v>117.24</v>
      </c>
      <c r="AS70" s="98">
        <f t="shared" si="8"/>
        <v>390.79999999999995</v>
      </c>
      <c r="AT70" s="98">
        <f t="shared" si="9"/>
        <v>244.54000000000002</v>
      </c>
      <c r="AU70" s="98">
        <f t="shared" si="24"/>
        <v>0</v>
      </c>
      <c r="AV70" s="98">
        <f t="array" ref="AV70">_xlfn.IFS(U70=0,AO70,U70&lt;0,AO70/-U70,U70&gt;0,AO70/U70)</f>
        <v>253.59195228957697</v>
      </c>
      <c r="AW70" s="234">
        <f t="shared" si="43"/>
        <v>0.24197705371142841</v>
      </c>
      <c r="AX70" s="234">
        <f t="shared" si="44"/>
        <v>2.1630156285361393</v>
      </c>
      <c r="AY70" s="99"/>
      <c r="AZ70" s="94">
        <f t="shared" si="12"/>
        <v>2028.7356183166157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20</v>
      </c>
      <c r="F71" s="93">
        <v>5</v>
      </c>
      <c r="G71" s="93">
        <v>2</v>
      </c>
      <c r="H71" s="93">
        <v>12</v>
      </c>
      <c r="I71" s="93">
        <v>0</v>
      </c>
      <c r="J71" s="93">
        <v>1</v>
      </c>
      <c r="K71" s="93">
        <v>123.09</v>
      </c>
      <c r="L71" s="92">
        <f t="shared" si="42"/>
        <v>2461.8000000000002</v>
      </c>
      <c r="M71" s="89">
        <v>65</v>
      </c>
      <c r="N71" s="89">
        <v>5</v>
      </c>
      <c r="O71" s="89">
        <v>702</v>
      </c>
      <c r="P71" s="89">
        <v>0</v>
      </c>
      <c r="Q71" s="233">
        <f t="shared" si="46"/>
        <v>0.7142857142857143</v>
      </c>
      <c r="R71" s="92">
        <f t="shared" si="47"/>
        <v>0</v>
      </c>
      <c r="S71" s="93">
        <v>1</v>
      </c>
      <c r="T71" s="93">
        <v>-1</v>
      </c>
      <c r="U71" s="92">
        <f t="shared" si="48"/>
        <v>0</v>
      </c>
      <c r="V71" s="93">
        <v>460</v>
      </c>
      <c r="W71" s="93">
        <v>-460</v>
      </c>
      <c r="X71" s="92">
        <f t="shared" si="49"/>
        <v>0</v>
      </c>
      <c r="Y71" s="93">
        <v>702</v>
      </c>
      <c r="Z71" s="93">
        <v>-702</v>
      </c>
      <c r="AA71" s="92">
        <f t="shared" si="50"/>
        <v>0</v>
      </c>
      <c r="AB71" s="92">
        <f t="shared" si="51"/>
        <v>0</v>
      </c>
      <c r="AC71" s="234">
        <f t="shared" si="52"/>
        <v>0</v>
      </c>
      <c r="AD71" s="92">
        <f t="shared" si="53"/>
        <v>0</v>
      </c>
      <c r="AE71" s="93">
        <v>0</v>
      </c>
      <c r="AF71" s="234">
        <f t="shared" si="54"/>
        <v>0</v>
      </c>
      <c r="AG71" s="93">
        <v>403.56</v>
      </c>
      <c r="AH71" s="93"/>
      <c r="AI71" s="93"/>
      <c r="AJ71" s="93"/>
      <c r="AK71" s="93"/>
      <c r="AL71" s="122">
        <f t="shared" si="55"/>
        <v>8.5124954208460526</v>
      </c>
      <c r="AM71" s="93">
        <v>0</v>
      </c>
      <c r="AN71" s="94">
        <f t="shared" si="56"/>
        <v>0</v>
      </c>
      <c r="AO71" s="95">
        <f t="shared" si="57"/>
        <v>-412.07249542084605</v>
      </c>
      <c r="AP71" s="96"/>
      <c r="AQ71" s="97">
        <f t="shared" si="6"/>
        <v>0</v>
      </c>
      <c r="AR71" s="98">
        <f t="shared" si="35"/>
        <v>123.09</v>
      </c>
      <c r="AS71" s="98">
        <f t="shared" si="8"/>
        <v>0</v>
      </c>
      <c r="AT71" s="98">
        <f t="shared" si="9"/>
        <v>403.56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-412.07249542084605</v>
      </c>
      <c r="AW71" s="234">
        <f t="shared" si="43"/>
        <v>0</v>
      </c>
      <c r="AX71" s="234">
        <f t="shared" si="44"/>
        <v>-3.3477333286282072</v>
      </c>
      <c r="AY71" s="99"/>
      <c r="AZ71" s="94">
        <f t="shared" si="12"/>
        <v>-8241.449908416922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11</v>
      </c>
      <c r="F72" s="93">
        <v>4</v>
      </c>
      <c r="G72" s="93">
        <v>3</v>
      </c>
      <c r="H72" s="93">
        <v>3</v>
      </c>
      <c r="I72" s="93">
        <v>0</v>
      </c>
      <c r="J72" s="93">
        <v>1</v>
      </c>
      <c r="K72" s="93">
        <v>123.09</v>
      </c>
      <c r="L72" s="92">
        <f t="shared" si="42"/>
        <v>1353.99</v>
      </c>
      <c r="M72" s="89">
        <v>25</v>
      </c>
      <c r="N72" s="89">
        <v>8</v>
      </c>
      <c r="O72" s="89">
        <v>837</v>
      </c>
      <c r="P72" s="89">
        <v>25</v>
      </c>
      <c r="Q72" s="233">
        <f t="shared" si="46"/>
        <v>1.1428571428571428</v>
      </c>
      <c r="R72" s="92">
        <f t="shared" si="47"/>
        <v>0.2857142857142857</v>
      </c>
      <c r="S72" s="93">
        <v>2</v>
      </c>
      <c r="T72" s="93">
        <v>0</v>
      </c>
      <c r="U72" s="92">
        <f t="shared" si="48"/>
        <v>2</v>
      </c>
      <c r="V72" s="93">
        <v>1062</v>
      </c>
      <c r="W72" s="93">
        <v>0</v>
      </c>
      <c r="X72" s="92">
        <f t="shared" si="49"/>
        <v>1062</v>
      </c>
      <c r="Y72" s="93">
        <v>1674</v>
      </c>
      <c r="Z72" s="93">
        <v>0</v>
      </c>
      <c r="AA72" s="92">
        <f t="shared" si="50"/>
        <v>1674</v>
      </c>
      <c r="AB72" s="92">
        <f t="shared" si="51"/>
        <v>1674</v>
      </c>
      <c r="AC72" s="234">
        <f t="shared" si="52"/>
        <v>8.8988346035170484E-4</v>
      </c>
      <c r="AD72" s="92">
        <f t="shared" si="53"/>
        <v>246.18</v>
      </c>
      <c r="AE72" s="93">
        <v>628.43000000000006</v>
      </c>
      <c r="AF72" s="234">
        <f t="shared" si="54"/>
        <v>0.37540621266427721</v>
      </c>
      <c r="AG72" s="93">
        <v>881.64</v>
      </c>
      <c r="AH72" s="93"/>
      <c r="AI72" s="93"/>
      <c r="AJ72" s="93"/>
      <c r="AK72" s="93"/>
      <c r="AL72" s="122">
        <f t="shared" si="55"/>
        <v>2.1281238552115131</v>
      </c>
      <c r="AM72" s="93">
        <v>0</v>
      </c>
      <c r="AN72" s="94">
        <f t="shared" si="56"/>
        <v>60.6402</v>
      </c>
      <c r="AO72" s="95">
        <f t="shared" si="57"/>
        <v>-145.01832385521163</v>
      </c>
      <c r="AP72" s="96"/>
      <c r="AQ72" s="97">
        <f t="shared" si="6"/>
        <v>837</v>
      </c>
      <c r="AR72" s="98">
        <f t="shared" si="35"/>
        <v>123.09</v>
      </c>
      <c r="AS72" s="98">
        <f t="shared" si="8"/>
        <v>314.21500000000003</v>
      </c>
      <c r="AT72" s="98">
        <f t="shared" si="9"/>
        <v>440.82</v>
      </c>
      <c r="AU72" s="98">
        <f t="shared" si="58"/>
        <v>0</v>
      </c>
      <c r="AV72" s="98">
        <f t="array" ref="AV72">_xlfn.IFS(U72=0,AO72,U72&lt;0,AO72/-U72,U72&gt;0,AO72/U72)</f>
        <v>-72.509161927605817</v>
      </c>
      <c r="AW72" s="234">
        <f t="shared" si="43"/>
        <v>-8.6629823091524269E-2</v>
      </c>
      <c r="AX72" s="234">
        <f t="shared" si="44"/>
        <v>-0.58907435151194909</v>
      </c>
      <c r="AY72" s="99"/>
      <c r="AZ72" s="94">
        <f t="shared" si="12"/>
        <v>-797.60078120366393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12</v>
      </c>
      <c r="F73" s="93">
        <v>7</v>
      </c>
      <c r="G73" s="93">
        <v>1</v>
      </c>
      <c r="H73" s="93">
        <v>3</v>
      </c>
      <c r="I73" s="93">
        <v>0</v>
      </c>
      <c r="J73" s="93">
        <v>1</v>
      </c>
      <c r="K73" s="93">
        <v>123.09</v>
      </c>
      <c r="L73" s="92">
        <f t="shared" si="42"/>
        <v>1477.08</v>
      </c>
      <c r="M73" s="89">
        <v>25</v>
      </c>
      <c r="N73" s="89">
        <v>13</v>
      </c>
      <c r="O73" s="89">
        <v>807</v>
      </c>
      <c r="P73" s="89">
        <v>50</v>
      </c>
      <c r="Q73" s="233">
        <f t="shared" si="46"/>
        <v>1.8571428571428572</v>
      </c>
      <c r="R73" s="92">
        <f t="shared" si="47"/>
        <v>0.5714285714285714</v>
      </c>
      <c r="S73" s="93">
        <v>4</v>
      </c>
      <c r="T73" s="93">
        <v>0</v>
      </c>
      <c r="U73" s="92">
        <f t="shared" si="48"/>
        <v>4</v>
      </c>
      <c r="V73" s="93">
        <v>2184.7600000000002</v>
      </c>
      <c r="W73" s="93">
        <v>0</v>
      </c>
      <c r="X73" s="92">
        <f t="shared" si="49"/>
        <v>2184.7600000000002</v>
      </c>
      <c r="Y73" s="93">
        <v>3228.2799999999997</v>
      </c>
      <c r="Z73" s="93">
        <v>0</v>
      </c>
      <c r="AA73" s="92">
        <f t="shared" si="50"/>
        <v>3228.2799999999997</v>
      </c>
      <c r="AB73" s="92">
        <f t="shared" si="51"/>
        <v>5245.5</v>
      </c>
      <c r="AC73" s="234">
        <f t="shared" si="52"/>
        <v>1.7161248371470737E-3</v>
      </c>
      <c r="AD73" s="92">
        <f t="shared" si="53"/>
        <v>492.36</v>
      </c>
      <c r="AE73" s="93">
        <v>1202.3999999999996</v>
      </c>
      <c r="AF73" s="234">
        <f t="shared" si="54"/>
        <v>0.3724583988997236</v>
      </c>
      <c r="AG73" s="93">
        <v>673.38</v>
      </c>
      <c r="AH73" s="93"/>
      <c r="AI73" s="93"/>
      <c r="AJ73" s="93"/>
      <c r="AK73" s="93"/>
      <c r="AL73" s="122">
        <f t="shared" si="55"/>
        <v>2.1281238552115131</v>
      </c>
      <c r="AM73" s="93">
        <v>0</v>
      </c>
      <c r="AN73" s="94">
        <f t="shared" si="56"/>
        <v>124.749796</v>
      </c>
      <c r="AO73" s="95">
        <f t="shared" si="57"/>
        <v>733.26208014478857</v>
      </c>
      <c r="AP73" s="96"/>
      <c r="AQ73" s="97">
        <f t="shared" si="6"/>
        <v>807.06999999999994</v>
      </c>
      <c r="AR73" s="98">
        <f t="shared" si="35"/>
        <v>123.09</v>
      </c>
      <c r="AS73" s="98">
        <f t="shared" si="8"/>
        <v>300.59999999999991</v>
      </c>
      <c r="AT73" s="98">
        <f t="shared" si="9"/>
        <v>168.345</v>
      </c>
      <c r="AU73" s="98">
        <f t="shared" si="58"/>
        <v>0</v>
      </c>
      <c r="AV73" s="98">
        <f t="array" ref="AV73">_xlfn.IFS(U73=0,AO73,U73&lt;0,AO73/-U73,U73&gt;0,AO73/U73)</f>
        <v>183.31552003619714</v>
      </c>
      <c r="AW73" s="234">
        <f t="shared" si="43"/>
        <v>0.22713707613490422</v>
      </c>
      <c r="AX73" s="234">
        <f t="shared" si="44"/>
        <v>1.4892803642553996</v>
      </c>
      <c r="AY73" s="99"/>
      <c r="AZ73" s="94">
        <f t="shared" si="12"/>
        <v>2199.7862404343659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404.37</v>
      </c>
      <c r="M74" s="89">
        <v>17</v>
      </c>
      <c r="N74" s="89">
        <v>1</v>
      </c>
      <c r="O74" s="89">
        <v>781</v>
      </c>
      <c r="P74" s="89">
        <v>0</v>
      </c>
      <c r="Q74" s="233">
        <f t="shared" si="46"/>
        <v>0.14285714285714285</v>
      </c>
      <c r="R74" s="92">
        <f t="shared" si="47"/>
        <v>0</v>
      </c>
      <c r="S74" s="93">
        <v>0</v>
      </c>
      <c r="T74" s="93">
        <v>0</v>
      </c>
      <c r="U74" s="92">
        <f t="shared" si="48"/>
        <v>0</v>
      </c>
      <c r="V74" s="93">
        <v>0</v>
      </c>
      <c r="W74" s="93">
        <v>0</v>
      </c>
      <c r="X74" s="92">
        <f t="shared" si="49"/>
        <v>0</v>
      </c>
      <c r="Y74" s="93">
        <v>0</v>
      </c>
      <c r="Z74" s="93">
        <v>0</v>
      </c>
      <c r="AA74" s="92">
        <f t="shared" si="50"/>
        <v>0</v>
      </c>
      <c r="AB74" s="92">
        <f t="shared" si="51"/>
        <v>0</v>
      </c>
      <c r="AC74" s="234">
        <f t="shared" si="52"/>
        <v>0</v>
      </c>
      <c r="AD74" s="92">
        <f t="shared" si="53"/>
        <v>0</v>
      </c>
      <c r="AE74" s="93">
        <v>0</v>
      </c>
      <c r="AF74" s="234">
        <f t="shared" si="54"/>
        <v>0</v>
      </c>
      <c r="AG74" s="93">
        <v>93.5</v>
      </c>
      <c r="AH74" s="93"/>
      <c r="AI74" s="93"/>
      <c r="AJ74" s="93"/>
      <c r="AK74" s="93"/>
      <c r="AL74" s="122">
        <f t="shared" si="55"/>
        <v>0</v>
      </c>
      <c r="AM74" s="93">
        <v>0</v>
      </c>
      <c r="AN74" s="94">
        <f t="shared" si="56"/>
        <v>0</v>
      </c>
      <c r="AO74" s="95">
        <f t="shared" si="57"/>
        <v>-93.5</v>
      </c>
      <c r="AP74" s="96"/>
      <c r="AQ74" s="97">
        <f t="shared" si="6"/>
        <v>0</v>
      </c>
      <c r="AR74" s="98">
        <f t="shared" si="35"/>
        <v>134.79</v>
      </c>
      <c r="AS74" s="98">
        <f t="shared" si="8"/>
        <v>0</v>
      </c>
      <c r="AT74" s="98">
        <f t="shared" si="9"/>
        <v>93.5</v>
      </c>
      <c r="AU74" s="98">
        <f t="shared" si="58"/>
        <v>0</v>
      </c>
      <c r="AV74" s="98">
        <f t="array" ref="AV74">_xlfn.IFS(U74=0,AO74,U74&lt;0,AO74/-U74,U74&gt;0,AO74/U74)</f>
        <v>-93.5</v>
      </c>
      <c r="AW74" s="234">
        <f t="shared" si="43"/>
        <v>0</v>
      </c>
      <c r="AX74" s="234">
        <f t="shared" si="44"/>
        <v>-0.69367163736182214</v>
      </c>
      <c r="AY74" s="99"/>
      <c r="AZ74" s="94">
        <f t="shared" si="12"/>
        <v>-280.5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2"/>
        <v>4313.28</v>
      </c>
      <c r="M75" s="89">
        <v>999</v>
      </c>
      <c r="N75" s="89">
        <v>0</v>
      </c>
      <c r="O75" s="89">
        <v>0</v>
      </c>
      <c r="P75" s="89">
        <v>0</v>
      </c>
      <c r="Q75" s="233">
        <f t="shared" si="46"/>
        <v>0</v>
      </c>
      <c r="R75" s="92">
        <f t="shared" si="47"/>
        <v>0</v>
      </c>
      <c r="S75" s="93">
        <v>0</v>
      </c>
      <c r="T75" s="93">
        <v>0</v>
      </c>
      <c r="U75" s="92">
        <f t="shared" si="48"/>
        <v>0</v>
      </c>
      <c r="V75" s="93">
        <v>0</v>
      </c>
      <c r="W75" s="93">
        <v>0</v>
      </c>
      <c r="X75" s="92">
        <f t="shared" si="49"/>
        <v>0</v>
      </c>
      <c r="Y75" s="93">
        <v>0</v>
      </c>
      <c r="Z75" s="93">
        <v>0</v>
      </c>
      <c r="AA75" s="92">
        <f t="shared" si="50"/>
        <v>0</v>
      </c>
      <c r="AB75" s="92">
        <f t="shared" si="51"/>
        <v>0</v>
      </c>
      <c r="AC75" s="234">
        <f t="shared" si="52"/>
        <v>0</v>
      </c>
      <c r="AD75" s="92">
        <f t="shared" si="53"/>
        <v>0</v>
      </c>
      <c r="AE75" s="93">
        <v>0</v>
      </c>
      <c r="AF75" s="234">
        <f t="shared" si="54"/>
        <v>0</v>
      </c>
      <c r="AG75" s="93">
        <v>0</v>
      </c>
      <c r="AH75" s="93"/>
      <c r="AI75" s="93"/>
      <c r="AJ75" s="93"/>
      <c r="AK75" s="93"/>
      <c r="AL75" s="122">
        <f t="shared" si="55"/>
        <v>0</v>
      </c>
      <c r="AM75" s="93">
        <v>0</v>
      </c>
      <c r="AN75" s="94">
        <f t="shared" si="56"/>
        <v>0</v>
      </c>
      <c r="AO75" s="95">
        <f t="shared" si="57"/>
        <v>0</v>
      </c>
      <c r="AP75" s="96"/>
      <c r="AQ75" s="97">
        <f t="shared" si="6"/>
        <v>0</v>
      </c>
      <c r="AR75" s="98">
        <f t="shared" si="35"/>
        <v>134.79</v>
      </c>
      <c r="AS75" s="98">
        <f t="shared" si="8"/>
        <v>0</v>
      </c>
      <c r="AT75" s="98">
        <f t="shared" si="9"/>
        <v>0</v>
      </c>
      <c r="AU75" s="98">
        <f t="shared" si="58"/>
        <v>0</v>
      </c>
      <c r="AV75" s="98">
        <f t="array" ref="AV75">_xlfn.IFS(U75=0,AO75,U75&lt;0,AO75/-U75,U75&gt;0,AO75/U75)</f>
        <v>0</v>
      </c>
      <c r="AW75" s="234">
        <f t="shared" si="43"/>
        <v>0</v>
      </c>
      <c r="AX75" s="234">
        <f t="shared" si="44"/>
        <v>0</v>
      </c>
      <c r="AY75" s="99"/>
      <c r="AZ75" s="94">
        <f t="shared" si="12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51</v>
      </c>
      <c r="F76" s="93">
        <v>2</v>
      </c>
      <c r="G76" s="93" t="s">
        <v>100</v>
      </c>
      <c r="H76" s="93">
        <v>48</v>
      </c>
      <c r="I76" s="93">
        <v>0</v>
      </c>
      <c r="J76" s="93">
        <v>1</v>
      </c>
      <c r="K76" s="93">
        <v>123.09</v>
      </c>
      <c r="L76" s="92">
        <f t="shared" si="42"/>
        <v>6277.59</v>
      </c>
      <c r="M76" s="89">
        <v>742</v>
      </c>
      <c r="N76" s="89">
        <v>2</v>
      </c>
      <c r="O76" s="89">
        <v>1050</v>
      </c>
      <c r="P76" s="89">
        <v>0</v>
      </c>
      <c r="Q76" s="233">
        <f t="shared" si="46"/>
        <v>0.2857142857142857</v>
      </c>
      <c r="R76" s="92">
        <f t="shared" si="47"/>
        <v>0</v>
      </c>
      <c r="S76" s="93">
        <v>0</v>
      </c>
      <c r="T76" s="93">
        <v>0</v>
      </c>
      <c r="U76" s="92">
        <f t="shared" si="48"/>
        <v>0</v>
      </c>
      <c r="V76" s="93">
        <v>0</v>
      </c>
      <c r="W76" s="93">
        <v>0</v>
      </c>
      <c r="X76" s="92">
        <f t="shared" si="49"/>
        <v>0</v>
      </c>
      <c r="Y76" s="93">
        <v>0</v>
      </c>
      <c r="Z76" s="93">
        <v>0</v>
      </c>
      <c r="AA76" s="92">
        <f t="shared" si="50"/>
        <v>0</v>
      </c>
      <c r="AB76" s="92">
        <f t="shared" si="51"/>
        <v>0</v>
      </c>
      <c r="AC76" s="234">
        <f t="shared" si="52"/>
        <v>0</v>
      </c>
      <c r="AD76" s="92">
        <f t="shared" si="53"/>
        <v>0</v>
      </c>
      <c r="AE76" s="93">
        <v>0</v>
      </c>
      <c r="AF76" s="234">
        <f t="shared" si="54"/>
        <v>0</v>
      </c>
      <c r="AG76" s="93">
        <v>216</v>
      </c>
      <c r="AH76" s="93"/>
      <c r="AI76" s="93"/>
      <c r="AJ76" s="93"/>
      <c r="AK76" s="93"/>
      <c r="AL76" s="122">
        <f t="shared" si="55"/>
        <v>34.04998168338421</v>
      </c>
      <c r="AM76" s="93">
        <v>0</v>
      </c>
      <c r="AN76" s="94">
        <f t="shared" si="56"/>
        <v>0</v>
      </c>
      <c r="AO76" s="95">
        <f t="shared" si="57"/>
        <v>-250.0499816833842</v>
      </c>
      <c r="AP76" s="96"/>
      <c r="AQ76" s="97">
        <f t="shared" si="6"/>
        <v>0</v>
      </c>
      <c r="AR76" s="98">
        <f t="shared" si="35"/>
        <v>123.09</v>
      </c>
      <c r="AS76" s="98">
        <f t="shared" si="8"/>
        <v>0</v>
      </c>
      <c r="AT76" s="98">
        <f t="shared" si="9"/>
        <v>216</v>
      </c>
      <c r="AU76" s="98">
        <f t="shared" si="58"/>
        <v>0</v>
      </c>
      <c r="AV76" s="98">
        <f t="array" ref="AV76">_xlfn.IFS(U76=0,AO76,U76&lt;0,AO76/-U76,U76&gt;0,AO76/U76)</f>
        <v>-250.0499816833842</v>
      </c>
      <c r="AW76" s="234">
        <f t="shared" si="43"/>
        <v>0</v>
      </c>
      <c r="AX76" s="234">
        <f t="shared" si="44"/>
        <v>-2.0314402606498025</v>
      </c>
      <c r="AY76" s="99"/>
      <c r="AZ76" s="94">
        <f t="shared" si="12"/>
        <v>-12752.549065852594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46"/>
        <v>0</v>
      </c>
      <c r="R77" s="92">
        <f t="shared" si="47"/>
        <v>0</v>
      </c>
      <c r="S77" s="93">
        <v>0</v>
      </c>
      <c r="T77" s="93">
        <v>0</v>
      </c>
      <c r="U77" s="92">
        <f t="shared" si="48"/>
        <v>0</v>
      </c>
      <c r="V77" s="93">
        <v>0</v>
      </c>
      <c r="W77" s="93">
        <v>0</v>
      </c>
      <c r="X77" s="92">
        <f t="shared" si="49"/>
        <v>0</v>
      </c>
      <c r="Y77" s="93">
        <v>0</v>
      </c>
      <c r="Z77" s="93">
        <v>0</v>
      </c>
      <c r="AA77" s="92">
        <f t="shared" si="50"/>
        <v>0</v>
      </c>
      <c r="AB77" s="92">
        <f t="shared" si="51"/>
        <v>0</v>
      </c>
      <c r="AC77" s="234">
        <f t="shared" si="52"/>
        <v>0</v>
      </c>
      <c r="AD77" s="92">
        <f t="shared" si="53"/>
        <v>0</v>
      </c>
      <c r="AE77" s="93">
        <v>0</v>
      </c>
      <c r="AF77" s="234">
        <f t="shared" si="54"/>
        <v>0</v>
      </c>
      <c r="AG77" s="93">
        <v>0</v>
      </c>
      <c r="AH77" s="93"/>
      <c r="AI77" s="93"/>
      <c r="AJ77" s="93"/>
      <c r="AK77" s="93"/>
      <c r="AL77" s="122">
        <f t="shared" si="55"/>
        <v>27.665610117749669</v>
      </c>
      <c r="AM77" s="93">
        <v>0</v>
      </c>
      <c r="AN77" s="94">
        <f t="shared" si="56"/>
        <v>0</v>
      </c>
      <c r="AO77" s="95">
        <f t="shared" si="57"/>
        <v>-27.665610117749669</v>
      </c>
      <c r="AP77" s="96"/>
      <c r="AQ77" s="97">
        <f t="shared" si="6"/>
        <v>0</v>
      </c>
      <c r="AR77" s="98">
        <f t="shared" si="35"/>
        <v>123.09</v>
      </c>
      <c r="AS77" s="98">
        <f t="shared" si="8"/>
        <v>0</v>
      </c>
      <c r="AT77" s="98">
        <f t="shared" si="9"/>
        <v>0</v>
      </c>
      <c r="AU77" s="98">
        <f t="shared" si="58"/>
        <v>0</v>
      </c>
      <c r="AV77" s="98">
        <f t="array" ref="AV77">_xlfn.IFS(U77=0,AO77,U77&lt;0,AO77/-U77,U77&gt;0,AO77/U77)</f>
        <v>-27.665610117749669</v>
      </c>
      <c r="AW77" s="234">
        <f t="shared" si="43"/>
        <v>0</v>
      </c>
      <c r="AX77" s="234">
        <f t="shared" si="44"/>
        <v>-0.22475920154155227</v>
      </c>
      <c r="AY77" s="99"/>
      <c r="AZ77" s="94">
        <f t="shared" si="12"/>
        <v>-1189.6212350632356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28</v>
      </c>
      <c r="F78" s="93">
        <v>2</v>
      </c>
      <c r="G78" s="93">
        <v>1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2"/>
        <v>3446.52</v>
      </c>
      <c r="M78" s="89">
        <v>131</v>
      </c>
      <c r="N78" s="89">
        <v>2</v>
      </c>
      <c r="O78" s="89">
        <v>1150</v>
      </c>
      <c r="P78" s="89">
        <v>0</v>
      </c>
      <c r="Q78" s="233">
        <f t="shared" si="46"/>
        <v>0.2857142857142857</v>
      </c>
      <c r="R78" s="92">
        <f t="shared" si="47"/>
        <v>0</v>
      </c>
      <c r="S78" s="93">
        <v>0</v>
      </c>
      <c r="T78" s="93">
        <v>0</v>
      </c>
      <c r="U78" s="92">
        <f t="shared" si="48"/>
        <v>0</v>
      </c>
      <c r="V78" s="93">
        <v>0</v>
      </c>
      <c r="W78" s="93">
        <v>0</v>
      </c>
      <c r="X78" s="92">
        <f t="shared" si="49"/>
        <v>0</v>
      </c>
      <c r="Y78" s="93">
        <v>0</v>
      </c>
      <c r="Z78" s="93">
        <v>0</v>
      </c>
      <c r="AA78" s="92">
        <f t="shared" si="50"/>
        <v>0</v>
      </c>
      <c r="AB78" s="92">
        <f t="shared" si="51"/>
        <v>0</v>
      </c>
      <c r="AC78" s="234">
        <f t="shared" si="52"/>
        <v>0</v>
      </c>
      <c r="AD78" s="92">
        <f t="shared" si="53"/>
        <v>0</v>
      </c>
      <c r="AE78" s="93">
        <v>0</v>
      </c>
      <c r="AF78" s="234">
        <f t="shared" si="54"/>
        <v>0</v>
      </c>
      <c r="AG78" s="93">
        <v>310.08</v>
      </c>
      <c r="AH78" s="93"/>
      <c r="AI78" s="93"/>
      <c r="AJ78" s="93"/>
      <c r="AK78" s="93"/>
      <c r="AL78" s="122">
        <f t="shared" si="55"/>
        <v>17.024990841692105</v>
      </c>
      <c r="AM78" s="93">
        <v>0</v>
      </c>
      <c r="AN78" s="94">
        <f t="shared" si="56"/>
        <v>0</v>
      </c>
      <c r="AO78" s="95">
        <f t="shared" si="57"/>
        <v>-327.10499084169209</v>
      </c>
      <c r="AP78" s="96"/>
      <c r="AQ78" s="97">
        <f t="shared" si="6"/>
        <v>0</v>
      </c>
      <c r="AR78" s="98">
        <f t="shared" si="35"/>
        <v>123.09</v>
      </c>
      <c r="AS78" s="98">
        <f t="shared" si="8"/>
        <v>0</v>
      </c>
      <c r="AT78" s="98">
        <f t="shared" si="9"/>
        <v>310.08</v>
      </c>
      <c r="AU78" s="98">
        <f t="shared" si="58"/>
        <v>0</v>
      </c>
      <c r="AV78" s="98">
        <f t="array" ref="AV78">_xlfn.IFS(U78=0,AO78,U78&lt;0,AO78/-U78,U78&gt;0,AO78/U78)</f>
        <v>-327.10499084169209</v>
      </c>
      <c r="AW78" s="234">
        <f t="shared" si="43"/>
        <v>0</v>
      </c>
      <c r="AX78" s="234">
        <f t="shared" si="44"/>
        <v>-2.6574456969834435</v>
      </c>
      <c r="AY78" s="99"/>
      <c r="AZ78" s="94">
        <f t="shared" si="12"/>
        <v>-9158.9397435673782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1</v>
      </c>
      <c r="G79" s="93" t="s">
        <v>100</v>
      </c>
      <c r="H79" s="93">
        <v>48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999</v>
      </c>
      <c r="N79" s="89">
        <v>2</v>
      </c>
      <c r="O79" s="89">
        <v>1500</v>
      </c>
      <c r="P79" s="89">
        <v>100</v>
      </c>
      <c r="Q79" s="233">
        <f t="shared" si="46"/>
        <v>0.2857142857142857</v>
      </c>
      <c r="R79" s="92">
        <f t="shared" si="47"/>
        <v>0.14285714285714285</v>
      </c>
      <c r="S79" s="93">
        <v>1</v>
      </c>
      <c r="T79" s="93">
        <v>0</v>
      </c>
      <c r="U79" s="92">
        <f t="shared" si="48"/>
        <v>1</v>
      </c>
      <c r="V79" s="93">
        <v>941</v>
      </c>
      <c r="W79" s="93">
        <v>0</v>
      </c>
      <c r="X79" s="92">
        <f t="shared" si="49"/>
        <v>941</v>
      </c>
      <c r="Y79" s="93">
        <v>1500</v>
      </c>
      <c r="Z79" s="93">
        <v>0</v>
      </c>
      <c r="AA79" s="92">
        <f t="shared" si="50"/>
        <v>1500</v>
      </c>
      <c r="AB79" s="92">
        <f t="shared" si="51"/>
        <v>3000</v>
      </c>
      <c r="AC79" s="234">
        <f t="shared" si="52"/>
        <v>7.9738661321837351E-4</v>
      </c>
      <c r="AD79" s="92">
        <f t="shared" si="53"/>
        <v>164.04</v>
      </c>
      <c r="AE79" s="93">
        <v>548.98</v>
      </c>
      <c r="AF79" s="234">
        <f t="shared" si="54"/>
        <v>0.36598666666666668</v>
      </c>
      <c r="AG79" s="93">
        <v>58.58</v>
      </c>
      <c r="AH79" s="93"/>
      <c r="AI79" s="93"/>
      <c r="AJ79" s="93"/>
      <c r="AK79" s="93"/>
      <c r="AL79" s="122">
        <f t="shared" si="55"/>
        <v>34.04998168338421</v>
      </c>
      <c r="AM79" s="93">
        <v>0</v>
      </c>
      <c r="AN79" s="94">
        <f t="shared" si="56"/>
        <v>53.731099999999998</v>
      </c>
      <c r="AO79" s="95">
        <f t="shared" si="57"/>
        <v>640.6189183166158</v>
      </c>
      <c r="AP79" s="96"/>
      <c r="AQ79" s="97">
        <f t="shared" si="6"/>
        <v>1500</v>
      </c>
      <c r="AR79" s="98">
        <f t="shared" si="35"/>
        <v>164.04</v>
      </c>
      <c r="AS79" s="98">
        <f t="shared" si="8"/>
        <v>548.98</v>
      </c>
      <c r="AT79" s="98">
        <f t="shared" si="9"/>
        <v>58.58</v>
      </c>
      <c r="AU79" s="98">
        <f t="shared" si="58"/>
        <v>0</v>
      </c>
      <c r="AV79" s="98">
        <f t="array" ref="AV79">_xlfn.IFS(U79=0,AO79,U79&lt;0,AO79/-U79,U79&gt;0,AO79/U79)</f>
        <v>640.6189183166158</v>
      </c>
      <c r="AW79" s="234">
        <f t="shared" si="43"/>
        <v>0.42707927887774388</v>
      </c>
      <c r="AX79" s="234">
        <f t="shared" si="44"/>
        <v>3.9052604140247245</v>
      </c>
      <c r="AY79" s="99"/>
      <c r="AZ79" s="94">
        <f t="shared" si="12"/>
        <v>32030.945915830791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48</v>
      </c>
      <c r="F80" s="93">
        <v>1</v>
      </c>
      <c r="G80" s="93">
        <v>3</v>
      </c>
      <c r="H80" s="93">
        <v>43</v>
      </c>
      <c r="I80" s="93">
        <v>0</v>
      </c>
      <c r="J80" s="93">
        <v>1</v>
      </c>
      <c r="K80" s="93">
        <v>164.04</v>
      </c>
      <c r="L80" s="92">
        <f t="shared" si="42"/>
        <v>7873.92</v>
      </c>
      <c r="M80" s="89">
        <v>175</v>
      </c>
      <c r="N80" s="89">
        <v>5</v>
      </c>
      <c r="O80" s="89">
        <v>1155</v>
      </c>
      <c r="P80" s="89">
        <v>33</v>
      </c>
      <c r="Q80" s="233">
        <f t="shared" si="46"/>
        <v>0.7142857142857143</v>
      </c>
      <c r="R80" s="92">
        <f t="shared" si="47"/>
        <v>0.2857142857142857</v>
      </c>
      <c r="S80" s="93">
        <v>2</v>
      </c>
      <c r="T80" s="93">
        <v>0</v>
      </c>
      <c r="U80" s="92">
        <f t="shared" si="48"/>
        <v>2</v>
      </c>
      <c r="V80" s="93">
        <v>1629.21</v>
      </c>
      <c r="W80" s="93">
        <v>0</v>
      </c>
      <c r="X80" s="92">
        <f t="shared" si="49"/>
        <v>1629.21</v>
      </c>
      <c r="Y80" s="93">
        <v>2415.6</v>
      </c>
      <c r="Z80" s="93">
        <v>0</v>
      </c>
      <c r="AA80" s="92">
        <f t="shared" si="50"/>
        <v>2415.6</v>
      </c>
      <c r="AB80" s="92">
        <f t="shared" si="51"/>
        <v>1905.75</v>
      </c>
      <c r="AC80" s="234">
        <f t="shared" si="52"/>
        <v>1.2841114019268686E-3</v>
      </c>
      <c r="AD80" s="92">
        <f t="shared" si="53"/>
        <v>328.08</v>
      </c>
      <c r="AE80" s="93">
        <v>895.33999999999992</v>
      </c>
      <c r="AF80" s="234">
        <f t="shared" si="54"/>
        <v>0.37064911409173701</v>
      </c>
      <c r="AG80" s="93">
        <v>992.56000000000006</v>
      </c>
      <c r="AH80" s="93">
        <v>95</v>
      </c>
      <c r="AI80" s="93">
        <v>2174</v>
      </c>
      <c r="AJ80" s="93"/>
      <c r="AK80" s="93"/>
      <c r="AL80" s="122">
        <f t="shared" si="55"/>
        <v>30.50310859136502</v>
      </c>
      <c r="AM80" s="93">
        <v>0</v>
      </c>
      <c r="AN80" s="94">
        <f t="shared" si="56"/>
        <v>93.027890999999997</v>
      </c>
      <c r="AO80" s="95">
        <f t="shared" si="57"/>
        <v>-2192.9109995913655</v>
      </c>
      <c r="AP80" s="96"/>
      <c r="AQ80" s="97">
        <f t="shared" si="6"/>
        <v>1207.8</v>
      </c>
      <c r="AR80" s="98">
        <f t="shared" si="35"/>
        <v>164.04</v>
      </c>
      <c r="AS80" s="98">
        <f t="shared" si="8"/>
        <v>447.66999999999996</v>
      </c>
      <c r="AT80" s="98">
        <f t="shared" si="9"/>
        <v>496.28000000000003</v>
      </c>
      <c r="AU80" s="98">
        <f t="shared" si="58"/>
        <v>1134.5</v>
      </c>
      <c r="AV80" s="98">
        <f t="array" ref="AV80">_xlfn.IFS(U80=0,AO80,U80&lt;0,AO80/-U80,U80&gt;0,AO80/U80)</f>
        <v>-1096.4554997956827</v>
      </c>
      <c r="AW80" s="234">
        <f t="shared" si="43"/>
        <v>-0.90781213760198942</v>
      </c>
      <c r="AX80" s="234">
        <f t="shared" si="44"/>
        <v>-6.6840740050943843</v>
      </c>
      <c r="AY80" s="99"/>
      <c r="AZ80" s="94">
        <f t="shared" si="12"/>
        <v>-52629.863990192767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44</v>
      </c>
      <c r="F81" s="93">
        <v>11</v>
      </c>
      <c r="G81" s="93">
        <v>4</v>
      </c>
      <c r="H81" s="93">
        <v>28</v>
      </c>
      <c r="I81" s="93">
        <v>0</v>
      </c>
      <c r="J81" s="93">
        <v>1</v>
      </c>
      <c r="K81" s="93">
        <v>128.94</v>
      </c>
      <c r="L81" s="92">
        <f t="shared" si="42"/>
        <v>5673.36</v>
      </c>
      <c r="M81" s="89">
        <v>55</v>
      </c>
      <c r="N81" s="89">
        <v>20</v>
      </c>
      <c r="O81" s="89">
        <v>1172</v>
      </c>
      <c r="P81" s="89">
        <v>20</v>
      </c>
      <c r="Q81" s="233">
        <f t="shared" si="46"/>
        <v>2.8571428571428572</v>
      </c>
      <c r="R81" s="92">
        <f t="shared" si="47"/>
        <v>0.5714285714285714</v>
      </c>
      <c r="S81" s="93">
        <v>5</v>
      </c>
      <c r="T81" s="93">
        <v>-1</v>
      </c>
      <c r="U81" s="92">
        <f t="shared" si="48"/>
        <v>4</v>
      </c>
      <c r="V81" s="93">
        <v>3828</v>
      </c>
      <c r="W81" s="93">
        <v>-798</v>
      </c>
      <c r="X81" s="92">
        <f t="shared" si="49"/>
        <v>3030</v>
      </c>
      <c r="Y81" s="93">
        <v>6147</v>
      </c>
      <c r="Z81" s="93">
        <v>-1271</v>
      </c>
      <c r="AA81" s="92">
        <f t="shared" si="50"/>
        <v>4876</v>
      </c>
      <c r="AB81" s="92">
        <f t="shared" si="51"/>
        <v>4688</v>
      </c>
      <c r="AC81" s="234">
        <f t="shared" si="52"/>
        <v>2.5920380840351929E-3</v>
      </c>
      <c r="AD81" s="92">
        <f t="shared" si="53"/>
        <v>515.76</v>
      </c>
      <c r="AE81" s="93">
        <v>1801.2599999999998</v>
      </c>
      <c r="AF81" s="234">
        <f t="shared" si="54"/>
        <v>0.36941345365053319</v>
      </c>
      <c r="AG81" s="93">
        <v>1603.8599999999994</v>
      </c>
      <c r="AH81" s="93">
        <v>1513</v>
      </c>
      <c r="AI81" s="93">
        <v>3000</v>
      </c>
      <c r="AJ81" s="93"/>
      <c r="AK81" s="93"/>
      <c r="AL81" s="122">
        <f t="shared" si="55"/>
        <v>19.862489315307457</v>
      </c>
      <c r="AM81" s="93">
        <v>0</v>
      </c>
      <c r="AN81" s="94">
        <f t="shared" si="56"/>
        <v>173.01300000000001</v>
      </c>
      <c r="AO81" s="95">
        <f t="shared" si="57"/>
        <v>-3750.7554893153065</v>
      </c>
      <c r="AP81" s="96"/>
      <c r="AQ81" s="97">
        <f t="shared" si="6"/>
        <v>1219</v>
      </c>
      <c r="AR81" s="98">
        <f t="shared" si="35"/>
        <v>128.94</v>
      </c>
      <c r="AS81" s="98">
        <f t="shared" si="8"/>
        <v>450.31499999999994</v>
      </c>
      <c r="AT81" s="98">
        <f t="shared" si="9"/>
        <v>320.77199999999988</v>
      </c>
      <c r="AU81" s="98">
        <f t="shared" si="58"/>
        <v>902.6</v>
      </c>
      <c r="AV81" s="98">
        <f t="array" ref="AV81">_xlfn.IFS(U81=0,AO81,U81&lt;0,AO81/-U81,U81&gt;0,AO81/U81)</f>
        <v>-937.68887232882662</v>
      </c>
      <c r="AW81" s="234">
        <f t="shared" si="43"/>
        <v>-0.76922795104907848</v>
      </c>
      <c r="AX81" s="234">
        <f t="shared" si="44"/>
        <v>-7.2722884467878597</v>
      </c>
      <c r="AY81" s="99"/>
      <c r="AZ81" s="94">
        <f t="shared" si="12"/>
        <v>-41258.310382468371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725</v>
      </c>
      <c r="N82" s="89">
        <v>0</v>
      </c>
      <c r="O82" s="89">
        <v>0</v>
      </c>
      <c r="P82" s="89">
        <v>0</v>
      </c>
      <c r="Q82" s="233">
        <f t="shared" si="46"/>
        <v>0</v>
      </c>
      <c r="R82" s="92">
        <f t="shared" si="47"/>
        <v>0.14285714285714285</v>
      </c>
      <c r="S82" s="93">
        <v>1</v>
      </c>
      <c r="T82" s="93">
        <v>0</v>
      </c>
      <c r="U82" s="92">
        <f t="shared" si="48"/>
        <v>1</v>
      </c>
      <c r="V82" s="93">
        <v>801</v>
      </c>
      <c r="W82" s="93">
        <v>0</v>
      </c>
      <c r="X82" s="92">
        <f t="shared" si="49"/>
        <v>801</v>
      </c>
      <c r="Y82" s="93">
        <v>1174</v>
      </c>
      <c r="Z82" s="93">
        <v>0</v>
      </c>
      <c r="AA82" s="92">
        <f t="shared" si="50"/>
        <v>1174</v>
      </c>
      <c r="AB82" s="92">
        <f t="shared" si="51"/>
        <v>0</v>
      </c>
      <c r="AC82" s="234">
        <f t="shared" si="52"/>
        <v>6.2408792261224697E-4</v>
      </c>
      <c r="AD82" s="92">
        <f t="shared" si="53"/>
        <v>128.94</v>
      </c>
      <c r="AE82" s="93">
        <v>434.85</v>
      </c>
      <c r="AF82" s="234">
        <f t="shared" si="54"/>
        <v>0.3704003407155026</v>
      </c>
      <c r="AG82" s="93">
        <v>166</v>
      </c>
      <c r="AH82" s="93"/>
      <c r="AI82" s="93"/>
      <c r="AJ82" s="93"/>
      <c r="AK82" s="93"/>
      <c r="AL82" s="122">
        <f t="shared" si="55"/>
        <v>34.04998168338421</v>
      </c>
      <c r="AM82" s="93">
        <v>0</v>
      </c>
      <c r="AN82" s="94">
        <f t="shared" si="56"/>
        <v>45.737099999999998</v>
      </c>
      <c r="AO82" s="95">
        <f t="shared" si="57"/>
        <v>364.42291831661572</v>
      </c>
      <c r="AP82" s="96"/>
      <c r="AQ82" s="97">
        <f t="shared" si="6"/>
        <v>1174</v>
      </c>
      <c r="AR82" s="98">
        <f t="shared" si="35"/>
        <v>128.94</v>
      </c>
      <c r="AS82" s="98">
        <f t="shared" si="8"/>
        <v>434.85</v>
      </c>
      <c r="AT82" s="98">
        <f t="shared" si="9"/>
        <v>166</v>
      </c>
      <c r="AU82" s="98">
        <f t="shared" si="58"/>
        <v>0</v>
      </c>
      <c r="AV82" s="98">
        <f t="array" ref="AV82">_xlfn.IFS(U82=0,AO82,U82&lt;0,AO82/-U82,U82&gt;0,AO82/U82)</f>
        <v>364.42291831661572</v>
      </c>
      <c r="AW82" s="234">
        <f t="shared" si="43"/>
        <v>0.3104113443923473</v>
      </c>
      <c r="AX82" s="234">
        <f t="shared" si="44"/>
        <v>2.8262984203243038</v>
      </c>
      <c r="AY82" s="99"/>
      <c r="AZ82" s="94">
        <f t="shared" si="12"/>
        <v>17856.722997514171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50</v>
      </c>
      <c r="F83" s="93">
        <v>1</v>
      </c>
      <c r="G83" s="93" t="s">
        <v>100</v>
      </c>
      <c r="H83" s="93">
        <v>48</v>
      </c>
      <c r="I83" s="93">
        <v>0</v>
      </c>
      <c r="J83" s="93">
        <v>1</v>
      </c>
      <c r="K83" s="93">
        <v>123.09</v>
      </c>
      <c r="L83" s="92">
        <f t="shared" si="42"/>
        <v>6154.5</v>
      </c>
      <c r="M83" s="89">
        <v>733</v>
      </c>
      <c r="N83" s="89">
        <v>2</v>
      </c>
      <c r="O83" s="89">
        <v>1375</v>
      </c>
      <c r="P83" s="89">
        <v>0</v>
      </c>
      <c r="Q83" s="233">
        <f t="shared" si="46"/>
        <v>0.2857142857142857</v>
      </c>
      <c r="R83" s="92">
        <f t="shared" si="47"/>
        <v>0</v>
      </c>
      <c r="S83" s="93">
        <v>0</v>
      </c>
      <c r="T83" s="93">
        <v>0</v>
      </c>
      <c r="U83" s="92">
        <f t="shared" si="48"/>
        <v>0</v>
      </c>
      <c r="V83" s="93">
        <v>0</v>
      </c>
      <c r="W83" s="93">
        <v>0</v>
      </c>
      <c r="X83" s="92">
        <f t="shared" si="49"/>
        <v>0</v>
      </c>
      <c r="Y83" s="93">
        <v>0</v>
      </c>
      <c r="Z83" s="93">
        <v>0</v>
      </c>
      <c r="AA83" s="92">
        <f t="shared" si="50"/>
        <v>0</v>
      </c>
      <c r="AB83" s="92">
        <f t="shared" si="51"/>
        <v>0</v>
      </c>
      <c r="AC83" s="234">
        <f t="shared" si="52"/>
        <v>0</v>
      </c>
      <c r="AD83" s="92">
        <f t="shared" si="53"/>
        <v>0</v>
      </c>
      <c r="AE83" s="93">
        <v>0</v>
      </c>
      <c r="AF83" s="234">
        <f t="shared" si="54"/>
        <v>0</v>
      </c>
      <c r="AG83" s="93">
        <v>108.58</v>
      </c>
      <c r="AH83" s="93"/>
      <c r="AI83" s="93"/>
      <c r="AJ83" s="93"/>
      <c r="AK83" s="93"/>
      <c r="AL83" s="122">
        <f t="shared" si="55"/>
        <v>34.04998168338421</v>
      </c>
      <c r="AM83" s="93">
        <v>0</v>
      </c>
      <c r="AN83" s="94">
        <f t="shared" si="56"/>
        <v>0</v>
      </c>
      <c r="AO83" s="95">
        <f t="shared" si="57"/>
        <v>-142.62998168338422</v>
      </c>
      <c r="AP83" s="96"/>
      <c r="AQ83" s="97">
        <f t="shared" si="6"/>
        <v>0</v>
      </c>
      <c r="AR83" s="98">
        <f t="shared" si="35"/>
        <v>123.09</v>
      </c>
      <c r="AS83" s="98">
        <f t="shared" si="8"/>
        <v>0</v>
      </c>
      <c r="AT83" s="98">
        <f t="shared" si="9"/>
        <v>108.58</v>
      </c>
      <c r="AU83" s="98">
        <f t="shared" si="58"/>
        <v>0</v>
      </c>
      <c r="AV83" s="98">
        <f t="array" ref="AV83">_xlfn.IFS(U83=0,AO83,U83&lt;0,AO83/-U83,U83&gt;0,AO83/U83)</f>
        <v>-142.62998168338422</v>
      </c>
      <c r="AW83" s="234">
        <f t="shared" si="43"/>
        <v>0</v>
      </c>
      <c r="AX83" s="234">
        <f t="shared" si="44"/>
        <v>-1.1587454844697718</v>
      </c>
      <c r="AY83" s="99"/>
      <c r="AZ83" s="94">
        <f t="shared" si="12"/>
        <v>-7131.4990841692106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 t="s">
        <v>100</v>
      </c>
      <c r="G84" s="93">
        <v>1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6"/>
        <v>0</v>
      </c>
      <c r="R84" s="92">
        <f t="shared" si="47"/>
        <v>0</v>
      </c>
      <c r="S84" s="93">
        <v>0</v>
      </c>
      <c r="T84" s="93">
        <v>0</v>
      </c>
      <c r="U84" s="92">
        <f t="shared" si="48"/>
        <v>0</v>
      </c>
      <c r="V84" s="93">
        <v>0</v>
      </c>
      <c r="W84" s="93">
        <v>0</v>
      </c>
      <c r="X84" s="92">
        <f t="shared" si="49"/>
        <v>0</v>
      </c>
      <c r="Y84" s="93">
        <v>0</v>
      </c>
      <c r="Z84" s="93">
        <v>0</v>
      </c>
      <c r="AA84" s="92">
        <f t="shared" si="50"/>
        <v>0</v>
      </c>
      <c r="AB84" s="92">
        <f t="shared" si="51"/>
        <v>0</v>
      </c>
      <c r="AC84" s="234">
        <f t="shared" si="52"/>
        <v>0</v>
      </c>
      <c r="AD84" s="92">
        <f t="shared" si="53"/>
        <v>0</v>
      </c>
      <c r="AE84" s="93">
        <v>0</v>
      </c>
      <c r="AF84" s="234">
        <f t="shared" si="54"/>
        <v>0</v>
      </c>
      <c r="AG84" s="93">
        <v>108</v>
      </c>
      <c r="AH84" s="93"/>
      <c r="AI84" s="93"/>
      <c r="AJ84" s="93"/>
      <c r="AK84" s="93"/>
      <c r="AL84" s="122">
        <f t="shared" si="55"/>
        <v>33.340607064980375</v>
      </c>
      <c r="AM84" s="93">
        <v>0</v>
      </c>
      <c r="AN84" s="94">
        <f t="shared" si="56"/>
        <v>0</v>
      </c>
      <c r="AO84" s="95">
        <f t="shared" si="57"/>
        <v>-141.34060706498036</v>
      </c>
      <c r="AP84" s="96"/>
      <c r="AQ84" s="97">
        <f t="shared" si="6"/>
        <v>0</v>
      </c>
      <c r="AR84" s="98">
        <f t="shared" si="35"/>
        <v>146.49</v>
      </c>
      <c r="AS84" s="98">
        <f t="shared" si="8"/>
        <v>0</v>
      </c>
      <c r="AT84" s="98">
        <f t="shared" si="9"/>
        <v>108</v>
      </c>
      <c r="AU84" s="98">
        <f t="shared" si="58"/>
        <v>0</v>
      </c>
      <c r="AV84" s="98">
        <f t="array" ref="AV84">_xlfn.IFS(U84=0,AO84,U84&lt;0,AO84/-U84,U84&gt;0,AO84/U84)</f>
        <v>-141.34060706498036</v>
      </c>
      <c r="AW84" s="234">
        <f t="shared" si="43"/>
        <v>0</v>
      </c>
      <c r="AX84" s="234">
        <f t="shared" si="44"/>
        <v>-0.96484816072756063</v>
      </c>
      <c r="AY84" s="99"/>
      <c r="AZ84" s="94">
        <f t="shared" si="12"/>
        <v>-6925.6897461840381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44</v>
      </c>
      <c r="F85" s="93">
        <v>5</v>
      </c>
      <c r="G85" s="93">
        <v>6</v>
      </c>
      <c r="H85" s="93">
        <v>32</v>
      </c>
      <c r="I85" s="93">
        <v>0</v>
      </c>
      <c r="J85" s="93">
        <v>1</v>
      </c>
      <c r="K85" s="93">
        <v>103.2</v>
      </c>
      <c r="L85" s="92">
        <f t="shared" si="42"/>
        <v>4540.8</v>
      </c>
      <c r="M85" s="89">
        <v>99</v>
      </c>
      <c r="N85" s="89">
        <v>7</v>
      </c>
      <c r="O85" s="89">
        <v>1008</v>
      </c>
      <c r="P85" s="89">
        <v>0</v>
      </c>
      <c r="Q85" s="233">
        <f t="shared" si="46"/>
        <v>1</v>
      </c>
      <c r="R85" s="92">
        <f t="shared" si="47"/>
        <v>0</v>
      </c>
      <c r="S85" s="93">
        <v>1</v>
      </c>
      <c r="T85" s="93">
        <v>-1</v>
      </c>
      <c r="U85" s="92">
        <f t="shared" si="48"/>
        <v>0</v>
      </c>
      <c r="V85" s="93">
        <v>688</v>
      </c>
      <c r="W85" s="93">
        <v>-804</v>
      </c>
      <c r="X85" s="92">
        <f t="shared" si="49"/>
        <v>-116</v>
      </c>
      <c r="Y85" s="93">
        <v>1008</v>
      </c>
      <c r="Z85" s="93">
        <v>-1008</v>
      </c>
      <c r="AA85" s="92">
        <f t="shared" si="50"/>
        <v>0</v>
      </c>
      <c r="AB85" s="92">
        <f t="shared" si="51"/>
        <v>0</v>
      </c>
      <c r="AC85" s="234">
        <f t="shared" si="52"/>
        <v>0</v>
      </c>
      <c r="AD85" s="92">
        <f t="shared" si="53"/>
        <v>0</v>
      </c>
      <c r="AE85" s="93">
        <v>-18.339999999999918</v>
      </c>
      <c r="AF85" s="234">
        <f t="shared" si="54"/>
        <v>0</v>
      </c>
      <c r="AG85" s="93">
        <v>912.26</v>
      </c>
      <c r="AH85" s="93"/>
      <c r="AI85" s="93"/>
      <c r="AJ85" s="93"/>
      <c r="AK85" s="93"/>
      <c r="AL85" s="122">
        <f t="shared" si="55"/>
        <v>22.699987788922808</v>
      </c>
      <c r="AM85" s="93">
        <v>0</v>
      </c>
      <c r="AN85" s="94">
        <f t="shared" si="56"/>
        <v>-6.6235999999999997</v>
      </c>
      <c r="AO85" s="95">
        <f t="shared" si="57"/>
        <v>-909.9963877889229</v>
      </c>
      <c r="AP85" s="96"/>
      <c r="AQ85" s="97">
        <f t="shared" si="6"/>
        <v>0</v>
      </c>
      <c r="AR85" s="98">
        <f t="shared" si="35"/>
        <v>103.2</v>
      </c>
      <c r="AS85" s="98">
        <f t="shared" si="8"/>
        <v>0</v>
      </c>
      <c r="AT85" s="98">
        <f t="shared" si="9"/>
        <v>912.26</v>
      </c>
      <c r="AU85" s="98">
        <f t="shared" si="58"/>
        <v>0</v>
      </c>
      <c r="AV85" s="98">
        <f t="array" ref="AV85">_xlfn.IFS(U85=0,AO85,U85&lt;0,AO85/-U85,U85&gt;0,AO85/U85)</f>
        <v>-909.9963877889229</v>
      </c>
      <c r="AW85" s="234">
        <f t="shared" si="43"/>
        <v>0</v>
      </c>
      <c r="AX85" s="234">
        <f t="shared" si="44"/>
        <v>-8.8177944553190208</v>
      </c>
      <c r="AY85" s="99"/>
      <c r="AZ85" s="94">
        <f t="shared" si="12"/>
        <v>-40039.841062712607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48</v>
      </c>
      <c r="F86" s="93" t="s">
        <v>100</v>
      </c>
      <c r="G86" s="93">
        <v>1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7200</v>
      </c>
      <c r="M86" s="89">
        <v>481</v>
      </c>
      <c r="N86" s="89">
        <v>2</v>
      </c>
      <c r="O86" s="89">
        <v>1392</v>
      </c>
      <c r="P86" s="89">
        <v>50</v>
      </c>
      <c r="Q86" s="233">
        <f t="shared" si="46"/>
        <v>0.2857142857142857</v>
      </c>
      <c r="R86" s="92">
        <f t="shared" si="47"/>
        <v>0.14285714285714285</v>
      </c>
      <c r="S86" s="93">
        <v>1</v>
      </c>
      <c r="T86" s="93">
        <v>0</v>
      </c>
      <c r="U86" s="92">
        <f t="shared" si="48"/>
        <v>1</v>
      </c>
      <c r="V86" s="93">
        <v>861</v>
      </c>
      <c r="W86" s="93">
        <v>0</v>
      </c>
      <c r="X86" s="92">
        <f t="shared" si="49"/>
        <v>861</v>
      </c>
      <c r="Y86" s="93">
        <v>1392</v>
      </c>
      <c r="Z86" s="93">
        <v>0</v>
      </c>
      <c r="AA86" s="92">
        <f t="shared" si="50"/>
        <v>1392</v>
      </c>
      <c r="AB86" s="92">
        <f t="shared" si="51"/>
        <v>1392</v>
      </c>
      <c r="AC86" s="234">
        <f t="shared" si="52"/>
        <v>7.3997477706665062E-4</v>
      </c>
      <c r="AD86" s="92">
        <f t="shared" si="53"/>
        <v>150</v>
      </c>
      <c r="AE86" s="93">
        <v>509.19000000000005</v>
      </c>
      <c r="AF86" s="234">
        <f t="shared" si="54"/>
        <v>0.36579741379310349</v>
      </c>
      <c r="AG86" s="93">
        <v>173.01</v>
      </c>
      <c r="AH86" s="93"/>
      <c r="AI86" s="93"/>
      <c r="AJ86" s="93"/>
      <c r="AK86" s="93"/>
      <c r="AL86" s="122">
        <f t="shared" si="55"/>
        <v>32.631232446576533</v>
      </c>
      <c r="AM86" s="93">
        <v>0</v>
      </c>
      <c r="AN86" s="94">
        <f t="shared" si="56"/>
        <v>49.1631</v>
      </c>
      <c r="AO86" s="95">
        <f t="shared" si="57"/>
        <v>478.00566755342345</v>
      </c>
      <c r="AP86" s="96"/>
      <c r="AQ86" s="97">
        <f t="shared" si="6"/>
        <v>1392</v>
      </c>
      <c r="AR86" s="98">
        <f t="shared" si="35"/>
        <v>150</v>
      </c>
      <c r="AS86" s="98">
        <f t="shared" si="8"/>
        <v>509.19000000000005</v>
      </c>
      <c r="AT86" s="98">
        <f t="shared" si="9"/>
        <v>173.01</v>
      </c>
      <c r="AU86" s="98">
        <f t="shared" si="58"/>
        <v>0</v>
      </c>
      <c r="AV86" s="98">
        <f t="array" ref="AV86">_xlfn.IFS(U86=0,AO86,U86&lt;0,AO86/-U86,U86&gt;0,AO86/U86)</f>
        <v>478.00566755342345</v>
      </c>
      <c r="AW86" s="234">
        <f t="shared" si="43"/>
        <v>0.34339487611596514</v>
      </c>
      <c r="AX86" s="234">
        <f t="shared" si="44"/>
        <v>3.1867044503561561</v>
      </c>
      <c r="AY86" s="99"/>
      <c r="AZ86" s="94">
        <f t="shared" si="12"/>
        <v>22944.272042564327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47</v>
      </c>
      <c r="F87" s="93">
        <v>3</v>
      </c>
      <c r="G87" s="93">
        <v>1</v>
      </c>
      <c r="H87" s="93">
        <v>42</v>
      </c>
      <c r="I87" s="93">
        <v>0</v>
      </c>
      <c r="J87" s="93">
        <v>1</v>
      </c>
      <c r="K87" s="93">
        <v>150</v>
      </c>
      <c r="L87" s="92">
        <f t="shared" si="42"/>
        <v>7050</v>
      </c>
      <c r="M87" s="89">
        <v>342</v>
      </c>
      <c r="N87" s="89">
        <v>4</v>
      </c>
      <c r="O87" s="89">
        <v>1353</v>
      </c>
      <c r="P87" s="89">
        <v>50</v>
      </c>
      <c r="Q87" s="233">
        <f t="shared" si="46"/>
        <v>0.5714285714285714</v>
      </c>
      <c r="R87" s="92">
        <f t="shared" si="47"/>
        <v>0.14285714285714285</v>
      </c>
      <c r="S87" s="93">
        <v>1</v>
      </c>
      <c r="T87" s="93">
        <v>0</v>
      </c>
      <c r="U87" s="92">
        <f t="shared" si="48"/>
        <v>1</v>
      </c>
      <c r="V87" s="93">
        <v>830</v>
      </c>
      <c r="W87" s="93">
        <v>0</v>
      </c>
      <c r="X87" s="92">
        <f t="shared" si="49"/>
        <v>830</v>
      </c>
      <c r="Y87" s="93">
        <v>1353</v>
      </c>
      <c r="Z87" s="93">
        <v>0</v>
      </c>
      <c r="AA87" s="92">
        <f t="shared" si="50"/>
        <v>1353</v>
      </c>
      <c r="AB87" s="92">
        <f t="shared" si="51"/>
        <v>2706</v>
      </c>
      <c r="AC87" s="234">
        <f t="shared" si="52"/>
        <v>7.1924272512297288E-4</v>
      </c>
      <c r="AD87" s="92">
        <f t="shared" si="53"/>
        <v>150</v>
      </c>
      <c r="AE87" s="93">
        <v>494.78</v>
      </c>
      <c r="AF87" s="234">
        <f t="shared" si="54"/>
        <v>0.36569105691056908</v>
      </c>
      <c r="AG87" s="93">
        <v>222.6</v>
      </c>
      <c r="AH87" s="93"/>
      <c r="AI87" s="93">
        <v>2000</v>
      </c>
      <c r="AJ87" s="93"/>
      <c r="AK87" s="93"/>
      <c r="AL87" s="122">
        <f t="shared" si="55"/>
        <v>29.793733972961185</v>
      </c>
      <c r="AM87" s="93">
        <v>0</v>
      </c>
      <c r="AN87" s="94">
        <f t="shared" si="56"/>
        <v>47.393000000000001</v>
      </c>
      <c r="AO87" s="95">
        <f t="shared" si="57"/>
        <v>-1591.5667339729614</v>
      </c>
      <c r="AP87" s="96"/>
      <c r="AQ87" s="97">
        <f t="shared" si="6"/>
        <v>1353</v>
      </c>
      <c r="AR87" s="98">
        <f t="shared" si="35"/>
        <v>150</v>
      </c>
      <c r="AS87" s="98">
        <f t="shared" si="8"/>
        <v>494.78</v>
      </c>
      <c r="AT87" s="98">
        <f t="shared" si="9"/>
        <v>222.6</v>
      </c>
      <c r="AU87" s="98">
        <f t="shared" si="58"/>
        <v>2000</v>
      </c>
      <c r="AV87" s="98">
        <f t="array" ref="AV87">_xlfn.IFS(U87=0,AO87,U87&lt;0,AO87/-U87,U87&gt;0,AO87/U87)</f>
        <v>-1591.5667339729614</v>
      </c>
      <c r="AW87" s="234">
        <f t="shared" si="43"/>
        <v>-1.1763242675336005</v>
      </c>
      <c r="AX87" s="234">
        <f t="shared" si="44"/>
        <v>-10.610444893153076</v>
      </c>
      <c r="AY87" s="99"/>
      <c r="AZ87" s="94">
        <f t="shared" si="12"/>
        <v>-74803.636496729188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21</v>
      </c>
      <c r="F88" s="93">
        <v>10</v>
      </c>
      <c r="G88" s="93">
        <v>2</v>
      </c>
      <c r="H88" s="93">
        <v>8</v>
      </c>
      <c r="I88" s="93">
        <v>0</v>
      </c>
      <c r="J88" s="93">
        <v>1</v>
      </c>
      <c r="K88" s="93">
        <v>150</v>
      </c>
      <c r="L88" s="92">
        <f t="shared" si="42"/>
        <v>3150</v>
      </c>
      <c r="M88" s="89">
        <v>33</v>
      </c>
      <c r="N88" s="89">
        <v>10</v>
      </c>
      <c r="O88" s="89">
        <v>1257</v>
      </c>
      <c r="P88" s="89">
        <v>100</v>
      </c>
      <c r="Q88" s="233">
        <f t="shared" si="46"/>
        <v>1.4285714285714286</v>
      </c>
      <c r="R88" s="92">
        <f t="shared" si="47"/>
        <v>0.7142857142857143</v>
      </c>
      <c r="S88" s="93">
        <v>5</v>
      </c>
      <c r="T88" s="93">
        <v>0</v>
      </c>
      <c r="U88" s="92">
        <f t="shared" si="48"/>
        <v>5</v>
      </c>
      <c r="V88" s="93">
        <v>3850</v>
      </c>
      <c r="W88" s="93">
        <v>0</v>
      </c>
      <c r="X88" s="92">
        <f t="shared" si="49"/>
        <v>3850</v>
      </c>
      <c r="Y88" s="93">
        <v>6222.29</v>
      </c>
      <c r="Z88" s="93">
        <v>0</v>
      </c>
      <c r="AA88" s="92">
        <f t="shared" si="50"/>
        <v>6222.29</v>
      </c>
      <c r="AB88" s="92">
        <f t="shared" si="51"/>
        <v>12570</v>
      </c>
      <c r="AC88" s="234">
        <f t="shared" si="52"/>
        <v>3.3077138330417019E-3</v>
      </c>
      <c r="AD88" s="92">
        <f t="shared" si="53"/>
        <v>750</v>
      </c>
      <c r="AE88" s="93">
        <v>2313.3500000000004</v>
      </c>
      <c r="AF88" s="234">
        <f t="shared" si="54"/>
        <v>0.37178434306340596</v>
      </c>
      <c r="AG88" s="93">
        <v>1071.58</v>
      </c>
      <c r="AH88" s="93">
        <v>1</v>
      </c>
      <c r="AI88" s="93">
        <v>1</v>
      </c>
      <c r="AJ88" s="93"/>
      <c r="AK88" s="93"/>
      <c r="AL88" s="122">
        <f t="shared" si="55"/>
        <v>5.674996947230702</v>
      </c>
      <c r="AM88" s="93">
        <v>0</v>
      </c>
      <c r="AN88" s="94">
        <f t="shared" si="56"/>
        <v>219.83499999999998</v>
      </c>
      <c r="AO88" s="95">
        <f t="shared" si="57"/>
        <v>1859.8500030527689</v>
      </c>
      <c r="AP88" s="96"/>
      <c r="AQ88" s="97">
        <f t="shared" si="6"/>
        <v>1244.4580000000001</v>
      </c>
      <c r="AR88" s="98">
        <f t="shared" si="35"/>
        <v>150</v>
      </c>
      <c r="AS88" s="98">
        <f t="shared" si="8"/>
        <v>462.67000000000007</v>
      </c>
      <c r="AT88" s="98">
        <f t="shared" si="9"/>
        <v>214.31599999999997</v>
      </c>
      <c r="AU88" s="98">
        <f t="shared" si="58"/>
        <v>0.4</v>
      </c>
      <c r="AV88" s="98">
        <f t="array" ref="AV88">_xlfn.IFS(U88=0,AO88,U88&lt;0,AO88/-U88,U88&gt;0,AO88/U88)</f>
        <v>371.97000061055377</v>
      </c>
      <c r="AW88" s="234">
        <f t="shared" si="43"/>
        <v>0.29890120888816957</v>
      </c>
      <c r="AX88" s="234">
        <f t="shared" si="44"/>
        <v>2.4798000040703583</v>
      </c>
      <c r="AY88" s="99"/>
      <c r="AZ88" s="94">
        <f t="shared" si="12"/>
        <v>7811.3700128216287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45</v>
      </c>
      <c r="F89" s="93">
        <v>2</v>
      </c>
      <c r="G89" s="93">
        <v>1</v>
      </c>
      <c r="H89" s="93">
        <v>41</v>
      </c>
      <c r="I89" s="93">
        <v>0</v>
      </c>
      <c r="J89" s="93">
        <v>1</v>
      </c>
      <c r="K89" s="93">
        <v>169.89</v>
      </c>
      <c r="L89" s="92">
        <f t="shared" si="42"/>
        <v>7645.0499999999993</v>
      </c>
      <c r="M89" s="89">
        <v>269</v>
      </c>
      <c r="N89" s="89">
        <v>5</v>
      </c>
      <c r="O89" s="89">
        <v>1504</v>
      </c>
      <c r="P89" s="89">
        <v>50</v>
      </c>
      <c r="Q89" s="233">
        <f t="shared" si="46"/>
        <v>0.7142857142857143</v>
      </c>
      <c r="R89" s="92">
        <f t="shared" si="47"/>
        <v>0.14285714285714285</v>
      </c>
      <c r="S89" s="93">
        <v>1</v>
      </c>
      <c r="T89" s="93">
        <v>0</v>
      </c>
      <c r="U89" s="92">
        <f t="shared" si="48"/>
        <v>1</v>
      </c>
      <c r="V89" s="93">
        <v>959</v>
      </c>
      <c r="W89" s="93">
        <v>0</v>
      </c>
      <c r="X89" s="92">
        <f t="shared" si="49"/>
        <v>959</v>
      </c>
      <c r="Y89" s="93">
        <v>1504</v>
      </c>
      <c r="Z89" s="93">
        <v>0</v>
      </c>
      <c r="AA89" s="92">
        <f t="shared" si="50"/>
        <v>1504</v>
      </c>
      <c r="AB89" s="92">
        <f t="shared" si="51"/>
        <v>3760</v>
      </c>
      <c r="AC89" s="234">
        <f t="shared" si="52"/>
        <v>7.9951297752028916E-4</v>
      </c>
      <c r="AD89" s="92">
        <f t="shared" si="53"/>
        <v>169.89</v>
      </c>
      <c r="AE89" s="93">
        <v>550.77</v>
      </c>
      <c r="AF89" s="234">
        <f t="shared" si="54"/>
        <v>0.36620345744680849</v>
      </c>
      <c r="AG89" s="93">
        <v>351.65999999999997</v>
      </c>
      <c r="AH89" s="93"/>
      <c r="AI89" s="93"/>
      <c r="AJ89" s="93"/>
      <c r="AK89" s="93"/>
      <c r="AL89" s="122">
        <f t="shared" si="55"/>
        <v>29.084359354557346</v>
      </c>
      <c r="AM89" s="93">
        <v>0</v>
      </c>
      <c r="AN89" s="94">
        <f t="shared" si="56"/>
        <v>54.758899999999997</v>
      </c>
      <c r="AO89" s="95">
        <f t="shared" si="57"/>
        <v>347.83674064544283</v>
      </c>
      <c r="AP89" s="96"/>
      <c r="AQ89" s="97">
        <f t="shared" si="6"/>
        <v>1504</v>
      </c>
      <c r="AR89" s="98">
        <f t="shared" si="35"/>
        <v>169.89</v>
      </c>
      <c r="AS89" s="98">
        <f t="shared" si="8"/>
        <v>550.77</v>
      </c>
      <c r="AT89" s="98">
        <f t="shared" si="9"/>
        <v>351.65999999999997</v>
      </c>
      <c r="AU89" s="98">
        <f t="shared" si="58"/>
        <v>0</v>
      </c>
      <c r="AV89" s="98">
        <f t="array" ref="AV89">_xlfn.IFS(U89=0,AO89,U89&lt;0,AO89/-U89,U89&gt;0,AO89/U89)</f>
        <v>347.83674064544283</v>
      </c>
      <c r="AW89" s="234">
        <f t="shared" si="43"/>
        <v>0.23127442862064018</v>
      </c>
      <c r="AX89" s="234">
        <f t="shared" si="44"/>
        <v>2.0474232776822818</v>
      </c>
      <c r="AY89" s="99"/>
      <c r="AZ89" s="94">
        <f t="shared" si="12"/>
        <v>15652.653329044928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6"/>
        <v>0</v>
      </c>
      <c r="R90" s="92">
        <f t="shared" si="47"/>
        <v>0</v>
      </c>
      <c r="S90" s="93">
        <v>0</v>
      </c>
      <c r="T90" s="93">
        <v>0</v>
      </c>
      <c r="U90" s="92">
        <f t="shared" si="48"/>
        <v>0</v>
      </c>
      <c r="V90" s="93">
        <v>0</v>
      </c>
      <c r="W90" s="93">
        <v>0</v>
      </c>
      <c r="X90" s="92">
        <f t="shared" si="49"/>
        <v>0</v>
      </c>
      <c r="Y90" s="93">
        <v>0</v>
      </c>
      <c r="Z90" s="93">
        <v>0</v>
      </c>
      <c r="AA90" s="92">
        <f t="shared" si="50"/>
        <v>0</v>
      </c>
      <c r="AB90" s="92">
        <f t="shared" si="51"/>
        <v>0</v>
      </c>
      <c r="AC90" s="234">
        <f t="shared" si="52"/>
        <v>0</v>
      </c>
      <c r="AD90" s="92">
        <f t="shared" si="53"/>
        <v>0</v>
      </c>
      <c r="AE90" s="93">
        <v>0</v>
      </c>
      <c r="AF90" s="234">
        <f t="shared" si="54"/>
        <v>0</v>
      </c>
      <c r="AG90" s="93">
        <v>0</v>
      </c>
      <c r="AH90" s="93"/>
      <c r="AI90" s="93"/>
      <c r="AJ90" s="93"/>
      <c r="AK90" s="93"/>
      <c r="AL90" s="122">
        <f t="shared" si="55"/>
        <v>35.468730920191888</v>
      </c>
      <c r="AM90" s="93">
        <v>0</v>
      </c>
      <c r="AN90" s="94">
        <f t="shared" si="56"/>
        <v>0</v>
      </c>
      <c r="AO90" s="95">
        <f t="shared" si="57"/>
        <v>-35.468730920191888</v>
      </c>
      <c r="AP90" s="96"/>
      <c r="AQ90" s="97">
        <f t="shared" si="6"/>
        <v>0</v>
      </c>
      <c r="AR90" s="98">
        <f t="shared" si="35"/>
        <v>107.88</v>
      </c>
      <c r="AS90" s="98">
        <f t="shared" si="8"/>
        <v>0</v>
      </c>
      <c r="AT90" s="98">
        <f t="shared" si="9"/>
        <v>0</v>
      </c>
      <c r="AU90" s="98">
        <f t="shared" si="58"/>
        <v>0</v>
      </c>
      <c r="AV90" s="98">
        <f t="array" ref="AV90">_xlfn.IFS(U90=0,AO90,U90&lt;0,AO90/-U90,U90&gt;0,AO90/U90)</f>
        <v>-35.468730920191888</v>
      </c>
      <c r="AW90" s="234">
        <f t="shared" si="43"/>
        <v>0</v>
      </c>
      <c r="AX90" s="234">
        <f t="shared" si="44"/>
        <v>-0.32877948572665822</v>
      </c>
      <c r="AY90" s="99"/>
      <c r="AZ90" s="94">
        <f t="shared" si="12"/>
        <v>-1808.9052769297864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43</v>
      </c>
      <c r="F91" s="93">
        <v>7</v>
      </c>
      <c r="G91" s="93" t="s">
        <v>100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2"/>
        <v>4035.1200000000003</v>
      </c>
      <c r="M91" s="89">
        <v>116</v>
      </c>
      <c r="N91" s="89">
        <v>7</v>
      </c>
      <c r="O91" s="89">
        <v>1075</v>
      </c>
      <c r="P91" s="89">
        <v>0</v>
      </c>
      <c r="Q91" s="233">
        <f t="shared" si="46"/>
        <v>1</v>
      </c>
      <c r="R91" s="92">
        <f t="shared" si="47"/>
        <v>0</v>
      </c>
      <c r="S91" s="93">
        <v>0</v>
      </c>
      <c r="T91" s="93">
        <v>0</v>
      </c>
      <c r="U91" s="92">
        <f t="shared" si="48"/>
        <v>0</v>
      </c>
      <c r="V91" s="93">
        <v>0</v>
      </c>
      <c r="W91" s="93">
        <v>0</v>
      </c>
      <c r="X91" s="92">
        <f t="shared" si="49"/>
        <v>0</v>
      </c>
      <c r="Y91" s="93">
        <v>0</v>
      </c>
      <c r="Z91" s="93">
        <v>0</v>
      </c>
      <c r="AA91" s="92">
        <f t="shared" si="50"/>
        <v>0</v>
      </c>
      <c r="AB91" s="92">
        <f t="shared" si="51"/>
        <v>0</v>
      </c>
      <c r="AC91" s="234">
        <f t="shared" si="52"/>
        <v>0</v>
      </c>
      <c r="AD91" s="92">
        <f t="shared" si="53"/>
        <v>0</v>
      </c>
      <c r="AE91" s="93">
        <v>0</v>
      </c>
      <c r="AF91" s="234">
        <f t="shared" si="54"/>
        <v>0</v>
      </c>
      <c r="AG91" s="93">
        <v>432.58</v>
      </c>
      <c r="AH91" s="93"/>
      <c r="AI91" s="93"/>
      <c r="AJ91" s="93"/>
      <c r="AK91" s="93"/>
      <c r="AL91" s="122">
        <f t="shared" si="55"/>
        <v>21.281238552115134</v>
      </c>
      <c r="AM91" s="93">
        <v>0</v>
      </c>
      <c r="AN91" s="94">
        <f t="shared" si="56"/>
        <v>0</v>
      </c>
      <c r="AO91" s="95">
        <f t="shared" si="57"/>
        <v>-453.86123855211514</v>
      </c>
      <c r="AP91" s="96"/>
      <c r="AQ91" s="97">
        <f t="shared" si="6"/>
        <v>0</v>
      </c>
      <c r="AR91" s="98">
        <f t="shared" si="35"/>
        <v>93.84</v>
      </c>
      <c r="AS91" s="98">
        <f t="shared" si="8"/>
        <v>0</v>
      </c>
      <c r="AT91" s="98">
        <f t="shared" si="9"/>
        <v>432.58</v>
      </c>
      <c r="AU91" s="98">
        <f t="shared" si="58"/>
        <v>0</v>
      </c>
      <c r="AV91" s="98">
        <f t="array" ref="AV91">_xlfn.IFS(U91=0,AO91,U91&lt;0,AO91/-U91,U91&gt;0,AO91/U91)</f>
        <v>-453.86123855211514</v>
      </c>
      <c r="AW91" s="234">
        <f t="shared" si="43"/>
        <v>0</v>
      </c>
      <c r="AX91" s="234">
        <f t="shared" si="44"/>
        <v>-4.8365434628315764</v>
      </c>
      <c r="AY91" s="99"/>
      <c r="AZ91" s="94">
        <f t="shared" si="12"/>
        <v>-19516.03325774095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>
        <v>1</v>
      </c>
      <c r="H92" s="93">
        <v>48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0</v>
      </c>
      <c r="O92" s="89">
        <v>0</v>
      </c>
      <c r="P92" s="89">
        <v>0</v>
      </c>
      <c r="Q92" s="233">
        <f t="shared" si="46"/>
        <v>0</v>
      </c>
      <c r="R92" s="92">
        <f t="shared" si="47"/>
        <v>0</v>
      </c>
      <c r="S92" s="93">
        <v>0</v>
      </c>
      <c r="T92" s="93">
        <v>0</v>
      </c>
      <c r="U92" s="92">
        <f t="shared" si="48"/>
        <v>0</v>
      </c>
      <c r="V92" s="93">
        <v>0</v>
      </c>
      <c r="W92" s="93">
        <v>0</v>
      </c>
      <c r="X92" s="92">
        <f t="shared" si="49"/>
        <v>0</v>
      </c>
      <c r="Y92" s="93">
        <v>0</v>
      </c>
      <c r="Z92" s="93">
        <v>0</v>
      </c>
      <c r="AA92" s="92">
        <f t="shared" si="50"/>
        <v>0</v>
      </c>
      <c r="AB92" s="92">
        <f t="shared" si="51"/>
        <v>0</v>
      </c>
      <c r="AC92" s="234">
        <f t="shared" si="52"/>
        <v>0</v>
      </c>
      <c r="AD92" s="92">
        <f t="shared" si="53"/>
        <v>0</v>
      </c>
      <c r="AE92" s="93">
        <v>0</v>
      </c>
      <c r="AF92" s="234">
        <f t="shared" si="54"/>
        <v>0</v>
      </c>
      <c r="AG92" s="93">
        <v>108</v>
      </c>
      <c r="AH92" s="93"/>
      <c r="AI92" s="93"/>
      <c r="AJ92" s="93"/>
      <c r="AK92" s="93"/>
      <c r="AL92" s="122">
        <f t="shared" si="55"/>
        <v>34.04998168338421</v>
      </c>
      <c r="AM92" s="93">
        <v>0</v>
      </c>
      <c r="AN92" s="94">
        <f t="shared" si="56"/>
        <v>0</v>
      </c>
      <c r="AO92" s="95">
        <f t="shared" si="57"/>
        <v>-142.0499816833842</v>
      </c>
      <c r="AP92" s="96"/>
      <c r="AQ92" s="97">
        <f t="shared" si="6"/>
        <v>0</v>
      </c>
      <c r="AR92" s="98">
        <f t="shared" si="35"/>
        <v>139.47</v>
      </c>
      <c r="AS92" s="98">
        <f t="shared" si="8"/>
        <v>0</v>
      </c>
      <c r="AT92" s="98">
        <f t="shared" si="9"/>
        <v>108</v>
      </c>
      <c r="AU92" s="98">
        <f t="shared" si="58"/>
        <v>0</v>
      </c>
      <c r="AV92" s="98">
        <f t="array" ref="AV92">_xlfn.IFS(U92=0,AO92,U92&lt;0,AO92/-U92,U92&gt;0,AO92/U92)</f>
        <v>-142.0499816833842</v>
      </c>
      <c r="AW92" s="234">
        <f t="shared" si="43"/>
        <v>0</v>
      </c>
      <c r="AX92" s="234">
        <f t="shared" si="44"/>
        <v>-1.0184984705197118</v>
      </c>
      <c r="AY92" s="99"/>
      <c r="AZ92" s="94">
        <f t="shared" si="12"/>
        <v>-7102.4990841692106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48</v>
      </c>
      <c r="F93" s="93" t="s">
        <v>100</v>
      </c>
      <c r="G93" s="93" t="s">
        <v>100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2"/>
        <v>6694.5599999999995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46"/>
        <v>0</v>
      </c>
      <c r="R93" s="92">
        <f t="shared" si="47"/>
        <v>0</v>
      </c>
      <c r="S93" s="93">
        <v>0</v>
      </c>
      <c r="T93" s="93">
        <v>0</v>
      </c>
      <c r="U93" s="92">
        <f t="shared" si="48"/>
        <v>0</v>
      </c>
      <c r="V93" s="93">
        <v>0</v>
      </c>
      <c r="W93" s="93">
        <v>0</v>
      </c>
      <c r="X93" s="92">
        <f t="shared" si="49"/>
        <v>0</v>
      </c>
      <c r="Y93" s="93">
        <v>0</v>
      </c>
      <c r="Z93" s="93">
        <v>0</v>
      </c>
      <c r="AA93" s="92">
        <f t="shared" si="50"/>
        <v>0</v>
      </c>
      <c r="AB93" s="92">
        <f t="shared" si="51"/>
        <v>0</v>
      </c>
      <c r="AC93" s="234">
        <f t="shared" si="52"/>
        <v>0</v>
      </c>
      <c r="AD93" s="92">
        <f t="shared" si="53"/>
        <v>0</v>
      </c>
      <c r="AE93" s="93">
        <v>0</v>
      </c>
      <c r="AF93" s="234">
        <f t="shared" si="54"/>
        <v>0</v>
      </c>
      <c r="AG93" s="93">
        <v>0</v>
      </c>
      <c r="AH93" s="93"/>
      <c r="AI93" s="93"/>
      <c r="AJ93" s="93"/>
      <c r="AK93" s="93"/>
      <c r="AL93" s="122">
        <f t="shared" si="55"/>
        <v>33.340607064980375</v>
      </c>
      <c r="AM93" s="93">
        <v>0</v>
      </c>
      <c r="AN93" s="94">
        <f t="shared" si="56"/>
        <v>0</v>
      </c>
      <c r="AO93" s="95">
        <f t="shared" si="57"/>
        <v>-33.340607064980375</v>
      </c>
      <c r="AP93" s="96"/>
      <c r="AQ93" s="97">
        <f t="shared" si="6"/>
        <v>0</v>
      </c>
      <c r="AR93" s="98">
        <f t="shared" si="35"/>
        <v>139.47</v>
      </c>
      <c r="AS93" s="98">
        <f t="shared" si="8"/>
        <v>0</v>
      </c>
      <c r="AT93" s="98">
        <f t="shared" si="9"/>
        <v>0</v>
      </c>
      <c r="AU93" s="98">
        <f t="shared" si="58"/>
        <v>0</v>
      </c>
      <c r="AV93" s="98">
        <f t="array" ref="AV93">_xlfn.IFS(U93=0,AO93,U93&lt;0,AO93/-U93,U93&gt;0,AO93/U93)</f>
        <v>-33.340607064980375</v>
      </c>
      <c r="AW93" s="234">
        <f t="shared" si="43"/>
        <v>0</v>
      </c>
      <c r="AX93" s="234">
        <f t="shared" si="44"/>
        <v>-0.23905217656112696</v>
      </c>
      <c r="AY93" s="99"/>
      <c r="AZ93" s="94">
        <f t="shared" si="12"/>
        <v>-1600.349139119058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1</v>
      </c>
      <c r="F94" s="93" t="s">
        <v>100</v>
      </c>
      <c r="G94" s="93" t="s">
        <v>100</v>
      </c>
      <c r="H94" s="93">
        <v>1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52</v>
      </c>
      <c r="N94" s="89">
        <v>1</v>
      </c>
      <c r="O94" s="89">
        <v>1297</v>
      </c>
      <c r="P94" s="89">
        <v>100</v>
      </c>
      <c r="Q94" s="233">
        <f t="shared" si="46"/>
        <v>0.14285714285714285</v>
      </c>
      <c r="R94" s="92">
        <f t="shared" si="47"/>
        <v>0.14285714285714285</v>
      </c>
      <c r="S94" s="93">
        <v>1</v>
      </c>
      <c r="T94" s="93">
        <v>0</v>
      </c>
      <c r="U94" s="92">
        <f t="shared" si="48"/>
        <v>1</v>
      </c>
      <c r="V94" s="93">
        <v>814</v>
      </c>
      <c r="W94" s="93">
        <v>0</v>
      </c>
      <c r="X94" s="92">
        <f t="shared" si="49"/>
        <v>814</v>
      </c>
      <c r="Y94" s="93">
        <v>1258.0899999999999</v>
      </c>
      <c r="Z94" s="93">
        <v>0</v>
      </c>
      <c r="AA94" s="92">
        <f t="shared" si="50"/>
        <v>1258.0899999999999</v>
      </c>
      <c r="AB94" s="92">
        <f t="shared" si="51"/>
        <v>1297</v>
      </c>
      <c r="AC94" s="234">
        <f t="shared" si="52"/>
        <v>6.6878941614926894E-4</v>
      </c>
      <c r="AD94" s="92">
        <f t="shared" si="53"/>
        <v>400.08</v>
      </c>
      <c r="AE94" s="93">
        <v>464.82999999999993</v>
      </c>
      <c r="AF94" s="234">
        <f t="shared" si="54"/>
        <v>0.36947277221820374</v>
      </c>
      <c r="AG94" s="93">
        <v>57.11</v>
      </c>
      <c r="AH94" s="93"/>
      <c r="AI94" s="93"/>
      <c r="AJ94" s="93"/>
      <c r="AK94" s="93"/>
      <c r="AL94" s="122">
        <f t="shared" si="55"/>
        <v>0.70937461840383775</v>
      </c>
      <c r="AM94" s="93">
        <v>0</v>
      </c>
      <c r="AN94" s="94">
        <f t="shared" si="56"/>
        <v>46.479399999999998</v>
      </c>
      <c r="AO94" s="95">
        <f t="shared" si="57"/>
        <v>288.88122538159621</v>
      </c>
      <c r="AP94" s="96"/>
      <c r="AQ94" s="97">
        <f t="shared" si="6"/>
        <v>1258.0899999999999</v>
      </c>
      <c r="AR94" s="98">
        <f t="shared" si="35"/>
        <v>400.08</v>
      </c>
      <c r="AS94" s="98">
        <f t="shared" si="8"/>
        <v>464.82999999999993</v>
      </c>
      <c r="AT94" s="98">
        <f t="shared" si="9"/>
        <v>57.11</v>
      </c>
      <c r="AU94" s="98">
        <f t="shared" si="58"/>
        <v>0</v>
      </c>
      <c r="AV94" s="98">
        <f t="array" ref="AV94">_xlfn.IFS(U94=0,AO94,U94&lt;0,AO94/-U94,U94&gt;0,AO94/U94)</f>
        <v>288.88122538159621</v>
      </c>
      <c r="AW94" s="234">
        <f t="shared" si="43"/>
        <v>0.22961888686945786</v>
      </c>
      <c r="AX94" s="234">
        <f t="shared" si="44"/>
        <v>0.72205865172364581</v>
      </c>
      <c r="AY94" s="99"/>
      <c r="AZ94" s="94">
        <f t="shared" si="12"/>
        <v>288.88122538159621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15</v>
      </c>
      <c r="N95" s="89">
        <v>0</v>
      </c>
      <c r="O95" s="89">
        <v>0</v>
      </c>
      <c r="P95" s="89">
        <v>0</v>
      </c>
      <c r="Q95" s="233">
        <f t="shared" si="46"/>
        <v>0</v>
      </c>
      <c r="R95" s="92">
        <f t="shared" si="47"/>
        <v>0</v>
      </c>
      <c r="S95" s="93">
        <v>0</v>
      </c>
      <c r="T95" s="93">
        <v>0</v>
      </c>
      <c r="U95" s="92">
        <f t="shared" si="48"/>
        <v>0</v>
      </c>
      <c r="V95" s="93">
        <v>0</v>
      </c>
      <c r="W95" s="93">
        <v>0</v>
      </c>
      <c r="X95" s="92">
        <f t="shared" si="49"/>
        <v>0</v>
      </c>
      <c r="Y95" s="93">
        <v>0</v>
      </c>
      <c r="Z95" s="93">
        <v>0</v>
      </c>
      <c r="AA95" s="92">
        <f t="shared" si="50"/>
        <v>0</v>
      </c>
      <c r="AB95" s="92">
        <f t="shared" si="51"/>
        <v>0</v>
      </c>
      <c r="AC95" s="234">
        <f t="shared" si="52"/>
        <v>0</v>
      </c>
      <c r="AD95" s="92">
        <f t="shared" si="53"/>
        <v>0</v>
      </c>
      <c r="AE95" s="93">
        <v>0</v>
      </c>
      <c r="AF95" s="234">
        <f t="shared" si="54"/>
        <v>0</v>
      </c>
      <c r="AG95" s="93">
        <v>0</v>
      </c>
      <c r="AH95" s="93"/>
      <c r="AI95" s="93"/>
      <c r="AJ95" s="93"/>
      <c r="AK95" s="93"/>
      <c r="AL95" s="122">
        <f t="shared" si="55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6"/>
        <v>0</v>
      </c>
      <c r="AR95" s="98">
        <f t="shared" si="35"/>
        <v>400.08</v>
      </c>
      <c r="AS95" s="98">
        <f t="shared" si="8"/>
        <v>0</v>
      </c>
      <c r="AT95" s="98">
        <f t="shared" si="9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7</v>
      </c>
      <c r="N96" s="89">
        <v>0</v>
      </c>
      <c r="O96" s="89">
        <v>0</v>
      </c>
      <c r="P96" s="89">
        <v>0</v>
      </c>
      <c r="Q96" s="233">
        <f t="shared" si="46"/>
        <v>0</v>
      </c>
      <c r="R96" s="92">
        <f t="shared" si="47"/>
        <v>0</v>
      </c>
      <c r="S96" s="93">
        <v>0</v>
      </c>
      <c r="T96" s="93">
        <v>0</v>
      </c>
      <c r="U96" s="92">
        <f t="shared" si="48"/>
        <v>0</v>
      </c>
      <c r="V96" s="93">
        <v>0</v>
      </c>
      <c r="W96" s="93">
        <v>0</v>
      </c>
      <c r="X96" s="92">
        <f t="shared" si="49"/>
        <v>0</v>
      </c>
      <c r="Y96" s="93">
        <v>0</v>
      </c>
      <c r="Z96" s="93">
        <v>0</v>
      </c>
      <c r="AA96" s="92">
        <f t="shared" si="50"/>
        <v>0</v>
      </c>
      <c r="AB96" s="92">
        <f t="shared" si="51"/>
        <v>0</v>
      </c>
      <c r="AC96" s="234">
        <f t="shared" si="52"/>
        <v>0</v>
      </c>
      <c r="AD96" s="92">
        <f t="shared" si="53"/>
        <v>0</v>
      </c>
      <c r="AE96" s="93">
        <v>0</v>
      </c>
      <c r="AF96" s="234">
        <f t="shared" si="54"/>
        <v>0</v>
      </c>
      <c r="AG96" s="93">
        <v>0</v>
      </c>
      <c r="AH96" s="93"/>
      <c r="AI96" s="93"/>
      <c r="AJ96" s="93"/>
      <c r="AK96" s="93"/>
      <c r="AL96" s="122">
        <f t="shared" si="55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6"/>
        <v>0</v>
      </c>
      <c r="AR96" s="98">
        <f t="shared" si="35"/>
        <v>300.08</v>
      </c>
      <c r="AS96" s="98">
        <f t="shared" si="8"/>
        <v>0</v>
      </c>
      <c r="AT96" s="98">
        <f t="shared" si="9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 t="s">
        <v>100</v>
      </c>
      <c r="G97" s="93" t="s">
        <v>100</v>
      </c>
      <c r="H97" s="93">
        <v>4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6"/>
        <v>0</v>
      </c>
      <c r="R97" s="92">
        <f t="shared" si="47"/>
        <v>0</v>
      </c>
      <c r="S97" s="93">
        <v>0</v>
      </c>
      <c r="T97" s="93">
        <v>0</v>
      </c>
      <c r="U97" s="92">
        <f t="shared" si="48"/>
        <v>0</v>
      </c>
      <c r="V97" s="93">
        <v>0</v>
      </c>
      <c r="W97" s="93">
        <v>0</v>
      </c>
      <c r="X97" s="92">
        <f t="shared" si="49"/>
        <v>0</v>
      </c>
      <c r="Y97" s="93">
        <v>0</v>
      </c>
      <c r="Z97" s="93">
        <v>0</v>
      </c>
      <c r="AA97" s="92">
        <f t="shared" si="50"/>
        <v>0</v>
      </c>
      <c r="AB97" s="92">
        <f t="shared" si="51"/>
        <v>0</v>
      </c>
      <c r="AC97" s="234">
        <f t="shared" si="52"/>
        <v>0</v>
      </c>
      <c r="AD97" s="92">
        <f t="shared" si="53"/>
        <v>0</v>
      </c>
      <c r="AE97" s="93">
        <v>0</v>
      </c>
      <c r="AF97" s="234">
        <f t="shared" si="54"/>
        <v>0</v>
      </c>
      <c r="AG97" s="93">
        <v>0</v>
      </c>
      <c r="AH97" s="93"/>
      <c r="AI97" s="93"/>
      <c r="AJ97" s="93"/>
      <c r="AK97" s="93"/>
      <c r="AL97" s="122">
        <f t="shared" si="55"/>
        <v>2.837498473615351</v>
      </c>
      <c r="AM97" s="93">
        <v>0</v>
      </c>
      <c r="AN97" s="94">
        <f t="shared" si="56"/>
        <v>0</v>
      </c>
      <c r="AO97" s="95">
        <f t="shared" si="57"/>
        <v>-2.837498473615351</v>
      </c>
      <c r="AP97" s="96"/>
      <c r="AQ97" s="97">
        <f t="shared" si="6"/>
        <v>0</v>
      </c>
      <c r="AR97" s="98">
        <f t="shared" si="35"/>
        <v>400.08</v>
      </c>
      <c r="AS97" s="98">
        <f t="shared" si="8"/>
        <v>0</v>
      </c>
      <c r="AT97" s="98">
        <f t="shared" si="9"/>
        <v>0</v>
      </c>
      <c r="AU97" s="98">
        <f t="shared" si="58"/>
        <v>0</v>
      </c>
      <c r="AV97" s="98">
        <f t="array" ref="AV97">_xlfn.IFS(U97=0,AO97,U97&lt;0,AO97/-U97,U97&gt;0,AO97/U97)</f>
        <v>-2.837498473615351</v>
      </c>
      <c r="AW97" s="234">
        <f t="shared" si="43"/>
        <v>0</v>
      </c>
      <c r="AX97" s="234">
        <f t="shared" si="44"/>
        <v>-7.0923277184946785E-3</v>
      </c>
      <c r="AY97" s="99"/>
      <c r="AZ97" s="94">
        <f t="shared" si="12"/>
        <v>-11.349993894461404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16</v>
      </c>
      <c r="F98" s="93" t="s">
        <v>100</v>
      </c>
      <c r="G98" s="93" t="s">
        <v>100</v>
      </c>
      <c r="H98" s="93">
        <v>16</v>
      </c>
      <c r="I98" s="93">
        <v>0</v>
      </c>
      <c r="J98" s="93">
        <v>0</v>
      </c>
      <c r="K98" s="93">
        <v>300.08</v>
      </c>
      <c r="L98" s="92">
        <f t="shared" si="42"/>
        <v>4801.28</v>
      </c>
      <c r="M98" s="89">
        <v>999</v>
      </c>
      <c r="N98" s="89">
        <v>0</v>
      </c>
      <c r="O98" s="89">
        <v>0</v>
      </c>
      <c r="P98" s="89">
        <v>0</v>
      </c>
      <c r="Q98" s="233">
        <f t="shared" si="46"/>
        <v>0</v>
      </c>
      <c r="R98" s="92">
        <f t="shared" si="47"/>
        <v>0</v>
      </c>
      <c r="S98" s="93">
        <v>0</v>
      </c>
      <c r="T98" s="93">
        <v>0</v>
      </c>
      <c r="U98" s="92">
        <f t="shared" si="48"/>
        <v>0</v>
      </c>
      <c r="V98" s="93">
        <v>0</v>
      </c>
      <c r="W98" s="93">
        <v>0</v>
      </c>
      <c r="X98" s="92">
        <f t="shared" si="49"/>
        <v>0</v>
      </c>
      <c r="Y98" s="93">
        <v>0</v>
      </c>
      <c r="Z98" s="93">
        <v>0</v>
      </c>
      <c r="AA98" s="92">
        <f t="shared" si="50"/>
        <v>0</v>
      </c>
      <c r="AB98" s="92">
        <f t="shared" si="51"/>
        <v>0</v>
      </c>
      <c r="AC98" s="234">
        <f t="shared" si="52"/>
        <v>0</v>
      </c>
      <c r="AD98" s="92">
        <f t="shared" si="53"/>
        <v>0</v>
      </c>
      <c r="AE98" s="93">
        <v>0</v>
      </c>
      <c r="AF98" s="234">
        <f t="shared" si="54"/>
        <v>0</v>
      </c>
      <c r="AG98" s="93">
        <v>0</v>
      </c>
      <c r="AH98" s="93"/>
      <c r="AI98" s="93"/>
      <c r="AJ98" s="93"/>
      <c r="AK98" s="93"/>
      <c r="AL98" s="122">
        <f t="shared" si="55"/>
        <v>11.349993894461404</v>
      </c>
      <c r="AM98" s="93">
        <v>0</v>
      </c>
      <c r="AN98" s="94">
        <f t="shared" si="56"/>
        <v>0</v>
      </c>
      <c r="AO98" s="95">
        <f t="shared" si="57"/>
        <v>-11.349993894461404</v>
      </c>
      <c r="AP98" s="96"/>
      <c r="AQ98" s="97">
        <f t="shared" ref="AQ98:AQ103" si="59">IF(U98=0,0,AA98/U98)</f>
        <v>0</v>
      </c>
      <c r="AR98" s="98">
        <f t="shared" si="35"/>
        <v>300.08</v>
      </c>
      <c r="AS98" s="98">
        <f t="shared" ref="AS98:AS103" si="60">IF(U98=0,0,AE98/U98)</f>
        <v>0</v>
      </c>
      <c r="AT98" s="98">
        <f t="shared" ref="AT98:AT103" si="61">IF(S98=0,AG98/1,AG98/S98)</f>
        <v>0</v>
      </c>
      <c r="AU98" s="98">
        <f t="shared" si="58"/>
        <v>0</v>
      </c>
      <c r="AV98" s="98">
        <f t="array" ref="AV98">_xlfn.IFS(U98=0,AO98,U98&lt;0,AO98/-U98,U98&gt;0,AO98/U98)</f>
        <v>-11.349993894461404</v>
      </c>
      <c r="AW98" s="234">
        <f t="shared" si="43"/>
        <v>0</v>
      </c>
      <c r="AX98" s="234">
        <f t="shared" si="44"/>
        <v>-3.7823226787727954E-2</v>
      </c>
      <c r="AY98" s="99"/>
      <c r="AZ98" s="94">
        <f t="shared" ref="AZ98:AZ103" si="62">AV98*E98</f>
        <v>-181.59990231138246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2"/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6"/>
        <v>0</v>
      </c>
      <c r="R99" s="92">
        <f t="shared" si="47"/>
        <v>0</v>
      </c>
      <c r="S99" s="93">
        <v>0</v>
      </c>
      <c r="T99" s="93">
        <v>0</v>
      </c>
      <c r="U99" s="92">
        <f t="shared" si="48"/>
        <v>0</v>
      </c>
      <c r="V99" s="93">
        <v>0</v>
      </c>
      <c r="W99" s="93">
        <v>0</v>
      </c>
      <c r="X99" s="92">
        <f t="shared" si="49"/>
        <v>0</v>
      </c>
      <c r="Y99" s="93">
        <v>0</v>
      </c>
      <c r="Z99" s="93">
        <v>0</v>
      </c>
      <c r="AA99" s="92">
        <f t="shared" si="50"/>
        <v>0</v>
      </c>
      <c r="AB99" s="92">
        <f t="shared" si="51"/>
        <v>0</v>
      </c>
      <c r="AC99" s="234">
        <f t="shared" si="52"/>
        <v>0</v>
      </c>
      <c r="AD99" s="92">
        <f t="shared" si="53"/>
        <v>0</v>
      </c>
      <c r="AE99" s="93">
        <v>0</v>
      </c>
      <c r="AF99" s="234">
        <f t="shared" si="54"/>
        <v>0</v>
      </c>
      <c r="AG99" s="93">
        <v>0</v>
      </c>
      <c r="AH99" s="93"/>
      <c r="AI99" s="93"/>
      <c r="AJ99" s="93"/>
      <c r="AK99" s="93"/>
      <c r="AL99" s="122">
        <f t="shared" si="55"/>
        <v>0</v>
      </c>
      <c r="AM99" s="93">
        <v>476</v>
      </c>
      <c r="AN99" s="94">
        <f t="shared" si="56"/>
        <v>0</v>
      </c>
      <c r="AO99" s="95">
        <f t="shared" si="57"/>
        <v>-476</v>
      </c>
      <c r="AP99" s="96"/>
      <c r="AQ99" s="97">
        <f t="shared" si="59"/>
        <v>0</v>
      </c>
      <c r="AR99" s="98">
        <f t="shared" ref="AR99:AR103" si="63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-476</v>
      </c>
      <c r="AW99" s="234">
        <f t="shared" ref="AW99:AW103" si="64">IF(AQ99=0,0,AV99/AQ99)</f>
        <v>0</v>
      </c>
      <c r="AX99" s="234">
        <f t="shared" ref="AX99:AX103" si="65">IF(AR99=0,0,AV99/AR99)</f>
        <v>-3.3291369422296828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66">E100*K100</f>
        <v>0</v>
      </c>
      <c r="M100" s="89">
        <v>0</v>
      </c>
      <c r="N100" s="89">
        <v>0</v>
      </c>
      <c r="O100" s="89">
        <v>0</v>
      </c>
      <c r="P100" s="89">
        <v>0</v>
      </c>
      <c r="Q100" s="233">
        <f t="shared" si="46"/>
        <v>0</v>
      </c>
      <c r="R100" s="92">
        <f t="shared" si="47"/>
        <v>0</v>
      </c>
      <c r="S100" s="93">
        <v>0</v>
      </c>
      <c r="T100" s="93">
        <v>0</v>
      </c>
      <c r="U100" s="92">
        <f t="shared" si="48"/>
        <v>0</v>
      </c>
      <c r="V100" s="93">
        <v>0</v>
      </c>
      <c r="W100" s="93">
        <v>0</v>
      </c>
      <c r="X100" s="92">
        <f t="shared" si="49"/>
        <v>0</v>
      </c>
      <c r="Y100" s="93">
        <v>0</v>
      </c>
      <c r="Z100" s="93">
        <v>0</v>
      </c>
      <c r="AA100" s="92">
        <f t="shared" si="50"/>
        <v>0</v>
      </c>
      <c r="AB100" s="92">
        <f t="shared" si="51"/>
        <v>0</v>
      </c>
      <c r="AC100" s="234">
        <f t="shared" si="52"/>
        <v>0</v>
      </c>
      <c r="AD100" s="92">
        <f t="shared" si="53"/>
        <v>0</v>
      </c>
      <c r="AE100" s="93">
        <v>0</v>
      </c>
      <c r="AF100" s="234">
        <f t="shared" si="54"/>
        <v>0</v>
      </c>
      <c r="AG100" s="93">
        <v>0</v>
      </c>
      <c r="AH100" s="93"/>
      <c r="AI100" s="93"/>
      <c r="AJ100" s="93"/>
      <c r="AK100" s="93"/>
      <c r="AL100" s="122">
        <f t="shared" si="55"/>
        <v>0</v>
      </c>
      <c r="AM100" s="93">
        <v>0</v>
      </c>
      <c r="AN100" s="94">
        <f t="shared" si="56"/>
        <v>0</v>
      </c>
      <c r="AO100" s="95">
        <f t="shared" si="57"/>
        <v>0</v>
      </c>
      <c r="AP100" s="96"/>
      <c r="AQ100" s="97">
        <f t="shared" si="59"/>
        <v>0</v>
      </c>
      <c r="AR100" s="98">
        <f t="shared" si="63"/>
        <v>142.97999999999999</v>
      </c>
      <c r="AS100" s="98">
        <f t="shared" si="60"/>
        <v>0</v>
      </c>
      <c r="AT100" s="98">
        <f t="shared" si="61"/>
        <v>0</v>
      </c>
      <c r="AU100" s="98">
        <f t="shared" si="58"/>
        <v>0</v>
      </c>
      <c r="AV100" s="98">
        <f t="array" ref="AV100">_xlfn.IFS(U100=0,AO100,U100&lt;0,AO100/-U100,U100&gt;0,AO100/U100)</f>
        <v>0</v>
      </c>
      <c r="AW100" s="234">
        <f t="shared" si="64"/>
        <v>0</v>
      </c>
      <c r="AX100" s="234">
        <f t="shared" si="65"/>
        <v>0</v>
      </c>
      <c r="AY100" s="99"/>
      <c r="AZ100" s="94">
        <f t="shared" si="62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2</v>
      </c>
      <c r="F101" s="93">
        <v>2</v>
      </c>
      <c r="G101" s="93" t="s">
        <v>100</v>
      </c>
      <c r="H101" s="93" t="s">
        <v>100</v>
      </c>
      <c r="I101" s="93">
        <v>0</v>
      </c>
      <c r="J101" s="93">
        <v>0</v>
      </c>
      <c r="K101" s="92">
        <v>123.09</v>
      </c>
      <c r="L101" s="92">
        <f t="shared" si="66"/>
        <v>246.18</v>
      </c>
      <c r="M101" s="89" t="s">
        <v>100</v>
      </c>
      <c r="N101" s="89">
        <v>1</v>
      </c>
      <c r="O101" s="89">
        <v>900</v>
      </c>
      <c r="P101" s="89">
        <v>0</v>
      </c>
      <c r="Q101" s="233">
        <f t="shared" si="46"/>
        <v>0.14285714285714285</v>
      </c>
      <c r="R101" s="92">
        <f t="shared" si="47"/>
        <v>0</v>
      </c>
      <c r="S101" s="93">
        <v>0</v>
      </c>
      <c r="T101" s="93">
        <v>0</v>
      </c>
      <c r="U101" s="92">
        <f t="shared" si="48"/>
        <v>0</v>
      </c>
      <c r="V101" s="93">
        <v>0</v>
      </c>
      <c r="W101" s="93">
        <v>0</v>
      </c>
      <c r="X101" s="92">
        <f t="shared" si="49"/>
        <v>0</v>
      </c>
      <c r="Y101" s="93">
        <v>0</v>
      </c>
      <c r="Z101" s="93">
        <v>0</v>
      </c>
      <c r="AA101" s="92">
        <f t="shared" si="50"/>
        <v>0</v>
      </c>
      <c r="AB101" s="92">
        <f t="shared" si="51"/>
        <v>0</v>
      </c>
      <c r="AC101" s="234">
        <f t="shared" si="52"/>
        <v>0</v>
      </c>
      <c r="AD101" s="92">
        <f t="shared" si="53"/>
        <v>0</v>
      </c>
      <c r="AE101" s="93">
        <v>0</v>
      </c>
      <c r="AF101" s="234">
        <f t="shared" si="54"/>
        <v>0</v>
      </c>
      <c r="AG101" s="93">
        <v>0</v>
      </c>
      <c r="AH101" s="93"/>
      <c r="AI101" s="93"/>
      <c r="AJ101" s="93"/>
      <c r="AK101" s="93"/>
      <c r="AL101" s="122">
        <f t="shared" si="55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3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4"/>
        <v>0</v>
      </c>
      <c r="AX101" s="234">
        <f t="shared" si="65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66"/>
        <v>0</v>
      </c>
      <c r="M102" s="89">
        <v>0</v>
      </c>
      <c r="N102" s="89">
        <v>0</v>
      </c>
      <c r="O102" s="89">
        <v>0</v>
      </c>
      <c r="P102" s="89">
        <v>0</v>
      </c>
      <c r="Q102" s="233">
        <f t="shared" si="46"/>
        <v>0</v>
      </c>
      <c r="R102" s="92">
        <f t="shared" si="47"/>
        <v>0</v>
      </c>
      <c r="S102" s="93">
        <v>0</v>
      </c>
      <c r="T102" s="93">
        <v>0</v>
      </c>
      <c r="U102" s="92">
        <f t="shared" si="48"/>
        <v>0</v>
      </c>
      <c r="V102" s="93">
        <v>0</v>
      </c>
      <c r="W102" s="93">
        <v>0</v>
      </c>
      <c r="X102" s="92">
        <f t="shared" si="49"/>
        <v>0</v>
      </c>
      <c r="Y102" s="93">
        <v>0</v>
      </c>
      <c r="Z102" s="93">
        <v>0</v>
      </c>
      <c r="AA102" s="92">
        <f t="shared" si="50"/>
        <v>0</v>
      </c>
      <c r="AB102" s="92">
        <f t="shared" si="51"/>
        <v>0</v>
      </c>
      <c r="AC102" s="234">
        <f t="shared" si="52"/>
        <v>0</v>
      </c>
      <c r="AD102" s="92">
        <f t="shared" si="53"/>
        <v>0</v>
      </c>
      <c r="AE102" s="93">
        <v>0</v>
      </c>
      <c r="AF102" s="234">
        <f t="shared" si="54"/>
        <v>0</v>
      </c>
      <c r="AG102" s="93">
        <v>0</v>
      </c>
      <c r="AH102" s="93"/>
      <c r="AI102" s="93"/>
      <c r="AJ102" s="93"/>
      <c r="AK102" s="93"/>
      <c r="AL102" s="122">
        <f t="shared" si="55"/>
        <v>0</v>
      </c>
      <c r="AM102" s="93">
        <v>0</v>
      </c>
      <c r="AN102" s="94">
        <f t="shared" si="56"/>
        <v>0</v>
      </c>
      <c r="AO102" s="95">
        <f t="shared" si="57"/>
        <v>0</v>
      </c>
      <c r="AP102" s="96"/>
      <c r="AQ102" s="97">
        <f t="shared" si="59"/>
        <v>0</v>
      </c>
      <c r="AR102" s="98">
        <f t="shared" si="63"/>
        <v>123.09</v>
      </c>
      <c r="AS102" s="98">
        <f t="shared" si="60"/>
        <v>0</v>
      </c>
      <c r="AT102" s="98">
        <f t="shared" si="61"/>
        <v>0</v>
      </c>
      <c r="AU102" s="98">
        <f t="shared" si="58"/>
        <v>0</v>
      </c>
      <c r="AV102" s="98">
        <f t="array" ref="AV102">_xlfn.IFS(U102=0,AO102,U102&lt;0,AO102/-U102,U102&gt;0,AO102/U102)</f>
        <v>0</v>
      </c>
      <c r="AW102" s="234">
        <f t="shared" si="64"/>
        <v>0</v>
      </c>
      <c r="AX102" s="234">
        <f t="shared" si="65"/>
        <v>0</v>
      </c>
      <c r="AY102" s="99"/>
      <c r="AZ102" s="94">
        <f t="shared" si="62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6"/>
        <v>0</v>
      </c>
      <c r="M103" s="89" t="s">
        <v>100</v>
      </c>
      <c r="N103" s="89">
        <v>1</v>
      </c>
      <c r="O103" s="89">
        <v>1200</v>
      </c>
      <c r="P103" s="89">
        <v>0</v>
      </c>
      <c r="Q103" s="233">
        <f t="shared" si="46"/>
        <v>0.14285714285714285</v>
      </c>
      <c r="R103" s="92">
        <f t="shared" si="47"/>
        <v>0</v>
      </c>
      <c r="S103" s="93">
        <v>0</v>
      </c>
      <c r="T103" s="93">
        <v>0</v>
      </c>
      <c r="U103" s="92">
        <f t="shared" si="48"/>
        <v>0</v>
      </c>
      <c r="V103" s="93">
        <v>0</v>
      </c>
      <c r="W103" s="93">
        <v>0</v>
      </c>
      <c r="X103" s="92">
        <f t="shared" si="49"/>
        <v>0</v>
      </c>
      <c r="Y103" s="93">
        <v>0</v>
      </c>
      <c r="Z103" s="93">
        <v>0</v>
      </c>
      <c r="AA103" s="92">
        <f t="shared" si="50"/>
        <v>0</v>
      </c>
      <c r="AB103" s="92">
        <f t="shared" si="51"/>
        <v>0</v>
      </c>
      <c r="AC103" s="234">
        <f t="shared" si="52"/>
        <v>0</v>
      </c>
      <c r="AD103" s="92">
        <f t="shared" si="53"/>
        <v>0</v>
      </c>
      <c r="AE103" s="93">
        <v>0</v>
      </c>
      <c r="AF103" s="234">
        <f t="shared" si="54"/>
        <v>0</v>
      </c>
      <c r="AG103" s="93">
        <v>0</v>
      </c>
      <c r="AH103" s="93"/>
      <c r="AI103" s="93"/>
      <c r="AJ103" s="93"/>
      <c r="AK103" s="93"/>
      <c r="AL103" s="122">
        <f t="shared" si="55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3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4"/>
        <v>0</v>
      </c>
      <c r="AX103" s="234">
        <f t="shared" si="65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545.57820123363456</v>
      </c>
      <c r="AR104" s="111">
        <f t="shared" si="67"/>
        <v>141.22217391304349</v>
      </c>
      <c r="AS104" s="111">
        <f t="shared" si="67"/>
        <v>202.3324223424078</v>
      </c>
      <c r="AT104" s="111">
        <f t="shared" si="67"/>
        <v>134.50842254924899</v>
      </c>
      <c r="AU104" s="111">
        <f t="shared" si="67"/>
        <v>128.23119644512389</v>
      </c>
      <c r="AV104" s="111">
        <f t="shared" si="67"/>
        <v>-33.882980781081848</v>
      </c>
      <c r="AW104" s="112">
        <f t="shared" si="67"/>
        <v>1.640986169300147E-2</v>
      </c>
      <c r="AX104" s="112">
        <f t="shared" si="67"/>
        <v>-0.28961918678220877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SUM(E3:E104)</f>
        <v>80202</v>
      </c>
      <c r="F105" s="116">
        <f t="shared" si="68"/>
        <v>2258</v>
      </c>
      <c r="G105" s="116">
        <f t="shared" si="68"/>
        <v>537</v>
      </c>
      <c r="H105" s="116">
        <f t="shared" si="68"/>
        <v>11465</v>
      </c>
      <c r="I105" s="116">
        <f t="shared" si="68"/>
        <v>1611</v>
      </c>
      <c r="J105" s="116">
        <f t="shared" si="68"/>
        <v>64331</v>
      </c>
      <c r="K105" s="116"/>
      <c r="L105" s="116">
        <f>SUM(L3:L104)</f>
        <v>9923884.7599999998</v>
      </c>
      <c r="M105" s="116"/>
      <c r="N105" s="116">
        <f>SUM(N3:N104)</f>
        <v>3325</v>
      </c>
      <c r="O105" s="116"/>
      <c r="P105" s="116"/>
      <c r="Q105" s="212"/>
      <c r="R105" s="116"/>
      <c r="S105" s="116">
        <f t="shared" ref="S105:AE105" si="69">SUM(S3:S104)</f>
        <v>1882</v>
      </c>
      <c r="T105" s="116">
        <f t="shared" si="69"/>
        <v>-40</v>
      </c>
      <c r="U105" s="116">
        <f t="shared" si="69"/>
        <v>1842</v>
      </c>
      <c r="V105" s="116">
        <f t="shared" si="69"/>
        <v>1236743.8400000001</v>
      </c>
      <c r="W105" s="116">
        <f t="shared" si="69"/>
        <v>-26582.27</v>
      </c>
      <c r="X105" s="116">
        <f t="shared" si="69"/>
        <v>1210161.57</v>
      </c>
      <c r="Y105" s="116">
        <f t="shared" si="69"/>
        <v>1920260.67</v>
      </c>
      <c r="Z105" s="116">
        <f t="shared" si="69"/>
        <v>-41194.47</v>
      </c>
      <c r="AA105" s="116">
        <f t="shared" si="69"/>
        <v>1879066.2000000002</v>
      </c>
      <c r="AB105" s="116">
        <f t="shared" si="69"/>
        <v>2280322.1500000004</v>
      </c>
      <c r="AC105" s="239">
        <f t="shared" si="69"/>
        <v>0.99889482215407943</v>
      </c>
      <c r="AD105" s="117">
        <f t="shared" si="69"/>
        <v>230374.86</v>
      </c>
      <c r="AE105" s="116">
        <f t="shared" si="69"/>
        <v>695831.50999999954</v>
      </c>
      <c r="AF105" s="239">
        <f>AE105/AA105</f>
        <v>0.37030707592952261</v>
      </c>
      <c r="AG105" s="116">
        <f t="shared" ref="AG105:AO105" si="70">SUM(AG3:AG104)</f>
        <v>212380.68000000002</v>
      </c>
      <c r="AH105" s="117">
        <f t="shared" si="70"/>
        <v>145581</v>
      </c>
      <c r="AI105" s="117">
        <f t="shared" si="70"/>
        <v>138670</v>
      </c>
      <c r="AJ105" s="117">
        <f t="shared" si="70"/>
        <v>44</v>
      </c>
      <c r="AK105" s="117">
        <f t="shared" si="70"/>
        <v>0</v>
      </c>
      <c r="AL105" s="117">
        <f t="shared" si="70"/>
        <v>8132.9799999999987</v>
      </c>
      <c r="AM105" s="116">
        <f t="shared" si="70"/>
        <v>826</v>
      </c>
      <c r="AN105" s="117">
        <f t="shared" si="70"/>
        <v>69100.225646999985</v>
      </c>
      <c r="AO105" s="117">
        <f t="shared" si="70"/>
        <v>378168.94435300014</v>
      </c>
      <c r="AP105" s="118"/>
      <c r="AQ105" s="116"/>
      <c r="AR105" s="116"/>
      <c r="AS105" s="116"/>
      <c r="AT105" s="116"/>
      <c r="AU105" s="294">
        <f>(AH105+AI105+AJ104)/S105</f>
        <v>151.0366631243358</v>
      </c>
      <c r="AV105" s="116"/>
      <c r="AW105" s="116"/>
      <c r="AX105" s="116"/>
      <c r="AY105" s="119"/>
      <c r="AZ105" s="116">
        <f>SUM(AZ3:AZ104)</f>
        <v>16414027.631672958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45"/>
      <c r="AI106" s="545"/>
      <c r="AJ106" s="296"/>
      <c r="AK106" s="29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71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:Q111" si="72">N107/7</f>
        <v>0</v>
      </c>
      <c r="R107" s="92">
        <f t="shared" ref="R107:R111" si="73">U107/7</f>
        <v>0</v>
      </c>
      <c r="S107" s="93">
        <v>0</v>
      </c>
      <c r="T107" s="93">
        <v>0</v>
      </c>
      <c r="U107" s="92">
        <f t="shared" ref="U107" si="74">S107+T107</f>
        <v>0</v>
      </c>
      <c r="V107" s="93">
        <v>0</v>
      </c>
      <c r="W107" s="93">
        <v>0</v>
      </c>
      <c r="X107" s="92">
        <f t="shared" ref="X107" si="75">V107+W107</f>
        <v>0</v>
      </c>
      <c r="Y107" s="93">
        <v>0</v>
      </c>
      <c r="Z107" s="93">
        <v>0</v>
      </c>
      <c r="AA107" s="92">
        <f t="shared" ref="AA107" si="76">Y107+Z107</f>
        <v>0</v>
      </c>
      <c r="AB107" s="92">
        <f t="shared" ref="AB107" si="77">N107*O107*P107/100</f>
        <v>0</v>
      </c>
      <c r="AC107" s="234">
        <f t="shared" ref="AC107" si="78">AA107/$AA$126</f>
        <v>0</v>
      </c>
      <c r="AD107" s="92">
        <f t="shared" ref="AD107" si="79">U107*K107</f>
        <v>0</v>
      </c>
      <c r="AE107" s="93">
        <v>0</v>
      </c>
      <c r="AF107" s="234">
        <f t="shared" ref="AF107" si="80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81">IFERROR($AL$126*H107/$H$126,0)</f>
        <v>0</v>
      </c>
      <c r="AM107" s="93">
        <v>0</v>
      </c>
      <c r="AN107" s="94">
        <f t="shared" ref="AN107:AN111" si="82">X107*5.71%</f>
        <v>0</v>
      </c>
      <c r="AO107" s="95">
        <f t="shared" ref="AO107:AO111" si="83">AA107-AD107-AE107-AG107-AH107-AI107-AK107-AL107-AN107-AM107</f>
        <v>0</v>
      </c>
      <c r="AP107" s="96"/>
      <c r="AQ107" s="97">
        <f t="shared" ref="AQ107:AQ111" si="84">IF(U107=0,0,AA107/U107)</f>
        <v>0</v>
      </c>
      <c r="AR107" s="98">
        <f t="shared" ref="AR107:AR111" si="85">K107</f>
        <v>579.17999999999995</v>
      </c>
      <c r="AS107" s="98">
        <f t="shared" ref="AS107:AS111" si="86">IF(U107=0,0,AE107/U107)</f>
        <v>0</v>
      </c>
      <c r="AT107" s="98">
        <f t="shared" ref="AT107:AT111" si="87">IF(S107=0,AG107/1,AG107/S107)</f>
        <v>0</v>
      </c>
      <c r="AU107" s="98">
        <f t="shared" ref="AU107:AU111" si="88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89">IF(AQ107=0,0,AV107/AQ107)</f>
        <v>0</v>
      </c>
      <c r="AX107" s="234">
        <f t="shared" ref="AX107:AX111" si="90">IF(AR107=0,0,AV107/AR107)</f>
        <v>0</v>
      </c>
      <c r="AY107" s="99"/>
      <c r="AZ107" s="94">
        <f t="shared" ref="AZ107:AZ111" si="91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71"/>
        <v>1</v>
      </c>
      <c r="F108" s="93">
        <v>0</v>
      </c>
      <c r="G108" s="93">
        <v>0</v>
      </c>
      <c r="H108" s="93">
        <v>0</v>
      </c>
      <c r="I108" s="93">
        <v>0</v>
      </c>
      <c r="J108" s="93">
        <v>1</v>
      </c>
      <c r="K108" s="93">
        <v>579.17999999999995</v>
      </c>
      <c r="L108" s="92">
        <f t="shared" ref="L108:L111" si="92">E108*K108</f>
        <v>579.17999999999995</v>
      </c>
      <c r="M108" s="89">
        <v>11</v>
      </c>
      <c r="N108" s="89">
        <v>0</v>
      </c>
      <c r="O108" s="89">
        <v>0</v>
      </c>
      <c r="P108" s="89">
        <v>0</v>
      </c>
      <c r="Q108" s="233">
        <f t="shared" si="72"/>
        <v>0</v>
      </c>
      <c r="R108" s="92">
        <f t="shared" si="73"/>
        <v>0.14285714285714285</v>
      </c>
      <c r="S108" s="93">
        <v>1</v>
      </c>
      <c r="T108" s="93">
        <v>0</v>
      </c>
      <c r="U108" s="92">
        <f t="shared" ref="U108:U111" si="93">S108+T108</f>
        <v>1</v>
      </c>
      <c r="V108" s="93">
        <v>1407</v>
      </c>
      <c r="W108" s="93">
        <v>0</v>
      </c>
      <c r="X108" s="92">
        <f t="shared" ref="X108:X111" si="94">V108+W108</f>
        <v>1407</v>
      </c>
      <c r="Y108" s="93">
        <v>2079</v>
      </c>
      <c r="Z108" s="93">
        <v>0</v>
      </c>
      <c r="AA108" s="92">
        <f t="shared" ref="AA108:AA111" si="95">Y108+Z108</f>
        <v>2079</v>
      </c>
      <c r="AB108" s="92">
        <f t="shared" ref="AB108:AB111" si="96">N108*O108*P108/100</f>
        <v>0</v>
      </c>
      <c r="AC108" s="234">
        <f t="shared" ref="AC108:AC111" si="97">AA108/$AA$126</f>
        <v>1.1051778459206657E-3</v>
      </c>
      <c r="AD108" s="92">
        <f t="shared" ref="AD108:AD111" si="98">U108*K108</f>
        <v>579.17999999999995</v>
      </c>
      <c r="AE108" s="93">
        <v>763.08999999999992</v>
      </c>
      <c r="AF108" s="234">
        <f t="shared" ref="AF108:AF111" si="99">IF(AA108=0,0,AE108/AA108)</f>
        <v>0.36704665704665701</v>
      </c>
      <c r="AG108" s="93">
        <v>124.34</v>
      </c>
      <c r="AH108" s="93"/>
      <c r="AI108" s="93"/>
      <c r="AJ108" s="93"/>
      <c r="AK108" s="93"/>
      <c r="AL108" s="122">
        <f t="shared" ref="AL108:AL111" si="100">IFERROR($AL$126*H108/$H$126,0)</f>
        <v>0</v>
      </c>
      <c r="AM108" s="93">
        <v>0</v>
      </c>
      <c r="AN108" s="94">
        <f t="shared" si="82"/>
        <v>80.339699999999993</v>
      </c>
      <c r="AO108" s="95">
        <f t="shared" si="83"/>
        <v>532.05030000000022</v>
      </c>
      <c r="AP108" s="96"/>
      <c r="AQ108" s="97">
        <f t="shared" si="84"/>
        <v>2079</v>
      </c>
      <c r="AR108" s="98">
        <f t="shared" si="85"/>
        <v>579.17999999999995</v>
      </c>
      <c r="AS108" s="98">
        <f t="shared" si="86"/>
        <v>763.08999999999992</v>
      </c>
      <c r="AT108" s="98">
        <f t="shared" si="87"/>
        <v>124.34</v>
      </c>
      <c r="AU108" s="98">
        <f t="shared" si="88"/>
        <v>0</v>
      </c>
      <c r="AV108" s="98">
        <f t="array" ref="AV108">_xlfn.IFS(U108=0,AO108,U108&lt;0,AO108/-U108,U108&gt;0,AO108/U108)</f>
        <v>532.05030000000022</v>
      </c>
      <c r="AW108" s="234">
        <f t="shared" si="89"/>
        <v>0.25591645021645032</v>
      </c>
      <c r="AX108" s="234">
        <f t="shared" si="90"/>
        <v>0.91862685175593128</v>
      </c>
      <c r="AY108" s="99"/>
      <c r="AZ108" s="94">
        <f t="shared" si="91"/>
        <v>532.05030000000022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71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9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72"/>
        <v>0</v>
      </c>
      <c r="R109" s="92">
        <f t="shared" si="73"/>
        <v>0</v>
      </c>
      <c r="S109" s="93">
        <v>0</v>
      </c>
      <c r="T109" s="93">
        <v>0</v>
      </c>
      <c r="U109" s="92">
        <f t="shared" si="93"/>
        <v>0</v>
      </c>
      <c r="V109" s="93">
        <v>0</v>
      </c>
      <c r="W109" s="93">
        <v>0</v>
      </c>
      <c r="X109" s="92">
        <f t="shared" si="94"/>
        <v>0</v>
      </c>
      <c r="Y109" s="93">
        <v>0</v>
      </c>
      <c r="Z109" s="93">
        <v>0</v>
      </c>
      <c r="AA109" s="92">
        <f t="shared" si="95"/>
        <v>0</v>
      </c>
      <c r="AB109" s="92">
        <f t="shared" si="96"/>
        <v>0</v>
      </c>
      <c r="AC109" s="234">
        <f t="shared" si="97"/>
        <v>0</v>
      </c>
      <c r="AD109" s="92">
        <f t="shared" si="98"/>
        <v>0</v>
      </c>
      <c r="AE109" s="93">
        <v>0</v>
      </c>
      <c r="AF109" s="234">
        <f t="shared" si="99"/>
        <v>0</v>
      </c>
      <c r="AG109" s="93">
        <v>0</v>
      </c>
      <c r="AH109" s="93"/>
      <c r="AI109" s="93"/>
      <c r="AJ109" s="93"/>
      <c r="AK109" s="93"/>
      <c r="AL109" s="122">
        <f t="shared" si="100"/>
        <v>0</v>
      </c>
      <c r="AM109" s="93">
        <v>0</v>
      </c>
      <c r="AN109" s="94">
        <f t="shared" si="82"/>
        <v>0</v>
      </c>
      <c r="AO109" s="95">
        <f t="shared" si="83"/>
        <v>0</v>
      </c>
      <c r="AP109" s="96"/>
      <c r="AQ109" s="97">
        <f t="shared" si="84"/>
        <v>0</v>
      </c>
      <c r="AR109" s="98">
        <f t="shared" si="85"/>
        <v>541.67999999999995</v>
      </c>
      <c r="AS109" s="98">
        <f t="shared" si="86"/>
        <v>0</v>
      </c>
      <c r="AT109" s="98">
        <f t="shared" si="87"/>
        <v>0</v>
      </c>
      <c r="AU109" s="98">
        <f t="shared" si="88"/>
        <v>0</v>
      </c>
      <c r="AV109" s="98">
        <f t="array" ref="AV109">_xlfn.IFS(U109=0,AO109,U109&lt;0,AO109/-U109,U109&gt;0,AO109/U109)</f>
        <v>0</v>
      </c>
      <c r="AW109" s="234">
        <f t="shared" si="89"/>
        <v>0</v>
      </c>
      <c r="AX109" s="234">
        <f t="shared" si="90"/>
        <v>0</v>
      </c>
      <c r="AY109" s="99"/>
      <c r="AZ109" s="94">
        <f t="shared" si="91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71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9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72"/>
        <v>0</v>
      </c>
      <c r="R110" s="92">
        <f t="shared" si="73"/>
        <v>0</v>
      </c>
      <c r="S110" s="93">
        <v>0</v>
      </c>
      <c r="T110" s="93">
        <v>0</v>
      </c>
      <c r="U110" s="92">
        <f t="shared" si="93"/>
        <v>0</v>
      </c>
      <c r="V110" s="93">
        <v>0</v>
      </c>
      <c r="W110" s="93">
        <v>0</v>
      </c>
      <c r="X110" s="92">
        <f t="shared" si="94"/>
        <v>0</v>
      </c>
      <c r="Y110" s="93">
        <v>0</v>
      </c>
      <c r="Z110" s="93">
        <v>0</v>
      </c>
      <c r="AA110" s="92">
        <f t="shared" si="95"/>
        <v>0</v>
      </c>
      <c r="AB110" s="92">
        <f t="shared" si="96"/>
        <v>0</v>
      </c>
      <c r="AC110" s="234">
        <f t="shared" si="97"/>
        <v>0</v>
      </c>
      <c r="AD110" s="92">
        <f t="shared" si="98"/>
        <v>0</v>
      </c>
      <c r="AE110" s="93">
        <v>0</v>
      </c>
      <c r="AF110" s="234">
        <f t="shared" si="99"/>
        <v>0</v>
      </c>
      <c r="AG110" s="93">
        <v>0</v>
      </c>
      <c r="AH110" s="93"/>
      <c r="AI110" s="93"/>
      <c r="AJ110" s="93"/>
      <c r="AK110" s="93"/>
      <c r="AL110" s="122">
        <f t="shared" si="100"/>
        <v>0</v>
      </c>
      <c r="AM110" s="93">
        <v>0</v>
      </c>
      <c r="AN110" s="94">
        <f t="shared" si="82"/>
        <v>0</v>
      </c>
      <c r="AO110" s="95">
        <f t="shared" si="83"/>
        <v>0</v>
      </c>
      <c r="AP110" s="96"/>
      <c r="AQ110" s="97">
        <f t="shared" si="84"/>
        <v>0</v>
      </c>
      <c r="AR110" s="98">
        <f t="shared" si="85"/>
        <v>541.67999999999995</v>
      </c>
      <c r="AS110" s="98">
        <f t="shared" si="86"/>
        <v>0</v>
      </c>
      <c r="AT110" s="98">
        <f t="shared" si="87"/>
        <v>0</v>
      </c>
      <c r="AU110" s="98">
        <f t="shared" si="88"/>
        <v>0</v>
      </c>
      <c r="AV110" s="98">
        <f t="array" ref="AV110">_xlfn.IFS(U110=0,AO110,U110&lt;0,AO110/-U110,U110&gt;0,AO110/U110)</f>
        <v>0</v>
      </c>
      <c r="AW110" s="234">
        <f t="shared" si="89"/>
        <v>0</v>
      </c>
      <c r="AX110" s="234">
        <f t="shared" si="90"/>
        <v>0</v>
      </c>
      <c r="AY110" s="99"/>
      <c r="AZ110" s="94">
        <f t="shared" si="91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71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9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72"/>
        <v>0</v>
      </c>
      <c r="R111" s="92">
        <f t="shared" si="73"/>
        <v>0</v>
      </c>
      <c r="S111" s="93">
        <v>0</v>
      </c>
      <c r="T111" s="93">
        <v>0</v>
      </c>
      <c r="U111" s="92">
        <f t="shared" si="93"/>
        <v>0</v>
      </c>
      <c r="V111" s="93">
        <v>0</v>
      </c>
      <c r="W111" s="93">
        <v>0</v>
      </c>
      <c r="X111" s="92">
        <f t="shared" si="94"/>
        <v>0</v>
      </c>
      <c r="Y111" s="93">
        <v>0</v>
      </c>
      <c r="Z111" s="93">
        <v>0</v>
      </c>
      <c r="AA111" s="92">
        <f t="shared" si="95"/>
        <v>0</v>
      </c>
      <c r="AB111" s="92">
        <f t="shared" si="96"/>
        <v>0</v>
      </c>
      <c r="AC111" s="234">
        <f t="shared" si="97"/>
        <v>0</v>
      </c>
      <c r="AD111" s="92">
        <f t="shared" si="98"/>
        <v>0</v>
      </c>
      <c r="AE111" s="93">
        <v>0</v>
      </c>
      <c r="AF111" s="234">
        <f t="shared" si="99"/>
        <v>0</v>
      </c>
      <c r="AG111" s="93">
        <v>0</v>
      </c>
      <c r="AH111" s="93"/>
      <c r="AI111" s="93"/>
      <c r="AJ111" s="93"/>
      <c r="AK111" s="93"/>
      <c r="AL111" s="122">
        <f t="shared" si="100"/>
        <v>0</v>
      </c>
      <c r="AM111" s="93">
        <v>0</v>
      </c>
      <c r="AN111" s="94">
        <f t="shared" si="82"/>
        <v>0</v>
      </c>
      <c r="AO111" s="95">
        <f t="shared" si="83"/>
        <v>0</v>
      </c>
      <c r="AP111" s="96"/>
      <c r="AQ111" s="97">
        <f t="shared" si="84"/>
        <v>0</v>
      </c>
      <c r="AR111" s="98">
        <f t="shared" si="85"/>
        <v>541.67999999999995</v>
      </c>
      <c r="AS111" s="98">
        <f t="shared" si="86"/>
        <v>0</v>
      </c>
      <c r="AT111" s="98">
        <f t="shared" si="87"/>
        <v>0</v>
      </c>
      <c r="AU111" s="98">
        <f t="shared" si="88"/>
        <v>0</v>
      </c>
      <c r="AV111" s="98">
        <f t="array" ref="AV111">_xlfn.IFS(U111=0,AO111,U111&lt;0,AO111/-U111,U111&gt;0,AO111/U111)</f>
        <v>0</v>
      </c>
      <c r="AW111" s="234">
        <f t="shared" si="89"/>
        <v>0</v>
      </c>
      <c r="AX111" s="234">
        <f t="shared" si="90"/>
        <v>0</v>
      </c>
      <c r="AY111" s="99"/>
      <c r="AZ111" s="94">
        <f t="shared" si="91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96"/>
      <c r="AI112" s="296"/>
      <c r="AJ112" s="296"/>
      <c r="AK112" s="296"/>
      <c r="AL112" s="122"/>
      <c r="AM112" s="93"/>
      <c r="AN112" s="123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101">AVERAGE(AS107:AS111)</f>
        <v>152.61799999999999</v>
      </c>
      <c r="AT112" s="245">
        <f t="shared" si="101"/>
        <v>24.868000000000002</v>
      </c>
      <c r="AU112" s="245">
        <f t="shared" si="101"/>
        <v>0</v>
      </c>
      <c r="AV112" s="245">
        <f t="shared" si="101"/>
        <v>106.41006000000004</v>
      </c>
      <c r="AW112" s="246">
        <f t="shared" si="101"/>
        <v>5.1183290043290065E-2</v>
      </c>
      <c r="AX112" s="246">
        <f t="shared" si="101"/>
        <v>0.18372537035118625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2">SUM(E107:E111)</f>
        <v>6</v>
      </c>
      <c r="F113" s="249">
        <f t="shared" si="102"/>
        <v>0</v>
      </c>
      <c r="G113" s="249">
        <f t="shared" si="102"/>
        <v>0</v>
      </c>
      <c r="H113" s="249">
        <f t="shared" si="102"/>
        <v>0</v>
      </c>
      <c r="I113" s="249">
        <f t="shared" si="102"/>
        <v>0</v>
      </c>
      <c r="J113" s="249">
        <f t="shared" si="102"/>
        <v>6</v>
      </c>
      <c r="K113" s="249"/>
      <c r="L113" s="249">
        <f>SUM(L107:L111)</f>
        <v>3325.0799999999995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03">SUM(S107:S111)</f>
        <v>1</v>
      </c>
      <c r="T113" s="249">
        <f t="shared" si="103"/>
        <v>0</v>
      </c>
      <c r="U113" s="249">
        <f t="shared" si="103"/>
        <v>1</v>
      </c>
      <c r="V113" s="249">
        <f t="shared" si="103"/>
        <v>1407</v>
      </c>
      <c r="W113" s="249">
        <f t="shared" si="103"/>
        <v>0</v>
      </c>
      <c r="X113" s="249">
        <f t="shared" si="103"/>
        <v>1407</v>
      </c>
      <c r="Y113" s="249">
        <f t="shared" si="103"/>
        <v>2079</v>
      </c>
      <c r="Z113" s="249">
        <f t="shared" si="103"/>
        <v>0</v>
      </c>
      <c r="AA113" s="249">
        <f t="shared" si="103"/>
        <v>2079</v>
      </c>
      <c r="AB113" s="249">
        <f t="shared" si="103"/>
        <v>0</v>
      </c>
      <c r="AC113" s="252">
        <f t="shared" si="103"/>
        <v>1.1051778459206657E-3</v>
      </c>
      <c r="AD113" s="253">
        <f t="shared" si="103"/>
        <v>579.17999999999995</v>
      </c>
      <c r="AE113" s="249">
        <f t="shared" si="103"/>
        <v>763.08999999999992</v>
      </c>
      <c r="AF113" s="252">
        <f>AE113/AA113</f>
        <v>0.36704665704665701</v>
      </c>
      <c r="AG113" s="249">
        <f t="shared" ref="AG113:AO113" si="104">SUM(AG107:AG111)</f>
        <v>124.34</v>
      </c>
      <c r="AH113" s="253">
        <f t="shared" si="104"/>
        <v>0</v>
      </c>
      <c r="AI113" s="253">
        <f t="shared" si="104"/>
        <v>0</v>
      </c>
      <c r="AJ113" s="253">
        <f t="shared" si="104"/>
        <v>0</v>
      </c>
      <c r="AK113" s="253">
        <f t="shared" si="104"/>
        <v>0</v>
      </c>
      <c r="AL113" s="253">
        <f t="shared" si="104"/>
        <v>0</v>
      </c>
      <c r="AM113" s="249">
        <f t="shared" si="104"/>
        <v>0</v>
      </c>
      <c r="AN113" s="253">
        <f t="shared" si="104"/>
        <v>80.339699999999993</v>
      </c>
      <c r="AO113" s="253">
        <f t="shared" si="104"/>
        <v>532.05030000000022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532.05030000000022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46"/>
      <c r="AI114" s="547"/>
      <c r="AJ114" s="297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05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:Q122" si="106">N115/7</f>
        <v>0</v>
      </c>
      <c r="R115" s="92">
        <f t="shared" ref="R115:R122" si="107">U115/7</f>
        <v>0</v>
      </c>
      <c r="S115" s="93">
        <v>0</v>
      </c>
      <c r="T115" s="93">
        <v>0</v>
      </c>
      <c r="U115" s="92">
        <f t="shared" ref="U115" si="108">S115+T115</f>
        <v>0</v>
      </c>
      <c r="V115" s="93">
        <v>0</v>
      </c>
      <c r="W115" s="93">
        <v>0</v>
      </c>
      <c r="X115" s="92">
        <f t="shared" ref="X115" si="109">V115+W115</f>
        <v>0</v>
      </c>
      <c r="Y115" s="93">
        <v>0</v>
      </c>
      <c r="Z115" s="93">
        <v>0</v>
      </c>
      <c r="AA115" s="92">
        <f t="shared" ref="AA115" si="110">Y115+Z115</f>
        <v>0</v>
      </c>
      <c r="AB115" s="92">
        <f t="shared" ref="AB115" si="111">N115*O115*P115/100</f>
        <v>0</v>
      </c>
      <c r="AC115" s="234">
        <f t="shared" ref="AC115" si="112">AA115/$AA$126</f>
        <v>0</v>
      </c>
      <c r="AD115" s="92">
        <f t="shared" ref="AD115" si="113">U115*K115</f>
        <v>0</v>
      </c>
      <c r="AE115" s="93">
        <v>0</v>
      </c>
      <c r="AF115" s="234">
        <f t="shared" ref="AF115" si="114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15">IFERROR($AL$126*H115/$H$126,0)</f>
        <v>0</v>
      </c>
      <c r="AM115" s="93">
        <v>0</v>
      </c>
      <c r="AN115" s="94">
        <f t="shared" ref="AN115:AN122" si="116">X115*5.71%</f>
        <v>0</v>
      </c>
      <c r="AO115" s="95">
        <f t="shared" ref="AO115:AO122" si="117">AA115-AD115-AE115-AG115-AH115-AI115-AK115-AL115-AN115-AM115</f>
        <v>0</v>
      </c>
      <c r="AP115" s="96"/>
      <c r="AQ115" s="97">
        <f t="shared" ref="AQ115:AQ122" si="118">IF(U115=0,0,AA115/U115)</f>
        <v>0</v>
      </c>
      <c r="AR115" s="98">
        <f t="shared" ref="AR115:AR122" si="119">K115</f>
        <v>140</v>
      </c>
      <c r="AS115" s="98">
        <f t="shared" ref="AS115:AS122" si="120">IF(U115=0,0,AE115/U115)</f>
        <v>0</v>
      </c>
      <c r="AT115" s="98">
        <f t="shared" ref="AT115:AT122" si="121">IF(S115=0,AG115/1,AG115/S115)</f>
        <v>0</v>
      </c>
      <c r="AU115" s="98">
        <f t="shared" ref="AU115:AU122" si="122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3">IF(AQ115=0,0,AV115/AQ115)</f>
        <v>0</v>
      </c>
      <c r="AX115" s="234">
        <f t="shared" ref="AX115:AX122" si="124">IF(AR115=0,0,AV115/AR115)</f>
        <v>0</v>
      </c>
      <c r="AY115" s="99"/>
      <c r="AZ115" s="94">
        <f t="shared" ref="AZ115:AZ122" si="125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26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/>
      <c r="K116" s="92">
        <v>154</v>
      </c>
      <c r="L116" s="92">
        <f t="shared" si="105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si="106"/>
        <v>0</v>
      </c>
      <c r="R116" s="92">
        <f t="shared" si="107"/>
        <v>0</v>
      </c>
      <c r="S116" s="93">
        <v>0</v>
      </c>
      <c r="T116" s="93">
        <v>0</v>
      </c>
      <c r="U116" s="92">
        <f t="shared" ref="U116:U122" si="127">S116+T116</f>
        <v>0</v>
      </c>
      <c r="V116" s="93">
        <v>0</v>
      </c>
      <c r="W116" s="93">
        <v>0</v>
      </c>
      <c r="X116" s="92">
        <f t="shared" ref="X116:X122" si="128">V116+W116</f>
        <v>0</v>
      </c>
      <c r="Y116" s="93">
        <v>0</v>
      </c>
      <c r="Z116" s="93">
        <v>0</v>
      </c>
      <c r="AA116" s="92">
        <f t="shared" ref="AA116:AA122" si="129">Y116+Z116</f>
        <v>0</v>
      </c>
      <c r="AB116" s="92">
        <f t="shared" ref="AB116:AB122" si="130">N116*O116*P116/100</f>
        <v>0</v>
      </c>
      <c r="AC116" s="234">
        <f t="shared" ref="AC116:AC122" si="131">AA116/$AA$126</f>
        <v>0</v>
      </c>
      <c r="AD116" s="92">
        <f t="shared" ref="AD116:AD122" si="132">U116*K116</f>
        <v>0</v>
      </c>
      <c r="AE116" s="93">
        <v>0</v>
      </c>
      <c r="AF116" s="234">
        <f t="shared" ref="AF116:AF122" si="133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34">IFERROR($AL$126*H116/$H$126,0)</f>
        <v>0</v>
      </c>
      <c r="AM116" s="93">
        <v>0</v>
      </c>
      <c r="AN116" s="94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154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26"/>
        <v>1</v>
      </c>
      <c r="F117" s="93">
        <v>0</v>
      </c>
      <c r="G117" s="93">
        <v>0</v>
      </c>
      <c r="H117" s="93">
        <v>0</v>
      </c>
      <c r="I117" s="93">
        <v>1</v>
      </c>
      <c r="J117" s="93"/>
      <c r="K117" s="92">
        <v>220</v>
      </c>
      <c r="L117" s="92">
        <f t="shared" si="105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06"/>
        <v>0</v>
      </c>
      <c r="R117" s="92">
        <f t="shared" si="107"/>
        <v>0</v>
      </c>
      <c r="S117" s="93">
        <v>0</v>
      </c>
      <c r="T117" s="93">
        <v>0</v>
      </c>
      <c r="U117" s="92">
        <f t="shared" si="127"/>
        <v>0</v>
      </c>
      <c r="V117" s="93">
        <v>0</v>
      </c>
      <c r="W117" s="93">
        <v>0</v>
      </c>
      <c r="X117" s="92">
        <f t="shared" si="128"/>
        <v>0</v>
      </c>
      <c r="Y117" s="93">
        <v>0</v>
      </c>
      <c r="Z117" s="93">
        <v>0</v>
      </c>
      <c r="AA117" s="92">
        <f t="shared" si="129"/>
        <v>0</v>
      </c>
      <c r="AB117" s="92">
        <f t="shared" si="130"/>
        <v>0</v>
      </c>
      <c r="AC117" s="234">
        <f t="shared" si="131"/>
        <v>0</v>
      </c>
      <c r="AD117" s="92">
        <f t="shared" si="132"/>
        <v>0</v>
      </c>
      <c r="AE117" s="93">
        <v>0</v>
      </c>
      <c r="AF117" s="234">
        <f t="shared" si="133"/>
        <v>0</v>
      </c>
      <c r="AG117" s="93">
        <v>0</v>
      </c>
      <c r="AH117" s="93"/>
      <c r="AI117" s="93"/>
      <c r="AJ117" s="93"/>
      <c r="AK117" s="93"/>
      <c r="AL117" s="122">
        <f t="shared" si="134"/>
        <v>0</v>
      </c>
      <c r="AM117" s="93">
        <v>0</v>
      </c>
      <c r="AN117" s="94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220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26"/>
        <v>1</v>
      </c>
      <c r="F118" s="93">
        <v>0</v>
      </c>
      <c r="G118" s="93">
        <v>0</v>
      </c>
      <c r="H118" s="93">
        <v>0</v>
      </c>
      <c r="I118" s="93">
        <v>1</v>
      </c>
      <c r="J118" s="93"/>
      <c r="K118" s="92">
        <v>220</v>
      </c>
      <c r="L118" s="92">
        <f t="shared" si="105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06"/>
        <v>0</v>
      </c>
      <c r="R118" s="92">
        <f t="shared" si="107"/>
        <v>0</v>
      </c>
      <c r="S118" s="93">
        <v>0</v>
      </c>
      <c r="T118" s="93">
        <v>0</v>
      </c>
      <c r="U118" s="92">
        <f t="shared" si="127"/>
        <v>0</v>
      </c>
      <c r="V118" s="93">
        <v>0</v>
      </c>
      <c r="W118" s="93">
        <v>0</v>
      </c>
      <c r="X118" s="92">
        <f t="shared" si="128"/>
        <v>0</v>
      </c>
      <c r="Y118" s="93">
        <v>0</v>
      </c>
      <c r="Z118" s="93">
        <v>0</v>
      </c>
      <c r="AA118" s="92">
        <f t="shared" si="129"/>
        <v>0</v>
      </c>
      <c r="AB118" s="92">
        <f t="shared" si="130"/>
        <v>0</v>
      </c>
      <c r="AC118" s="234">
        <f t="shared" si="131"/>
        <v>0</v>
      </c>
      <c r="AD118" s="92">
        <f t="shared" si="132"/>
        <v>0</v>
      </c>
      <c r="AE118" s="93">
        <v>0</v>
      </c>
      <c r="AF118" s="234">
        <f t="shared" si="133"/>
        <v>0</v>
      </c>
      <c r="AG118" s="93">
        <v>0</v>
      </c>
      <c r="AH118" s="93"/>
      <c r="AI118" s="93"/>
      <c r="AJ118" s="93"/>
      <c r="AK118" s="93"/>
      <c r="AL118" s="122">
        <f t="shared" si="134"/>
        <v>0</v>
      </c>
      <c r="AM118" s="93">
        <v>0</v>
      </c>
      <c r="AN118" s="94">
        <f t="shared" si="116"/>
        <v>0</v>
      </c>
      <c r="AO118" s="95">
        <f t="shared" si="117"/>
        <v>0</v>
      </c>
      <c r="AP118" s="96"/>
      <c r="AQ118" s="97">
        <f t="shared" si="118"/>
        <v>0</v>
      </c>
      <c r="AR118" s="98">
        <f t="shared" si="119"/>
        <v>220</v>
      </c>
      <c r="AS118" s="98">
        <f t="shared" si="120"/>
        <v>0</v>
      </c>
      <c r="AT118" s="98">
        <f t="shared" si="121"/>
        <v>0</v>
      </c>
      <c r="AU118" s="98">
        <f t="shared" si="122"/>
        <v>0</v>
      </c>
      <c r="AV118" s="98">
        <f t="array" ref="AV118">_xlfn.IFS(U118=0,AO118,U118&lt;0,AO118/-U118,U118&gt;0,AO118/U118)</f>
        <v>0</v>
      </c>
      <c r="AW118" s="234">
        <f t="shared" si="123"/>
        <v>0</v>
      </c>
      <c r="AX118" s="234">
        <f t="shared" si="124"/>
        <v>0</v>
      </c>
      <c r="AY118" s="99"/>
      <c r="AZ118" s="94">
        <f t="shared" si="125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26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05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06"/>
        <v>0</v>
      </c>
      <c r="R119" s="92">
        <f t="shared" si="107"/>
        <v>0</v>
      </c>
      <c r="S119" s="93">
        <v>0</v>
      </c>
      <c r="T119" s="93">
        <v>0</v>
      </c>
      <c r="U119" s="92">
        <f t="shared" si="127"/>
        <v>0</v>
      </c>
      <c r="V119" s="93">
        <v>0</v>
      </c>
      <c r="W119" s="93">
        <v>0</v>
      </c>
      <c r="X119" s="92">
        <f t="shared" si="128"/>
        <v>0</v>
      </c>
      <c r="Y119" s="93">
        <v>0</v>
      </c>
      <c r="Z119" s="93">
        <v>0</v>
      </c>
      <c r="AA119" s="92">
        <f t="shared" si="129"/>
        <v>0</v>
      </c>
      <c r="AB119" s="92">
        <f t="shared" si="130"/>
        <v>0</v>
      </c>
      <c r="AC119" s="234">
        <f t="shared" si="131"/>
        <v>0</v>
      </c>
      <c r="AD119" s="92">
        <f t="shared" si="132"/>
        <v>0</v>
      </c>
      <c r="AE119" s="93">
        <v>0</v>
      </c>
      <c r="AF119" s="234">
        <f t="shared" si="133"/>
        <v>0</v>
      </c>
      <c r="AG119" s="93">
        <v>0</v>
      </c>
      <c r="AH119" s="93"/>
      <c r="AI119" s="93"/>
      <c r="AJ119" s="93"/>
      <c r="AK119" s="93"/>
      <c r="AL119" s="122">
        <f t="shared" si="134"/>
        <v>0</v>
      </c>
      <c r="AM119" s="93">
        <v>0</v>
      </c>
      <c r="AN119" s="94">
        <f t="shared" si="116"/>
        <v>0</v>
      </c>
      <c r="AO119" s="95">
        <f t="shared" si="117"/>
        <v>0</v>
      </c>
      <c r="AP119" s="96"/>
      <c r="AQ119" s="97">
        <f t="shared" si="118"/>
        <v>0</v>
      </c>
      <c r="AR119" s="98">
        <f t="shared" si="119"/>
        <v>220</v>
      </c>
      <c r="AS119" s="98">
        <f t="shared" si="120"/>
        <v>0</v>
      </c>
      <c r="AT119" s="98">
        <f t="shared" si="121"/>
        <v>0</v>
      </c>
      <c r="AU119" s="98">
        <f t="shared" si="122"/>
        <v>0</v>
      </c>
      <c r="AV119" s="98">
        <f t="array" ref="AV119">_xlfn.IFS(U119=0,AO119,U119&lt;0,AO119/-U119,U119&gt;0,AO119/U119)</f>
        <v>0</v>
      </c>
      <c r="AW119" s="234">
        <f t="shared" si="123"/>
        <v>0</v>
      </c>
      <c r="AX119" s="234">
        <f t="shared" si="124"/>
        <v>0</v>
      </c>
      <c r="AY119" s="99"/>
      <c r="AZ119" s="94">
        <f t="shared" si="125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26"/>
        <v>1</v>
      </c>
      <c r="F120" s="93">
        <v>0</v>
      </c>
      <c r="G120" s="93">
        <v>0</v>
      </c>
      <c r="H120" s="93">
        <v>0</v>
      </c>
      <c r="I120" s="93">
        <v>1</v>
      </c>
      <c r="J120" s="93"/>
      <c r="K120" s="92">
        <v>205</v>
      </c>
      <c r="L120" s="92">
        <f t="shared" si="105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06"/>
        <v>0</v>
      </c>
      <c r="R120" s="92">
        <f t="shared" si="107"/>
        <v>0</v>
      </c>
      <c r="S120" s="93">
        <v>0</v>
      </c>
      <c r="T120" s="93">
        <v>0</v>
      </c>
      <c r="U120" s="92">
        <f t="shared" si="127"/>
        <v>0</v>
      </c>
      <c r="V120" s="93">
        <v>0</v>
      </c>
      <c r="W120" s="93">
        <v>0</v>
      </c>
      <c r="X120" s="92">
        <f t="shared" si="128"/>
        <v>0</v>
      </c>
      <c r="Y120" s="93">
        <v>0</v>
      </c>
      <c r="Z120" s="93">
        <v>0</v>
      </c>
      <c r="AA120" s="92">
        <f t="shared" si="129"/>
        <v>0</v>
      </c>
      <c r="AB120" s="92">
        <f t="shared" si="130"/>
        <v>0</v>
      </c>
      <c r="AC120" s="234">
        <f t="shared" si="131"/>
        <v>0</v>
      </c>
      <c r="AD120" s="92">
        <f t="shared" si="132"/>
        <v>0</v>
      </c>
      <c r="AE120" s="93">
        <v>0</v>
      </c>
      <c r="AF120" s="234">
        <f t="shared" si="133"/>
        <v>0</v>
      </c>
      <c r="AG120" s="93">
        <v>0</v>
      </c>
      <c r="AH120" s="93"/>
      <c r="AI120" s="93"/>
      <c r="AJ120" s="93"/>
      <c r="AK120" s="93"/>
      <c r="AL120" s="122">
        <f t="shared" si="134"/>
        <v>0</v>
      </c>
      <c r="AM120" s="93">
        <v>0</v>
      </c>
      <c r="AN120" s="94">
        <f t="shared" si="116"/>
        <v>0</v>
      </c>
      <c r="AO120" s="95">
        <f t="shared" si="117"/>
        <v>0</v>
      </c>
      <c r="AP120" s="96"/>
      <c r="AQ120" s="97">
        <f t="shared" si="118"/>
        <v>0</v>
      </c>
      <c r="AR120" s="98">
        <f t="shared" si="119"/>
        <v>205</v>
      </c>
      <c r="AS120" s="98">
        <f t="shared" si="120"/>
        <v>0</v>
      </c>
      <c r="AT120" s="98">
        <f t="shared" si="121"/>
        <v>0</v>
      </c>
      <c r="AU120" s="98">
        <f t="shared" si="122"/>
        <v>0</v>
      </c>
      <c r="AV120" s="98">
        <f t="array" ref="AV120">_xlfn.IFS(U120=0,AO120,U120&lt;0,AO120/-U120,U120&gt;0,AO120/U120)</f>
        <v>0</v>
      </c>
      <c r="AW120" s="234">
        <f t="shared" si="123"/>
        <v>0</v>
      </c>
      <c r="AX120" s="234">
        <f t="shared" si="124"/>
        <v>0</v>
      </c>
      <c r="AY120" s="99"/>
      <c r="AZ120" s="94">
        <f t="shared" si="125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26"/>
        <v>1</v>
      </c>
      <c r="F121" s="93">
        <v>0</v>
      </c>
      <c r="G121" s="93">
        <v>0</v>
      </c>
      <c r="H121" s="93">
        <v>0</v>
      </c>
      <c r="I121" s="93">
        <v>1</v>
      </c>
      <c r="J121" s="93"/>
      <c r="K121" s="92">
        <v>205</v>
      </c>
      <c r="L121" s="92">
        <f t="shared" si="105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06"/>
        <v>0</v>
      </c>
      <c r="R121" s="92">
        <f t="shared" si="107"/>
        <v>0</v>
      </c>
      <c r="S121" s="93">
        <v>0</v>
      </c>
      <c r="T121" s="93">
        <v>0</v>
      </c>
      <c r="U121" s="92">
        <f t="shared" si="127"/>
        <v>0</v>
      </c>
      <c r="V121" s="93">
        <v>0</v>
      </c>
      <c r="W121" s="93">
        <v>0</v>
      </c>
      <c r="X121" s="92">
        <f t="shared" si="128"/>
        <v>0</v>
      </c>
      <c r="Y121" s="93">
        <v>0</v>
      </c>
      <c r="Z121" s="93">
        <v>0</v>
      </c>
      <c r="AA121" s="92">
        <f t="shared" si="129"/>
        <v>0</v>
      </c>
      <c r="AB121" s="92">
        <f t="shared" si="130"/>
        <v>0</v>
      </c>
      <c r="AC121" s="234">
        <f t="shared" si="131"/>
        <v>0</v>
      </c>
      <c r="AD121" s="92">
        <f t="shared" si="132"/>
        <v>0</v>
      </c>
      <c r="AE121" s="93">
        <v>0</v>
      </c>
      <c r="AF121" s="234">
        <f t="shared" si="133"/>
        <v>0</v>
      </c>
      <c r="AG121" s="93">
        <v>0</v>
      </c>
      <c r="AH121" s="93"/>
      <c r="AI121" s="93"/>
      <c r="AJ121" s="93"/>
      <c r="AK121" s="93"/>
      <c r="AL121" s="122">
        <f t="shared" si="134"/>
        <v>0</v>
      </c>
      <c r="AM121" s="93">
        <v>0</v>
      </c>
      <c r="AN121" s="94">
        <f t="shared" si="116"/>
        <v>0</v>
      </c>
      <c r="AO121" s="95">
        <f t="shared" si="117"/>
        <v>0</v>
      </c>
      <c r="AP121" s="96"/>
      <c r="AQ121" s="97">
        <f t="shared" si="118"/>
        <v>0</v>
      </c>
      <c r="AR121" s="98">
        <f t="shared" si="119"/>
        <v>205</v>
      </c>
      <c r="AS121" s="98">
        <f t="shared" si="120"/>
        <v>0</v>
      </c>
      <c r="AT121" s="98">
        <f t="shared" si="121"/>
        <v>0</v>
      </c>
      <c r="AU121" s="98">
        <f t="shared" si="122"/>
        <v>0</v>
      </c>
      <c r="AV121" s="98">
        <f t="array" ref="AV121">_xlfn.IFS(U121=0,AO121,U121&lt;0,AO121/-U121,U121&gt;0,AO121/U121)</f>
        <v>0</v>
      </c>
      <c r="AW121" s="234">
        <f t="shared" si="123"/>
        <v>0</v>
      </c>
      <c r="AX121" s="234">
        <f t="shared" si="124"/>
        <v>0</v>
      </c>
      <c r="AY121" s="99"/>
      <c r="AZ121" s="94">
        <f t="shared" si="125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26"/>
        <v>1</v>
      </c>
      <c r="F122" s="93">
        <v>0</v>
      </c>
      <c r="G122" s="93">
        <v>0</v>
      </c>
      <c r="H122" s="93">
        <v>0</v>
      </c>
      <c r="I122" s="93">
        <v>1</v>
      </c>
      <c r="J122" s="93"/>
      <c r="K122" s="92">
        <v>453</v>
      </c>
      <c r="L122" s="92">
        <f t="shared" si="105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06"/>
        <v>0</v>
      </c>
      <c r="R122" s="92">
        <f t="shared" si="107"/>
        <v>0</v>
      </c>
      <c r="S122" s="93">
        <v>0</v>
      </c>
      <c r="T122" s="93">
        <v>0</v>
      </c>
      <c r="U122" s="92">
        <f t="shared" si="127"/>
        <v>0</v>
      </c>
      <c r="V122" s="93">
        <v>0</v>
      </c>
      <c r="W122" s="93">
        <v>0</v>
      </c>
      <c r="X122" s="92">
        <f t="shared" si="128"/>
        <v>0</v>
      </c>
      <c r="Y122" s="93">
        <v>0</v>
      </c>
      <c r="Z122" s="93">
        <v>0</v>
      </c>
      <c r="AA122" s="92">
        <f t="shared" si="129"/>
        <v>0</v>
      </c>
      <c r="AB122" s="92">
        <f t="shared" si="130"/>
        <v>0</v>
      </c>
      <c r="AC122" s="234">
        <f t="shared" si="131"/>
        <v>0</v>
      </c>
      <c r="AD122" s="92">
        <f t="shared" si="132"/>
        <v>0</v>
      </c>
      <c r="AE122" s="93">
        <v>0</v>
      </c>
      <c r="AF122" s="234">
        <f t="shared" si="133"/>
        <v>0</v>
      </c>
      <c r="AG122" s="93">
        <v>0</v>
      </c>
      <c r="AH122" s="93"/>
      <c r="AI122" s="93"/>
      <c r="AJ122" s="93"/>
      <c r="AK122" s="93"/>
      <c r="AL122" s="122">
        <f t="shared" si="134"/>
        <v>0</v>
      </c>
      <c r="AM122" s="93">
        <v>0</v>
      </c>
      <c r="AN122" s="94">
        <f t="shared" si="116"/>
        <v>0</v>
      </c>
      <c r="AO122" s="95">
        <f t="shared" si="117"/>
        <v>0</v>
      </c>
      <c r="AP122" s="96"/>
      <c r="AQ122" s="97">
        <f t="shared" si="118"/>
        <v>0</v>
      </c>
      <c r="AR122" s="98">
        <f t="shared" si="119"/>
        <v>453</v>
      </c>
      <c r="AS122" s="98">
        <f t="shared" si="120"/>
        <v>0</v>
      </c>
      <c r="AT122" s="98">
        <f t="shared" si="121"/>
        <v>0</v>
      </c>
      <c r="AU122" s="98">
        <f t="shared" si="122"/>
        <v>0</v>
      </c>
      <c r="AV122" s="98">
        <f t="array" ref="AV122">_xlfn.IFS(U122=0,AO122,U122&lt;0,AO122/-U122,U122&gt;0,AO122/U122)</f>
        <v>0</v>
      </c>
      <c r="AW122" s="234">
        <f t="shared" si="123"/>
        <v>0</v>
      </c>
      <c r="AX122" s="234">
        <f t="shared" si="124"/>
        <v>0</v>
      </c>
      <c r="AY122" s="99"/>
      <c r="AZ122" s="94">
        <f t="shared" si="125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35">AVERAGE(AQ115:AQ122)</f>
        <v>0</v>
      </c>
      <c r="AR123" s="130">
        <f t="shared" si="135"/>
        <v>227.125</v>
      </c>
      <c r="AS123" s="130">
        <f t="shared" si="135"/>
        <v>0</v>
      </c>
      <c r="AT123" s="130">
        <f t="shared" si="135"/>
        <v>0</v>
      </c>
      <c r="AU123" s="130">
        <f t="shared" si="135"/>
        <v>0</v>
      </c>
      <c r="AV123" s="130">
        <f t="shared" si="135"/>
        <v>0</v>
      </c>
      <c r="AW123" s="131">
        <f t="shared" si="135"/>
        <v>0</v>
      </c>
      <c r="AX123" s="131">
        <f t="shared" si="135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6">SUM(E115:E122)</f>
        <v>14</v>
      </c>
      <c r="F124" s="134">
        <f t="shared" si="136"/>
        <v>0</v>
      </c>
      <c r="G124" s="134">
        <f t="shared" si="136"/>
        <v>0</v>
      </c>
      <c r="H124" s="134">
        <f t="shared" si="136"/>
        <v>0</v>
      </c>
      <c r="I124" s="134">
        <f t="shared" si="136"/>
        <v>8</v>
      </c>
      <c r="J124" s="134">
        <f t="shared" si="136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37">SUM(S115:S122)</f>
        <v>0</v>
      </c>
      <c r="T124" s="134">
        <f t="shared" si="137"/>
        <v>0</v>
      </c>
      <c r="U124" s="134">
        <f t="shared" si="137"/>
        <v>0</v>
      </c>
      <c r="V124" s="134">
        <f t="shared" si="137"/>
        <v>0</v>
      </c>
      <c r="W124" s="134">
        <f t="shared" si="137"/>
        <v>0</v>
      </c>
      <c r="X124" s="134">
        <f t="shared" si="137"/>
        <v>0</v>
      </c>
      <c r="Y124" s="134">
        <f t="shared" si="137"/>
        <v>0</v>
      </c>
      <c r="Z124" s="134">
        <f t="shared" si="137"/>
        <v>0</v>
      </c>
      <c r="AA124" s="134">
        <f t="shared" si="137"/>
        <v>0</v>
      </c>
      <c r="AB124" s="134">
        <f t="shared" si="137"/>
        <v>0</v>
      </c>
      <c r="AC124" s="265">
        <f t="shared" si="137"/>
        <v>0</v>
      </c>
      <c r="AD124" s="135">
        <f t="shared" si="137"/>
        <v>0</v>
      </c>
      <c r="AE124" s="134">
        <f t="shared" si="137"/>
        <v>0</v>
      </c>
      <c r="AF124" s="265" t="e">
        <f>AE124/AA124</f>
        <v>#DIV/0!</v>
      </c>
      <c r="AG124" s="134">
        <f t="shared" ref="AG124:AO124" si="138">SUM(AG115:AG122)</f>
        <v>0</v>
      </c>
      <c r="AH124" s="134">
        <f t="shared" si="138"/>
        <v>0</v>
      </c>
      <c r="AI124" s="134">
        <f t="shared" si="138"/>
        <v>0</v>
      </c>
      <c r="AJ124" s="134">
        <f t="shared" si="138"/>
        <v>0</v>
      </c>
      <c r="AK124" s="134">
        <f t="shared" si="138"/>
        <v>0</v>
      </c>
      <c r="AL124" s="136">
        <f t="shared" si="138"/>
        <v>0</v>
      </c>
      <c r="AM124" s="134">
        <f t="shared" si="138"/>
        <v>0</v>
      </c>
      <c r="AN124" s="134">
        <f t="shared" si="138"/>
        <v>0</v>
      </c>
      <c r="AO124" s="134">
        <f t="shared" si="13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548"/>
      <c r="AI125" s="548"/>
      <c r="AJ125" s="298"/>
      <c r="AK125" s="298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39">E105+E113+E124</f>
        <v>80222</v>
      </c>
      <c r="F126" s="267">
        <f t="shared" si="139"/>
        <v>2258</v>
      </c>
      <c r="G126" s="267">
        <f t="shared" si="139"/>
        <v>537</v>
      </c>
      <c r="H126" s="267">
        <f t="shared" si="139"/>
        <v>11465</v>
      </c>
      <c r="I126" s="267">
        <f t="shared" si="139"/>
        <v>1619</v>
      </c>
      <c r="J126" s="267">
        <f t="shared" si="139"/>
        <v>64343</v>
      </c>
      <c r="K126" s="267">
        <f t="shared" si="139"/>
        <v>0</v>
      </c>
      <c r="L126" s="267">
        <f t="shared" si="139"/>
        <v>9930266.8399999999</v>
      </c>
      <c r="M126" s="267">
        <f t="shared" si="139"/>
        <v>0</v>
      </c>
      <c r="N126" s="267">
        <f t="shared" si="139"/>
        <v>3325</v>
      </c>
      <c r="O126" s="267">
        <f t="shared" si="139"/>
        <v>0</v>
      </c>
      <c r="P126" s="267">
        <f t="shared" si="139"/>
        <v>0</v>
      </c>
      <c r="Q126" s="215">
        <f t="shared" si="139"/>
        <v>0</v>
      </c>
      <c r="R126" s="267">
        <f t="shared" si="139"/>
        <v>0</v>
      </c>
      <c r="S126" s="267">
        <f t="shared" si="139"/>
        <v>1883</v>
      </c>
      <c r="T126" s="267">
        <f t="shared" si="139"/>
        <v>-40</v>
      </c>
      <c r="U126" s="267">
        <f t="shared" si="139"/>
        <v>1843</v>
      </c>
      <c r="V126" s="267">
        <f t="shared" si="139"/>
        <v>1238150.8400000001</v>
      </c>
      <c r="W126" s="267">
        <f t="shared" si="139"/>
        <v>-26582.27</v>
      </c>
      <c r="X126" s="267">
        <f t="shared" si="139"/>
        <v>1211568.57</v>
      </c>
      <c r="Y126" s="267">
        <f t="shared" si="139"/>
        <v>1922339.67</v>
      </c>
      <c r="Z126" s="267">
        <f t="shared" si="139"/>
        <v>-41194.47</v>
      </c>
      <c r="AA126" s="267">
        <f t="shared" si="139"/>
        <v>1881145.2000000002</v>
      </c>
      <c r="AB126" s="267">
        <f t="shared" si="139"/>
        <v>2280322.1500000004</v>
      </c>
      <c r="AC126" s="267">
        <f t="shared" si="139"/>
        <v>1</v>
      </c>
      <c r="AD126" s="267">
        <f t="shared" si="139"/>
        <v>230954.03999999998</v>
      </c>
      <c r="AE126" s="267">
        <f t="shared" si="139"/>
        <v>696594.59999999951</v>
      </c>
      <c r="AF126" s="268">
        <f>AE126/AA126</f>
        <v>0.37030347258680479</v>
      </c>
      <c r="AG126" s="267">
        <f>AG105+AG113+AG124</f>
        <v>212505.02000000002</v>
      </c>
      <c r="AH126" s="267">
        <f>AH105+AH113+AH124</f>
        <v>145581</v>
      </c>
      <c r="AI126" s="267">
        <f>AI105+AI113+AI124</f>
        <v>138670</v>
      </c>
      <c r="AJ126" s="267">
        <f>AJ105+AJ113+AJ124</f>
        <v>44</v>
      </c>
      <c r="AK126" s="267">
        <f>AK105+AK113+AK124</f>
        <v>0</v>
      </c>
      <c r="AL126" s="156">
        <v>8132.98</v>
      </c>
      <c r="AM126" s="267">
        <f>AM105+AM113+AM124</f>
        <v>826</v>
      </c>
      <c r="AN126" s="267">
        <f>AN105+AN113+AN124</f>
        <v>69180.565346999982</v>
      </c>
      <c r="AO126" s="267">
        <f>AO105+AO113+AO124</f>
        <v>378700.99465300015</v>
      </c>
      <c r="AP126" s="155"/>
      <c r="AQ126" s="155"/>
      <c r="AR126" s="155"/>
      <c r="AS126" s="155"/>
      <c r="AT126" s="155"/>
      <c r="AU126" s="155">
        <f>(AH126+AI126)/S126</f>
        <v>150.95645246946361</v>
      </c>
      <c r="AV126" s="155"/>
      <c r="AW126" s="155"/>
      <c r="AX126" s="155"/>
      <c r="AY126" s="157"/>
      <c r="AZ126" s="155">
        <f>AZ105+AZ124</f>
        <v>16414027.631672958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48">
        <f>AH106+AH114+AH125</f>
        <v>0</v>
      </c>
      <c r="AI127" s="548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23" priority="17" operator="greaterThan">
      <formula>0.23</formula>
    </cfRule>
  </conditionalFormatting>
  <conditionalFormatting sqref="M123:O123 M3:M104 M106:M112">
    <cfRule type="cellIs" dxfId="22" priority="28" operator="greaterThan">
      <formula>120</formula>
    </cfRule>
  </conditionalFormatting>
  <conditionalFormatting sqref="AC125 AC127">
    <cfRule type="cellIs" dxfId="21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{025E754D-CE55-422B-9491-8D27CE130C12}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{7F9AA578-6BE8-4C42-B81B-6A9FD1D0DA06}</x14:id>
        </ext>
      </extLst>
    </cfRule>
  </conditionalFormatting>
  <conditionalFormatting sqref="AC1">
    <cfRule type="cellIs" dxfId="20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{23F8D132-0B37-4DDD-81D0-A3891D505064}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{4C490777-7114-4C58-8215-80884D9FF66D}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{4474AA32-1D95-4487-AFE5-91E7DE7A75BB}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{E346A984-8563-433A-8BD6-3C5A4E81BD31}</x14:id>
        </ext>
      </extLst>
    </cfRule>
  </conditionalFormatting>
  <conditionalFormatting sqref="Q123">
    <cfRule type="cellIs" dxfId="19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{1BC2CD19-475F-484D-B435-C3E4D1C46650}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{8BDA0815-094E-449F-99B1-B04FF4C75A84}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{4E73B895-B303-4F0D-879D-FFF53020CCB0}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{FFF138E3-C9B9-45DD-A2A6-0A8EB4EDD26C}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{BA24D441-5595-4CD0-8181-97DAEBE387A7}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{421877EF-38AF-4177-8E22-77E57247BB6A}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{B0E17953-BF57-4303-9F00-8C7277F78A19}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{62EB62FD-0FAE-4493-A6E2-9403321579BB}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{7C69A2E6-2D18-4ACA-9602-972C3470FC95}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{25605AD2-66E8-4745-839E-D50CB9C34A36}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{5BD9CFDF-3F91-4A88-AA73-84E7579A5440}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{810FE399-F59C-40A2-BA1B-0FD053DC6C7F}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{42687D56-7EA7-4510-B217-6D675F3FFF5E}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{CA3777D8-2D8B-4DE2-B827-346ACF697B4C}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{915FAE98-3D94-44D3-9242-30D5E9F862DE}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{0CB0E607-5CF8-4BA9-970C-B11C0D5AC461}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{D1F05D39-304B-454B-AD65-045D92C11889}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{A41BC524-C01E-42E7-A657-D9A21153E051}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{3D1A41BC-EAA5-484B-8E82-D2110705DCF8}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{465F899F-4CC6-4B88-8754-3E8959E82779}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{9064B946-FA80-48E7-B1CB-500583359A35}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{BFC9FEB1-CC7A-4FD6-AC1C-252ACC3FEFEB}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{B8C4A11F-52D9-4790-A880-CA8206C471E3}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{DACD8470-EBF4-4C24-AF86-97F78BDF5BA9}</x14:id>
        </ext>
      </extLst>
    </cfRule>
  </conditionalFormatting>
  <conditionalFormatting sqref="M115:M122">
    <cfRule type="cellIs" dxfId="18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5E754D-CE55-422B-9491-8D27CE13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7F9AA578-6BE8-4C42-B81B-6A9FD1D0D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3F8D132-0B37-4DDD-81D0-A3891D505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4C490777-7114-4C58-8215-80884D9FF6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474AA32-1D95-4487-AFE5-91E7DE7A75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46A984-8563-433A-8BD6-3C5A4E81BD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BC2CD19-475F-484D-B435-C3E4D1C466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8BDA0815-094E-449F-99B1-B04FF4C75A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E73B895-B303-4F0D-879D-FFF53020CC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FF138E3-C9B9-45DD-A2A6-0A8EB4EDD2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BA24D441-5595-4CD0-8181-97DAEBE38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21877EF-38AF-4177-8E22-77E57247BB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B0E17953-BF57-4303-9F00-8C7277F78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62EB62FD-0FAE-4493-A6E2-940332157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C69A2E6-2D18-4ACA-9602-972C3470FC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5605AD2-66E8-4745-839E-D50CB9C34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5BD9CFDF-3F91-4A88-AA73-84E7579A5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10FE399-F59C-40A2-BA1B-0FD053DC6C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2687D56-7EA7-4510-B217-6D675F3FF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CA3777D8-2D8B-4DE2-B827-346ACF697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915FAE98-3D94-44D3-9242-30D5E9F862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0CB0E607-5CF8-4BA9-970C-B11C0D5AC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D1F05D39-304B-454B-AD65-045D92C1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41BC524-C01E-42E7-A657-D9A21153E0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D1A41BC-EAA5-484B-8E82-D2110705DC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65F899F-4CC6-4B88-8754-3E8959E82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064B946-FA80-48E7-B1CB-500583359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BFC9FEB1-CC7A-4FD6-AC1C-252ACC3FE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B8C4A11F-52D9-4790-A880-CA8206C471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DACD8470-EBF4-4C24-AF86-97F78BDF5B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6288-281E-4AC4-89C3-29B784B42FD1}">
  <dimension ref="A1:AZ129"/>
  <sheetViews>
    <sheetView zoomScale="70" zoomScaleNormal="70" workbookViewId="0">
      <pane xSplit="3" ySplit="2" topLeftCell="AH90" activePane="bottomRight" state="frozen"/>
      <selection pane="topRight" activeCell="D1" sqref="D1"/>
      <selection pane="bottomLeft" activeCell="A3" sqref="A3"/>
      <selection pane="bottomRight" activeCell="AI51" sqref="AI5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265</v>
      </c>
      <c r="B1" s="73"/>
      <c r="C1" s="72"/>
      <c r="D1" s="72"/>
      <c r="E1" s="222"/>
      <c r="F1" s="539" t="s">
        <v>42</v>
      </c>
      <c r="G1" s="539"/>
      <c r="H1" s="539"/>
      <c r="I1" s="540" t="s">
        <v>115</v>
      </c>
      <c r="J1" s="541"/>
      <c r="M1" s="299" t="s">
        <v>43</v>
      </c>
      <c r="N1" s="539" t="s">
        <v>116</v>
      </c>
      <c r="O1" s="539"/>
      <c r="P1" s="539"/>
      <c r="R1" s="224"/>
      <c r="S1" s="542"/>
      <c r="T1" s="542"/>
      <c r="U1" s="224"/>
      <c r="V1" s="543"/>
      <c r="W1" s="544"/>
      <c r="X1" s="224"/>
      <c r="Y1" s="542"/>
      <c r="Z1" s="542"/>
      <c r="AA1" s="224"/>
      <c r="AB1" s="224"/>
      <c r="AC1" s="224"/>
      <c r="AD1" s="224"/>
      <c r="AE1" s="225"/>
      <c r="AF1" s="224"/>
      <c r="AG1" s="225"/>
      <c r="AH1" s="535"/>
      <c r="AI1" s="535"/>
      <c r="AJ1" s="283" t="s">
        <v>248</v>
      </c>
      <c r="AK1" s="295"/>
      <c r="AL1" s="300" t="s">
        <v>44</v>
      </c>
      <c r="AM1" s="225"/>
      <c r="AQ1" s="536" t="s">
        <v>45</v>
      </c>
      <c r="AR1" s="537"/>
      <c r="AS1" s="537"/>
      <c r="AT1" s="537"/>
      <c r="AU1" s="537"/>
      <c r="AV1" s="537"/>
      <c r="AW1" s="537"/>
      <c r="AX1" s="538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267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4707</v>
      </c>
      <c r="F3" s="93">
        <v>88</v>
      </c>
      <c r="G3" s="93">
        <v>15</v>
      </c>
      <c r="H3" s="93">
        <v>963</v>
      </c>
      <c r="I3" s="93">
        <v>1</v>
      </c>
      <c r="J3" s="93">
        <v>3640</v>
      </c>
      <c r="K3" s="92">
        <v>142.97999999999999</v>
      </c>
      <c r="L3" s="92">
        <f t="shared" ref="L3" si="0">E3*K3</f>
        <v>673006.86</v>
      </c>
      <c r="M3" s="89">
        <v>96</v>
      </c>
      <c r="N3" s="89">
        <v>115</v>
      </c>
      <c r="O3" s="89">
        <v>1321</v>
      </c>
      <c r="P3" s="89">
        <v>60</v>
      </c>
      <c r="Q3" s="233">
        <f>N3/7</f>
        <v>16.428571428571427</v>
      </c>
      <c r="R3" s="92">
        <f>U3/7</f>
        <v>10.428571428571429</v>
      </c>
      <c r="S3" s="93">
        <v>74</v>
      </c>
      <c r="T3" s="93">
        <v>-1</v>
      </c>
      <c r="U3" s="92">
        <f t="shared" ref="U3" si="1">S3+T3</f>
        <v>73</v>
      </c>
      <c r="V3" s="93">
        <v>60853.43</v>
      </c>
      <c r="W3" s="93">
        <v>-806</v>
      </c>
      <c r="X3" s="92">
        <f t="shared" ref="X3" si="2">V3+W3</f>
        <v>60047.43</v>
      </c>
      <c r="Y3" s="93">
        <v>95316.309999999969</v>
      </c>
      <c r="Z3" s="93">
        <v>-1284</v>
      </c>
      <c r="AA3" s="92">
        <f t="shared" ref="AA3" si="3">Y3+Z3</f>
        <v>94032.309999999969</v>
      </c>
      <c r="AB3" s="92">
        <f>N3*O3*P3/100</f>
        <v>91149</v>
      </c>
      <c r="AC3" s="234">
        <f>AA3/$AA$126</f>
        <v>7.0568977465851987E-2</v>
      </c>
      <c r="AD3" s="92">
        <f t="shared" ref="AD3" si="4">U3*K3</f>
        <v>10437.539999999999</v>
      </c>
      <c r="AE3" s="93">
        <v>34536.129999999968</v>
      </c>
      <c r="AF3" s="234">
        <f t="shared" ref="AF3" si="5">IF(AA3=0,0,AE3/AA3)</f>
        <v>0.36727939577364399</v>
      </c>
      <c r="AG3" s="93">
        <v>8444.0500000000029</v>
      </c>
      <c r="AH3" s="93">
        <v>9000</v>
      </c>
      <c r="AI3" s="93">
        <v>6948</v>
      </c>
      <c r="AJ3" s="93"/>
      <c r="AK3" s="93"/>
      <c r="AL3" s="122">
        <f>IFERROR($AL$126*H3/$H$126,0)</f>
        <v>677.95166767319472</v>
      </c>
      <c r="AM3" s="93">
        <v>0</v>
      </c>
      <c r="AN3" s="94">
        <f t="shared" ref="AN3:AN34" si="6">X3*5.71%</f>
        <v>3428.7082529999998</v>
      </c>
      <c r="AO3" s="95">
        <f t="shared" ref="AO3:AO34" si="7">AA3-AD3-AE3-AG3-AH3-AI3-AK3-AL3-AN3-AM3</f>
        <v>20559.930079326808</v>
      </c>
      <c r="AP3" s="96"/>
      <c r="AQ3" s="97">
        <f t="shared" ref="AQ3:AQ34" si="8">IF(U3=0,0,AA3/U3)</f>
        <v>1288.1138356164379</v>
      </c>
      <c r="AR3" s="98">
        <f t="shared" ref="AR3:AR34" si="9">K3</f>
        <v>142.97999999999999</v>
      </c>
      <c r="AS3" s="98">
        <f t="shared" ref="AS3:AS34" si="10">IF(U3=0,0,AE3/U3)</f>
        <v>473.09767123287628</v>
      </c>
      <c r="AT3" s="98">
        <f t="shared" ref="AT3:AT34" si="11">IF(S3=0,AG3/1,AG3/S3)</f>
        <v>114.10878378378382</v>
      </c>
      <c r="AU3" s="98">
        <f t="shared" ref="AU3:AU34" si="12">IF(S3=0,0,(AH3+AI3+AJ3)/S3)</f>
        <v>215.51351351351352</v>
      </c>
      <c r="AV3" s="98">
        <f>_xlfn.IFS(U3=0,AO3,U3&lt;0,AO3/-U3,U3&gt;0,AO3/U3)</f>
        <v>281.6428777989974</v>
      </c>
      <c r="AW3" s="234">
        <f t="shared" ref="AW3" si="13">IF(AQ3=0,0,AV3/AQ3)</f>
        <v>0.21864750615322348</v>
      </c>
      <c r="AX3" s="234">
        <f t="shared" ref="AX3" si="14">IF(AR3=0,0,AV3/AR3)</f>
        <v>1.969806111337232</v>
      </c>
      <c r="AY3" s="99"/>
      <c r="AZ3" s="94">
        <f t="shared" ref="AZ3:AZ34" si="15">AV3*E3</f>
        <v>1325693.0257998807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9614</v>
      </c>
      <c r="F4" s="93">
        <v>446</v>
      </c>
      <c r="G4" s="93">
        <v>38</v>
      </c>
      <c r="H4" s="93">
        <v>294</v>
      </c>
      <c r="I4" s="93">
        <v>0</v>
      </c>
      <c r="J4" s="93">
        <v>8836</v>
      </c>
      <c r="K4" s="92">
        <v>123.09</v>
      </c>
      <c r="L4" s="92">
        <f>E4*K4</f>
        <v>1183387.26</v>
      </c>
      <c r="M4" s="89">
        <v>9</v>
      </c>
      <c r="N4" s="89">
        <v>668</v>
      </c>
      <c r="O4" s="89">
        <v>806</v>
      </c>
      <c r="P4" s="89">
        <v>81</v>
      </c>
      <c r="Q4" s="233">
        <f t="shared" ref="Q4:Q67" si="16">N4/7</f>
        <v>95.428571428571431</v>
      </c>
      <c r="R4" s="92">
        <f t="shared" ref="R4:R67" si="17">U4/7</f>
        <v>55.571428571428569</v>
      </c>
      <c r="S4" s="93">
        <v>392</v>
      </c>
      <c r="T4" s="93">
        <v>-3</v>
      </c>
      <c r="U4" s="92">
        <f t="shared" ref="U4:U67" si="18">S4+T4</f>
        <v>389</v>
      </c>
      <c r="V4" s="93">
        <v>192331.22999999981</v>
      </c>
      <c r="W4" s="93">
        <v>-1476.5</v>
      </c>
      <c r="X4" s="92">
        <f t="shared" ref="X4:X67" si="19">V4+W4</f>
        <v>190854.72999999981</v>
      </c>
      <c r="Y4" s="93">
        <v>282734.12</v>
      </c>
      <c r="Z4" s="93">
        <v>-2036.85</v>
      </c>
      <c r="AA4" s="92">
        <f t="shared" ref="AA4:AA67" si="20">Y4+Z4</f>
        <v>280697.27</v>
      </c>
      <c r="AB4" s="92">
        <f t="shared" ref="AB4:AB67" si="21">N4*O4*P4/100</f>
        <v>436110.48</v>
      </c>
      <c r="AC4" s="234">
        <f t="shared" ref="AC4:AC67" si="22">AA4/$AA$126</f>
        <v>0.21065652137394242</v>
      </c>
      <c r="AD4" s="92">
        <f t="shared" ref="AD4:AD67" si="23">U4*K4</f>
        <v>47882.01</v>
      </c>
      <c r="AE4" s="93">
        <v>104670.3799999999</v>
      </c>
      <c r="AF4" s="234">
        <f t="shared" ref="AF4:AF67" si="24">IF(AA4=0,0,AE4/AA4)</f>
        <v>0.37289418596767931</v>
      </c>
      <c r="AG4" s="93">
        <v>30083.250000000029</v>
      </c>
      <c r="AH4" s="93">
        <v>852</v>
      </c>
      <c r="AI4" s="93"/>
      <c r="AJ4" s="93"/>
      <c r="AK4" s="93"/>
      <c r="AL4" s="122">
        <f t="shared" ref="AL4:AL67" si="25">IFERROR($AL$126*H4/$H$126,0)</f>
        <v>206.97589854197224</v>
      </c>
      <c r="AM4" s="93">
        <v>0</v>
      </c>
      <c r="AN4" s="94">
        <f t="shared" si="6"/>
        <v>10897.805082999988</v>
      </c>
      <c r="AO4" s="95">
        <f t="shared" si="7"/>
        <v>86104.849018458117</v>
      </c>
      <c r="AP4" s="96"/>
      <c r="AQ4" s="97">
        <f t="shared" si="8"/>
        <v>721.58681233933169</v>
      </c>
      <c r="AR4" s="98">
        <f t="shared" si="9"/>
        <v>123.09</v>
      </c>
      <c r="AS4" s="98">
        <f t="shared" si="10"/>
        <v>269.07552699228768</v>
      </c>
      <c r="AT4" s="98">
        <f t="shared" si="11"/>
        <v>76.742984693877631</v>
      </c>
      <c r="AU4" s="98">
        <f t="shared" si="12"/>
        <v>2.1734693877551021</v>
      </c>
      <c r="AV4" s="98">
        <f t="array" ref="AV4">_xlfn.IFS(U4=0,AO4,U4&lt;0,AO4/-U4,U4&gt;0,AO4/U4)</f>
        <v>221.34922626852986</v>
      </c>
      <c r="AW4" s="234">
        <f>IF(AQ4=0,0,AV4/AQ4)</f>
        <v>0.30675342520594556</v>
      </c>
      <c r="AX4" s="234">
        <f>IF(AR4=0,0,AV4/AR4)</f>
        <v>1.7982713970958637</v>
      </c>
      <c r="AY4" s="99"/>
      <c r="AZ4" s="94">
        <f t="shared" si="15"/>
        <v>2128051.4613456461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5978</v>
      </c>
      <c r="F5" s="93">
        <v>114</v>
      </c>
      <c r="G5" s="93">
        <v>16</v>
      </c>
      <c r="H5" s="93">
        <v>754</v>
      </c>
      <c r="I5" s="93">
        <v>0</v>
      </c>
      <c r="J5" s="93">
        <v>5094</v>
      </c>
      <c r="K5" s="92">
        <v>123.09</v>
      </c>
      <c r="L5" s="92">
        <f>E5*K5</f>
        <v>735832.02</v>
      </c>
      <c r="M5" s="89">
        <v>65</v>
      </c>
      <c r="N5" s="89">
        <v>157</v>
      </c>
      <c r="O5" s="89">
        <v>1038</v>
      </c>
      <c r="P5" s="89">
        <v>77</v>
      </c>
      <c r="Q5" s="233">
        <f t="shared" si="16"/>
        <v>22.428571428571427</v>
      </c>
      <c r="R5" s="92">
        <f t="shared" si="17"/>
        <v>13.571428571428571</v>
      </c>
      <c r="S5" s="93">
        <v>97</v>
      </c>
      <c r="T5" s="93">
        <v>-2</v>
      </c>
      <c r="U5" s="92">
        <f t="shared" si="18"/>
        <v>95</v>
      </c>
      <c r="V5" s="93">
        <v>61991.54</v>
      </c>
      <c r="W5" s="93">
        <v>-1218</v>
      </c>
      <c r="X5" s="92">
        <f t="shared" si="19"/>
        <v>60773.54</v>
      </c>
      <c r="Y5" s="93">
        <v>97791.920000000013</v>
      </c>
      <c r="Z5" s="93">
        <v>-2060</v>
      </c>
      <c r="AA5" s="92">
        <f t="shared" si="20"/>
        <v>95731.920000000013</v>
      </c>
      <c r="AB5" s="92">
        <f t="shared" si="21"/>
        <v>125483.82</v>
      </c>
      <c r="AC5" s="234">
        <f t="shared" si="22"/>
        <v>7.184449371968793E-2</v>
      </c>
      <c r="AD5" s="92">
        <f t="shared" si="23"/>
        <v>11693.550000000001</v>
      </c>
      <c r="AE5" s="93">
        <v>35597.950000000019</v>
      </c>
      <c r="AF5" s="234">
        <f t="shared" si="24"/>
        <v>0.37185037132860194</v>
      </c>
      <c r="AG5" s="93">
        <v>7663.8300000000036</v>
      </c>
      <c r="AH5" s="93">
        <v>4936</v>
      </c>
      <c r="AI5" s="93">
        <v>6951</v>
      </c>
      <c r="AJ5" s="93"/>
      <c r="AK5" s="93"/>
      <c r="AL5" s="122">
        <f t="shared" si="25"/>
        <v>530.81573979811924</v>
      </c>
      <c r="AM5" s="93">
        <v>0</v>
      </c>
      <c r="AN5" s="94">
        <f t="shared" si="6"/>
        <v>3470.1691339999998</v>
      </c>
      <c r="AO5" s="95">
        <f t="shared" si="7"/>
        <v>24888.60512620187</v>
      </c>
      <c r="AP5" s="96"/>
      <c r="AQ5" s="97">
        <f t="shared" si="8"/>
        <v>1007.7044210526317</v>
      </c>
      <c r="AR5" s="98">
        <f t="shared" si="9"/>
        <v>123.09</v>
      </c>
      <c r="AS5" s="98">
        <f t="shared" si="10"/>
        <v>374.71526315789492</v>
      </c>
      <c r="AT5" s="98">
        <f t="shared" si="11"/>
        <v>79.008556701030969</v>
      </c>
      <c r="AU5" s="98">
        <f t="shared" si="12"/>
        <v>122.54639175257732</v>
      </c>
      <c r="AV5" s="98">
        <f t="array" ref="AV5">_xlfn.IFS(U5=0,AO5,U5&lt;0,AO5/-U5,U5&gt;0,AO5/U5)</f>
        <v>261.98531711791441</v>
      </c>
      <c r="AW5" s="234">
        <f>IF(AQ5=0,0,AV5/AQ5)</f>
        <v>0.25998230398180527</v>
      </c>
      <c r="AX5" s="234">
        <f>IF(AR5=0,0,AV5/AR5)</f>
        <v>2.1284045585987035</v>
      </c>
      <c r="AY5" s="99"/>
      <c r="AZ5" s="94">
        <f t="shared" si="15"/>
        <v>1566148.2257308923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960</v>
      </c>
      <c r="F6" s="93">
        <v>93</v>
      </c>
      <c r="G6" s="93">
        <v>9</v>
      </c>
      <c r="H6" s="93">
        <v>467</v>
      </c>
      <c r="I6" s="93">
        <v>0</v>
      </c>
      <c r="J6" s="93">
        <v>391</v>
      </c>
      <c r="K6" s="92">
        <v>123.09</v>
      </c>
      <c r="L6" s="92">
        <f t="shared" ref="L6" si="27">E6*K6</f>
        <v>118166.40000000001</v>
      </c>
      <c r="M6" s="89">
        <v>49</v>
      </c>
      <c r="N6" s="89">
        <v>131</v>
      </c>
      <c r="O6" s="89">
        <v>939</v>
      </c>
      <c r="P6" s="89">
        <v>86</v>
      </c>
      <c r="Q6" s="233">
        <f t="shared" si="16"/>
        <v>18.714285714285715</v>
      </c>
      <c r="R6" s="92">
        <f t="shared" si="17"/>
        <v>12.857142857142858</v>
      </c>
      <c r="S6" s="93">
        <v>94</v>
      </c>
      <c r="T6" s="93">
        <v>-4</v>
      </c>
      <c r="U6" s="92">
        <f t="shared" si="18"/>
        <v>90</v>
      </c>
      <c r="V6" s="93">
        <v>57742.590000000004</v>
      </c>
      <c r="W6" s="93">
        <v>-2416</v>
      </c>
      <c r="X6" s="92">
        <f t="shared" si="19"/>
        <v>55326.590000000004</v>
      </c>
      <c r="Y6" s="93">
        <v>85767.15</v>
      </c>
      <c r="Z6" s="93">
        <v>-3594</v>
      </c>
      <c r="AA6" s="92">
        <f t="shared" si="20"/>
        <v>82173.149999999994</v>
      </c>
      <c r="AB6" s="92">
        <f t="shared" si="21"/>
        <v>105787.74</v>
      </c>
      <c r="AC6" s="234">
        <f t="shared" si="22"/>
        <v>6.1668964323518982E-2</v>
      </c>
      <c r="AD6" s="92">
        <f t="shared" si="23"/>
        <v>11078.1</v>
      </c>
      <c r="AE6" s="93">
        <v>30658.139999999996</v>
      </c>
      <c r="AF6" s="234">
        <f t="shared" si="24"/>
        <v>0.37309194061563905</v>
      </c>
      <c r="AG6" s="93">
        <v>7927.9900000000061</v>
      </c>
      <c r="AH6" s="93">
        <v>4393</v>
      </c>
      <c r="AI6" s="93">
        <v>7445</v>
      </c>
      <c r="AJ6" s="93"/>
      <c r="AK6" s="93"/>
      <c r="AL6" s="122">
        <f t="shared" si="25"/>
        <v>328.76783884047967</v>
      </c>
      <c r="AM6" s="93">
        <v>0</v>
      </c>
      <c r="AN6" s="94">
        <f t="shared" si="6"/>
        <v>3159.1482890000002</v>
      </c>
      <c r="AO6" s="95">
        <f t="shared" si="7"/>
        <v>17183.003872159505</v>
      </c>
      <c r="AP6" s="96"/>
      <c r="AQ6" s="97">
        <f t="shared" si="8"/>
        <v>913.03499999999997</v>
      </c>
      <c r="AR6" s="98">
        <f t="shared" si="9"/>
        <v>123.09</v>
      </c>
      <c r="AS6" s="98">
        <f t="shared" si="10"/>
        <v>340.64599999999996</v>
      </c>
      <c r="AT6" s="98">
        <f t="shared" si="11"/>
        <v>84.340319148936231</v>
      </c>
      <c r="AU6" s="98">
        <f t="shared" si="12"/>
        <v>125.93617021276596</v>
      </c>
      <c r="AV6" s="98">
        <f t="array" ref="AV6">_xlfn.IFS(U6=0,AO6,U6&lt;0,AO6/-U6,U6&gt;0,AO6/U6)</f>
        <v>190.92226524621671</v>
      </c>
      <c r="AW6" s="234">
        <f t="shared" ref="AW6" si="28">IF(AQ6=0,0,AV6/AQ6)</f>
        <v>0.2091072798372644</v>
      </c>
      <c r="AX6" s="234">
        <f t="shared" ref="AX6" si="29">IF(AR6=0,0,AV6/AR6)</f>
        <v>1.5510786030239394</v>
      </c>
      <c r="AY6" s="99"/>
      <c r="AZ6" s="94">
        <f t="shared" si="15"/>
        <v>183285.37463636804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5766</v>
      </c>
      <c r="F7" s="93">
        <v>126</v>
      </c>
      <c r="G7" s="93">
        <v>21</v>
      </c>
      <c r="H7" s="93">
        <v>249</v>
      </c>
      <c r="I7" s="93">
        <v>3</v>
      </c>
      <c r="J7" s="93">
        <v>5367</v>
      </c>
      <c r="K7" s="92">
        <v>117.24</v>
      </c>
      <c r="L7" s="92">
        <f>E7*K7</f>
        <v>676005.84</v>
      </c>
      <c r="M7" s="89">
        <v>31</v>
      </c>
      <c r="N7" s="89">
        <v>178</v>
      </c>
      <c r="O7" s="89">
        <v>988</v>
      </c>
      <c r="P7" s="89">
        <v>75</v>
      </c>
      <c r="Q7" s="233">
        <f t="shared" si="16"/>
        <v>25.428571428571427</v>
      </c>
      <c r="R7" s="92">
        <f t="shared" si="17"/>
        <v>14.142857142857142</v>
      </c>
      <c r="S7" s="93">
        <v>100</v>
      </c>
      <c r="T7" s="93">
        <v>-1</v>
      </c>
      <c r="U7" s="92">
        <f t="shared" si="18"/>
        <v>99</v>
      </c>
      <c r="V7" s="93">
        <v>65163.08</v>
      </c>
      <c r="W7" s="93">
        <v>-638</v>
      </c>
      <c r="X7" s="92">
        <f t="shared" si="19"/>
        <v>64525.08</v>
      </c>
      <c r="Y7" s="93">
        <v>95750.709999999977</v>
      </c>
      <c r="Z7" s="93">
        <v>-950</v>
      </c>
      <c r="AA7" s="92">
        <f t="shared" si="20"/>
        <v>94800.709999999977</v>
      </c>
      <c r="AB7" s="92">
        <f t="shared" si="21"/>
        <v>131898</v>
      </c>
      <c r="AC7" s="234">
        <f t="shared" si="22"/>
        <v>7.1145643106468093E-2</v>
      </c>
      <c r="AD7" s="92">
        <f t="shared" si="23"/>
        <v>11606.76</v>
      </c>
      <c r="AE7" s="93">
        <v>35442.809999999983</v>
      </c>
      <c r="AF7" s="234">
        <f t="shared" si="24"/>
        <v>0.37386650374242969</v>
      </c>
      <c r="AG7" s="93">
        <v>9515.779999999997</v>
      </c>
      <c r="AH7" s="93">
        <v>4500</v>
      </c>
      <c r="AI7" s="93">
        <v>9440</v>
      </c>
      <c r="AJ7" s="93"/>
      <c r="AK7" s="93"/>
      <c r="AL7" s="122">
        <f t="shared" si="25"/>
        <v>175.29591407126219</v>
      </c>
      <c r="AM7" s="93">
        <v>0</v>
      </c>
      <c r="AN7" s="94">
        <f t="shared" si="6"/>
        <v>3684.3820679999999</v>
      </c>
      <c r="AO7" s="95">
        <f t="shared" si="7"/>
        <v>20435.682017928739</v>
      </c>
      <c r="AP7" s="96"/>
      <c r="AQ7" s="97">
        <f t="shared" si="8"/>
        <v>957.58292929292907</v>
      </c>
      <c r="AR7" s="98">
        <f t="shared" si="9"/>
        <v>117.24</v>
      </c>
      <c r="AS7" s="98">
        <f t="shared" si="10"/>
        <v>358.00818181818164</v>
      </c>
      <c r="AT7" s="98">
        <f t="shared" si="11"/>
        <v>95.157799999999966</v>
      </c>
      <c r="AU7" s="98">
        <f t="shared" si="12"/>
        <v>139.4</v>
      </c>
      <c r="AV7" s="98">
        <f t="array" ref="AV7">_xlfn.IFS(U7=0,AO7,U7&lt;0,AO7/-U7,U7&gt;0,AO7/U7)</f>
        <v>206.42103048412866</v>
      </c>
      <c r="AW7" s="234">
        <f>IF(AQ7=0,0,AV7/AQ7)</f>
        <v>0.21556465155090868</v>
      </c>
      <c r="AX7" s="234">
        <f>IF(AR7=0,0,AV7/AR7)</f>
        <v>1.7606706796667406</v>
      </c>
      <c r="AY7" s="99"/>
      <c r="AZ7" s="94">
        <f t="shared" si="15"/>
        <v>1190223.6617714858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692</v>
      </c>
      <c r="F8" s="93">
        <v>83</v>
      </c>
      <c r="G8" s="93">
        <v>23</v>
      </c>
      <c r="H8" s="93">
        <v>428</v>
      </c>
      <c r="I8" s="93">
        <v>0</v>
      </c>
      <c r="J8" s="93">
        <v>158</v>
      </c>
      <c r="K8" s="92">
        <v>169.89</v>
      </c>
      <c r="L8" s="92">
        <f>E8*K8</f>
        <v>117563.87999999999</v>
      </c>
      <c r="M8" s="89">
        <v>51</v>
      </c>
      <c r="N8" s="89">
        <v>117</v>
      </c>
      <c r="O8" s="89">
        <v>1260</v>
      </c>
      <c r="P8" s="89">
        <v>53</v>
      </c>
      <c r="Q8" s="233">
        <f t="shared" si="16"/>
        <v>16.714285714285715</v>
      </c>
      <c r="R8" s="92">
        <f t="shared" si="17"/>
        <v>8.1428571428571423</v>
      </c>
      <c r="S8" s="93">
        <v>58</v>
      </c>
      <c r="T8" s="93">
        <v>-1</v>
      </c>
      <c r="U8" s="92">
        <f t="shared" si="18"/>
        <v>57</v>
      </c>
      <c r="V8" s="93">
        <v>46477.429999999993</v>
      </c>
      <c r="W8" s="93">
        <v>-768</v>
      </c>
      <c r="X8" s="92">
        <f t="shared" si="19"/>
        <v>45709.429999999993</v>
      </c>
      <c r="Y8" s="93">
        <v>71730.84</v>
      </c>
      <c r="Z8" s="93">
        <v>-1262</v>
      </c>
      <c r="AA8" s="92">
        <f t="shared" si="20"/>
        <v>70468.84</v>
      </c>
      <c r="AB8" s="92">
        <f t="shared" si="21"/>
        <v>78132.600000000006</v>
      </c>
      <c r="AC8" s="234">
        <f t="shared" si="22"/>
        <v>5.2885162366049829E-2</v>
      </c>
      <c r="AD8" s="92">
        <f t="shared" si="23"/>
        <v>9683.73</v>
      </c>
      <c r="AE8" s="93">
        <v>25947.67</v>
      </c>
      <c r="AF8" s="234">
        <f t="shared" si="24"/>
        <v>0.36821480245736982</v>
      </c>
      <c r="AG8" s="93">
        <v>8164.17</v>
      </c>
      <c r="AH8" s="93">
        <v>8346</v>
      </c>
      <c r="AI8" s="93">
        <v>4043</v>
      </c>
      <c r="AJ8" s="93"/>
      <c r="AK8" s="93"/>
      <c r="AL8" s="122">
        <f t="shared" si="25"/>
        <v>301.31185229919765</v>
      </c>
      <c r="AM8" s="93">
        <v>0</v>
      </c>
      <c r="AN8" s="94">
        <f t="shared" si="6"/>
        <v>2610.0084529999995</v>
      </c>
      <c r="AO8" s="95">
        <f t="shared" si="7"/>
        <v>11372.949694700808</v>
      </c>
      <c r="AP8" s="96"/>
      <c r="AQ8" s="97">
        <f t="shared" si="8"/>
        <v>1236.2954385964911</v>
      </c>
      <c r="AR8" s="98">
        <f t="shared" si="9"/>
        <v>169.89</v>
      </c>
      <c r="AS8" s="98">
        <f t="shared" si="10"/>
        <v>455.22228070175436</v>
      </c>
      <c r="AT8" s="98">
        <f t="shared" si="11"/>
        <v>140.76155172413795</v>
      </c>
      <c r="AU8" s="98">
        <f t="shared" si="12"/>
        <v>213.60344827586206</v>
      </c>
      <c r="AV8" s="98">
        <f t="array" ref="AV8">_xlfn.IFS(U8=0,AO8,U8&lt;0,AO8/-U8,U8&gt;0,AO8/U8)</f>
        <v>199.52543324036506</v>
      </c>
      <c r="AW8" s="234">
        <f>IF(AQ8=0,0,AV8/AQ8)</f>
        <v>0.16138976737378974</v>
      </c>
      <c r="AX8" s="234">
        <f>IF(AR8=0,0,AV8/AR8)</f>
        <v>1.1744389501463599</v>
      </c>
      <c r="AY8" s="99"/>
      <c r="AZ8" s="94">
        <f t="shared" si="15"/>
        <v>138071.59980233261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11870</v>
      </c>
      <c r="F9" s="93">
        <v>143</v>
      </c>
      <c r="G9" s="93">
        <v>21</v>
      </c>
      <c r="H9" s="93">
        <v>457</v>
      </c>
      <c r="I9" s="93">
        <v>0</v>
      </c>
      <c r="J9" s="93">
        <v>11249</v>
      </c>
      <c r="K9" s="92">
        <v>123.09</v>
      </c>
      <c r="L9" s="92">
        <f>E9*K9</f>
        <v>1461078.3</v>
      </c>
      <c r="M9" s="89">
        <v>45</v>
      </c>
      <c r="N9" s="89">
        <v>197</v>
      </c>
      <c r="O9" s="89">
        <v>1308</v>
      </c>
      <c r="P9" s="89">
        <v>69</v>
      </c>
      <c r="Q9" s="233">
        <f t="shared" si="16"/>
        <v>28.142857142857142</v>
      </c>
      <c r="R9" s="92">
        <f t="shared" si="17"/>
        <v>12.571428571428571</v>
      </c>
      <c r="S9" s="93">
        <v>91</v>
      </c>
      <c r="T9" s="93">
        <v>-3</v>
      </c>
      <c r="U9" s="92">
        <f t="shared" si="18"/>
        <v>88</v>
      </c>
      <c r="V9" s="93">
        <v>75963.569999999978</v>
      </c>
      <c r="W9" s="93">
        <v>-2519</v>
      </c>
      <c r="X9" s="92">
        <f t="shared" si="19"/>
        <v>73444.569999999978</v>
      </c>
      <c r="Y9" s="93">
        <v>116512.48000000003</v>
      </c>
      <c r="Z9" s="93">
        <v>-3793</v>
      </c>
      <c r="AA9" s="92">
        <f t="shared" si="20"/>
        <v>112719.48000000003</v>
      </c>
      <c r="AB9" s="92">
        <f t="shared" si="21"/>
        <v>177796.44</v>
      </c>
      <c r="AC9" s="234">
        <f t="shared" si="22"/>
        <v>8.459324719431606E-2</v>
      </c>
      <c r="AD9" s="92">
        <f t="shared" si="23"/>
        <v>10831.92</v>
      </c>
      <c r="AE9" s="93">
        <v>41478.740000000034</v>
      </c>
      <c r="AF9" s="234">
        <f t="shared" si="24"/>
        <v>0.36798200275586818</v>
      </c>
      <c r="AG9" s="93">
        <v>10277.469999999999</v>
      </c>
      <c r="AH9" s="93">
        <v>10000</v>
      </c>
      <c r="AI9" s="93">
        <v>13500</v>
      </c>
      <c r="AJ9" s="93"/>
      <c r="AK9" s="93"/>
      <c r="AL9" s="122">
        <f t="shared" si="25"/>
        <v>321.72784229143303</v>
      </c>
      <c r="AM9" s="93">
        <v>0</v>
      </c>
      <c r="AN9" s="94">
        <f t="shared" si="6"/>
        <v>4193.6849469999988</v>
      </c>
      <c r="AO9" s="95">
        <f t="shared" si="7"/>
        <v>22115.937210708562</v>
      </c>
      <c r="AP9" s="96"/>
      <c r="AQ9" s="97">
        <f t="shared" si="8"/>
        <v>1280.903181818182</v>
      </c>
      <c r="AR9" s="98">
        <f t="shared" si="9"/>
        <v>123.09</v>
      </c>
      <c r="AS9" s="98">
        <f t="shared" si="10"/>
        <v>471.34931818181855</v>
      </c>
      <c r="AT9" s="98">
        <f t="shared" si="11"/>
        <v>112.93923076923076</v>
      </c>
      <c r="AU9" s="98">
        <f t="shared" si="12"/>
        <v>258.24175824175825</v>
      </c>
      <c r="AV9" s="98">
        <f t="array" ref="AV9">_xlfn.IFS(U9=0,AO9,U9&lt;0,AO9/-U9,U9&gt;0,AO9/U9)</f>
        <v>251.31746830350639</v>
      </c>
      <c r="AW9" s="234">
        <f>IF(AQ9=0,0,AV9/AQ9)</f>
        <v>0.19620332892512066</v>
      </c>
      <c r="AX9" s="234">
        <f>IF(AR9=0,0,AV9/AR9)</f>
        <v>2.0417374953571077</v>
      </c>
      <c r="AY9" s="99"/>
      <c r="AZ9" s="94">
        <f t="shared" si="15"/>
        <v>2983138.3487626207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10702</v>
      </c>
      <c r="F10" s="93">
        <v>128</v>
      </c>
      <c r="G10" s="93">
        <v>13</v>
      </c>
      <c r="H10" s="93">
        <v>316</v>
      </c>
      <c r="I10" s="93">
        <v>0</v>
      </c>
      <c r="J10" s="93">
        <v>10245</v>
      </c>
      <c r="K10" s="92">
        <v>123.09</v>
      </c>
      <c r="L10" s="92">
        <f>E10*K10</f>
        <v>1317309.18</v>
      </c>
      <c r="M10" s="89">
        <v>41</v>
      </c>
      <c r="N10" s="89">
        <v>197</v>
      </c>
      <c r="O10" s="89">
        <v>852</v>
      </c>
      <c r="P10" s="89">
        <v>74</v>
      </c>
      <c r="Q10" s="233">
        <f t="shared" si="16"/>
        <v>28.142857142857142</v>
      </c>
      <c r="R10" s="92">
        <f t="shared" si="17"/>
        <v>13.142857142857142</v>
      </c>
      <c r="S10" s="93">
        <v>92</v>
      </c>
      <c r="T10" s="93">
        <v>0</v>
      </c>
      <c r="U10" s="92">
        <f t="shared" si="18"/>
        <v>92</v>
      </c>
      <c r="V10" s="93">
        <v>51181.440000000002</v>
      </c>
      <c r="W10" s="93">
        <v>0</v>
      </c>
      <c r="X10" s="92">
        <f t="shared" si="19"/>
        <v>51181.440000000002</v>
      </c>
      <c r="Y10" s="93">
        <v>76468.270000000019</v>
      </c>
      <c r="Z10" s="93">
        <v>0</v>
      </c>
      <c r="AA10" s="92">
        <f t="shared" si="20"/>
        <v>76468.270000000019</v>
      </c>
      <c r="AB10" s="92">
        <f t="shared" si="21"/>
        <v>124204.56</v>
      </c>
      <c r="AC10" s="234">
        <f t="shared" si="22"/>
        <v>5.7387589675109429E-2</v>
      </c>
      <c r="AD10" s="92">
        <f t="shared" si="23"/>
        <v>11324.28</v>
      </c>
      <c r="AE10" s="93">
        <v>28521.929999999986</v>
      </c>
      <c r="AF10" s="234">
        <f t="shared" si="24"/>
        <v>0.37299039196257455</v>
      </c>
      <c r="AG10" s="93">
        <v>9051.2500000000036</v>
      </c>
      <c r="AH10" s="93">
        <v>7500</v>
      </c>
      <c r="AI10" s="93">
        <v>7391</v>
      </c>
      <c r="AJ10" s="93"/>
      <c r="AK10" s="93"/>
      <c r="AL10" s="122">
        <f t="shared" si="25"/>
        <v>222.46389094987489</v>
      </c>
      <c r="AM10" s="93">
        <v>0</v>
      </c>
      <c r="AN10" s="94">
        <f t="shared" si="6"/>
        <v>2922.4602239999999</v>
      </c>
      <c r="AO10" s="95">
        <f t="shared" si="7"/>
        <v>9534.8858850501547</v>
      </c>
      <c r="AP10" s="96"/>
      <c r="AQ10" s="97">
        <f t="shared" si="8"/>
        <v>831.17684782608717</v>
      </c>
      <c r="AR10" s="98">
        <f t="shared" si="9"/>
        <v>123.09</v>
      </c>
      <c r="AS10" s="98">
        <f t="shared" si="10"/>
        <v>310.02097826086941</v>
      </c>
      <c r="AT10" s="98">
        <f t="shared" si="11"/>
        <v>98.383152173913089</v>
      </c>
      <c r="AU10" s="98">
        <f t="shared" si="12"/>
        <v>161.85869565217391</v>
      </c>
      <c r="AV10" s="98">
        <f t="array" ref="AV10">_xlfn.IFS(U10=0,AO10,U10&lt;0,AO10/-U10,U10&gt;0,AO10/U10)</f>
        <v>103.64006396793647</v>
      </c>
      <c r="AW10" s="234">
        <f>IF(AQ10=0,0,AV10/AQ10)</f>
        <v>0.12469074931406389</v>
      </c>
      <c r="AX10" s="234">
        <f>IF(AR10=0,0,AV10/AR10)</f>
        <v>0.84198605872074472</v>
      </c>
      <c r="AY10" s="99"/>
      <c r="AZ10" s="94">
        <f t="shared" si="15"/>
        <v>1109155.9645848561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3190</v>
      </c>
      <c r="F11" s="93">
        <v>42</v>
      </c>
      <c r="G11" s="93">
        <v>12</v>
      </c>
      <c r="H11" s="93">
        <v>549</v>
      </c>
      <c r="I11" s="93">
        <v>0</v>
      </c>
      <c r="J11" s="93">
        <v>2587</v>
      </c>
      <c r="K11" s="92">
        <v>123.09</v>
      </c>
      <c r="L11" s="92">
        <f t="shared" ref="L11" si="31">E11*K11</f>
        <v>392657.10000000003</v>
      </c>
      <c r="M11" s="89">
        <v>111</v>
      </c>
      <c r="N11" s="89">
        <v>68</v>
      </c>
      <c r="O11" s="89">
        <v>1203</v>
      </c>
      <c r="P11" s="89">
        <v>64</v>
      </c>
      <c r="Q11" s="233">
        <f t="shared" si="16"/>
        <v>9.7142857142857135</v>
      </c>
      <c r="R11" s="92">
        <f t="shared" si="17"/>
        <v>5.4285714285714288</v>
      </c>
      <c r="S11" s="93">
        <v>38</v>
      </c>
      <c r="T11" s="93">
        <v>0</v>
      </c>
      <c r="U11" s="92">
        <f t="shared" si="18"/>
        <v>38</v>
      </c>
      <c r="V11" s="93">
        <v>28170.53</v>
      </c>
      <c r="W11" s="93">
        <v>0</v>
      </c>
      <c r="X11" s="92">
        <f t="shared" si="19"/>
        <v>28170.53</v>
      </c>
      <c r="Y11" s="93">
        <v>44696.94</v>
      </c>
      <c r="Z11" s="93">
        <v>0</v>
      </c>
      <c r="AA11" s="92">
        <f t="shared" si="20"/>
        <v>44696.94</v>
      </c>
      <c r="AB11" s="92">
        <f t="shared" si="21"/>
        <v>52354.559999999998</v>
      </c>
      <c r="AC11" s="234">
        <f t="shared" si="22"/>
        <v>3.3543973892086028E-2</v>
      </c>
      <c r="AD11" s="92">
        <f t="shared" si="23"/>
        <v>4677.42</v>
      </c>
      <c r="AE11" s="93">
        <v>16669.600000000006</v>
      </c>
      <c r="AF11" s="234">
        <f t="shared" si="24"/>
        <v>0.3729472308395162</v>
      </c>
      <c r="AG11" s="93">
        <v>3851.88</v>
      </c>
      <c r="AH11" s="93">
        <v>4335</v>
      </c>
      <c r="AI11" s="93">
        <v>4261</v>
      </c>
      <c r="AJ11" s="93"/>
      <c r="AK11" s="93"/>
      <c r="AL11" s="122">
        <f t="shared" si="25"/>
        <v>386.49581054266247</v>
      </c>
      <c r="AM11" s="93">
        <v>0</v>
      </c>
      <c r="AN11" s="94">
        <f t="shared" si="6"/>
        <v>1608.5372629999999</v>
      </c>
      <c r="AO11" s="95">
        <f t="shared" si="7"/>
        <v>8907.006926457334</v>
      </c>
      <c r="AP11" s="96"/>
      <c r="AQ11" s="97">
        <f t="shared" si="8"/>
        <v>1176.2352631578949</v>
      </c>
      <c r="AR11" s="98">
        <f t="shared" si="9"/>
        <v>123.09</v>
      </c>
      <c r="AS11" s="98">
        <f t="shared" si="10"/>
        <v>438.67368421052646</v>
      </c>
      <c r="AT11" s="98">
        <f t="shared" si="11"/>
        <v>101.36526315789474</v>
      </c>
      <c r="AU11" s="98">
        <f t="shared" si="12"/>
        <v>226.21052631578948</v>
      </c>
      <c r="AV11" s="98">
        <f t="array" ref="AV11">_xlfn.IFS(U11=0,AO11,U11&lt;0,AO11/-U11,U11&gt;0,AO11/U11)</f>
        <v>234.39491911729826</v>
      </c>
      <c r="AW11" s="234">
        <f t="shared" ref="AW11:AW28" si="32">IF(AQ11=0,0,AV11/AQ11)</f>
        <v>0.19927554160211711</v>
      </c>
      <c r="AX11" s="234">
        <f t="shared" ref="AX11:AX28" si="33">IF(AR11=0,0,AV11/AR11)</f>
        <v>1.9042563905865484</v>
      </c>
      <c r="AY11" s="99"/>
      <c r="AZ11" s="94">
        <f t="shared" si="15"/>
        <v>747719.79198418139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3600</v>
      </c>
      <c r="F12" s="93">
        <v>74</v>
      </c>
      <c r="G12" s="93">
        <v>13</v>
      </c>
      <c r="H12" s="93">
        <v>640</v>
      </c>
      <c r="I12" s="93">
        <v>1</v>
      </c>
      <c r="J12" s="93">
        <v>2872</v>
      </c>
      <c r="K12" s="92">
        <v>117.24</v>
      </c>
      <c r="L12" s="92">
        <f>E12*K12</f>
        <v>422064</v>
      </c>
      <c r="M12" s="89">
        <v>118</v>
      </c>
      <c r="N12" s="89">
        <v>100</v>
      </c>
      <c r="O12" s="89">
        <v>1133</v>
      </c>
      <c r="P12" s="89">
        <v>66</v>
      </c>
      <c r="Q12" s="233">
        <f t="shared" si="16"/>
        <v>14.285714285714286</v>
      </c>
      <c r="R12" s="92">
        <f t="shared" si="17"/>
        <v>5.7142857142857144</v>
      </c>
      <c r="S12" s="93">
        <v>40</v>
      </c>
      <c r="T12" s="93">
        <v>0</v>
      </c>
      <c r="U12" s="92">
        <f t="shared" si="18"/>
        <v>40</v>
      </c>
      <c r="V12" s="93">
        <v>28130.550000000003</v>
      </c>
      <c r="W12" s="93">
        <v>0</v>
      </c>
      <c r="X12" s="92">
        <f t="shared" si="19"/>
        <v>28130.550000000003</v>
      </c>
      <c r="Y12" s="93">
        <v>44082.01999999999</v>
      </c>
      <c r="Z12" s="93">
        <v>0</v>
      </c>
      <c r="AA12" s="92">
        <f t="shared" si="20"/>
        <v>44082.01999999999</v>
      </c>
      <c r="AB12" s="92">
        <f t="shared" si="21"/>
        <v>74778</v>
      </c>
      <c r="AC12" s="234">
        <f t="shared" si="22"/>
        <v>3.3082491284423803E-2</v>
      </c>
      <c r="AD12" s="92">
        <f t="shared" si="23"/>
        <v>4689.5999999999995</v>
      </c>
      <c r="AE12" s="93">
        <v>16462.089999999986</v>
      </c>
      <c r="AF12" s="234">
        <f t="shared" si="24"/>
        <v>0.3734422787340505</v>
      </c>
      <c r="AG12" s="93">
        <v>4501.6000000000022</v>
      </c>
      <c r="AH12" s="93">
        <v>4619</v>
      </c>
      <c r="AI12" s="93">
        <v>8025</v>
      </c>
      <c r="AJ12" s="93"/>
      <c r="AK12" s="93"/>
      <c r="AL12" s="122">
        <f t="shared" si="25"/>
        <v>450.55977913898715</v>
      </c>
      <c r="AM12" s="93">
        <v>0</v>
      </c>
      <c r="AN12" s="94">
        <f t="shared" si="6"/>
        <v>1606.2544050000001</v>
      </c>
      <c r="AO12" s="95">
        <f t="shared" si="7"/>
        <v>3727.9158158610157</v>
      </c>
      <c r="AP12" s="96"/>
      <c r="AQ12" s="97">
        <f t="shared" si="8"/>
        <v>1102.0504999999998</v>
      </c>
      <c r="AR12" s="98">
        <f t="shared" si="9"/>
        <v>117.24</v>
      </c>
      <c r="AS12" s="98">
        <f t="shared" si="10"/>
        <v>411.55224999999962</v>
      </c>
      <c r="AT12" s="98">
        <f t="shared" si="11"/>
        <v>112.54000000000005</v>
      </c>
      <c r="AU12" s="98">
        <f t="shared" si="12"/>
        <v>316.10000000000002</v>
      </c>
      <c r="AV12" s="98">
        <f t="array" ref="AV12">_xlfn.IFS(U12=0,AO12,U12&lt;0,AO12/-U12,U12&gt;0,AO12/U12)</f>
        <v>93.197895396525396</v>
      </c>
      <c r="AW12" s="234">
        <f t="shared" si="32"/>
        <v>8.4567717537921736E-2</v>
      </c>
      <c r="AX12" s="234">
        <f t="shared" si="33"/>
        <v>0.79493257758892355</v>
      </c>
      <c r="AY12" s="99"/>
      <c r="AZ12" s="94">
        <f t="shared" si="15"/>
        <v>335512.42342749145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4599</v>
      </c>
      <c r="F13" s="93">
        <v>35</v>
      </c>
      <c r="G13" s="93">
        <v>6</v>
      </c>
      <c r="H13" s="93">
        <v>707</v>
      </c>
      <c r="I13" s="93">
        <v>1</v>
      </c>
      <c r="J13" s="93">
        <v>3850</v>
      </c>
      <c r="K13" s="92">
        <v>123.09</v>
      </c>
      <c r="L13" s="92">
        <f t="shared" ref="L13:L28" si="34">E13*K13</f>
        <v>566090.91</v>
      </c>
      <c r="M13" s="89">
        <v>164</v>
      </c>
      <c r="N13" s="89">
        <v>61</v>
      </c>
      <c r="O13" s="89">
        <v>1303</v>
      </c>
      <c r="P13" s="89">
        <v>61</v>
      </c>
      <c r="Q13" s="233">
        <f t="shared" si="16"/>
        <v>8.7142857142857135</v>
      </c>
      <c r="R13" s="92">
        <f t="shared" si="17"/>
        <v>4.8571428571428568</v>
      </c>
      <c r="S13" s="93">
        <v>34</v>
      </c>
      <c r="T13" s="93">
        <v>0</v>
      </c>
      <c r="U13" s="92">
        <f t="shared" si="18"/>
        <v>34</v>
      </c>
      <c r="V13" s="93">
        <v>27894.31</v>
      </c>
      <c r="W13" s="93">
        <v>0</v>
      </c>
      <c r="X13" s="92">
        <f t="shared" si="19"/>
        <v>27894.31</v>
      </c>
      <c r="Y13" s="93">
        <v>42917.06</v>
      </c>
      <c r="Z13" s="93">
        <v>0</v>
      </c>
      <c r="AA13" s="92">
        <f t="shared" si="20"/>
        <v>42917.06</v>
      </c>
      <c r="AB13" s="92">
        <f t="shared" si="21"/>
        <v>48484.63</v>
      </c>
      <c r="AC13" s="234">
        <f t="shared" si="22"/>
        <v>3.2208216942034275E-2</v>
      </c>
      <c r="AD13" s="92">
        <f t="shared" si="23"/>
        <v>4185.0600000000004</v>
      </c>
      <c r="AE13" s="93">
        <v>15845.579999999998</v>
      </c>
      <c r="AF13" s="234">
        <f t="shared" si="24"/>
        <v>0.36921401419388933</v>
      </c>
      <c r="AG13" s="93">
        <v>3970.8700000000013</v>
      </c>
      <c r="AH13" s="93">
        <v>3000</v>
      </c>
      <c r="AI13" s="93">
        <v>6691</v>
      </c>
      <c r="AJ13" s="93"/>
      <c r="AK13" s="93"/>
      <c r="AL13" s="122">
        <f t="shared" si="25"/>
        <v>497.72775601759986</v>
      </c>
      <c r="AM13" s="93">
        <v>0</v>
      </c>
      <c r="AN13" s="94">
        <f t="shared" si="6"/>
        <v>1592.765101</v>
      </c>
      <c r="AO13" s="95">
        <f t="shared" si="7"/>
        <v>7134.0571429823985</v>
      </c>
      <c r="AP13" s="96"/>
      <c r="AQ13" s="97">
        <f t="shared" si="8"/>
        <v>1262.2664705882353</v>
      </c>
      <c r="AR13" s="98">
        <f t="shared" si="9"/>
        <v>123.09</v>
      </c>
      <c r="AS13" s="98">
        <f t="shared" si="10"/>
        <v>466.04647058823525</v>
      </c>
      <c r="AT13" s="98">
        <f t="shared" si="11"/>
        <v>116.79029411764709</v>
      </c>
      <c r="AU13" s="98">
        <f t="shared" si="12"/>
        <v>285.02941176470586</v>
      </c>
      <c r="AV13" s="98">
        <f t="array" ref="AV13">_xlfn.IFS(U13=0,AO13,U13&lt;0,AO13/-U13,U13&gt;0,AO13/U13)</f>
        <v>209.82521008771761</v>
      </c>
      <c r="AW13" s="234">
        <f t="shared" si="32"/>
        <v>0.1662289342043094</v>
      </c>
      <c r="AX13" s="234">
        <f t="shared" si="33"/>
        <v>1.7046487130369454</v>
      </c>
      <c r="AY13" s="99"/>
      <c r="AZ13" s="94">
        <f t="shared" si="15"/>
        <v>964986.14119341329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3232</v>
      </c>
      <c r="F14" s="93">
        <v>32</v>
      </c>
      <c r="G14" s="93">
        <v>5</v>
      </c>
      <c r="H14" s="93">
        <v>524</v>
      </c>
      <c r="I14" s="93">
        <v>2</v>
      </c>
      <c r="J14" s="93">
        <v>2669</v>
      </c>
      <c r="K14" s="92">
        <v>123.09</v>
      </c>
      <c r="L14" s="92">
        <f t="shared" si="34"/>
        <v>397826.88</v>
      </c>
      <c r="M14" s="89">
        <v>196</v>
      </c>
      <c r="N14" s="89">
        <v>49</v>
      </c>
      <c r="O14" s="89">
        <v>976</v>
      </c>
      <c r="P14" s="89">
        <v>79</v>
      </c>
      <c r="Q14" s="233">
        <f t="shared" si="16"/>
        <v>7</v>
      </c>
      <c r="R14" s="92">
        <f t="shared" si="17"/>
        <v>3.1428571428571428</v>
      </c>
      <c r="S14" s="93">
        <v>22</v>
      </c>
      <c r="T14" s="93">
        <v>0</v>
      </c>
      <c r="U14" s="92">
        <f t="shared" si="18"/>
        <v>22</v>
      </c>
      <c r="V14" s="93">
        <v>14304.45</v>
      </c>
      <c r="W14" s="93">
        <v>0</v>
      </c>
      <c r="X14" s="92">
        <f t="shared" si="19"/>
        <v>14304.45</v>
      </c>
      <c r="Y14" s="93">
        <v>20932.360000000004</v>
      </c>
      <c r="Z14" s="93">
        <v>0</v>
      </c>
      <c r="AA14" s="92">
        <f t="shared" si="20"/>
        <v>20932.360000000004</v>
      </c>
      <c r="AB14" s="92">
        <f t="shared" si="21"/>
        <v>37780.959999999999</v>
      </c>
      <c r="AC14" s="234">
        <f t="shared" si="22"/>
        <v>1.5709230594750913E-2</v>
      </c>
      <c r="AD14" s="92">
        <f t="shared" si="23"/>
        <v>2707.98</v>
      </c>
      <c r="AE14" s="93">
        <v>7833.6600000000035</v>
      </c>
      <c r="AF14" s="234">
        <f t="shared" si="24"/>
        <v>0.37423682757223753</v>
      </c>
      <c r="AG14" s="93">
        <v>2121.1</v>
      </c>
      <c r="AH14" s="93">
        <v>4245</v>
      </c>
      <c r="AI14" s="93">
        <v>4815</v>
      </c>
      <c r="AJ14" s="93"/>
      <c r="AK14" s="93"/>
      <c r="AL14" s="122">
        <f t="shared" si="25"/>
        <v>368.89581917004574</v>
      </c>
      <c r="AM14" s="93">
        <v>0</v>
      </c>
      <c r="AN14" s="94">
        <f t="shared" si="6"/>
        <v>816.78409499999998</v>
      </c>
      <c r="AO14" s="95">
        <f t="shared" si="7"/>
        <v>-1976.059914170045</v>
      </c>
      <c r="AP14" s="96"/>
      <c r="AQ14" s="97">
        <f t="shared" si="8"/>
        <v>951.47090909090923</v>
      </c>
      <c r="AR14" s="98">
        <f t="shared" si="9"/>
        <v>123.09</v>
      </c>
      <c r="AS14" s="98">
        <f t="shared" si="10"/>
        <v>356.0754545454547</v>
      </c>
      <c r="AT14" s="98">
        <f t="shared" si="11"/>
        <v>96.413636363636357</v>
      </c>
      <c r="AU14" s="98">
        <f t="shared" si="12"/>
        <v>411.81818181818181</v>
      </c>
      <c r="AV14" s="98">
        <f t="array" ref="AV14">_xlfn.IFS(U14=0,AO14,U14&lt;0,AO14/-U14,U14&gt;0,AO14/U14)</f>
        <v>-89.820905189547503</v>
      </c>
      <c r="AW14" s="234">
        <f t="shared" si="32"/>
        <v>-9.440215600009004E-2</v>
      </c>
      <c r="AX14" s="234">
        <f t="shared" si="33"/>
        <v>-0.72971732219958974</v>
      </c>
      <c r="AY14" s="99"/>
      <c r="AZ14" s="94">
        <f t="shared" si="15"/>
        <v>-290301.16557261755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1476</v>
      </c>
      <c r="F15" s="93">
        <v>21</v>
      </c>
      <c r="G15" s="93">
        <v>3</v>
      </c>
      <c r="H15" s="93">
        <v>618</v>
      </c>
      <c r="I15" s="93">
        <v>0</v>
      </c>
      <c r="J15" s="93">
        <v>834</v>
      </c>
      <c r="K15" s="92">
        <v>123.09</v>
      </c>
      <c r="L15" s="92">
        <f t="shared" si="34"/>
        <v>181680.84</v>
      </c>
      <c r="M15" s="89">
        <v>245</v>
      </c>
      <c r="N15" s="89">
        <v>32</v>
      </c>
      <c r="O15" s="89">
        <v>928</v>
      </c>
      <c r="P15" s="89">
        <v>77</v>
      </c>
      <c r="Q15" s="233">
        <f t="shared" si="16"/>
        <v>4.5714285714285712</v>
      </c>
      <c r="R15" s="92">
        <f t="shared" si="17"/>
        <v>3.4285714285714284</v>
      </c>
      <c r="S15" s="93">
        <v>24</v>
      </c>
      <c r="T15" s="93">
        <v>0</v>
      </c>
      <c r="U15" s="92">
        <f t="shared" si="18"/>
        <v>24</v>
      </c>
      <c r="V15" s="93">
        <v>14769.67</v>
      </c>
      <c r="W15" s="93">
        <v>0</v>
      </c>
      <c r="X15" s="92">
        <f t="shared" si="19"/>
        <v>14769.67</v>
      </c>
      <c r="Y15" s="93">
        <v>21707.690000000002</v>
      </c>
      <c r="Z15" s="93">
        <v>0</v>
      </c>
      <c r="AA15" s="92">
        <f t="shared" si="20"/>
        <v>21707.690000000002</v>
      </c>
      <c r="AB15" s="92">
        <f t="shared" si="21"/>
        <v>22865.919999999998</v>
      </c>
      <c r="AC15" s="234">
        <f t="shared" si="22"/>
        <v>1.6291097032984741E-2</v>
      </c>
      <c r="AD15" s="92">
        <f t="shared" si="23"/>
        <v>2954.16</v>
      </c>
      <c r="AE15" s="93">
        <v>8111.4900000000034</v>
      </c>
      <c r="AF15" s="234">
        <f t="shared" si="24"/>
        <v>0.37366896247366727</v>
      </c>
      <c r="AG15" s="93">
        <v>2186.4</v>
      </c>
      <c r="AH15" s="93">
        <v>1709</v>
      </c>
      <c r="AI15" s="93">
        <v>2220</v>
      </c>
      <c r="AJ15" s="93"/>
      <c r="AK15" s="93"/>
      <c r="AL15" s="122">
        <f t="shared" si="25"/>
        <v>435.07178673108444</v>
      </c>
      <c r="AM15" s="93">
        <v>0</v>
      </c>
      <c r="AN15" s="94">
        <f t="shared" si="6"/>
        <v>843.34815700000001</v>
      </c>
      <c r="AO15" s="95">
        <f t="shared" si="7"/>
        <v>3248.220056268915</v>
      </c>
      <c r="AP15" s="96"/>
      <c r="AQ15" s="97">
        <f t="shared" si="8"/>
        <v>904.48708333333343</v>
      </c>
      <c r="AR15" s="98">
        <f t="shared" si="9"/>
        <v>123.09</v>
      </c>
      <c r="AS15" s="98">
        <f t="shared" si="10"/>
        <v>337.97875000000016</v>
      </c>
      <c r="AT15" s="98">
        <f t="shared" si="11"/>
        <v>91.100000000000009</v>
      </c>
      <c r="AU15" s="98">
        <f t="shared" si="12"/>
        <v>163.70833333333334</v>
      </c>
      <c r="AV15" s="98">
        <f t="array" ref="AV15">_xlfn.IFS(U15=0,AO15,U15&lt;0,AO15/-U15,U15&gt;0,AO15/U15)</f>
        <v>135.34250234453813</v>
      </c>
      <c r="AW15" s="234">
        <f t="shared" si="32"/>
        <v>0.14963453302810731</v>
      </c>
      <c r="AX15" s="234">
        <f t="shared" si="33"/>
        <v>1.0995410053175574</v>
      </c>
      <c r="AY15" s="99"/>
      <c r="AZ15" s="94">
        <f t="shared" si="15"/>
        <v>199765.53346053828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3977</v>
      </c>
      <c r="F16" s="93">
        <v>58</v>
      </c>
      <c r="G16" s="93">
        <v>13</v>
      </c>
      <c r="H16" s="93">
        <v>268</v>
      </c>
      <c r="I16" s="93">
        <v>2</v>
      </c>
      <c r="J16" s="93">
        <v>3636</v>
      </c>
      <c r="K16" s="92">
        <v>117.24</v>
      </c>
      <c r="L16" s="92">
        <f t="shared" si="34"/>
        <v>466263.48</v>
      </c>
      <c r="M16" s="89">
        <v>55</v>
      </c>
      <c r="N16" s="89">
        <v>98</v>
      </c>
      <c r="O16" s="89">
        <v>900</v>
      </c>
      <c r="P16" s="89">
        <v>74</v>
      </c>
      <c r="Q16" s="233">
        <f t="shared" si="16"/>
        <v>14</v>
      </c>
      <c r="R16" s="92">
        <f t="shared" si="17"/>
        <v>7.5714285714285712</v>
      </c>
      <c r="S16" s="93">
        <v>54</v>
      </c>
      <c r="T16" s="93">
        <v>-1</v>
      </c>
      <c r="U16" s="92">
        <f t="shared" si="18"/>
        <v>53</v>
      </c>
      <c r="V16" s="93">
        <v>32204.120000000006</v>
      </c>
      <c r="W16" s="93">
        <v>-617</v>
      </c>
      <c r="X16" s="92">
        <f t="shared" si="19"/>
        <v>31587.120000000006</v>
      </c>
      <c r="Y16" s="93">
        <v>47573.399999999987</v>
      </c>
      <c r="Z16" s="93">
        <v>-892</v>
      </c>
      <c r="AA16" s="92">
        <f t="shared" si="20"/>
        <v>46681.399999999987</v>
      </c>
      <c r="AB16" s="92">
        <f t="shared" si="21"/>
        <v>65268</v>
      </c>
      <c r="AC16" s="234">
        <f t="shared" si="22"/>
        <v>3.5033263190858796E-2</v>
      </c>
      <c r="AD16" s="92">
        <f t="shared" si="23"/>
        <v>6213.7199999999993</v>
      </c>
      <c r="AE16" s="93">
        <v>17433.829999999984</v>
      </c>
      <c r="AF16" s="234">
        <f t="shared" si="24"/>
        <v>0.37346416345696548</v>
      </c>
      <c r="AG16" s="93">
        <v>4817.6300000000019</v>
      </c>
      <c r="AH16" s="93">
        <v>5000</v>
      </c>
      <c r="AI16" s="93">
        <v>4412</v>
      </c>
      <c r="AJ16" s="93"/>
      <c r="AK16" s="93"/>
      <c r="AL16" s="122">
        <f t="shared" si="25"/>
        <v>188.67190751445088</v>
      </c>
      <c r="AM16" s="93">
        <v>0</v>
      </c>
      <c r="AN16" s="94">
        <f t="shared" si="6"/>
        <v>1803.6245520000002</v>
      </c>
      <c r="AO16" s="95">
        <f t="shared" si="7"/>
        <v>6811.9235404855508</v>
      </c>
      <c r="AP16" s="96"/>
      <c r="AQ16" s="97">
        <f t="shared" si="8"/>
        <v>880.78113207547142</v>
      </c>
      <c r="AR16" s="98">
        <f t="shared" si="9"/>
        <v>117.24</v>
      </c>
      <c r="AS16" s="98">
        <f t="shared" si="10"/>
        <v>328.94018867924495</v>
      </c>
      <c r="AT16" s="98">
        <f t="shared" si="11"/>
        <v>89.215370370370408</v>
      </c>
      <c r="AU16" s="98">
        <f t="shared" si="12"/>
        <v>174.2962962962963</v>
      </c>
      <c r="AV16" s="98">
        <f t="array" ref="AV16">_xlfn.IFS(U16=0,AO16,U16&lt;0,AO16/-U16,U16&gt;0,AO16/U16)</f>
        <v>128.52685925444436</v>
      </c>
      <c r="AW16" s="234">
        <f t="shared" si="32"/>
        <v>0.145923719950249</v>
      </c>
      <c r="AX16" s="234">
        <f t="shared" si="33"/>
        <v>1.0962714027161751</v>
      </c>
      <c r="AY16" s="99"/>
      <c r="AZ16" s="94">
        <f t="shared" si="15"/>
        <v>511151.31925492524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2278</v>
      </c>
      <c r="F17" s="93">
        <v>27</v>
      </c>
      <c r="G17" s="93">
        <v>5</v>
      </c>
      <c r="H17" s="93">
        <v>75</v>
      </c>
      <c r="I17" s="93">
        <v>1</v>
      </c>
      <c r="J17" s="93">
        <v>2170</v>
      </c>
      <c r="K17" s="93">
        <v>123.09</v>
      </c>
      <c r="L17" s="92">
        <f t="shared" si="34"/>
        <v>280399.02</v>
      </c>
      <c r="M17" s="89">
        <v>60</v>
      </c>
      <c r="N17" s="89">
        <v>32</v>
      </c>
      <c r="O17" s="89">
        <v>1214</v>
      </c>
      <c r="P17" s="89">
        <v>20</v>
      </c>
      <c r="Q17" s="233">
        <f t="shared" si="16"/>
        <v>4.5714285714285712</v>
      </c>
      <c r="R17" s="92">
        <f t="shared" si="17"/>
        <v>0.8571428571428571</v>
      </c>
      <c r="S17" s="93">
        <v>7</v>
      </c>
      <c r="T17" s="93">
        <v>-1</v>
      </c>
      <c r="U17" s="92">
        <f t="shared" si="18"/>
        <v>6</v>
      </c>
      <c r="V17" s="93">
        <v>5472.3</v>
      </c>
      <c r="W17" s="93">
        <v>-851</v>
      </c>
      <c r="X17" s="92">
        <f t="shared" si="19"/>
        <v>4621.3</v>
      </c>
      <c r="Y17" s="93">
        <v>8227.64</v>
      </c>
      <c r="Z17" s="93">
        <v>-1101.92</v>
      </c>
      <c r="AA17" s="92">
        <f t="shared" si="20"/>
        <v>7125.7199999999993</v>
      </c>
      <c r="AB17" s="92">
        <f t="shared" si="21"/>
        <v>7769.6</v>
      </c>
      <c r="AC17" s="234">
        <f t="shared" si="22"/>
        <v>5.3476807504566357E-3</v>
      </c>
      <c r="AD17" s="92">
        <f t="shared" si="23"/>
        <v>738.54</v>
      </c>
      <c r="AE17" s="93">
        <v>2637.0899999999992</v>
      </c>
      <c r="AF17" s="234">
        <f t="shared" si="24"/>
        <v>0.37008049712871111</v>
      </c>
      <c r="AG17" s="93">
        <v>2058.5999999999995</v>
      </c>
      <c r="AH17" s="93">
        <v>1481</v>
      </c>
      <c r="AI17" s="93">
        <v>1837</v>
      </c>
      <c r="AJ17" s="93"/>
      <c r="AK17" s="93"/>
      <c r="AL17" s="122">
        <f t="shared" si="25"/>
        <v>52.799974117850056</v>
      </c>
      <c r="AM17" s="93">
        <v>0</v>
      </c>
      <c r="AN17" s="94">
        <f t="shared" si="6"/>
        <v>263.87623000000002</v>
      </c>
      <c r="AO17" s="95">
        <f t="shared" si="7"/>
        <v>-1943.1862041178495</v>
      </c>
      <c r="AP17" s="96"/>
      <c r="AQ17" s="97">
        <f t="shared" si="8"/>
        <v>1187.6199999999999</v>
      </c>
      <c r="AR17" s="98">
        <f t="shared" si="9"/>
        <v>123.09</v>
      </c>
      <c r="AS17" s="98">
        <f t="shared" si="10"/>
        <v>439.51499999999987</v>
      </c>
      <c r="AT17" s="98">
        <f t="shared" si="11"/>
        <v>294.08571428571423</v>
      </c>
      <c r="AU17" s="98">
        <f t="shared" si="12"/>
        <v>474</v>
      </c>
      <c r="AV17" s="98">
        <f t="array" ref="AV17">_xlfn.IFS(U17=0,AO17,U17&lt;0,AO17/-U17,U17&gt;0,AO17/U17)</f>
        <v>-323.86436735297491</v>
      </c>
      <c r="AW17" s="234">
        <f t="shared" si="32"/>
        <v>-0.27270033121114073</v>
      </c>
      <c r="AX17" s="234">
        <f t="shared" si="33"/>
        <v>-2.6311184284099025</v>
      </c>
      <c r="AY17" s="99"/>
      <c r="AZ17" s="94">
        <f t="shared" si="15"/>
        <v>-737763.0288300768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2238</v>
      </c>
      <c r="F18" s="93">
        <v>17</v>
      </c>
      <c r="G18" s="93">
        <v>7</v>
      </c>
      <c r="H18" s="93">
        <v>332</v>
      </c>
      <c r="I18" s="93">
        <v>2</v>
      </c>
      <c r="J18" s="93">
        <v>1880</v>
      </c>
      <c r="K18" s="93">
        <v>123.09</v>
      </c>
      <c r="L18" s="92">
        <f t="shared" si="34"/>
        <v>275475.42</v>
      </c>
      <c r="M18" s="89">
        <v>204</v>
      </c>
      <c r="N18" s="89">
        <v>21</v>
      </c>
      <c r="O18" s="89">
        <v>1203</v>
      </c>
      <c r="P18" s="89">
        <v>57</v>
      </c>
      <c r="Q18" s="233">
        <f t="shared" si="16"/>
        <v>3</v>
      </c>
      <c r="R18" s="92">
        <f t="shared" si="17"/>
        <v>1.8571428571428572</v>
      </c>
      <c r="S18" s="93">
        <v>13</v>
      </c>
      <c r="T18" s="93">
        <v>0</v>
      </c>
      <c r="U18" s="92">
        <f t="shared" si="18"/>
        <v>13</v>
      </c>
      <c r="V18" s="93">
        <v>9545.75</v>
      </c>
      <c r="W18" s="93">
        <v>0</v>
      </c>
      <c r="X18" s="92">
        <f t="shared" si="19"/>
        <v>9545.75</v>
      </c>
      <c r="Y18" s="93">
        <v>15010.48</v>
      </c>
      <c r="Z18" s="93">
        <v>0</v>
      </c>
      <c r="AA18" s="92">
        <f t="shared" si="20"/>
        <v>15010.48</v>
      </c>
      <c r="AB18" s="92">
        <f t="shared" si="21"/>
        <v>14399.91</v>
      </c>
      <c r="AC18" s="234">
        <f t="shared" si="22"/>
        <v>1.1265002687604105E-2</v>
      </c>
      <c r="AD18" s="92">
        <f t="shared" si="23"/>
        <v>1600.17</v>
      </c>
      <c r="AE18" s="93">
        <v>5579.5399999999991</v>
      </c>
      <c r="AF18" s="234">
        <f t="shared" si="24"/>
        <v>0.37170963220363368</v>
      </c>
      <c r="AG18" s="93">
        <v>1940.5000000000005</v>
      </c>
      <c r="AH18" s="93">
        <v>1213</v>
      </c>
      <c r="AI18" s="93"/>
      <c r="AJ18" s="93"/>
      <c r="AK18" s="93"/>
      <c r="AL18" s="122">
        <f t="shared" si="25"/>
        <v>233.72788542834957</v>
      </c>
      <c r="AM18" s="93">
        <v>0</v>
      </c>
      <c r="AN18" s="94">
        <f t="shared" si="6"/>
        <v>545.06232499999999</v>
      </c>
      <c r="AO18" s="95">
        <f t="shared" si="7"/>
        <v>3898.4797895716511</v>
      </c>
      <c r="AP18" s="96"/>
      <c r="AQ18" s="97">
        <f t="shared" si="8"/>
        <v>1154.6523076923077</v>
      </c>
      <c r="AR18" s="98">
        <f t="shared" si="9"/>
        <v>123.09</v>
      </c>
      <c r="AS18" s="98">
        <f t="shared" si="10"/>
        <v>429.19538461538457</v>
      </c>
      <c r="AT18" s="98">
        <f t="shared" si="11"/>
        <v>149.2692307692308</v>
      </c>
      <c r="AU18" s="98">
        <f t="shared" si="12"/>
        <v>93.307692307692307</v>
      </c>
      <c r="AV18" s="98">
        <f t="array" ref="AV18">_xlfn.IFS(U18=0,AO18,U18&lt;0,AO18/-U18,U18&gt;0,AO18/U18)</f>
        <v>299.88306073628087</v>
      </c>
      <c r="AW18" s="234">
        <f t="shared" si="32"/>
        <v>0.25971719688988304</v>
      </c>
      <c r="AX18" s="234">
        <f t="shared" si="33"/>
        <v>2.4362910125621973</v>
      </c>
      <c r="AY18" s="99"/>
      <c r="AZ18" s="94">
        <f t="shared" si="15"/>
        <v>671138.28992779658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v>0</v>
      </c>
      <c r="T19" s="93">
        <v>0</v>
      </c>
      <c r="U19" s="92">
        <f t="shared" si="18"/>
        <v>0</v>
      </c>
      <c r="V19" s="93">
        <v>0</v>
      </c>
      <c r="W19" s="93">
        <v>0</v>
      </c>
      <c r="X19" s="92">
        <f t="shared" si="19"/>
        <v>0</v>
      </c>
      <c r="Y19" s="93">
        <v>0</v>
      </c>
      <c r="Z19" s="93">
        <v>0</v>
      </c>
      <c r="AA19" s="92">
        <f t="shared" si="20"/>
        <v>0</v>
      </c>
      <c r="AB19" s="92">
        <f t="shared" si="21"/>
        <v>0</v>
      </c>
      <c r="AC19" s="234">
        <f t="shared" si="22"/>
        <v>0</v>
      </c>
      <c r="AD19" s="92">
        <f t="shared" si="23"/>
        <v>0</v>
      </c>
      <c r="AE19" s="93">
        <v>0</v>
      </c>
      <c r="AF19" s="234">
        <f t="shared" si="24"/>
        <v>0</v>
      </c>
      <c r="AG19" s="93">
        <v>0</v>
      </c>
      <c r="AH19" s="93"/>
      <c r="AI19" s="93"/>
      <c r="AJ19" s="93"/>
      <c r="AK19" s="93"/>
      <c r="AL19" s="122">
        <f t="shared" si="25"/>
        <v>0</v>
      </c>
      <c r="AM19" s="93">
        <v>0</v>
      </c>
      <c r="AN19" s="94">
        <f t="shared" si="6"/>
        <v>0</v>
      </c>
      <c r="AO19" s="95">
        <f t="shared" si="7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12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</v>
      </c>
      <c r="S20" s="93">
        <v>0</v>
      </c>
      <c r="T20" s="93">
        <v>0</v>
      </c>
      <c r="U20" s="92">
        <f t="shared" si="18"/>
        <v>0</v>
      </c>
      <c r="V20" s="93">
        <v>0</v>
      </c>
      <c r="W20" s="93">
        <v>0</v>
      </c>
      <c r="X20" s="92">
        <f t="shared" si="19"/>
        <v>0</v>
      </c>
      <c r="Y20" s="93">
        <v>0</v>
      </c>
      <c r="Z20" s="93">
        <v>0</v>
      </c>
      <c r="AA20" s="92">
        <f t="shared" si="20"/>
        <v>0</v>
      </c>
      <c r="AB20" s="92">
        <f t="shared" si="21"/>
        <v>0</v>
      </c>
      <c r="AC20" s="234">
        <f t="shared" si="22"/>
        <v>0</v>
      </c>
      <c r="AD20" s="92">
        <f t="shared" si="23"/>
        <v>0</v>
      </c>
      <c r="AE20" s="93">
        <v>0</v>
      </c>
      <c r="AF20" s="234">
        <f t="shared" si="24"/>
        <v>0</v>
      </c>
      <c r="AG20" s="93">
        <v>0</v>
      </c>
      <c r="AH20" s="93"/>
      <c r="AI20" s="93"/>
      <c r="AJ20" s="93"/>
      <c r="AK20" s="93"/>
      <c r="AL20" s="122">
        <f t="shared" si="25"/>
        <v>0</v>
      </c>
      <c r="AM20" s="93">
        <v>0</v>
      </c>
      <c r="AN20" s="94">
        <f t="shared" si="6"/>
        <v>0</v>
      </c>
      <c r="AO20" s="95">
        <f t="shared" si="7"/>
        <v>0</v>
      </c>
      <c r="AP20" s="96"/>
      <c r="AQ20" s="97">
        <f t="shared" si="8"/>
        <v>0</v>
      </c>
      <c r="AR20" s="98">
        <f t="shared" si="9"/>
        <v>117.24</v>
      </c>
      <c r="AS20" s="98">
        <f t="shared" si="10"/>
        <v>0</v>
      </c>
      <c r="AT20" s="98">
        <f t="shared" si="11"/>
        <v>0</v>
      </c>
      <c r="AU20" s="98">
        <f t="shared" si="12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6"/>
        <v>0</v>
      </c>
      <c r="R21" s="92">
        <f t="shared" si="17"/>
        <v>0</v>
      </c>
      <c r="S21" s="93">
        <v>0</v>
      </c>
      <c r="T21" s="93">
        <v>0</v>
      </c>
      <c r="U21" s="92">
        <f t="shared" si="18"/>
        <v>0</v>
      </c>
      <c r="V21" s="93">
        <v>0</v>
      </c>
      <c r="W21" s="93">
        <v>0</v>
      </c>
      <c r="X21" s="92">
        <f t="shared" si="19"/>
        <v>0</v>
      </c>
      <c r="Y21" s="93">
        <v>0</v>
      </c>
      <c r="Z21" s="93">
        <v>0</v>
      </c>
      <c r="AA21" s="92">
        <f t="shared" si="20"/>
        <v>0</v>
      </c>
      <c r="AB21" s="92">
        <f t="shared" si="21"/>
        <v>0</v>
      </c>
      <c r="AC21" s="234">
        <f t="shared" si="22"/>
        <v>0</v>
      </c>
      <c r="AD21" s="92">
        <f t="shared" si="23"/>
        <v>0</v>
      </c>
      <c r="AE21" s="93">
        <v>0</v>
      </c>
      <c r="AF21" s="234">
        <f t="shared" si="24"/>
        <v>0</v>
      </c>
      <c r="AG21" s="93">
        <v>0</v>
      </c>
      <c r="AH21" s="93"/>
      <c r="AI21" s="93"/>
      <c r="AJ21" s="93"/>
      <c r="AK21" s="93"/>
      <c r="AL21" s="122">
        <f t="shared" si="25"/>
        <v>0.70399965490466743</v>
      </c>
      <c r="AM21" s="93">
        <v>0</v>
      </c>
      <c r="AN21" s="94">
        <f t="shared" si="6"/>
        <v>0</v>
      </c>
      <c r="AO21" s="95">
        <f t="shared" si="7"/>
        <v>-0.70399965490466743</v>
      </c>
      <c r="AP21" s="96"/>
      <c r="AQ21" s="97">
        <f t="shared" si="8"/>
        <v>0</v>
      </c>
      <c r="AR21" s="98">
        <f t="shared" si="9"/>
        <v>117.24</v>
      </c>
      <c r="AS21" s="98">
        <f t="shared" si="10"/>
        <v>0</v>
      </c>
      <c r="AT21" s="98">
        <f t="shared" si="11"/>
        <v>0</v>
      </c>
      <c r="AU21" s="98">
        <f t="shared" si="12"/>
        <v>0</v>
      </c>
      <c r="AV21" s="98">
        <f t="array" ref="AV21">_xlfn.IFS(U21=0,AO21,U21&lt;0,AO21/-U21,U21&gt;0,AO21/U21)</f>
        <v>-0.70399965490466743</v>
      </c>
      <c r="AW21" s="234">
        <f t="shared" si="32"/>
        <v>0</v>
      </c>
      <c r="AX21" s="234">
        <f t="shared" si="33"/>
        <v>-6.0047735832878492E-3</v>
      </c>
      <c r="AY21" s="99"/>
      <c r="AZ21" s="94">
        <f t="shared" si="15"/>
        <v>-226.6878888793029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324</v>
      </c>
      <c r="F22" s="93" t="s">
        <v>100</v>
      </c>
      <c r="G22" s="93" t="s">
        <v>100</v>
      </c>
      <c r="H22" s="93">
        <v>3</v>
      </c>
      <c r="I22" s="93">
        <v>1</v>
      </c>
      <c r="J22" s="93">
        <v>320</v>
      </c>
      <c r="K22" s="93">
        <v>117.24</v>
      </c>
      <c r="L22" s="92">
        <f t="shared" si="34"/>
        <v>37985.759999999995</v>
      </c>
      <c r="M22" s="89">
        <v>34</v>
      </c>
      <c r="N22" s="89">
        <v>1</v>
      </c>
      <c r="O22" s="89">
        <v>838</v>
      </c>
      <c r="P22" s="89">
        <v>0</v>
      </c>
      <c r="Q22" s="233">
        <f t="shared" si="16"/>
        <v>0.14285714285714285</v>
      </c>
      <c r="R22" s="92">
        <f t="shared" si="17"/>
        <v>0</v>
      </c>
      <c r="S22" s="93">
        <v>0</v>
      </c>
      <c r="T22" s="93">
        <v>0</v>
      </c>
      <c r="U22" s="92">
        <f t="shared" si="18"/>
        <v>0</v>
      </c>
      <c r="V22" s="93">
        <v>0</v>
      </c>
      <c r="W22" s="93">
        <v>0</v>
      </c>
      <c r="X22" s="92">
        <f t="shared" si="19"/>
        <v>0</v>
      </c>
      <c r="Y22" s="93">
        <v>0</v>
      </c>
      <c r="Z22" s="93">
        <v>0</v>
      </c>
      <c r="AA22" s="92">
        <f t="shared" si="20"/>
        <v>0</v>
      </c>
      <c r="AB22" s="92">
        <f t="shared" si="21"/>
        <v>0</v>
      </c>
      <c r="AC22" s="234">
        <f t="shared" si="22"/>
        <v>0</v>
      </c>
      <c r="AD22" s="92">
        <f t="shared" si="23"/>
        <v>0</v>
      </c>
      <c r="AE22" s="93">
        <v>0</v>
      </c>
      <c r="AF22" s="234">
        <f t="shared" si="24"/>
        <v>0</v>
      </c>
      <c r="AG22" s="93">
        <v>202.95</v>
      </c>
      <c r="AH22" s="93"/>
      <c r="AI22" s="93"/>
      <c r="AJ22" s="93"/>
      <c r="AK22" s="93"/>
      <c r="AL22" s="122">
        <f t="shared" si="25"/>
        <v>2.1119989647140023</v>
      </c>
      <c r="AM22" s="93">
        <v>0</v>
      </c>
      <c r="AN22" s="94">
        <f t="shared" si="6"/>
        <v>0</v>
      </c>
      <c r="AO22" s="95">
        <f t="shared" si="7"/>
        <v>-205.06199896471398</v>
      </c>
      <c r="AP22" s="96"/>
      <c r="AQ22" s="97">
        <f t="shared" si="8"/>
        <v>0</v>
      </c>
      <c r="AR22" s="98">
        <f t="shared" si="9"/>
        <v>117.24</v>
      </c>
      <c r="AS22" s="98">
        <f t="shared" si="10"/>
        <v>0</v>
      </c>
      <c r="AT22" s="98">
        <f t="shared" si="11"/>
        <v>202.95</v>
      </c>
      <c r="AU22" s="98">
        <f t="shared" si="12"/>
        <v>0</v>
      </c>
      <c r="AV22" s="98">
        <f t="array" ref="AV22">_xlfn.IFS(U22=0,AO22,U22&lt;0,AO22/-U22,U22&gt;0,AO22/U22)</f>
        <v>-205.06199896471398</v>
      </c>
      <c r="AW22" s="234">
        <f t="shared" si="32"/>
        <v>0</v>
      </c>
      <c r="AX22" s="234">
        <f t="shared" si="33"/>
        <v>-1.7490788038614293</v>
      </c>
      <c r="AY22" s="99"/>
      <c r="AZ22" s="94">
        <f t="shared" si="15"/>
        <v>-66440.087664567327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v>0</v>
      </c>
      <c r="T23" s="93">
        <v>0</v>
      </c>
      <c r="U23" s="92">
        <f t="shared" si="18"/>
        <v>0</v>
      </c>
      <c r="V23" s="93">
        <v>0</v>
      </c>
      <c r="W23" s="93">
        <v>0</v>
      </c>
      <c r="X23" s="92">
        <f t="shared" si="19"/>
        <v>0</v>
      </c>
      <c r="Y23" s="93">
        <v>0</v>
      </c>
      <c r="Z23" s="93">
        <v>0</v>
      </c>
      <c r="AA23" s="92">
        <f t="shared" si="20"/>
        <v>0</v>
      </c>
      <c r="AB23" s="92">
        <f t="shared" si="21"/>
        <v>0</v>
      </c>
      <c r="AC23" s="234">
        <f t="shared" si="22"/>
        <v>0</v>
      </c>
      <c r="AD23" s="92">
        <f t="shared" si="23"/>
        <v>0</v>
      </c>
      <c r="AE23" s="93">
        <v>0</v>
      </c>
      <c r="AF23" s="234">
        <f t="shared" si="24"/>
        <v>0</v>
      </c>
      <c r="AG23" s="93">
        <v>0</v>
      </c>
      <c r="AH23" s="93"/>
      <c r="AI23" s="93"/>
      <c r="AJ23" s="93"/>
      <c r="AK23" s="93"/>
      <c r="AL23" s="122">
        <f t="shared" si="25"/>
        <v>0</v>
      </c>
      <c r="AM23" s="93">
        <v>0</v>
      </c>
      <c r="AN23" s="94">
        <f t="shared" si="6"/>
        <v>0</v>
      </c>
      <c r="AO23" s="95">
        <f t="shared" si="7"/>
        <v>0</v>
      </c>
      <c r="AP23" s="96"/>
      <c r="AQ23" s="97">
        <f t="shared" si="8"/>
        <v>0</v>
      </c>
      <c r="AR23" s="98">
        <f t="shared" si="9"/>
        <v>117.24</v>
      </c>
      <c r="AS23" s="98">
        <f t="shared" si="10"/>
        <v>0</v>
      </c>
      <c r="AT23" s="98">
        <f t="shared" si="11"/>
        <v>0</v>
      </c>
      <c r="AU23" s="98">
        <f t="shared" si="12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>
        <v>1</v>
      </c>
      <c r="G24" s="93" t="s">
        <v>100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6"/>
        <v>0</v>
      </c>
      <c r="R24" s="92">
        <f t="shared" si="17"/>
        <v>0</v>
      </c>
      <c r="S24" s="93">
        <v>0</v>
      </c>
      <c r="T24" s="93">
        <v>0</v>
      </c>
      <c r="U24" s="92">
        <f t="shared" si="18"/>
        <v>0</v>
      </c>
      <c r="V24" s="93">
        <v>0</v>
      </c>
      <c r="W24" s="93">
        <v>0</v>
      </c>
      <c r="X24" s="92">
        <f t="shared" si="19"/>
        <v>0</v>
      </c>
      <c r="Y24" s="93">
        <v>0</v>
      </c>
      <c r="Z24" s="93">
        <v>0</v>
      </c>
      <c r="AA24" s="92">
        <f t="shared" si="20"/>
        <v>0</v>
      </c>
      <c r="AB24" s="92">
        <f t="shared" si="21"/>
        <v>0</v>
      </c>
      <c r="AC24" s="234">
        <f t="shared" si="22"/>
        <v>0</v>
      </c>
      <c r="AD24" s="92">
        <f t="shared" si="23"/>
        <v>0</v>
      </c>
      <c r="AE24" s="93">
        <v>0</v>
      </c>
      <c r="AF24" s="234">
        <f t="shared" si="24"/>
        <v>0</v>
      </c>
      <c r="AG24" s="93">
        <v>0</v>
      </c>
      <c r="AH24" s="93"/>
      <c r="AI24" s="93"/>
      <c r="AJ24" s="93"/>
      <c r="AK24" s="93"/>
      <c r="AL24" s="122">
        <f t="shared" si="25"/>
        <v>0</v>
      </c>
      <c r="AM24" s="93">
        <v>0</v>
      </c>
      <c r="AN24" s="94">
        <f t="shared" si="6"/>
        <v>0</v>
      </c>
      <c r="AO24" s="95">
        <f t="shared" si="7"/>
        <v>0</v>
      </c>
      <c r="AP24" s="96"/>
      <c r="AQ24" s="97">
        <f t="shared" si="8"/>
        <v>0</v>
      </c>
      <c r="AR24" s="98">
        <f t="shared" si="9"/>
        <v>117.24</v>
      </c>
      <c r="AS24" s="98">
        <f t="shared" si="10"/>
        <v>0</v>
      </c>
      <c r="AT24" s="98">
        <f t="shared" si="11"/>
        <v>0</v>
      </c>
      <c r="AU24" s="98">
        <f t="shared" si="12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4</v>
      </c>
      <c r="F25" s="93">
        <v>3</v>
      </c>
      <c r="G25" s="93" t="s">
        <v>100</v>
      </c>
      <c r="H25" s="93" t="s">
        <v>100</v>
      </c>
      <c r="I25" s="93">
        <v>1</v>
      </c>
      <c r="J25" s="93">
        <v>0</v>
      </c>
      <c r="K25" s="93">
        <v>117.24</v>
      </c>
      <c r="L25" s="92">
        <f t="shared" si="34"/>
        <v>468.96</v>
      </c>
      <c r="M25" s="89">
        <v>21</v>
      </c>
      <c r="N25" s="89">
        <v>4</v>
      </c>
      <c r="O25" s="89">
        <v>918</v>
      </c>
      <c r="P25" s="89">
        <v>100</v>
      </c>
      <c r="Q25" s="233">
        <f t="shared" si="16"/>
        <v>0.5714285714285714</v>
      </c>
      <c r="R25" s="92">
        <f t="shared" si="17"/>
        <v>0.5714285714285714</v>
      </c>
      <c r="S25" s="93">
        <v>4</v>
      </c>
      <c r="T25" s="93">
        <v>0</v>
      </c>
      <c r="U25" s="92">
        <f t="shared" si="18"/>
        <v>4</v>
      </c>
      <c r="V25" s="93">
        <v>2417</v>
      </c>
      <c r="W25" s="93">
        <v>0</v>
      </c>
      <c r="X25" s="92">
        <f t="shared" si="19"/>
        <v>2417</v>
      </c>
      <c r="Y25" s="93">
        <v>3616.92</v>
      </c>
      <c r="Z25" s="93">
        <v>0</v>
      </c>
      <c r="AA25" s="92">
        <f t="shared" si="20"/>
        <v>3616.92</v>
      </c>
      <c r="AB25" s="92">
        <f t="shared" si="21"/>
        <v>3672</v>
      </c>
      <c r="AC25" s="234">
        <f t="shared" si="22"/>
        <v>2.7144110995017509E-3</v>
      </c>
      <c r="AD25" s="92">
        <f t="shared" si="23"/>
        <v>468.96</v>
      </c>
      <c r="AE25" s="93">
        <v>1353.52</v>
      </c>
      <c r="AF25" s="234">
        <f t="shared" si="24"/>
        <v>0.3742189487187994</v>
      </c>
      <c r="AG25" s="93">
        <v>182.70000000000002</v>
      </c>
      <c r="AH25" s="93"/>
      <c r="AI25" s="93"/>
      <c r="AJ25" s="93"/>
      <c r="AK25" s="93"/>
      <c r="AL25" s="122">
        <f t="shared" si="25"/>
        <v>0</v>
      </c>
      <c r="AM25" s="93">
        <v>0</v>
      </c>
      <c r="AN25" s="94">
        <f t="shared" si="6"/>
        <v>138.01069999999999</v>
      </c>
      <c r="AO25" s="95">
        <f t="shared" si="7"/>
        <v>1473.7293</v>
      </c>
      <c r="AP25" s="96"/>
      <c r="AQ25" s="97">
        <f t="shared" si="8"/>
        <v>904.23</v>
      </c>
      <c r="AR25" s="98">
        <f t="shared" si="9"/>
        <v>117.24</v>
      </c>
      <c r="AS25" s="98">
        <f t="shared" si="10"/>
        <v>338.38</v>
      </c>
      <c r="AT25" s="98">
        <f t="shared" si="11"/>
        <v>45.675000000000004</v>
      </c>
      <c r="AU25" s="98">
        <f t="shared" si="12"/>
        <v>0</v>
      </c>
      <c r="AV25" s="98">
        <f t="array" ref="AV25">_xlfn.IFS(U25=0,AO25,U25&lt;0,AO25/-U25,U25&gt;0,AO25/U25)</f>
        <v>368.43232499999999</v>
      </c>
      <c r="AW25" s="234">
        <f t="shared" si="32"/>
        <v>0.40745421518861352</v>
      </c>
      <c r="AX25" s="234">
        <f t="shared" si="33"/>
        <v>3.1425479785056294</v>
      </c>
      <c r="AY25" s="99"/>
      <c r="AZ25" s="94">
        <f t="shared" si="15"/>
        <v>1473.7293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908</v>
      </c>
      <c r="F26" s="93">
        <v>64</v>
      </c>
      <c r="G26" s="93">
        <v>13</v>
      </c>
      <c r="H26" s="93">
        <v>305</v>
      </c>
      <c r="I26" s="93">
        <v>526</v>
      </c>
      <c r="J26" s="93">
        <v>0</v>
      </c>
      <c r="K26" s="93">
        <v>123.09</v>
      </c>
      <c r="L26" s="92">
        <f t="shared" si="34"/>
        <v>111765.72</v>
      </c>
      <c r="M26" s="89">
        <v>104</v>
      </c>
      <c r="N26" s="89">
        <v>79</v>
      </c>
      <c r="O26" s="89">
        <v>699</v>
      </c>
      <c r="P26" s="89">
        <v>33</v>
      </c>
      <c r="Q26" s="233">
        <f t="shared" si="16"/>
        <v>11.285714285714286</v>
      </c>
      <c r="R26" s="92">
        <f t="shared" si="17"/>
        <v>3</v>
      </c>
      <c r="S26" s="93">
        <v>21</v>
      </c>
      <c r="T26" s="93">
        <v>0</v>
      </c>
      <c r="U26" s="92">
        <f t="shared" si="18"/>
        <v>21</v>
      </c>
      <c r="V26" s="93">
        <v>9892</v>
      </c>
      <c r="W26" s="93">
        <v>0</v>
      </c>
      <c r="X26" s="92">
        <f t="shared" si="19"/>
        <v>9892</v>
      </c>
      <c r="Y26" s="93">
        <v>14779</v>
      </c>
      <c r="Z26" s="93">
        <v>0</v>
      </c>
      <c r="AA26" s="92">
        <f t="shared" si="20"/>
        <v>14779</v>
      </c>
      <c r="AB26" s="92">
        <f t="shared" si="21"/>
        <v>18222.93</v>
      </c>
      <c r="AC26" s="234">
        <f t="shared" si="22"/>
        <v>1.1091282538606431E-2</v>
      </c>
      <c r="AD26" s="92">
        <f t="shared" si="23"/>
        <v>2584.89</v>
      </c>
      <c r="AE26" s="93">
        <v>5510.99</v>
      </c>
      <c r="AF26" s="234">
        <f t="shared" si="24"/>
        <v>0.37289329453954934</v>
      </c>
      <c r="AG26" s="93">
        <v>4680.5</v>
      </c>
      <c r="AH26" s="93">
        <v>2000</v>
      </c>
      <c r="AI26" s="93">
        <v>5000</v>
      </c>
      <c r="AJ26" s="93"/>
      <c r="AK26" s="93"/>
      <c r="AL26" s="122">
        <f t="shared" si="25"/>
        <v>214.7198947459236</v>
      </c>
      <c r="AM26" s="93">
        <v>0</v>
      </c>
      <c r="AN26" s="94">
        <f t="shared" si="6"/>
        <v>564.83320000000003</v>
      </c>
      <c r="AO26" s="95">
        <f t="shared" si="7"/>
        <v>-5776.933094745923</v>
      </c>
      <c r="AP26" s="96"/>
      <c r="AQ26" s="97">
        <f t="shared" si="8"/>
        <v>703.76190476190482</v>
      </c>
      <c r="AR26" s="98">
        <f t="shared" si="9"/>
        <v>123.09</v>
      </c>
      <c r="AS26" s="98">
        <f t="shared" si="10"/>
        <v>262.42809523809524</v>
      </c>
      <c r="AT26" s="98">
        <f t="shared" si="11"/>
        <v>222.88095238095238</v>
      </c>
      <c r="AU26" s="98">
        <f t="shared" si="12"/>
        <v>333.33333333333331</v>
      </c>
      <c r="AV26" s="98">
        <f t="array" ref="AV26">_xlfn.IFS(U26=0,AO26,U26&lt;0,AO26/-U26,U26&gt;0,AO26/U26)</f>
        <v>-275.09205213075825</v>
      </c>
      <c r="AW26" s="234">
        <f t="shared" si="32"/>
        <v>-0.39088795552783834</v>
      </c>
      <c r="AX26" s="234">
        <f t="shared" si="33"/>
        <v>-2.2348854669815439</v>
      </c>
      <c r="AY26" s="99"/>
      <c r="AZ26" s="94">
        <f t="shared" si="15"/>
        <v>-249783.58333472849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394</v>
      </c>
      <c r="F27" s="93">
        <v>13</v>
      </c>
      <c r="G27" s="93">
        <v>1</v>
      </c>
      <c r="H27" s="93">
        <v>60</v>
      </c>
      <c r="I27" s="93">
        <v>320</v>
      </c>
      <c r="J27" s="93">
        <v>0</v>
      </c>
      <c r="K27" s="93">
        <v>181.59</v>
      </c>
      <c r="L27" s="92">
        <f t="shared" si="34"/>
        <v>71546.460000000006</v>
      </c>
      <c r="M27" s="89">
        <v>148</v>
      </c>
      <c r="N27" s="89">
        <v>16</v>
      </c>
      <c r="O27" s="89">
        <v>478</v>
      </c>
      <c r="P27" s="89">
        <v>33</v>
      </c>
      <c r="Q27" s="233">
        <f t="shared" si="16"/>
        <v>2.2857142857142856</v>
      </c>
      <c r="R27" s="92">
        <f t="shared" si="17"/>
        <v>0.2857142857142857</v>
      </c>
      <c r="S27" s="93">
        <v>2</v>
      </c>
      <c r="T27" s="93">
        <v>0</v>
      </c>
      <c r="U27" s="92">
        <f t="shared" si="18"/>
        <v>2</v>
      </c>
      <c r="V27" s="93">
        <v>646.96</v>
      </c>
      <c r="W27" s="93">
        <v>0</v>
      </c>
      <c r="X27" s="92">
        <f t="shared" si="19"/>
        <v>646.96</v>
      </c>
      <c r="Y27" s="93">
        <v>956.49</v>
      </c>
      <c r="Z27" s="93">
        <v>0</v>
      </c>
      <c r="AA27" s="92">
        <f t="shared" si="20"/>
        <v>956.49</v>
      </c>
      <c r="AB27" s="92">
        <f t="shared" si="21"/>
        <v>2523.84</v>
      </c>
      <c r="AC27" s="234">
        <f t="shared" si="22"/>
        <v>7.1782264262478283E-4</v>
      </c>
      <c r="AD27" s="92">
        <f t="shared" si="23"/>
        <v>363.18</v>
      </c>
      <c r="AE27" s="93">
        <v>354.55999999999995</v>
      </c>
      <c r="AF27" s="234">
        <f t="shared" si="24"/>
        <v>0.37068866376020654</v>
      </c>
      <c r="AG27" s="93">
        <v>287.05</v>
      </c>
      <c r="AH27" s="93">
        <v>2000</v>
      </c>
      <c r="AI27" s="93">
        <v>1204</v>
      </c>
      <c r="AJ27" s="93"/>
      <c r="AK27" s="93"/>
      <c r="AL27" s="122">
        <f t="shared" si="25"/>
        <v>42.239979294280047</v>
      </c>
      <c r="AM27" s="93">
        <v>0</v>
      </c>
      <c r="AN27" s="94">
        <f t="shared" si="6"/>
        <v>36.941416000000004</v>
      </c>
      <c r="AO27" s="95">
        <f t="shared" si="7"/>
        <v>-3331.4813952942804</v>
      </c>
      <c r="AP27" s="96"/>
      <c r="AQ27" s="97">
        <f t="shared" si="8"/>
        <v>478.245</v>
      </c>
      <c r="AR27" s="98">
        <f t="shared" si="9"/>
        <v>181.59</v>
      </c>
      <c r="AS27" s="98">
        <f t="shared" si="10"/>
        <v>177.27999999999997</v>
      </c>
      <c r="AT27" s="98">
        <f t="shared" si="11"/>
        <v>143.52500000000001</v>
      </c>
      <c r="AU27" s="98">
        <f t="shared" si="12"/>
        <v>1602</v>
      </c>
      <c r="AV27" s="98">
        <f t="array" ref="AV27">_xlfn.IFS(U27=0,AO27,U27&lt;0,AO27/-U27,U27&gt;0,AO27/U27)</f>
        <v>-1665.7406976471402</v>
      </c>
      <c r="AW27" s="234">
        <f t="shared" si="32"/>
        <v>-3.4830279410075176</v>
      </c>
      <c r="AX27" s="234">
        <f t="shared" si="33"/>
        <v>-9.1730860600646515</v>
      </c>
      <c r="AY27" s="99"/>
      <c r="AZ27" s="94">
        <f t="shared" si="15"/>
        <v>-656301.83487297327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5">SUM(F28:J28)</f>
        <v>1603</v>
      </c>
      <c r="F28" s="93">
        <v>135</v>
      </c>
      <c r="G28" s="93">
        <v>22</v>
      </c>
      <c r="H28" s="93">
        <v>636</v>
      </c>
      <c r="I28" s="93">
        <v>0</v>
      </c>
      <c r="J28" s="93">
        <v>810</v>
      </c>
      <c r="K28" s="93">
        <v>133.62</v>
      </c>
      <c r="L28" s="92">
        <f t="shared" si="34"/>
        <v>214192.86000000002</v>
      </c>
      <c r="M28" s="89">
        <v>93</v>
      </c>
      <c r="N28" s="89">
        <v>165</v>
      </c>
      <c r="O28" s="89">
        <v>1080</v>
      </c>
      <c r="P28" s="89">
        <v>47</v>
      </c>
      <c r="Q28" s="233">
        <f t="shared" si="16"/>
        <v>23.571428571428573</v>
      </c>
      <c r="R28" s="92">
        <f t="shared" si="17"/>
        <v>7.1428571428571432</v>
      </c>
      <c r="S28" s="93">
        <v>50</v>
      </c>
      <c r="T28" s="93">
        <v>0</v>
      </c>
      <c r="U28" s="92">
        <f t="shared" si="18"/>
        <v>50</v>
      </c>
      <c r="V28" s="93">
        <v>33238.339999999997</v>
      </c>
      <c r="W28" s="93">
        <v>0</v>
      </c>
      <c r="X28" s="92">
        <f t="shared" si="19"/>
        <v>33238.339999999997</v>
      </c>
      <c r="Y28" s="93">
        <v>52776.08</v>
      </c>
      <c r="Z28" s="93">
        <v>0</v>
      </c>
      <c r="AA28" s="92">
        <f t="shared" si="20"/>
        <v>52776.08</v>
      </c>
      <c r="AB28" s="92">
        <f t="shared" si="21"/>
        <v>83754</v>
      </c>
      <c r="AC28" s="234">
        <f t="shared" si="22"/>
        <v>3.9607173324318026E-2</v>
      </c>
      <c r="AD28" s="92">
        <f t="shared" si="23"/>
        <v>6681</v>
      </c>
      <c r="AE28" s="93">
        <v>19690.900000000009</v>
      </c>
      <c r="AF28" s="234">
        <f t="shared" si="24"/>
        <v>0.37310273896810842</v>
      </c>
      <c r="AG28" s="93">
        <v>9446.5499999999993</v>
      </c>
      <c r="AH28" s="93">
        <v>5700</v>
      </c>
      <c r="AI28" s="93">
        <v>6618</v>
      </c>
      <c r="AJ28" s="93"/>
      <c r="AK28" s="93"/>
      <c r="AL28" s="122">
        <f t="shared" si="25"/>
        <v>447.7437805193685</v>
      </c>
      <c r="AM28" s="93">
        <v>0</v>
      </c>
      <c r="AN28" s="94">
        <f t="shared" si="6"/>
        <v>1897.9092139999998</v>
      </c>
      <c r="AO28" s="95">
        <f t="shared" si="7"/>
        <v>2293.9770054806254</v>
      </c>
      <c r="AP28" s="96"/>
      <c r="AQ28" s="97">
        <f t="shared" si="8"/>
        <v>1055.5216</v>
      </c>
      <c r="AR28" s="98">
        <f t="shared" si="9"/>
        <v>133.62</v>
      </c>
      <c r="AS28" s="98">
        <f t="shared" si="10"/>
        <v>393.81800000000015</v>
      </c>
      <c r="AT28" s="98">
        <f t="shared" si="11"/>
        <v>188.93099999999998</v>
      </c>
      <c r="AU28" s="98">
        <f t="shared" si="12"/>
        <v>246.36</v>
      </c>
      <c r="AV28" s="98">
        <f>_xlfn.IFS(U28=0,AO28,U28&lt;0,AO28/-U28,U28&gt;0,AO28/U28)</f>
        <v>45.879540109612506</v>
      </c>
      <c r="AW28" s="234">
        <f t="shared" si="32"/>
        <v>4.3466225712114753E-2</v>
      </c>
      <c r="AX28" s="234">
        <f t="shared" si="33"/>
        <v>0.3433583304117086</v>
      </c>
      <c r="AY28" s="99"/>
      <c r="AZ28" s="94">
        <f t="shared" si="15"/>
        <v>73544.90279570884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642</v>
      </c>
      <c r="F29" s="93">
        <v>1</v>
      </c>
      <c r="G29" s="93">
        <v>1</v>
      </c>
      <c r="H29" s="93" t="s">
        <v>100</v>
      </c>
      <c r="I29" s="93">
        <v>640</v>
      </c>
      <c r="J29" s="93">
        <v>0</v>
      </c>
      <c r="K29" s="93">
        <v>111.39</v>
      </c>
      <c r="L29" s="92">
        <f>E29*K29</f>
        <v>71512.38</v>
      </c>
      <c r="M29" s="89">
        <v>11</v>
      </c>
      <c r="N29" s="89">
        <v>1</v>
      </c>
      <c r="O29" s="89">
        <v>478</v>
      </c>
      <c r="P29" s="89">
        <v>100</v>
      </c>
      <c r="Q29" s="233">
        <f t="shared" si="16"/>
        <v>0.14285714285714285</v>
      </c>
      <c r="R29" s="92">
        <f t="shared" si="17"/>
        <v>0.14285714285714285</v>
      </c>
      <c r="S29" s="93">
        <v>1</v>
      </c>
      <c r="T29" s="93">
        <v>0</v>
      </c>
      <c r="U29" s="92">
        <f t="shared" si="18"/>
        <v>1</v>
      </c>
      <c r="V29" s="93">
        <v>286</v>
      </c>
      <c r="W29" s="93">
        <v>0</v>
      </c>
      <c r="X29" s="92">
        <f t="shared" si="19"/>
        <v>286</v>
      </c>
      <c r="Y29" s="93">
        <v>478</v>
      </c>
      <c r="Z29" s="93">
        <v>0</v>
      </c>
      <c r="AA29" s="92">
        <f t="shared" si="20"/>
        <v>478</v>
      </c>
      <c r="AB29" s="92">
        <f t="shared" si="21"/>
        <v>478</v>
      </c>
      <c r="AC29" s="234">
        <f t="shared" si="22"/>
        <v>3.5872745472994617E-4</v>
      </c>
      <c r="AD29" s="92">
        <f t="shared" si="23"/>
        <v>111.39</v>
      </c>
      <c r="AE29" s="93">
        <v>177.8</v>
      </c>
      <c r="AF29" s="234">
        <f t="shared" si="24"/>
        <v>0.37196652719665274</v>
      </c>
      <c r="AG29" s="93">
        <v>63.8</v>
      </c>
      <c r="AH29" s="93"/>
      <c r="AI29" s="93"/>
      <c r="AJ29" s="93"/>
      <c r="AK29" s="93"/>
      <c r="AL29" s="122">
        <f t="shared" si="25"/>
        <v>0</v>
      </c>
      <c r="AM29" s="93">
        <v>0</v>
      </c>
      <c r="AN29" s="94">
        <f t="shared" si="6"/>
        <v>16.3306</v>
      </c>
      <c r="AO29" s="95">
        <f t="shared" si="7"/>
        <v>108.6794</v>
      </c>
      <c r="AP29" s="96"/>
      <c r="AQ29" s="97">
        <f t="shared" si="8"/>
        <v>478</v>
      </c>
      <c r="AR29" s="98">
        <f t="shared" si="9"/>
        <v>111.39</v>
      </c>
      <c r="AS29" s="98">
        <f t="shared" si="10"/>
        <v>177.8</v>
      </c>
      <c r="AT29" s="98">
        <f t="shared" si="11"/>
        <v>63.8</v>
      </c>
      <c r="AU29" s="98">
        <f t="shared" si="12"/>
        <v>0</v>
      </c>
      <c r="AV29" s="98">
        <f t="array" ref="AV29">_xlfn.IFS(U29=0,AO29,U29&lt;0,AO29/-U29,U29&gt;0,AO29/U29)</f>
        <v>108.6794</v>
      </c>
      <c r="AW29" s="234">
        <f>IF(AQ29=0,0,AV29/AQ29)</f>
        <v>0.22736276150627616</v>
      </c>
      <c r="AX29" s="234">
        <f>IF(AR29=0,0,AV29/AR29)</f>
        <v>0.97566567914534519</v>
      </c>
      <c r="AY29" s="99"/>
      <c r="AZ29" s="94">
        <f t="shared" si="15"/>
        <v>69772.174800000008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2</v>
      </c>
      <c r="F30" s="93">
        <v>1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222.78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6"/>
        <v>0.14285714285714285</v>
      </c>
      <c r="R30" s="92">
        <f t="shared" si="17"/>
        <v>0.2857142857142857</v>
      </c>
      <c r="S30" s="93">
        <v>2</v>
      </c>
      <c r="T30" s="93">
        <v>0</v>
      </c>
      <c r="U30" s="92">
        <f t="shared" si="18"/>
        <v>2</v>
      </c>
      <c r="V30" s="93">
        <v>737</v>
      </c>
      <c r="W30" s="93">
        <v>0</v>
      </c>
      <c r="X30" s="92">
        <f t="shared" si="19"/>
        <v>737</v>
      </c>
      <c r="Y30" s="93">
        <v>1116</v>
      </c>
      <c r="Z30" s="93">
        <v>0</v>
      </c>
      <c r="AA30" s="92">
        <f t="shared" si="20"/>
        <v>1116</v>
      </c>
      <c r="AB30" s="92">
        <f t="shared" si="21"/>
        <v>0</v>
      </c>
      <c r="AC30" s="234">
        <f t="shared" si="22"/>
        <v>8.3753104493435124E-4</v>
      </c>
      <c r="AD30" s="92">
        <f t="shared" si="23"/>
        <v>222.78</v>
      </c>
      <c r="AE30" s="93">
        <v>417.35</v>
      </c>
      <c r="AF30" s="234">
        <f t="shared" si="24"/>
        <v>0.37396953405017924</v>
      </c>
      <c r="AG30" s="93">
        <v>244.3</v>
      </c>
      <c r="AH30" s="93"/>
      <c r="AI30" s="93"/>
      <c r="AJ30" s="93">
        <v>27</v>
      </c>
      <c r="AK30" s="93"/>
      <c r="AL30" s="122">
        <f t="shared" si="25"/>
        <v>0</v>
      </c>
      <c r="AM30" s="93">
        <v>0</v>
      </c>
      <c r="AN30" s="94">
        <f t="shared" si="6"/>
        <v>42.082699999999996</v>
      </c>
      <c r="AO30" s="95">
        <f t="shared" si="7"/>
        <v>189.4873</v>
      </c>
      <c r="AP30" s="96"/>
      <c r="AQ30" s="97">
        <f t="shared" si="8"/>
        <v>558</v>
      </c>
      <c r="AR30" s="98">
        <f t="shared" si="9"/>
        <v>111.39</v>
      </c>
      <c r="AS30" s="98">
        <f t="shared" si="10"/>
        <v>208.67500000000001</v>
      </c>
      <c r="AT30" s="98">
        <f t="shared" si="11"/>
        <v>122.15</v>
      </c>
      <c r="AU30" s="98">
        <f t="shared" si="12"/>
        <v>13.5</v>
      </c>
      <c r="AV30" s="98">
        <f t="array" ref="AV30">_xlfn.IFS(U30=0,AO30,U30&lt;0,AO30/-U30,U30&gt;0,AO30/U30)</f>
        <v>94.743650000000002</v>
      </c>
      <c r="AW30" s="234">
        <f>IF(AQ30=0,0,AV30/AQ30)</f>
        <v>0.16979148745519715</v>
      </c>
      <c r="AX30" s="234">
        <f>IF(AR30=0,0,AV30/AR30)</f>
        <v>0.85055794954663799</v>
      </c>
      <c r="AY30" s="99"/>
      <c r="AZ30" s="94">
        <f t="shared" si="15"/>
        <v>189.4873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3</v>
      </c>
      <c r="F31" s="93">
        <v>3</v>
      </c>
      <c r="G31" s="93" t="s">
        <v>100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316.62</v>
      </c>
      <c r="M31" s="89">
        <v>999</v>
      </c>
      <c r="N31" s="89">
        <v>1</v>
      </c>
      <c r="O31" s="89">
        <v>499</v>
      </c>
      <c r="P31" s="89">
        <v>0</v>
      </c>
      <c r="Q31" s="233">
        <f t="shared" si="16"/>
        <v>0.14285714285714285</v>
      </c>
      <c r="R31" s="92">
        <f t="shared" si="17"/>
        <v>0</v>
      </c>
      <c r="S31" s="93">
        <v>0</v>
      </c>
      <c r="T31" s="93">
        <v>0</v>
      </c>
      <c r="U31" s="92">
        <f t="shared" si="18"/>
        <v>0</v>
      </c>
      <c r="V31" s="93">
        <v>0</v>
      </c>
      <c r="W31" s="93">
        <v>0</v>
      </c>
      <c r="X31" s="92">
        <f t="shared" si="19"/>
        <v>0</v>
      </c>
      <c r="Y31" s="93">
        <v>0</v>
      </c>
      <c r="Z31" s="93">
        <v>0</v>
      </c>
      <c r="AA31" s="92">
        <f t="shared" si="20"/>
        <v>0</v>
      </c>
      <c r="AB31" s="92">
        <f t="shared" si="21"/>
        <v>0</v>
      </c>
      <c r="AC31" s="234">
        <f t="shared" si="22"/>
        <v>0</v>
      </c>
      <c r="AD31" s="92">
        <f t="shared" si="23"/>
        <v>0</v>
      </c>
      <c r="AE31" s="93">
        <v>0</v>
      </c>
      <c r="AF31" s="234">
        <f t="shared" si="24"/>
        <v>0</v>
      </c>
      <c r="AG31" s="93">
        <v>113.8</v>
      </c>
      <c r="AH31" s="93"/>
      <c r="AI31" s="93">
        <v>26</v>
      </c>
      <c r="AJ31" s="93"/>
      <c r="AK31" s="93"/>
      <c r="AL31" s="122">
        <f t="shared" si="25"/>
        <v>0</v>
      </c>
      <c r="AM31" s="93">
        <v>0</v>
      </c>
      <c r="AN31" s="94">
        <f t="shared" si="6"/>
        <v>0</v>
      </c>
      <c r="AO31" s="95">
        <f t="shared" si="7"/>
        <v>-139.80000000000001</v>
      </c>
      <c r="AP31" s="96"/>
      <c r="AQ31" s="97">
        <f t="shared" si="8"/>
        <v>0</v>
      </c>
      <c r="AR31" s="98">
        <f t="shared" si="9"/>
        <v>105.54</v>
      </c>
      <c r="AS31" s="98">
        <f t="shared" si="10"/>
        <v>0</v>
      </c>
      <c r="AT31" s="98">
        <f t="shared" si="11"/>
        <v>113.8</v>
      </c>
      <c r="AU31" s="98">
        <f t="shared" si="12"/>
        <v>0</v>
      </c>
      <c r="AV31" s="98">
        <f t="array" ref="AV31">_xlfn.IFS(U31=0,AO31,U31&lt;0,AO31/-U31,U31&gt;0,AO31/U31)</f>
        <v>-139.80000000000001</v>
      </c>
      <c r="AW31" s="234">
        <f>IF(AQ31=0,0,AV31/AQ31)</f>
        <v>0</v>
      </c>
      <c r="AX31" s="234">
        <f>IF(AR31=0,0,AV31/AR31)</f>
        <v>-1.3246162592382036</v>
      </c>
      <c r="AY31" s="99"/>
      <c r="AZ31" s="94">
        <f t="shared" si="15"/>
        <v>-419.40000000000003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6">SUM(F32:J32)</f>
        <v>85</v>
      </c>
      <c r="F32" s="93">
        <v>1</v>
      </c>
      <c r="G32" s="93" t="s">
        <v>100</v>
      </c>
      <c r="H32" s="93" t="s">
        <v>100</v>
      </c>
      <c r="I32" s="93">
        <v>84</v>
      </c>
      <c r="J32" s="93">
        <v>0</v>
      </c>
      <c r="K32" s="93">
        <v>140.63999999999999</v>
      </c>
      <c r="L32" s="92">
        <f t="shared" ref="L32" si="37">E32*K32</f>
        <v>11954.4</v>
      </c>
      <c r="M32" s="89">
        <v>7</v>
      </c>
      <c r="N32" s="89">
        <v>1</v>
      </c>
      <c r="O32" s="89">
        <v>539</v>
      </c>
      <c r="P32" s="89">
        <v>0</v>
      </c>
      <c r="Q32" s="233">
        <f t="shared" si="16"/>
        <v>0.14285714285714285</v>
      </c>
      <c r="R32" s="92">
        <f t="shared" si="17"/>
        <v>0</v>
      </c>
      <c r="S32" s="93">
        <v>0</v>
      </c>
      <c r="T32" s="93">
        <v>0</v>
      </c>
      <c r="U32" s="92">
        <f t="shared" si="18"/>
        <v>0</v>
      </c>
      <c r="V32" s="93">
        <v>0</v>
      </c>
      <c r="W32" s="93">
        <v>0</v>
      </c>
      <c r="X32" s="92">
        <f t="shared" si="19"/>
        <v>0</v>
      </c>
      <c r="Y32" s="93">
        <v>0</v>
      </c>
      <c r="Z32" s="93">
        <v>0</v>
      </c>
      <c r="AA32" s="92">
        <f t="shared" si="20"/>
        <v>0</v>
      </c>
      <c r="AB32" s="92">
        <f t="shared" si="21"/>
        <v>0</v>
      </c>
      <c r="AC32" s="234">
        <f t="shared" si="22"/>
        <v>0</v>
      </c>
      <c r="AD32" s="92">
        <f t="shared" si="23"/>
        <v>0</v>
      </c>
      <c r="AE32" s="93">
        <v>0</v>
      </c>
      <c r="AF32" s="234">
        <f t="shared" si="24"/>
        <v>0</v>
      </c>
      <c r="AG32" s="93">
        <v>106.55</v>
      </c>
      <c r="AH32" s="93"/>
      <c r="AI32" s="93"/>
      <c r="AJ32" s="93"/>
      <c r="AK32" s="93"/>
      <c r="AL32" s="122">
        <f t="shared" si="25"/>
        <v>0</v>
      </c>
      <c r="AM32" s="93">
        <v>0</v>
      </c>
      <c r="AN32" s="94">
        <f t="shared" si="6"/>
        <v>0</v>
      </c>
      <c r="AO32" s="95">
        <f t="shared" si="7"/>
        <v>-106.55</v>
      </c>
      <c r="AP32" s="96"/>
      <c r="AQ32" s="97">
        <f t="shared" si="8"/>
        <v>0</v>
      </c>
      <c r="AR32" s="98">
        <f t="shared" si="9"/>
        <v>140.63999999999999</v>
      </c>
      <c r="AS32" s="98">
        <f t="shared" si="10"/>
        <v>0</v>
      </c>
      <c r="AT32" s="98">
        <f t="shared" si="11"/>
        <v>106.55</v>
      </c>
      <c r="AU32" s="98">
        <f t="shared" si="12"/>
        <v>0</v>
      </c>
      <c r="AV32" s="98">
        <f t="array" ref="AV32">_xlfn.IFS(U32=0,AO32,U32&lt;0,AO32/-U32,U32&gt;0,AO32/U32)</f>
        <v>-106.55</v>
      </c>
      <c r="AW32" s="234">
        <f t="shared" ref="AW32" si="38">IF(AQ32=0,0,AV32/AQ32)</f>
        <v>0</v>
      </c>
      <c r="AX32" s="234">
        <f t="shared" ref="AX32" si="39">IF(AR32=0,0,AV32/AR32)</f>
        <v>-0.75760807736063718</v>
      </c>
      <c r="AY32" s="99"/>
      <c r="AZ32" s="94">
        <f t="shared" si="15"/>
        <v>-9056.75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174</v>
      </c>
      <c r="F33" s="93">
        <v>7</v>
      </c>
      <c r="G33" s="93">
        <v>1</v>
      </c>
      <c r="H33" s="93">
        <v>146</v>
      </c>
      <c r="I33" s="93">
        <v>20</v>
      </c>
      <c r="J33" s="93">
        <v>0</v>
      </c>
      <c r="K33" s="93">
        <v>123.09</v>
      </c>
      <c r="L33" s="92">
        <f>E33*K33</f>
        <v>21417.66</v>
      </c>
      <c r="M33" s="89">
        <v>468</v>
      </c>
      <c r="N33" s="89">
        <v>9</v>
      </c>
      <c r="O33" s="89">
        <v>417</v>
      </c>
      <c r="P33" s="89">
        <v>67</v>
      </c>
      <c r="Q33" s="233">
        <f t="shared" si="16"/>
        <v>1.2857142857142858</v>
      </c>
      <c r="R33" s="92">
        <f t="shared" si="17"/>
        <v>0.2857142857142857</v>
      </c>
      <c r="S33" s="93">
        <v>3</v>
      </c>
      <c r="T33" s="93">
        <v>-1</v>
      </c>
      <c r="U33" s="92">
        <f t="shared" si="18"/>
        <v>2</v>
      </c>
      <c r="V33" s="93">
        <v>753</v>
      </c>
      <c r="W33" s="93">
        <v>-265</v>
      </c>
      <c r="X33" s="92">
        <f t="shared" si="19"/>
        <v>488</v>
      </c>
      <c r="Y33" s="93">
        <v>1251</v>
      </c>
      <c r="Z33" s="93">
        <v>-417</v>
      </c>
      <c r="AA33" s="92">
        <f t="shared" si="20"/>
        <v>834</v>
      </c>
      <c r="AB33" s="92">
        <f t="shared" si="21"/>
        <v>2514.5100000000002</v>
      </c>
      <c r="AC33" s="234">
        <f t="shared" si="22"/>
        <v>6.2589685616061736E-4</v>
      </c>
      <c r="AD33" s="92">
        <f t="shared" si="23"/>
        <v>246.18</v>
      </c>
      <c r="AE33" s="93">
        <v>309.83999999999992</v>
      </c>
      <c r="AF33" s="234">
        <f t="shared" si="24"/>
        <v>0.3715107913669064</v>
      </c>
      <c r="AG33" s="93">
        <v>276.89999999999998</v>
      </c>
      <c r="AH33" s="93">
        <v>2000</v>
      </c>
      <c r="AI33" s="93">
        <v>3000</v>
      </c>
      <c r="AJ33" s="93"/>
      <c r="AK33" s="93"/>
      <c r="AL33" s="122">
        <f t="shared" si="25"/>
        <v>102.78394961608144</v>
      </c>
      <c r="AM33" s="93">
        <v>0</v>
      </c>
      <c r="AN33" s="94">
        <f t="shared" si="6"/>
        <v>27.864799999999999</v>
      </c>
      <c r="AO33" s="95">
        <f t="shared" si="7"/>
        <v>-5129.5687496160817</v>
      </c>
      <c r="AP33" s="96"/>
      <c r="AQ33" s="97">
        <f t="shared" si="8"/>
        <v>417</v>
      </c>
      <c r="AR33" s="98">
        <f t="shared" si="9"/>
        <v>123.09</v>
      </c>
      <c r="AS33" s="98">
        <f t="shared" si="10"/>
        <v>154.91999999999996</v>
      </c>
      <c r="AT33" s="98">
        <f t="shared" si="11"/>
        <v>92.3</v>
      </c>
      <c r="AU33" s="98">
        <f t="shared" si="12"/>
        <v>1666.6666666666667</v>
      </c>
      <c r="AV33" s="98">
        <f t="array" ref="AV33">_xlfn.IFS(U33=0,AO33,U33&lt;0,AO33/-U33,U33&gt;0,AO33/U33)</f>
        <v>-2564.7843748080409</v>
      </c>
      <c r="AW33" s="234">
        <f>IF(AQ33=0,0,AV33/AQ33)</f>
        <v>-6.1505620498993787</v>
      </c>
      <c r="AX33" s="234">
        <f>IF(AR33=0,0,AV33/AR33)</f>
        <v>-20.836659150280614</v>
      </c>
      <c r="AY33" s="99"/>
      <c r="AZ33" s="94">
        <f t="shared" si="15"/>
        <v>-446272.48121659912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19</v>
      </c>
      <c r="F34" s="93">
        <v>8</v>
      </c>
      <c r="G34" s="93">
        <v>1</v>
      </c>
      <c r="H34" s="93">
        <v>9</v>
      </c>
      <c r="I34" s="93">
        <v>1</v>
      </c>
      <c r="J34" s="93">
        <v>0</v>
      </c>
      <c r="K34" s="93">
        <v>117.24</v>
      </c>
      <c r="L34" s="92">
        <f>E34*K34</f>
        <v>2227.56</v>
      </c>
      <c r="M34" s="89">
        <v>51</v>
      </c>
      <c r="N34" s="89">
        <v>12</v>
      </c>
      <c r="O34" s="89">
        <v>439</v>
      </c>
      <c r="P34" s="89">
        <v>100</v>
      </c>
      <c r="Q34" s="233">
        <f t="shared" si="16"/>
        <v>1.7142857142857142</v>
      </c>
      <c r="R34" s="92">
        <f t="shared" si="17"/>
        <v>0.5714285714285714</v>
      </c>
      <c r="S34" s="93">
        <v>4</v>
      </c>
      <c r="T34" s="93">
        <v>0</v>
      </c>
      <c r="U34" s="92">
        <f t="shared" si="18"/>
        <v>4</v>
      </c>
      <c r="V34" s="93">
        <v>1138.82</v>
      </c>
      <c r="W34" s="93">
        <v>0</v>
      </c>
      <c r="X34" s="92">
        <f t="shared" si="19"/>
        <v>1138.82</v>
      </c>
      <c r="Y34" s="93">
        <v>1755.93</v>
      </c>
      <c r="Z34" s="93">
        <v>0</v>
      </c>
      <c r="AA34" s="92">
        <f t="shared" si="20"/>
        <v>1755.93</v>
      </c>
      <c r="AB34" s="92">
        <f t="shared" si="21"/>
        <v>5268</v>
      </c>
      <c r="AC34" s="234">
        <f t="shared" si="22"/>
        <v>1.3177830535229171E-3</v>
      </c>
      <c r="AD34" s="92">
        <f t="shared" si="23"/>
        <v>468.96</v>
      </c>
      <c r="AE34" s="93">
        <v>645.72</v>
      </c>
      <c r="AF34" s="234">
        <f t="shared" si="24"/>
        <v>0.36773675488202834</v>
      </c>
      <c r="AG34" s="93">
        <v>476.25</v>
      </c>
      <c r="AH34" s="93"/>
      <c r="AI34" s="93"/>
      <c r="AJ34" s="93"/>
      <c r="AK34" s="93"/>
      <c r="AL34" s="122">
        <f t="shared" si="25"/>
        <v>6.3359968941420073</v>
      </c>
      <c r="AM34" s="93">
        <v>0</v>
      </c>
      <c r="AN34" s="94">
        <f t="shared" si="6"/>
        <v>65.026621999999989</v>
      </c>
      <c r="AO34" s="95">
        <f t="shared" si="7"/>
        <v>93.637381105858012</v>
      </c>
      <c r="AP34" s="96"/>
      <c r="AQ34" s="97">
        <f t="shared" si="8"/>
        <v>438.98250000000002</v>
      </c>
      <c r="AR34" s="98">
        <f t="shared" si="9"/>
        <v>117.24</v>
      </c>
      <c r="AS34" s="98">
        <f t="shared" si="10"/>
        <v>161.43</v>
      </c>
      <c r="AT34" s="98">
        <f t="shared" si="11"/>
        <v>119.0625</v>
      </c>
      <c r="AU34" s="98">
        <f t="shared" si="12"/>
        <v>0</v>
      </c>
      <c r="AV34" s="98">
        <f t="array" ref="AV34">_xlfn.IFS(U34=0,AO34,U34&lt;0,AO34/-U34,U34&gt;0,AO34/U34)</f>
        <v>23.409345276464503</v>
      </c>
      <c r="AW34" s="234">
        <f>IF(AQ34=0,0,AV34/AQ34)</f>
        <v>5.3326374687976179E-2</v>
      </c>
      <c r="AX34" s="234">
        <f>IF(AR34=0,0,AV34/AR34)</f>
        <v>0.19967029406742157</v>
      </c>
      <c r="AY34" s="99"/>
      <c r="AZ34" s="94">
        <f t="shared" si="15"/>
        <v>444.77756025282554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0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1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v>0</v>
      </c>
      <c r="T35" s="93">
        <v>0</v>
      </c>
      <c r="U35" s="92">
        <f t="shared" si="18"/>
        <v>0</v>
      </c>
      <c r="V35" s="93">
        <v>0</v>
      </c>
      <c r="W35" s="93">
        <v>0</v>
      </c>
      <c r="X35" s="92">
        <f t="shared" si="19"/>
        <v>0</v>
      </c>
      <c r="Y35" s="93">
        <v>0</v>
      </c>
      <c r="Z35" s="93">
        <v>0</v>
      </c>
      <c r="AA35" s="92">
        <f t="shared" si="20"/>
        <v>0</v>
      </c>
      <c r="AB35" s="92">
        <f t="shared" si="21"/>
        <v>0</v>
      </c>
      <c r="AC35" s="234">
        <f t="shared" si="22"/>
        <v>0</v>
      </c>
      <c r="AD35" s="92">
        <f t="shared" si="23"/>
        <v>0</v>
      </c>
      <c r="AE35" s="93">
        <v>0</v>
      </c>
      <c r="AF35" s="234">
        <f t="shared" si="24"/>
        <v>0</v>
      </c>
      <c r="AG35" s="93">
        <v>0</v>
      </c>
      <c r="AH35" s="93"/>
      <c r="AI35" s="93"/>
      <c r="AJ35" s="93"/>
      <c r="AK35" s="93"/>
      <c r="AL35" s="122">
        <f t="shared" si="25"/>
        <v>0</v>
      </c>
      <c r="AM35" s="93">
        <v>0</v>
      </c>
      <c r="AN35" s="94">
        <f t="shared" ref="AN35:AN66" si="42">X35*5.71%</f>
        <v>0</v>
      </c>
      <c r="AO35" s="95">
        <f t="shared" ref="AO35:AO66" si="43">AA35-AD35-AE35-AG35-AH35-AI35-AK35-AL35-AN35-AM35</f>
        <v>0</v>
      </c>
      <c r="AP35" s="96"/>
      <c r="AQ35" s="97">
        <f t="shared" ref="AQ35:AQ66" si="44">IF(U35=0,0,AA35/U35)</f>
        <v>0</v>
      </c>
      <c r="AR35" s="98">
        <f t="shared" ref="AR35:AR66" si="45">K35</f>
        <v>128.94</v>
      </c>
      <c r="AS35" s="98">
        <f t="shared" ref="AS35:AS66" si="46">IF(U35=0,0,AE35/U35)</f>
        <v>0</v>
      </c>
      <c r="AT35" s="98">
        <f t="shared" ref="AT35:AT66" si="47">IF(S35=0,AG35/1,AG35/S35)</f>
        <v>0</v>
      </c>
      <c r="AU35" s="98">
        <f t="shared" ref="AU35:AU66" si="48">IF(S35=0,0,(AH35+AI35+AJ35)/S35)</f>
        <v>0</v>
      </c>
      <c r="AV35" s="98">
        <f t="array" ref="AV35">_xlfn.IFS(U35=0,AO35,U35&lt;0,AO35/-U35,U35&gt;0,AO35/U35)</f>
        <v>0</v>
      </c>
      <c r="AW35" s="234">
        <f t="shared" ref="AW35:AW98" si="49">IF(AQ35=0,0,AV35/AQ35)</f>
        <v>0</v>
      </c>
      <c r="AX35" s="234">
        <f t="shared" ref="AX35:AX98" si="50">IF(AR35=0,0,AV35/AR35)</f>
        <v>0</v>
      </c>
      <c r="AY35" s="99"/>
      <c r="AZ35" s="94">
        <f t="shared" ref="AZ35:AZ66" si="51">AV35*E35</f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0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1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v>0</v>
      </c>
      <c r="T36" s="93">
        <v>0</v>
      </c>
      <c r="U36" s="92">
        <f t="shared" si="18"/>
        <v>0</v>
      </c>
      <c r="V36" s="93">
        <v>0</v>
      </c>
      <c r="W36" s="93">
        <v>0</v>
      </c>
      <c r="X36" s="92">
        <f t="shared" si="19"/>
        <v>0</v>
      </c>
      <c r="Y36" s="93">
        <v>0</v>
      </c>
      <c r="Z36" s="93">
        <v>0</v>
      </c>
      <c r="AA36" s="92">
        <f t="shared" si="20"/>
        <v>0</v>
      </c>
      <c r="AB36" s="92">
        <f t="shared" si="21"/>
        <v>0</v>
      </c>
      <c r="AC36" s="234">
        <f t="shared" si="22"/>
        <v>0</v>
      </c>
      <c r="AD36" s="92">
        <f t="shared" si="23"/>
        <v>0</v>
      </c>
      <c r="AE36" s="93">
        <v>0</v>
      </c>
      <c r="AF36" s="234">
        <f t="shared" si="24"/>
        <v>0</v>
      </c>
      <c r="AG36" s="93">
        <v>0</v>
      </c>
      <c r="AH36" s="93"/>
      <c r="AI36" s="93"/>
      <c r="AJ36" s="93"/>
      <c r="AK36" s="93"/>
      <c r="AL36" s="122">
        <f t="shared" si="25"/>
        <v>0</v>
      </c>
      <c r="AM36" s="93">
        <v>0</v>
      </c>
      <c r="AN36" s="94">
        <f t="shared" si="42"/>
        <v>0</v>
      </c>
      <c r="AO36" s="95">
        <f t="shared" si="43"/>
        <v>0</v>
      </c>
      <c r="AP36" s="96"/>
      <c r="AQ36" s="97">
        <f t="shared" si="44"/>
        <v>0</v>
      </c>
      <c r="AR36" s="98">
        <f t="shared" si="45"/>
        <v>169.89</v>
      </c>
      <c r="AS36" s="98">
        <f t="shared" si="46"/>
        <v>0</v>
      </c>
      <c r="AT36" s="98">
        <f t="shared" si="47"/>
        <v>0</v>
      </c>
      <c r="AU36" s="98">
        <f t="shared" si="48"/>
        <v>0</v>
      </c>
      <c r="AV36" s="98">
        <f t="array" ref="AV36">_xlfn.IFS(U36=0,AO36,U36&lt;0,AO36/-U36,U36&gt;0,AO36/U36)</f>
        <v>0</v>
      </c>
      <c r="AW36" s="234">
        <f t="shared" si="49"/>
        <v>0</v>
      </c>
      <c r="AX36" s="234">
        <f t="shared" si="50"/>
        <v>0</v>
      </c>
      <c r="AY36" s="99"/>
      <c r="AZ36" s="94">
        <f t="shared" si="51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0"/>
        <v>14</v>
      </c>
      <c r="F37" s="93">
        <v>4</v>
      </c>
      <c r="G37" s="93">
        <v>3</v>
      </c>
      <c r="H37" s="93">
        <v>6</v>
      </c>
      <c r="I37" s="93">
        <v>0</v>
      </c>
      <c r="J37" s="93">
        <v>1</v>
      </c>
      <c r="K37" s="93">
        <v>169.89</v>
      </c>
      <c r="L37" s="92">
        <f t="shared" si="41"/>
        <v>2378.46</v>
      </c>
      <c r="M37" s="89">
        <v>38</v>
      </c>
      <c r="N37" s="89">
        <v>8</v>
      </c>
      <c r="O37" s="89">
        <v>998</v>
      </c>
      <c r="P37" s="89">
        <v>33</v>
      </c>
      <c r="Q37" s="233">
        <f t="shared" si="16"/>
        <v>1.1428571428571428</v>
      </c>
      <c r="R37" s="92">
        <f t="shared" si="17"/>
        <v>0.2857142857142857</v>
      </c>
      <c r="S37" s="93">
        <v>2</v>
      </c>
      <c r="T37" s="93">
        <v>0</v>
      </c>
      <c r="U37" s="92">
        <f t="shared" si="18"/>
        <v>2</v>
      </c>
      <c r="V37" s="93">
        <v>1296</v>
      </c>
      <c r="W37" s="93">
        <v>0</v>
      </c>
      <c r="X37" s="92">
        <f t="shared" si="19"/>
        <v>1296</v>
      </c>
      <c r="Y37" s="93">
        <v>1996</v>
      </c>
      <c r="Z37" s="93">
        <v>0</v>
      </c>
      <c r="AA37" s="92">
        <f t="shared" si="20"/>
        <v>1996</v>
      </c>
      <c r="AB37" s="92">
        <f t="shared" si="21"/>
        <v>2634.72</v>
      </c>
      <c r="AC37" s="234">
        <f t="shared" si="22"/>
        <v>1.4979497900438755E-3</v>
      </c>
      <c r="AD37" s="92">
        <f t="shared" si="23"/>
        <v>339.78</v>
      </c>
      <c r="AE37" s="93">
        <v>745.7199999999998</v>
      </c>
      <c r="AF37" s="234">
        <f t="shared" si="24"/>
        <v>0.37360721442885764</v>
      </c>
      <c r="AG37" s="93">
        <v>371.85</v>
      </c>
      <c r="AH37" s="93"/>
      <c r="AI37" s="93"/>
      <c r="AJ37" s="93"/>
      <c r="AK37" s="93"/>
      <c r="AL37" s="122">
        <f t="shared" si="25"/>
        <v>4.2239979294280046</v>
      </c>
      <c r="AM37" s="93">
        <v>0</v>
      </c>
      <c r="AN37" s="94">
        <f t="shared" si="42"/>
        <v>74.001599999999996</v>
      </c>
      <c r="AO37" s="95">
        <f t="shared" si="43"/>
        <v>460.42440207057217</v>
      </c>
      <c r="AP37" s="96"/>
      <c r="AQ37" s="97">
        <f t="shared" si="44"/>
        <v>998</v>
      </c>
      <c r="AR37" s="98">
        <f t="shared" si="45"/>
        <v>169.89</v>
      </c>
      <c r="AS37" s="98">
        <f t="shared" si="46"/>
        <v>372.8599999999999</v>
      </c>
      <c r="AT37" s="98">
        <f t="shared" si="47"/>
        <v>185.92500000000001</v>
      </c>
      <c r="AU37" s="98">
        <f t="shared" si="48"/>
        <v>0</v>
      </c>
      <c r="AV37" s="98">
        <f t="array" ref="AV37">_xlfn.IFS(U37=0,AO37,U37&lt;0,AO37/-U37,U37&gt;0,AO37/U37)</f>
        <v>230.21220103528609</v>
      </c>
      <c r="AW37" s="234">
        <f t="shared" si="49"/>
        <v>0.23067354813154919</v>
      </c>
      <c r="AX37" s="234">
        <f t="shared" si="50"/>
        <v>1.3550662254122439</v>
      </c>
      <c r="AY37" s="99"/>
      <c r="AZ37" s="94">
        <f t="shared" si="51"/>
        <v>3222.970814494005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0"/>
        <v>48</v>
      </c>
      <c r="F38" s="93">
        <v>2</v>
      </c>
      <c r="G38" s="93">
        <v>1</v>
      </c>
      <c r="H38" s="93">
        <v>44</v>
      </c>
      <c r="I38" s="93">
        <v>0</v>
      </c>
      <c r="J38" s="93">
        <v>1</v>
      </c>
      <c r="K38" s="92">
        <v>105.54</v>
      </c>
      <c r="L38" s="92">
        <f t="shared" si="41"/>
        <v>5065.92</v>
      </c>
      <c r="M38" s="89">
        <v>468</v>
      </c>
      <c r="N38" s="89">
        <v>3</v>
      </c>
      <c r="O38" s="89">
        <v>1197</v>
      </c>
      <c r="P38" s="89">
        <v>0</v>
      </c>
      <c r="Q38" s="233">
        <f t="shared" si="16"/>
        <v>0.42857142857142855</v>
      </c>
      <c r="R38" s="92">
        <f t="shared" si="17"/>
        <v>0</v>
      </c>
      <c r="S38" s="93">
        <v>0</v>
      </c>
      <c r="T38" s="93">
        <v>0</v>
      </c>
      <c r="U38" s="92">
        <f t="shared" si="18"/>
        <v>0</v>
      </c>
      <c r="V38" s="93">
        <v>0</v>
      </c>
      <c r="W38" s="93">
        <v>0</v>
      </c>
      <c r="X38" s="92">
        <f t="shared" si="19"/>
        <v>0</v>
      </c>
      <c r="Y38" s="93">
        <v>0</v>
      </c>
      <c r="Z38" s="93">
        <v>0</v>
      </c>
      <c r="AA38" s="92">
        <f t="shared" si="20"/>
        <v>0</v>
      </c>
      <c r="AB38" s="92">
        <f t="shared" si="21"/>
        <v>0</v>
      </c>
      <c r="AC38" s="234">
        <f t="shared" si="22"/>
        <v>0</v>
      </c>
      <c r="AD38" s="92">
        <f t="shared" si="23"/>
        <v>0</v>
      </c>
      <c r="AE38" s="93">
        <v>0</v>
      </c>
      <c r="AF38" s="234">
        <f t="shared" si="24"/>
        <v>0</v>
      </c>
      <c r="AG38" s="93">
        <v>108</v>
      </c>
      <c r="AH38" s="93"/>
      <c r="AI38" s="93"/>
      <c r="AJ38" s="93"/>
      <c r="AK38" s="93"/>
      <c r="AL38" s="122">
        <f t="shared" si="25"/>
        <v>30.975984815805369</v>
      </c>
      <c r="AM38" s="93">
        <v>0</v>
      </c>
      <c r="AN38" s="94">
        <f t="shared" si="42"/>
        <v>0</v>
      </c>
      <c r="AO38" s="95">
        <f t="shared" si="43"/>
        <v>-138.97598481580536</v>
      </c>
      <c r="AP38" s="96"/>
      <c r="AQ38" s="97">
        <f t="shared" si="44"/>
        <v>0</v>
      </c>
      <c r="AR38" s="98">
        <f t="shared" si="45"/>
        <v>105.54</v>
      </c>
      <c r="AS38" s="98">
        <f t="shared" si="46"/>
        <v>0</v>
      </c>
      <c r="AT38" s="98">
        <f t="shared" si="47"/>
        <v>108</v>
      </c>
      <c r="AU38" s="98">
        <f t="shared" si="48"/>
        <v>0</v>
      </c>
      <c r="AV38" s="98">
        <f t="array" ref="AV38">_xlfn.IFS(U38=0,AO38,U38&lt;0,AO38/-U38,U38&gt;0,AO38/U38)</f>
        <v>-138.97598481580536</v>
      </c>
      <c r="AW38" s="234">
        <f t="shared" si="49"/>
        <v>0</v>
      </c>
      <c r="AX38" s="234">
        <f t="shared" si="50"/>
        <v>-1.3168086490032722</v>
      </c>
      <c r="AY38" s="99"/>
      <c r="AZ38" s="94">
        <f t="shared" si="51"/>
        <v>-6670.8472711586573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0"/>
        <v>48</v>
      </c>
      <c r="F39" s="93">
        <v>5</v>
      </c>
      <c r="G39" s="93">
        <v>3</v>
      </c>
      <c r="H39" s="93">
        <v>39</v>
      </c>
      <c r="I39" s="93">
        <v>0</v>
      </c>
      <c r="J39" s="93">
        <v>1</v>
      </c>
      <c r="K39" s="92">
        <v>105.54</v>
      </c>
      <c r="L39" s="92">
        <f t="shared" si="41"/>
        <v>5065.92</v>
      </c>
      <c r="M39" s="89">
        <v>145</v>
      </c>
      <c r="N39" s="89">
        <v>10</v>
      </c>
      <c r="O39" s="89">
        <v>1077</v>
      </c>
      <c r="P39" s="89">
        <v>40</v>
      </c>
      <c r="Q39" s="233">
        <f t="shared" si="16"/>
        <v>1.4285714285714286</v>
      </c>
      <c r="R39" s="92">
        <f t="shared" si="17"/>
        <v>0.2857142857142857</v>
      </c>
      <c r="S39" s="93">
        <v>2</v>
      </c>
      <c r="T39" s="93">
        <v>0</v>
      </c>
      <c r="U39" s="92">
        <f t="shared" si="18"/>
        <v>2</v>
      </c>
      <c r="V39" s="93">
        <v>1364</v>
      </c>
      <c r="W39" s="93">
        <v>0</v>
      </c>
      <c r="X39" s="92">
        <f t="shared" si="19"/>
        <v>1364</v>
      </c>
      <c r="Y39" s="93">
        <v>2154</v>
      </c>
      <c r="Z39" s="93">
        <v>0</v>
      </c>
      <c r="AA39" s="92">
        <f t="shared" si="20"/>
        <v>2154</v>
      </c>
      <c r="AB39" s="92">
        <f t="shared" si="21"/>
        <v>4308</v>
      </c>
      <c r="AC39" s="234">
        <f t="shared" si="22"/>
        <v>1.6165249738249038E-3</v>
      </c>
      <c r="AD39" s="92">
        <f t="shared" si="23"/>
        <v>211.08</v>
      </c>
      <c r="AE39" s="93">
        <v>808.52</v>
      </c>
      <c r="AF39" s="234">
        <f t="shared" si="24"/>
        <v>0.37535747446610956</v>
      </c>
      <c r="AG39" s="93">
        <v>524.79999999999995</v>
      </c>
      <c r="AH39" s="93">
        <v>2000</v>
      </c>
      <c r="AI39" s="93">
        <v>2000</v>
      </c>
      <c r="AJ39" s="93"/>
      <c r="AK39" s="93"/>
      <c r="AL39" s="122">
        <f t="shared" si="25"/>
        <v>27.45598654128203</v>
      </c>
      <c r="AM39" s="93">
        <v>0</v>
      </c>
      <c r="AN39" s="94">
        <f t="shared" si="42"/>
        <v>77.884399999999999</v>
      </c>
      <c r="AO39" s="95">
        <f t="shared" si="43"/>
        <v>-3495.7403865412816</v>
      </c>
      <c r="AP39" s="96"/>
      <c r="AQ39" s="97">
        <f t="shared" si="44"/>
        <v>1077</v>
      </c>
      <c r="AR39" s="98">
        <f t="shared" si="45"/>
        <v>105.54</v>
      </c>
      <c r="AS39" s="98">
        <f t="shared" si="46"/>
        <v>404.26</v>
      </c>
      <c r="AT39" s="98">
        <f t="shared" si="47"/>
        <v>262.39999999999998</v>
      </c>
      <c r="AU39" s="98">
        <f t="shared" si="48"/>
        <v>2000</v>
      </c>
      <c r="AV39" s="98">
        <f t="array" ref="AV39">_xlfn.IFS(U39=0,AO39,U39&lt;0,AO39/-U39,U39&gt;0,AO39/U39)</f>
        <v>-1747.8701932706408</v>
      </c>
      <c r="AW39" s="234">
        <f t="shared" si="49"/>
        <v>-1.6229064004369924</v>
      </c>
      <c r="AX39" s="234">
        <f t="shared" si="50"/>
        <v>-16.561210851531559</v>
      </c>
      <c r="AY39" s="99"/>
      <c r="AZ39" s="94">
        <f t="shared" si="51"/>
        <v>-83897.769276990759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0"/>
        <v>47</v>
      </c>
      <c r="F40" s="93">
        <v>4</v>
      </c>
      <c r="G40" s="93" t="s">
        <v>100</v>
      </c>
      <c r="H40" s="93">
        <v>42</v>
      </c>
      <c r="I40" s="93">
        <v>0</v>
      </c>
      <c r="J40" s="93">
        <v>1</v>
      </c>
      <c r="K40" s="92">
        <v>105.54</v>
      </c>
      <c r="L40" s="92">
        <f t="shared" si="41"/>
        <v>4960.38</v>
      </c>
      <c r="M40" s="89">
        <v>272</v>
      </c>
      <c r="N40" s="89">
        <v>3</v>
      </c>
      <c r="O40" s="89">
        <v>1197</v>
      </c>
      <c r="P40" s="89">
        <v>0</v>
      </c>
      <c r="Q40" s="233">
        <f t="shared" si="16"/>
        <v>0.42857142857142855</v>
      </c>
      <c r="R40" s="92">
        <f t="shared" si="17"/>
        <v>0</v>
      </c>
      <c r="S40" s="93">
        <v>0</v>
      </c>
      <c r="T40" s="93">
        <v>0</v>
      </c>
      <c r="U40" s="92">
        <f t="shared" si="18"/>
        <v>0</v>
      </c>
      <c r="V40" s="93">
        <v>0</v>
      </c>
      <c r="W40" s="93">
        <v>0</v>
      </c>
      <c r="X40" s="92">
        <f t="shared" si="19"/>
        <v>0</v>
      </c>
      <c r="Y40" s="93">
        <v>0</v>
      </c>
      <c r="Z40" s="93">
        <v>0</v>
      </c>
      <c r="AA40" s="92">
        <f t="shared" si="20"/>
        <v>0</v>
      </c>
      <c r="AB40" s="92">
        <f t="shared" si="21"/>
        <v>0</v>
      </c>
      <c r="AC40" s="234">
        <f t="shared" si="22"/>
        <v>0</v>
      </c>
      <c r="AD40" s="92">
        <f t="shared" si="23"/>
        <v>0</v>
      </c>
      <c r="AE40" s="93">
        <v>0</v>
      </c>
      <c r="AF40" s="234">
        <f t="shared" si="24"/>
        <v>0</v>
      </c>
      <c r="AG40" s="93">
        <v>0</v>
      </c>
      <c r="AH40" s="93"/>
      <c r="AI40" s="93"/>
      <c r="AJ40" s="93"/>
      <c r="AK40" s="93"/>
      <c r="AL40" s="122">
        <f t="shared" si="25"/>
        <v>29.567985505996035</v>
      </c>
      <c r="AM40" s="93">
        <v>0</v>
      </c>
      <c r="AN40" s="94">
        <f t="shared" si="42"/>
        <v>0</v>
      </c>
      <c r="AO40" s="95">
        <f t="shared" si="43"/>
        <v>-29.567985505996035</v>
      </c>
      <c r="AP40" s="96"/>
      <c r="AQ40" s="97">
        <f t="shared" si="44"/>
        <v>0</v>
      </c>
      <c r="AR40" s="98">
        <f t="shared" si="45"/>
        <v>105.54</v>
      </c>
      <c r="AS40" s="98">
        <f t="shared" si="46"/>
        <v>0</v>
      </c>
      <c r="AT40" s="98">
        <f t="shared" si="47"/>
        <v>0</v>
      </c>
      <c r="AU40" s="98">
        <f t="shared" si="48"/>
        <v>0</v>
      </c>
      <c r="AV40" s="98">
        <f t="array" ref="AV40">_xlfn.IFS(U40=0,AO40,U40&lt;0,AO40/-U40,U40&gt;0,AO40/U40)</f>
        <v>-29.567985505996035</v>
      </c>
      <c r="AW40" s="234">
        <f t="shared" si="49"/>
        <v>0</v>
      </c>
      <c r="AX40" s="234">
        <f t="shared" si="50"/>
        <v>-0.28015904402118658</v>
      </c>
      <c r="AY40" s="99"/>
      <c r="AZ40" s="94">
        <f t="shared" si="51"/>
        <v>-1389.6953187818135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0"/>
        <v>47</v>
      </c>
      <c r="F41" s="93">
        <v>1</v>
      </c>
      <c r="G41" s="93" t="s">
        <v>100</v>
      </c>
      <c r="H41" s="93">
        <v>45</v>
      </c>
      <c r="I41" s="93">
        <v>0</v>
      </c>
      <c r="J41" s="93">
        <v>1</v>
      </c>
      <c r="K41" s="92">
        <v>123.09</v>
      </c>
      <c r="L41" s="92">
        <f t="shared" si="41"/>
        <v>5785.2300000000005</v>
      </c>
      <c r="M41" s="89">
        <v>457</v>
      </c>
      <c r="N41" s="89">
        <v>1</v>
      </c>
      <c r="O41" s="89">
        <v>1218</v>
      </c>
      <c r="P41" s="89">
        <v>0</v>
      </c>
      <c r="Q41" s="233">
        <f t="shared" si="16"/>
        <v>0.14285714285714285</v>
      </c>
      <c r="R41" s="92">
        <f t="shared" si="17"/>
        <v>0</v>
      </c>
      <c r="S41" s="93">
        <v>0</v>
      </c>
      <c r="T41" s="93">
        <v>0</v>
      </c>
      <c r="U41" s="92">
        <f t="shared" si="18"/>
        <v>0</v>
      </c>
      <c r="V41" s="93">
        <v>0</v>
      </c>
      <c r="W41" s="93">
        <v>0</v>
      </c>
      <c r="X41" s="92">
        <f t="shared" si="19"/>
        <v>0</v>
      </c>
      <c r="Y41" s="93">
        <v>0</v>
      </c>
      <c r="Z41" s="93">
        <v>0</v>
      </c>
      <c r="AA41" s="92">
        <f t="shared" si="20"/>
        <v>0</v>
      </c>
      <c r="AB41" s="92">
        <f t="shared" si="21"/>
        <v>0</v>
      </c>
      <c r="AC41" s="234">
        <f t="shared" si="22"/>
        <v>0</v>
      </c>
      <c r="AD41" s="92">
        <f t="shared" si="23"/>
        <v>0</v>
      </c>
      <c r="AE41" s="93">
        <v>0</v>
      </c>
      <c r="AF41" s="234">
        <f t="shared" si="24"/>
        <v>0</v>
      </c>
      <c r="AG41" s="93">
        <v>93.5</v>
      </c>
      <c r="AH41" s="93"/>
      <c r="AI41" s="93"/>
      <c r="AJ41" s="93"/>
      <c r="AK41" s="93"/>
      <c r="AL41" s="122">
        <f t="shared" si="25"/>
        <v>31.679984470710036</v>
      </c>
      <c r="AM41" s="93">
        <v>0</v>
      </c>
      <c r="AN41" s="94">
        <f t="shared" si="42"/>
        <v>0</v>
      </c>
      <c r="AO41" s="95">
        <f t="shared" si="43"/>
        <v>-125.17998447071004</v>
      </c>
      <c r="AP41" s="96"/>
      <c r="AQ41" s="97">
        <f t="shared" si="44"/>
        <v>0</v>
      </c>
      <c r="AR41" s="98">
        <f t="shared" si="45"/>
        <v>123.09</v>
      </c>
      <c r="AS41" s="98">
        <f t="shared" si="46"/>
        <v>0</v>
      </c>
      <c r="AT41" s="98">
        <f t="shared" si="47"/>
        <v>93.5</v>
      </c>
      <c r="AU41" s="98">
        <f t="shared" si="48"/>
        <v>0</v>
      </c>
      <c r="AV41" s="98">
        <f t="array" ref="AV41">_xlfn.IFS(U41=0,AO41,U41&lt;0,AO41/-U41,U41&gt;0,AO41/U41)</f>
        <v>-125.17998447071004</v>
      </c>
      <c r="AW41" s="234">
        <f t="shared" si="49"/>
        <v>0</v>
      </c>
      <c r="AX41" s="234">
        <f t="shared" si="50"/>
        <v>-1.0169793197717933</v>
      </c>
      <c r="AY41" s="99"/>
      <c r="AZ41" s="94">
        <f t="shared" si="51"/>
        <v>-5883.4592701233714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0"/>
        <v>49</v>
      </c>
      <c r="F42" s="93">
        <v>3</v>
      </c>
      <c r="G42" s="93">
        <v>1</v>
      </c>
      <c r="H42" s="93">
        <v>44</v>
      </c>
      <c r="I42" s="93">
        <v>0</v>
      </c>
      <c r="J42" s="93">
        <v>1</v>
      </c>
      <c r="K42" s="92">
        <v>123.09</v>
      </c>
      <c r="L42" s="92">
        <f t="shared" si="41"/>
        <v>6031.41</v>
      </c>
      <c r="M42" s="89">
        <v>357</v>
      </c>
      <c r="N42" s="89">
        <v>4</v>
      </c>
      <c r="O42" s="89">
        <v>1176</v>
      </c>
      <c r="P42" s="89">
        <v>0</v>
      </c>
      <c r="Q42" s="233">
        <f t="shared" si="16"/>
        <v>0.5714285714285714</v>
      </c>
      <c r="R42" s="92">
        <f t="shared" si="17"/>
        <v>0</v>
      </c>
      <c r="S42" s="93">
        <v>0</v>
      </c>
      <c r="T42" s="93">
        <v>0</v>
      </c>
      <c r="U42" s="92">
        <f t="shared" si="18"/>
        <v>0</v>
      </c>
      <c r="V42" s="93">
        <v>0</v>
      </c>
      <c r="W42" s="93">
        <v>0</v>
      </c>
      <c r="X42" s="92">
        <f t="shared" si="19"/>
        <v>0</v>
      </c>
      <c r="Y42" s="93">
        <v>0</v>
      </c>
      <c r="Z42" s="93">
        <v>0</v>
      </c>
      <c r="AA42" s="92">
        <f t="shared" si="20"/>
        <v>0</v>
      </c>
      <c r="AB42" s="92">
        <f t="shared" si="21"/>
        <v>0</v>
      </c>
      <c r="AC42" s="234">
        <f t="shared" si="22"/>
        <v>0</v>
      </c>
      <c r="AD42" s="92">
        <f t="shared" si="23"/>
        <v>0</v>
      </c>
      <c r="AE42" s="93">
        <v>0</v>
      </c>
      <c r="AF42" s="234">
        <f t="shared" si="24"/>
        <v>0</v>
      </c>
      <c r="AG42" s="93">
        <v>108</v>
      </c>
      <c r="AH42" s="93"/>
      <c r="AI42" s="93"/>
      <c r="AJ42" s="93"/>
      <c r="AK42" s="93"/>
      <c r="AL42" s="122">
        <f t="shared" si="25"/>
        <v>30.975984815805369</v>
      </c>
      <c r="AM42" s="93">
        <v>0</v>
      </c>
      <c r="AN42" s="94">
        <f t="shared" si="42"/>
        <v>0</v>
      </c>
      <c r="AO42" s="95">
        <f t="shared" si="43"/>
        <v>-138.97598481580536</v>
      </c>
      <c r="AP42" s="96"/>
      <c r="AQ42" s="97">
        <f t="shared" si="44"/>
        <v>0</v>
      </c>
      <c r="AR42" s="98">
        <f t="shared" si="45"/>
        <v>123.09</v>
      </c>
      <c r="AS42" s="98">
        <f t="shared" si="46"/>
        <v>0</v>
      </c>
      <c r="AT42" s="98">
        <f t="shared" si="47"/>
        <v>108</v>
      </c>
      <c r="AU42" s="98">
        <f t="shared" si="48"/>
        <v>0</v>
      </c>
      <c r="AV42" s="98">
        <f t="array" ref="AV42">_xlfn.IFS(U42=0,AO42,U42&lt;0,AO42/-U42,U42&gt;0,AO42/U42)</f>
        <v>-138.97598481580536</v>
      </c>
      <c r="AW42" s="234">
        <f t="shared" si="49"/>
        <v>0</v>
      </c>
      <c r="AX42" s="234">
        <f t="shared" si="50"/>
        <v>-1.1290599140125548</v>
      </c>
      <c r="AY42" s="99"/>
      <c r="AZ42" s="94">
        <f t="shared" si="51"/>
        <v>-6809.8232559744629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0"/>
        <v>49</v>
      </c>
      <c r="F43" s="93">
        <v>4</v>
      </c>
      <c r="G43" s="93" t="s">
        <v>100</v>
      </c>
      <c r="H43" s="93">
        <v>44</v>
      </c>
      <c r="I43" s="93">
        <v>0</v>
      </c>
      <c r="J43" s="93">
        <v>1</v>
      </c>
      <c r="K43" s="92">
        <v>123.09</v>
      </c>
      <c r="L43" s="92">
        <f t="shared" si="41"/>
        <v>6031.41</v>
      </c>
      <c r="M43" s="89">
        <v>241</v>
      </c>
      <c r="N43" s="89">
        <v>5</v>
      </c>
      <c r="O43" s="89">
        <v>1218</v>
      </c>
      <c r="P43" s="89">
        <v>100</v>
      </c>
      <c r="Q43" s="233">
        <f t="shared" si="16"/>
        <v>0.7142857142857143</v>
      </c>
      <c r="R43" s="92">
        <f t="shared" si="17"/>
        <v>0.14285714285714285</v>
      </c>
      <c r="S43" s="93">
        <v>1</v>
      </c>
      <c r="T43" s="93">
        <v>0</v>
      </c>
      <c r="U43" s="92">
        <f t="shared" si="18"/>
        <v>1</v>
      </c>
      <c r="V43" s="93">
        <v>706</v>
      </c>
      <c r="W43" s="93">
        <v>0</v>
      </c>
      <c r="X43" s="92">
        <f t="shared" si="19"/>
        <v>706</v>
      </c>
      <c r="Y43" s="93">
        <v>1181.46</v>
      </c>
      <c r="Z43" s="93">
        <v>0</v>
      </c>
      <c r="AA43" s="92">
        <f t="shared" si="20"/>
        <v>1181.46</v>
      </c>
      <c r="AB43" s="92">
        <f t="shared" si="21"/>
        <v>6090</v>
      </c>
      <c r="AC43" s="234">
        <f t="shared" si="22"/>
        <v>8.8665719386033935E-4</v>
      </c>
      <c r="AD43" s="92">
        <f t="shared" si="23"/>
        <v>123.09</v>
      </c>
      <c r="AE43" s="93">
        <v>439.40000000000009</v>
      </c>
      <c r="AF43" s="234">
        <f t="shared" si="24"/>
        <v>0.37191271816227384</v>
      </c>
      <c r="AG43" s="93">
        <v>58</v>
      </c>
      <c r="AH43" s="93">
        <v>2000</v>
      </c>
      <c r="AI43" s="93">
        <v>2000</v>
      </c>
      <c r="AJ43" s="93"/>
      <c r="AK43" s="93"/>
      <c r="AL43" s="122">
        <f t="shared" si="25"/>
        <v>30.975984815805369</v>
      </c>
      <c r="AM43" s="93">
        <v>0</v>
      </c>
      <c r="AN43" s="94">
        <f t="shared" si="42"/>
        <v>40.312599999999996</v>
      </c>
      <c r="AO43" s="95">
        <f t="shared" si="43"/>
        <v>-3510.3185848158055</v>
      </c>
      <c r="AP43" s="96"/>
      <c r="AQ43" s="97">
        <f t="shared" si="44"/>
        <v>1181.46</v>
      </c>
      <c r="AR43" s="98">
        <f t="shared" si="45"/>
        <v>123.09</v>
      </c>
      <c r="AS43" s="98">
        <f t="shared" si="46"/>
        <v>439.40000000000009</v>
      </c>
      <c r="AT43" s="98">
        <f t="shared" si="47"/>
        <v>58</v>
      </c>
      <c r="AU43" s="98">
        <f t="shared" si="48"/>
        <v>4000</v>
      </c>
      <c r="AV43" s="98">
        <f t="array" ref="AV43">_xlfn.IFS(U43=0,AO43,U43&lt;0,AO43/-U43,U43&gt;0,AO43/U43)</f>
        <v>-3510.3185848158055</v>
      </c>
      <c r="AW43" s="234">
        <f t="shared" si="49"/>
        <v>-2.9711700648484123</v>
      </c>
      <c r="AX43" s="234">
        <f t="shared" si="50"/>
        <v>-28.518308431357585</v>
      </c>
      <c r="AY43" s="99"/>
      <c r="AZ43" s="94">
        <f t="shared" si="51"/>
        <v>-172005.61065597448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0"/>
        <v>1799</v>
      </c>
      <c r="F44" s="93">
        <v>8</v>
      </c>
      <c r="G44" s="93">
        <v>3</v>
      </c>
      <c r="H44" s="93">
        <v>207</v>
      </c>
      <c r="I44" s="93">
        <v>0</v>
      </c>
      <c r="J44" s="93">
        <v>1581</v>
      </c>
      <c r="K44" s="92">
        <v>111.39</v>
      </c>
      <c r="L44" s="92">
        <f t="shared" si="41"/>
        <v>200390.61000000002</v>
      </c>
      <c r="M44" s="89">
        <v>501</v>
      </c>
      <c r="N44" s="89">
        <v>13</v>
      </c>
      <c r="O44" s="89">
        <v>1096</v>
      </c>
      <c r="P44" s="89">
        <v>50</v>
      </c>
      <c r="Q44" s="233">
        <f t="shared" si="16"/>
        <v>1.8571428571428572</v>
      </c>
      <c r="R44" s="92">
        <f t="shared" si="17"/>
        <v>0.2857142857142857</v>
      </c>
      <c r="S44" s="93">
        <v>2</v>
      </c>
      <c r="T44" s="93">
        <v>0</v>
      </c>
      <c r="U44" s="92">
        <f t="shared" si="18"/>
        <v>2</v>
      </c>
      <c r="V44" s="93">
        <v>1383</v>
      </c>
      <c r="W44" s="93">
        <v>0</v>
      </c>
      <c r="X44" s="92">
        <f t="shared" si="19"/>
        <v>1383</v>
      </c>
      <c r="Y44" s="93">
        <v>2200</v>
      </c>
      <c r="Z44" s="93">
        <v>0</v>
      </c>
      <c r="AA44" s="92">
        <f t="shared" si="20"/>
        <v>2200</v>
      </c>
      <c r="AB44" s="92">
        <f t="shared" si="21"/>
        <v>7124</v>
      </c>
      <c r="AC44" s="234">
        <f t="shared" si="22"/>
        <v>1.6510468627738107E-3</v>
      </c>
      <c r="AD44" s="92">
        <f t="shared" si="23"/>
        <v>222.78</v>
      </c>
      <c r="AE44" s="93">
        <v>820.44999999999982</v>
      </c>
      <c r="AF44" s="234">
        <f t="shared" si="24"/>
        <v>0.37293181818181809</v>
      </c>
      <c r="AG44" s="93">
        <v>542.20000000000005</v>
      </c>
      <c r="AH44" s="93">
        <v>29</v>
      </c>
      <c r="AI44" s="93">
        <v>1000</v>
      </c>
      <c r="AJ44" s="93">
        <v>3527</v>
      </c>
      <c r="AK44" s="93"/>
      <c r="AL44" s="122">
        <f t="shared" si="25"/>
        <v>145.72792856526615</v>
      </c>
      <c r="AM44" s="93">
        <v>0</v>
      </c>
      <c r="AN44" s="94">
        <f t="shared" si="42"/>
        <v>78.969300000000004</v>
      </c>
      <c r="AO44" s="95">
        <f t="shared" si="43"/>
        <v>-639.12722856526602</v>
      </c>
      <c r="AP44" s="96"/>
      <c r="AQ44" s="97">
        <f t="shared" si="44"/>
        <v>1100</v>
      </c>
      <c r="AR44" s="98">
        <f t="shared" si="45"/>
        <v>111.39</v>
      </c>
      <c r="AS44" s="98">
        <f t="shared" si="46"/>
        <v>410.22499999999991</v>
      </c>
      <c r="AT44" s="98">
        <f t="shared" si="47"/>
        <v>271.10000000000002</v>
      </c>
      <c r="AU44" s="98">
        <f t="shared" si="48"/>
        <v>2278</v>
      </c>
      <c r="AV44" s="98">
        <f t="array" ref="AV44">_xlfn.IFS(U44=0,AO44,U44&lt;0,AO44/-U44,U44&gt;0,AO44/U44)</f>
        <v>-319.56361428263301</v>
      </c>
      <c r="AW44" s="234">
        <f t="shared" si="49"/>
        <v>-0.29051237662057544</v>
      </c>
      <c r="AX44" s="234">
        <f t="shared" si="50"/>
        <v>-2.8688716606754019</v>
      </c>
      <c r="AY44" s="99"/>
      <c r="AZ44" s="94">
        <f t="shared" si="51"/>
        <v>-574894.94209445675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0"/>
        <v>493</v>
      </c>
      <c r="F45" s="93">
        <v>18</v>
      </c>
      <c r="G45" s="93">
        <v>4</v>
      </c>
      <c r="H45" s="93">
        <v>266</v>
      </c>
      <c r="I45" s="93">
        <v>0</v>
      </c>
      <c r="J45" s="93">
        <v>205</v>
      </c>
      <c r="K45" s="92">
        <v>107.88</v>
      </c>
      <c r="L45" s="92">
        <f t="shared" si="41"/>
        <v>53184.84</v>
      </c>
      <c r="M45" s="89">
        <v>198</v>
      </c>
      <c r="N45" s="89">
        <v>32</v>
      </c>
      <c r="O45" s="89">
        <v>1058</v>
      </c>
      <c r="P45" s="89">
        <v>69</v>
      </c>
      <c r="Q45" s="233">
        <f t="shared" si="16"/>
        <v>4.5714285714285712</v>
      </c>
      <c r="R45" s="92">
        <f t="shared" si="17"/>
        <v>2.1428571428571428</v>
      </c>
      <c r="S45" s="93">
        <v>16</v>
      </c>
      <c r="T45" s="93">
        <v>-1</v>
      </c>
      <c r="U45" s="92">
        <f t="shared" si="18"/>
        <v>15</v>
      </c>
      <c r="V45" s="93">
        <v>11211.19</v>
      </c>
      <c r="W45" s="93">
        <v>-612</v>
      </c>
      <c r="X45" s="92">
        <f t="shared" si="19"/>
        <v>10599.19</v>
      </c>
      <c r="Y45" s="93">
        <v>16673.030000000002</v>
      </c>
      <c r="Z45" s="93">
        <v>-1019</v>
      </c>
      <c r="AA45" s="92">
        <f t="shared" si="20"/>
        <v>15654.030000000002</v>
      </c>
      <c r="AB45" s="92">
        <f t="shared" si="21"/>
        <v>23360.639999999999</v>
      </c>
      <c r="AC45" s="234">
        <f t="shared" si="22"/>
        <v>1.1747971418757781E-2</v>
      </c>
      <c r="AD45" s="92">
        <f t="shared" si="23"/>
        <v>1618.1999999999998</v>
      </c>
      <c r="AE45" s="93">
        <v>5840.850000000004</v>
      </c>
      <c r="AF45" s="234">
        <f t="shared" si="24"/>
        <v>0.37312117071450629</v>
      </c>
      <c r="AG45" s="93">
        <v>1942</v>
      </c>
      <c r="AH45" s="93">
        <v>2000</v>
      </c>
      <c r="AI45" s="93"/>
      <c r="AJ45" s="93"/>
      <c r="AK45" s="93"/>
      <c r="AL45" s="122">
        <f t="shared" si="25"/>
        <v>187.26390820464152</v>
      </c>
      <c r="AM45" s="93">
        <v>0</v>
      </c>
      <c r="AN45" s="94">
        <f t="shared" si="42"/>
        <v>605.21374900000001</v>
      </c>
      <c r="AO45" s="95">
        <f t="shared" si="43"/>
        <v>3460.5023427953561</v>
      </c>
      <c r="AP45" s="96"/>
      <c r="AQ45" s="97">
        <f t="shared" si="44"/>
        <v>1043.6020000000001</v>
      </c>
      <c r="AR45" s="98">
        <f t="shared" si="45"/>
        <v>107.88</v>
      </c>
      <c r="AS45" s="98">
        <f t="shared" si="46"/>
        <v>389.39000000000027</v>
      </c>
      <c r="AT45" s="98">
        <f t="shared" si="47"/>
        <v>121.375</v>
      </c>
      <c r="AU45" s="98">
        <f t="shared" si="48"/>
        <v>125</v>
      </c>
      <c r="AV45" s="98">
        <f t="array" ref="AV45">_xlfn.IFS(U45=0,AO45,U45&lt;0,AO45/-U45,U45&gt;0,AO45/U45)</f>
        <v>230.70015618635708</v>
      </c>
      <c r="AW45" s="234">
        <f t="shared" si="49"/>
        <v>0.2210614354767019</v>
      </c>
      <c r="AX45" s="234">
        <f t="shared" si="50"/>
        <v>2.1384886557875147</v>
      </c>
      <c r="AY45" s="99"/>
      <c r="AZ45" s="94">
        <f t="shared" si="51"/>
        <v>113735.17699987403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0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1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v>0</v>
      </c>
      <c r="T46" s="93">
        <v>0</v>
      </c>
      <c r="U46" s="92">
        <f t="shared" si="18"/>
        <v>0</v>
      </c>
      <c r="V46" s="93">
        <v>0</v>
      </c>
      <c r="W46" s="93">
        <v>0</v>
      </c>
      <c r="X46" s="92">
        <f t="shared" si="19"/>
        <v>0</v>
      </c>
      <c r="Y46" s="93">
        <v>0</v>
      </c>
      <c r="Z46" s="93">
        <v>0</v>
      </c>
      <c r="AA46" s="92">
        <f t="shared" si="20"/>
        <v>0</v>
      </c>
      <c r="AB46" s="92">
        <f t="shared" si="21"/>
        <v>0</v>
      </c>
      <c r="AC46" s="234">
        <f t="shared" si="22"/>
        <v>0</v>
      </c>
      <c r="AD46" s="92">
        <f t="shared" si="23"/>
        <v>0</v>
      </c>
      <c r="AE46" s="93">
        <v>0</v>
      </c>
      <c r="AF46" s="234">
        <f t="shared" si="24"/>
        <v>0</v>
      </c>
      <c r="AG46" s="93">
        <v>0</v>
      </c>
      <c r="AH46" s="93"/>
      <c r="AI46" s="93"/>
      <c r="AJ46" s="93"/>
      <c r="AK46" s="93"/>
      <c r="AL46" s="122">
        <f t="shared" si="25"/>
        <v>0</v>
      </c>
      <c r="AM46" s="93">
        <v>0</v>
      </c>
      <c r="AN46" s="94">
        <f t="shared" si="42"/>
        <v>0</v>
      </c>
      <c r="AO46" s="95">
        <f t="shared" si="43"/>
        <v>0</v>
      </c>
      <c r="AP46" s="96"/>
      <c r="AQ46" s="97">
        <f t="shared" si="44"/>
        <v>0</v>
      </c>
      <c r="AR46" s="98">
        <f t="shared" si="45"/>
        <v>107.88</v>
      </c>
      <c r="AS46" s="98">
        <f t="shared" si="46"/>
        <v>0</v>
      </c>
      <c r="AT46" s="98">
        <f t="shared" si="47"/>
        <v>0</v>
      </c>
      <c r="AU46" s="98">
        <f t="shared" si="48"/>
        <v>0</v>
      </c>
      <c r="AV46" s="98">
        <f t="array" ref="AV46">_xlfn.IFS(U46=0,AO46,U46&lt;0,AO46/-U46,U46&gt;0,AO46/U46)</f>
        <v>0</v>
      </c>
      <c r="AW46" s="234">
        <f t="shared" si="49"/>
        <v>0</v>
      </c>
      <c r="AX46" s="234">
        <f t="shared" si="50"/>
        <v>0</v>
      </c>
      <c r="AY46" s="99"/>
      <c r="AZ46" s="94">
        <f t="shared" si="51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0"/>
        <v>390</v>
      </c>
      <c r="F47" s="93" t="s">
        <v>100</v>
      </c>
      <c r="G47" s="93">
        <v>3</v>
      </c>
      <c r="H47" s="93">
        <v>157</v>
      </c>
      <c r="I47" s="93">
        <v>0</v>
      </c>
      <c r="J47" s="93">
        <v>230</v>
      </c>
      <c r="K47" s="92">
        <v>123.09</v>
      </c>
      <c r="L47" s="92">
        <f t="shared" si="41"/>
        <v>48005.1</v>
      </c>
      <c r="M47" s="89">
        <v>381</v>
      </c>
      <c r="N47" s="89">
        <v>7</v>
      </c>
      <c r="O47" s="89">
        <v>1013</v>
      </c>
      <c r="P47" s="89">
        <v>71</v>
      </c>
      <c r="Q47" s="233">
        <f t="shared" si="16"/>
        <v>1</v>
      </c>
      <c r="R47" s="92">
        <f t="shared" si="17"/>
        <v>1.1428571428571428</v>
      </c>
      <c r="S47" s="93">
        <v>8</v>
      </c>
      <c r="T47" s="93">
        <v>0</v>
      </c>
      <c r="U47" s="92">
        <f t="shared" si="18"/>
        <v>8</v>
      </c>
      <c r="V47" s="93">
        <v>5251.85</v>
      </c>
      <c r="W47" s="93">
        <v>0</v>
      </c>
      <c r="X47" s="92">
        <f t="shared" si="19"/>
        <v>5251.85</v>
      </c>
      <c r="Y47" s="93">
        <v>7974.14</v>
      </c>
      <c r="Z47" s="93">
        <v>0</v>
      </c>
      <c r="AA47" s="92">
        <f t="shared" si="20"/>
        <v>7974.14</v>
      </c>
      <c r="AB47" s="92">
        <f t="shared" si="21"/>
        <v>5034.6099999999997</v>
      </c>
      <c r="AC47" s="234">
        <f t="shared" si="22"/>
        <v>5.984399468326889E-3</v>
      </c>
      <c r="AD47" s="92">
        <f t="shared" si="23"/>
        <v>984.72</v>
      </c>
      <c r="AE47" s="93">
        <v>2955.4900000000007</v>
      </c>
      <c r="AF47" s="234">
        <f t="shared" si="24"/>
        <v>0.37063432545703995</v>
      </c>
      <c r="AG47" s="93">
        <v>790.15</v>
      </c>
      <c r="AH47" s="93"/>
      <c r="AI47" s="93"/>
      <c r="AJ47" s="93"/>
      <c r="AK47" s="93"/>
      <c r="AL47" s="122">
        <f t="shared" si="25"/>
        <v>110.5279458200328</v>
      </c>
      <c r="AM47" s="93">
        <v>0</v>
      </c>
      <c r="AN47" s="94">
        <f t="shared" si="42"/>
        <v>299.88063499999998</v>
      </c>
      <c r="AO47" s="95">
        <f t="shared" si="43"/>
        <v>2833.3714191799663</v>
      </c>
      <c r="AP47" s="96"/>
      <c r="AQ47" s="97">
        <f t="shared" si="44"/>
        <v>996.76750000000004</v>
      </c>
      <c r="AR47" s="98">
        <f t="shared" si="45"/>
        <v>123.09</v>
      </c>
      <c r="AS47" s="98">
        <f t="shared" si="46"/>
        <v>369.43625000000009</v>
      </c>
      <c r="AT47" s="98">
        <f t="shared" si="47"/>
        <v>98.768749999999997</v>
      </c>
      <c r="AU47" s="98">
        <f t="shared" si="48"/>
        <v>0</v>
      </c>
      <c r="AV47" s="98">
        <f t="array" ref="AV47">_xlfn.IFS(U47=0,AO47,U47&lt;0,AO47/-U47,U47&gt;0,AO47/U47)</f>
        <v>354.17142739749579</v>
      </c>
      <c r="AW47" s="234">
        <f t="shared" si="49"/>
        <v>0.35531999929521757</v>
      </c>
      <c r="AX47" s="234">
        <f t="shared" si="50"/>
        <v>2.8773371305345341</v>
      </c>
      <c r="AY47" s="99"/>
      <c r="AZ47" s="94">
        <f t="shared" si="51"/>
        <v>138126.85668502335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0"/>
        <v>404</v>
      </c>
      <c r="F48" s="93">
        <v>24</v>
      </c>
      <c r="G48" s="93">
        <v>6</v>
      </c>
      <c r="H48" s="93">
        <v>363</v>
      </c>
      <c r="I48" s="93">
        <v>0</v>
      </c>
      <c r="J48" s="93">
        <v>11</v>
      </c>
      <c r="K48" s="92">
        <v>107.88</v>
      </c>
      <c r="L48" s="92">
        <f t="shared" si="41"/>
        <v>43583.519999999997</v>
      </c>
      <c r="M48" s="89">
        <v>214</v>
      </c>
      <c r="N48" s="89">
        <v>36</v>
      </c>
      <c r="O48" s="89">
        <v>1142</v>
      </c>
      <c r="P48" s="89">
        <v>62</v>
      </c>
      <c r="Q48" s="233">
        <f t="shared" si="16"/>
        <v>5.1428571428571432</v>
      </c>
      <c r="R48" s="92">
        <f t="shared" si="17"/>
        <v>2</v>
      </c>
      <c r="S48" s="93">
        <v>14</v>
      </c>
      <c r="T48" s="93">
        <v>0</v>
      </c>
      <c r="U48" s="92">
        <f t="shared" si="18"/>
        <v>14</v>
      </c>
      <c r="V48" s="93">
        <v>9924.1299999999992</v>
      </c>
      <c r="W48" s="93">
        <v>0</v>
      </c>
      <c r="X48" s="92">
        <f t="shared" si="19"/>
        <v>9924.1299999999992</v>
      </c>
      <c r="Y48" s="93">
        <v>15584.5</v>
      </c>
      <c r="Z48" s="93">
        <v>0</v>
      </c>
      <c r="AA48" s="92">
        <f t="shared" si="20"/>
        <v>15584.5</v>
      </c>
      <c r="AB48" s="92">
        <f t="shared" si="21"/>
        <v>25489.439999999999</v>
      </c>
      <c r="AC48" s="234">
        <f t="shared" si="22"/>
        <v>1.169579083313566E-2</v>
      </c>
      <c r="AD48" s="92">
        <f t="shared" si="23"/>
        <v>1510.32</v>
      </c>
      <c r="AE48" s="93">
        <v>5777.48</v>
      </c>
      <c r="AF48" s="234">
        <f t="shared" si="24"/>
        <v>0.37071962526869645</v>
      </c>
      <c r="AG48" s="93">
        <v>1641.8999999999996</v>
      </c>
      <c r="AH48" s="93">
        <v>958</v>
      </c>
      <c r="AI48" s="93">
        <v>3645</v>
      </c>
      <c r="AJ48" s="93"/>
      <c r="AK48" s="93"/>
      <c r="AL48" s="122">
        <f t="shared" si="25"/>
        <v>255.5518747303943</v>
      </c>
      <c r="AM48" s="93">
        <v>0</v>
      </c>
      <c r="AN48" s="94">
        <f t="shared" si="42"/>
        <v>566.66782299999988</v>
      </c>
      <c r="AO48" s="95">
        <f t="shared" si="43"/>
        <v>1229.5803022696068</v>
      </c>
      <c r="AP48" s="96"/>
      <c r="AQ48" s="97">
        <f t="shared" si="44"/>
        <v>1113.1785714285713</v>
      </c>
      <c r="AR48" s="98">
        <f t="shared" si="45"/>
        <v>107.88</v>
      </c>
      <c r="AS48" s="98">
        <f t="shared" si="46"/>
        <v>412.67714285714283</v>
      </c>
      <c r="AT48" s="98">
        <f t="shared" si="47"/>
        <v>117.2785714285714</v>
      </c>
      <c r="AU48" s="98">
        <f t="shared" si="48"/>
        <v>328.78571428571428</v>
      </c>
      <c r="AV48" s="98">
        <f t="array" ref="AV48">_xlfn.IFS(U48=0,AO48,U48&lt;0,AO48/-U48,U48&gt;0,AO48/U48)</f>
        <v>87.827164447829063</v>
      </c>
      <c r="AW48" s="234">
        <f t="shared" si="49"/>
        <v>7.8897642033405435E-2</v>
      </c>
      <c r="AX48" s="234">
        <f t="shared" si="50"/>
        <v>0.81411906236400688</v>
      </c>
      <c r="AY48" s="99"/>
      <c r="AZ48" s="94">
        <f t="shared" si="51"/>
        <v>35482.174436922942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0"/>
        <v>188</v>
      </c>
      <c r="F49" s="93">
        <v>30</v>
      </c>
      <c r="G49" s="93">
        <v>13</v>
      </c>
      <c r="H49" s="93">
        <v>143</v>
      </c>
      <c r="I49" s="93">
        <v>0</v>
      </c>
      <c r="J49" s="93">
        <v>2</v>
      </c>
      <c r="K49" s="92">
        <v>123.09</v>
      </c>
      <c r="L49" s="92">
        <f t="shared" si="41"/>
        <v>23140.920000000002</v>
      </c>
      <c r="M49" s="89">
        <v>74</v>
      </c>
      <c r="N49" s="89">
        <v>47</v>
      </c>
      <c r="O49" s="89">
        <v>1328</v>
      </c>
      <c r="P49" s="89">
        <v>45</v>
      </c>
      <c r="Q49" s="233">
        <f t="shared" si="16"/>
        <v>6.7142857142857144</v>
      </c>
      <c r="R49" s="92">
        <f t="shared" si="17"/>
        <v>2.5714285714285716</v>
      </c>
      <c r="S49" s="93">
        <v>18</v>
      </c>
      <c r="T49" s="93">
        <v>0</v>
      </c>
      <c r="U49" s="92">
        <f t="shared" si="18"/>
        <v>18</v>
      </c>
      <c r="V49" s="93">
        <v>15020.939999999999</v>
      </c>
      <c r="W49" s="93">
        <v>0</v>
      </c>
      <c r="X49" s="92">
        <f t="shared" si="19"/>
        <v>15020.939999999999</v>
      </c>
      <c r="Y49" s="93">
        <v>23357.980000000003</v>
      </c>
      <c r="Z49" s="93">
        <v>0</v>
      </c>
      <c r="AA49" s="92">
        <f t="shared" si="20"/>
        <v>23357.980000000003</v>
      </c>
      <c r="AB49" s="92">
        <f t="shared" si="21"/>
        <v>28087.200000000001</v>
      </c>
      <c r="AC49" s="234">
        <f t="shared" si="22"/>
        <v>1.7529599818060647E-2</v>
      </c>
      <c r="AD49" s="92">
        <f t="shared" si="23"/>
        <v>2215.62</v>
      </c>
      <c r="AE49" s="93">
        <v>8603.1800000000021</v>
      </c>
      <c r="AF49" s="234">
        <f t="shared" si="24"/>
        <v>0.36831866454205375</v>
      </c>
      <c r="AG49" s="93">
        <v>3636.820000000002</v>
      </c>
      <c r="AH49" s="93">
        <v>4000</v>
      </c>
      <c r="AI49" s="93">
        <v>3969</v>
      </c>
      <c r="AJ49" s="93"/>
      <c r="AK49" s="93"/>
      <c r="AL49" s="122">
        <f t="shared" si="25"/>
        <v>100.67195065136745</v>
      </c>
      <c r="AM49" s="93">
        <v>0</v>
      </c>
      <c r="AN49" s="94">
        <f t="shared" si="42"/>
        <v>857.69567399999994</v>
      </c>
      <c r="AO49" s="95">
        <f t="shared" si="43"/>
        <v>-25.007624651366768</v>
      </c>
      <c r="AP49" s="96"/>
      <c r="AQ49" s="97">
        <f t="shared" si="44"/>
        <v>1297.6655555555558</v>
      </c>
      <c r="AR49" s="98">
        <f t="shared" si="45"/>
        <v>123.09</v>
      </c>
      <c r="AS49" s="98">
        <f t="shared" si="46"/>
        <v>477.95444444444456</v>
      </c>
      <c r="AT49" s="98">
        <f t="shared" si="47"/>
        <v>202.04555555555567</v>
      </c>
      <c r="AU49" s="98">
        <f t="shared" si="48"/>
        <v>442.72222222222223</v>
      </c>
      <c r="AV49" s="98">
        <f t="array" ref="AV49">_xlfn.IFS(U49=0,AO49,U49&lt;0,AO49/-U49,U49&gt;0,AO49/U49)</f>
        <v>-1.3893124806314872</v>
      </c>
      <c r="AW49" s="234">
        <f t="shared" si="49"/>
        <v>-1.0706244568822632E-3</v>
      </c>
      <c r="AX49" s="234">
        <f t="shared" si="50"/>
        <v>-1.1286964665135162E-2</v>
      </c>
      <c r="AY49" s="99"/>
      <c r="AZ49" s="94">
        <f t="shared" si="51"/>
        <v>-261.19074635871959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0"/>
        <v>226</v>
      </c>
      <c r="F50" s="93">
        <v>16</v>
      </c>
      <c r="G50" s="93">
        <v>9</v>
      </c>
      <c r="H50" s="93">
        <v>200</v>
      </c>
      <c r="I50" s="93">
        <v>0</v>
      </c>
      <c r="J50" s="93">
        <v>1</v>
      </c>
      <c r="K50" s="92">
        <v>134.79</v>
      </c>
      <c r="L50" s="92">
        <f t="shared" si="41"/>
        <v>30462.539999999997</v>
      </c>
      <c r="M50" s="89">
        <v>132</v>
      </c>
      <c r="N50" s="89">
        <v>27</v>
      </c>
      <c r="O50" s="89">
        <v>1205</v>
      </c>
      <c r="P50" s="89">
        <v>36</v>
      </c>
      <c r="Q50" s="233">
        <f t="shared" si="16"/>
        <v>3.8571428571428572</v>
      </c>
      <c r="R50" s="92">
        <f t="shared" si="17"/>
        <v>1.2857142857142858</v>
      </c>
      <c r="S50" s="93">
        <v>10</v>
      </c>
      <c r="T50" s="93">
        <v>-1</v>
      </c>
      <c r="U50" s="92">
        <f t="shared" si="18"/>
        <v>9</v>
      </c>
      <c r="V50" s="93">
        <v>7662.0599999999995</v>
      </c>
      <c r="W50" s="93">
        <v>-768</v>
      </c>
      <c r="X50" s="92">
        <f t="shared" si="19"/>
        <v>6894.0599999999995</v>
      </c>
      <c r="Y50" s="93">
        <v>11698.35</v>
      </c>
      <c r="Z50" s="93">
        <v>-1195</v>
      </c>
      <c r="AA50" s="92">
        <f t="shared" si="20"/>
        <v>10503.35</v>
      </c>
      <c r="AB50" s="92">
        <f t="shared" si="21"/>
        <v>11712.6</v>
      </c>
      <c r="AC50" s="234">
        <f t="shared" si="22"/>
        <v>7.8825104845978659E-3</v>
      </c>
      <c r="AD50" s="92">
        <f t="shared" si="23"/>
        <v>1213.1099999999999</v>
      </c>
      <c r="AE50" s="93">
        <v>3911.2999999999988</v>
      </c>
      <c r="AF50" s="234">
        <f t="shared" si="24"/>
        <v>0.37238595305307343</v>
      </c>
      <c r="AG50" s="93">
        <v>1822.7600000000004</v>
      </c>
      <c r="AH50" s="93">
        <v>4500</v>
      </c>
      <c r="AI50" s="93">
        <v>3709</v>
      </c>
      <c r="AJ50" s="93"/>
      <c r="AK50" s="93"/>
      <c r="AL50" s="122">
        <f t="shared" si="25"/>
        <v>140.79993098093348</v>
      </c>
      <c r="AM50" s="93">
        <v>0</v>
      </c>
      <c r="AN50" s="94">
        <f t="shared" si="42"/>
        <v>393.65082599999994</v>
      </c>
      <c r="AO50" s="95">
        <f t="shared" si="43"/>
        <v>-5187.2707569809336</v>
      </c>
      <c r="AP50" s="96"/>
      <c r="AQ50" s="97">
        <f t="shared" si="44"/>
        <v>1167.038888888889</v>
      </c>
      <c r="AR50" s="98">
        <f t="shared" si="45"/>
        <v>134.79</v>
      </c>
      <c r="AS50" s="98">
        <f t="shared" si="46"/>
        <v>434.58888888888873</v>
      </c>
      <c r="AT50" s="98">
        <f t="shared" si="47"/>
        <v>182.27600000000004</v>
      </c>
      <c r="AU50" s="98">
        <f t="shared" si="48"/>
        <v>820.9</v>
      </c>
      <c r="AV50" s="98">
        <f t="array" ref="AV50">_xlfn.IFS(U50=0,AO50,U50&lt;0,AO50/-U50,U50&gt;0,AO50/U50)</f>
        <v>-576.36341744232595</v>
      </c>
      <c r="AW50" s="234">
        <f t="shared" si="49"/>
        <v>-0.49386821889977323</v>
      </c>
      <c r="AX50" s="234">
        <f t="shared" si="50"/>
        <v>-4.2760102191729805</v>
      </c>
      <c r="AY50" s="99"/>
      <c r="AZ50" s="94">
        <f t="shared" si="51"/>
        <v>-130258.13234196567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0"/>
        <v>17</v>
      </c>
      <c r="F51" s="93">
        <v>12</v>
      </c>
      <c r="G51" s="93">
        <v>4</v>
      </c>
      <c r="H51" s="93" t="s">
        <v>100</v>
      </c>
      <c r="I51" s="93">
        <v>0</v>
      </c>
      <c r="J51" s="93">
        <v>1</v>
      </c>
      <c r="K51" s="92">
        <v>144.15</v>
      </c>
      <c r="L51" s="92">
        <f t="shared" si="41"/>
        <v>2450.5500000000002</v>
      </c>
      <c r="M51" s="89">
        <v>14</v>
      </c>
      <c r="N51" s="89">
        <v>10</v>
      </c>
      <c r="O51" s="89">
        <v>1119</v>
      </c>
      <c r="P51" s="89">
        <v>33</v>
      </c>
      <c r="Q51" s="233">
        <f t="shared" si="16"/>
        <v>1.4285714285714286</v>
      </c>
      <c r="R51" s="92">
        <f t="shared" si="17"/>
        <v>0.5714285714285714</v>
      </c>
      <c r="S51" s="93">
        <v>5</v>
      </c>
      <c r="T51" s="93">
        <v>-1</v>
      </c>
      <c r="U51" s="92">
        <f t="shared" si="18"/>
        <v>4</v>
      </c>
      <c r="V51" s="93">
        <v>3510</v>
      </c>
      <c r="W51" s="93">
        <v>-752</v>
      </c>
      <c r="X51" s="92">
        <f t="shared" si="19"/>
        <v>2758</v>
      </c>
      <c r="Y51" s="93">
        <v>5561.43</v>
      </c>
      <c r="Z51" s="93">
        <v>-1199</v>
      </c>
      <c r="AA51" s="92">
        <f t="shared" si="20"/>
        <v>4362.43</v>
      </c>
      <c r="AB51" s="92">
        <f t="shared" si="21"/>
        <v>3692.7</v>
      </c>
      <c r="AC51" s="234">
        <f t="shared" si="22"/>
        <v>3.2738983479865254E-3</v>
      </c>
      <c r="AD51" s="92">
        <f t="shared" si="23"/>
        <v>576.6</v>
      </c>
      <c r="AE51" s="93">
        <v>1627.2000000000003</v>
      </c>
      <c r="AF51" s="234">
        <f t="shared" si="24"/>
        <v>0.37300311982083384</v>
      </c>
      <c r="AG51" s="93">
        <v>1828.85</v>
      </c>
      <c r="AH51" s="93">
        <v>226</v>
      </c>
      <c r="AI51" s="93">
        <v>1506</v>
      </c>
      <c r="AJ51" s="93"/>
      <c r="AK51" s="93"/>
      <c r="AL51" s="122">
        <f t="shared" si="25"/>
        <v>0</v>
      </c>
      <c r="AM51" s="93">
        <v>0</v>
      </c>
      <c r="AN51" s="94">
        <f t="shared" si="42"/>
        <v>157.48179999999999</v>
      </c>
      <c r="AO51" s="95">
        <f t="shared" si="43"/>
        <v>-1559.7017999999998</v>
      </c>
      <c r="AP51" s="96"/>
      <c r="AQ51" s="97">
        <f t="shared" si="44"/>
        <v>1090.6075000000001</v>
      </c>
      <c r="AR51" s="98">
        <f t="shared" si="45"/>
        <v>144.15</v>
      </c>
      <c r="AS51" s="98">
        <f t="shared" si="46"/>
        <v>406.80000000000007</v>
      </c>
      <c r="AT51" s="98">
        <f t="shared" si="47"/>
        <v>365.77</v>
      </c>
      <c r="AU51" s="98">
        <f t="shared" si="48"/>
        <v>346.4</v>
      </c>
      <c r="AV51" s="98">
        <f t="array" ref="AV51">_xlfn.IFS(U51=0,AO51,U51&lt;0,AO51/-U51,U51&gt;0,AO51/U51)</f>
        <v>-389.92544999999996</v>
      </c>
      <c r="AW51" s="234">
        <f t="shared" si="49"/>
        <v>-0.35753050478746928</v>
      </c>
      <c r="AX51" s="234">
        <f t="shared" si="50"/>
        <v>-2.7049979188345468</v>
      </c>
      <c r="AY51" s="99"/>
      <c r="AZ51" s="94">
        <f t="shared" si="51"/>
        <v>-6628.732649999999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0"/>
        <v>51</v>
      </c>
      <c r="F52" s="93">
        <v>1</v>
      </c>
      <c r="G52" s="93" t="s">
        <v>100</v>
      </c>
      <c r="H52" s="93">
        <v>49</v>
      </c>
      <c r="I52" s="93">
        <v>0</v>
      </c>
      <c r="J52" s="93">
        <v>1</v>
      </c>
      <c r="K52" s="92">
        <v>96.18</v>
      </c>
      <c r="L52" s="92">
        <f t="shared" si="41"/>
        <v>4905.18</v>
      </c>
      <c r="M52" s="89">
        <v>999</v>
      </c>
      <c r="N52" s="89">
        <v>1</v>
      </c>
      <c r="O52" s="89">
        <v>1106</v>
      </c>
      <c r="P52" s="89">
        <v>0</v>
      </c>
      <c r="Q52" s="233">
        <f t="shared" si="16"/>
        <v>0.14285714285714285</v>
      </c>
      <c r="R52" s="92">
        <f t="shared" si="17"/>
        <v>0</v>
      </c>
      <c r="S52" s="93">
        <v>0</v>
      </c>
      <c r="T52" s="93">
        <v>0</v>
      </c>
      <c r="U52" s="92">
        <f t="shared" si="18"/>
        <v>0</v>
      </c>
      <c r="V52" s="93">
        <v>0</v>
      </c>
      <c r="W52" s="93">
        <v>0</v>
      </c>
      <c r="X52" s="92">
        <f t="shared" si="19"/>
        <v>0</v>
      </c>
      <c r="Y52" s="93">
        <v>0</v>
      </c>
      <c r="Z52" s="93">
        <v>0</v>
      </c>
      <c r="AA52" s="92">
        <f t="shared" si="20"/>
        <v>0</v>
      </c>
      <c r="AB52" s="92">
        <f t="shared" si="21"/>
        <v>0</v>
      </c>
      <c r="AC52" s="234">
        <f t="shared" si="22"/>
        <v>0</v>
      </c>
      <c r="AD52" s="92">
        <f t="shared" si="23"/>
        <v>0</v>
      </c>
      <c r="AE52" s="93">
        <v>0</v>
      </c>
      <c r="AF52" s="234">
        <f t="shared" si="24"/>
        <v>0</v>
      </c>
      <c r="AG52" s="93">
        <v>0</v>
      </c>
      <c r="AH52" s="93"/>
      <c r="AI52" s="93"/>
      <c r="AJ52" s="93"/>
      <c r="AK52" s="93"/>
      <c r="AL52" s="122">
        <f t="shared" si="25"/>
        <v>34.495983090328707</v>
      </c>
      <c r="AM52" s="93">
        <v>0</v>
      </c>
      <c r="AN52" s="94">
        <f t="shared" si="42"/>
        <v>0</v>
      </c>
      <c r="AO52" s="95">
        <f t="shared" si="43"/>
        <v>-34.495983090328707</v>
      </c>
      <c r="AP52" s="96"/>
      <c r="AQ52" s="97">
        <f t="shared" si="44"/>
        <v>0</v>
      </c>
      <c r="AR52" s="98">
        <f t="shared" si="45"/>
        <v>96.18</v>
      </c>
      <c r="AS52" s="98">
        <f t="shared" si="46"/>
        <v>0</v>
      </c>
      <c r="AT52" s="98">
        <f t="shared" si="47"/>
        <v>0</v>
      </c>
      <c r="AU52" s="98">
        <f t="shared" si="48"/>
        <v>0</v>
      </c>
      <c r="AV52" s="98">
        <f t="array" ref="AV52">_xlfn.IFS(U52=0,AO52,U52&lt;0,AO52/-U52,U52&gt;0,AO52/U52)</f>
        <v>-34.495983090328707</v>
      </c>
      <c r="AW52" s="234">
        <f t="shared" si="49"/>
        <v>0</v>
      </c>
      <c r="AX52" s="234">
        <f t="shared" si="50"/>
        <v>-0.35866066843760352</v>
      </c>
      <c r="AY52" s="99"/>
      <c r="AZ52" s="94">
        <f t="shared" si="51"/>
        <v>-1759.295137606764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0"/>
        <v>50</v>
      </c>
      <c r="F53" s="93">
        <v>2</v>
      </c>
      <c r="G53" s="93">
        <v>1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1"/>
        <v>4809</v>
      </c>
      <c r="M53" s="89">
        <v>724</v>
      </c>
      <c r="N53" s="89">
        <v>3</v>
      </c>
      <c r="O53" s="89">
        <v>1106</v>
      </c>
      <c r="P53" s="89">
        <v>0</v>
      </c>
      <c r="Q53" s="233">
        <f t="shared" si="16"/>
        <v>0.42857142857142855</v>
      </c>
      <c r="R53" s="92">
        <f t="shared" si="17"/>
        <v>0</v>
      </c>
      <c r="S53" s="93">
        <v>0</v>
      </c>
      <c r="T53" s="93">
        <v>0</v>
      </c>
      <c r="U53" s="92">
        <f t="shared" si="18"/>
        <v>0</v>
      </c>
      <c r="V53" s="93">
        <v>0</v>
      </c>
      <c r="W53" s="93">
        <v>0</v>
      </c>
      <c r="X53" s="92">
        <f t="shared" si="19"/>
        <v>0</v>
      </c>
      <c r="Y53" s="93">
        <v>0</v>
      </c>
      <c r="Z53" s="93">
        <v>0</v>
      </c>
      <c r="AA53" s="92">
        <f t="shared" si="20"/>
        <v>0</v>
      </c>
      <c r="AB53" s="92">
        <f t="shared" si="21"/>
        <v>0</v>
      </c>
      <c r="AC53" s="234">
        <f t="shared" si="22"/>
        <v>0</v>
      </c>
      <c r="AD53" s="92">
        <f t="shared" si="23"/>
        <v>0</v>
      </c>
      <c r="AE53" s="93">
        <v>0</v>
      </c>
      <c r="AF53" s="234">
        <f t="shared" si="24"/>
        <v>0</v>
      </c>
      <c r="AG53" s="93">
        <v>96.4</v>
      </c>
      <c r="AH53" s="93"/>
      <c r="AI53" s="93"/>
      <c r="AJ53" s="93"/>
      <c r="AK53" s="93"/>
      <c r="AL53" s="122">
        <f t="shared" si="25"/>
        <v>32.383984125614703</v>
      </c>
      <c r="AM53" s="93">
        <v>0</v>
      </c>
      <c r="AN53" s="94">
        <f t="shared" si="42"/>
        <v>0</v>
      </c>
      <c r="AO53" s="95">
        <f t="shared" si="43"/>
        <v>-128.78398412561472</v>
      </c>
      <c r="AP53" s="96"/>
      <c r="AQ53" s="97">
        <f t="shared" si="44"/>
        <v>0</v>
      </c>
      <c r="AR53" s="98">
        <f t="shared" si="45"/>
        <v>96.18</v>
      </c>
      <c r="AS53" s="98">
        <f t="shared" si="46"/>
        <v>0</v>
      </c>
      <c r="AT53" s="98">
        <f t="shared" si="47"/>
        <v>96.4</v>
      </c>
      <c r="AU53" s="98">
        <f t="shared" si="48"/>
        <v>0</v>
      </c>
      <c r="AV53" s="98">
        <f t="array" ref="AV53">_xlfn.IFS(U53=0,AO53,U53&lt;0,AO53/-U53,U53&gt;0,AO53/U53)</f>
        <v>-128.78398412561472</v>
      </c>
      <c r="AW53" s="234">
        <f t="shared" si="49"/>
        <v>0</v>
      </c>
      <c r="AX53" s="234">
        <f t="shared" si="50"/>
        <v>-1.3389892298358776</v>
      </c>
      <c r="AY53" s="99"/>
      <c r="AZ53" s="94">
        <f t="shared" si="51"/>
        <v>-6439.1992062807358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52">SUM(F54:J54)</f>
        <v>53</v>
      </c>
      <c r="F54" s="93" t="s">
        <v>100</v>
      </c>
      <c r="G54" s="93" t="s">
        <v>100</v>
      </c>
      <c r="H54" s="93">
        <v>52</v>
      </c>
      <c r="I54" s="93">
        <v>0</v>
      </c>
      <c r="J54" s="93">
        <v>1</v>
      </c>
      <c r="K54" s="93">
        <v>123.09</v>
      </c>
      <c r="L54" s="92">
        <f t="shared" si="41"/>
        <v>6523.77</v>
      </c>
      <c r="M54" s="89">
        <v>999</v>
      </c>
      <c r="N54" s="89">
        <v>0</v>
      </c>
      <c r="O54" s="89">
        <v>0</v>
      </c>
      <c r="P54" s="89">
        <v>0</v>
      </c>
      <c r="Q54" s="233">
        <f t="shared" si="16"/>
        <v>0</v>
      </c>
      <c r="R54" s="92">
        <f t="shared" si="17"/>
        <v>0.2857142857142857</v>
      </c>
      <c r="S54" s="93">
        <v>2</v>
      </c>
      <c r="T54" s="93">
        <v>0</v>
      </c>
      <c r="U54" s="92">
        <f t="shared" si="18"/>
        <v>2</v>
      </c>
      <c r="V54" s="93">
        <v>1299</v>
      </c>
      <c r="W54" s="93">
        <v>0</v>
      </c>
      <c r="X54" s="92">
        <f t="shared" si="19"/>
        <v>1299</v>
      </c>
      <c r="Y54" s="93">
        <v>1966.06</v>
      </c>
      <c r="Z54" s="93">
        <v>0</v>
      </c>
      <c r="AA54" s="92">
        <f t="shared" si="20"/>
        <v>1966.06</v>
      </c>
      <c r="AB54" s="92">
        <f t="shared" si="21"/>
        <v>0</v>
      </c>
      <c r="AC54" s="234">
        <f t="shared" si="22"/>
        <v>1.4754805431932173E-3</v>
      </c>
      <c r="AD54" s="92">
        <f t="shared" si="23"/>
        <v>246.18</v>
      </c>
      <c r="AE54" s="93">
        <v>735.25</v>
      </c>
      <c r="AF54" s="234">
        <f t="shared" si="24"/>
        <v>0.3739712928394861</v>
      </c>
      <c r="AG54" s="93">
        <v>199.35</v>
      </c>
      <c r="AH54" s="93"/>
      <c r="AI54" s="93"/>
      <c r="AJ54" s="93"/>
      <c r="AK54" s="93"/>
      <c r="AL54" s="122">
        <f t="shared" si="25"/>
        <v>36.607982055042704</v>
      </c>
      <c r="AM54" s="93">
        <v>0</v>
      </c>
      <c r="AN54" s="94">
        <f t="shared" si="42"/>
        <v>74.172899999999998</v>
      </c>
      <c r="AO54" s="95">
        <f t="shared" si="43"/>
        <v>674.49911794495711</v>
      </c>
      <c r="AP54" s="96"/>
      <c r="AQ54" s="97">
        <f t="shared" si="44"/>
        <v>983.03</v>
      </c>
      <c r="AR54" s="98">
        <f t="shared" si="45"/>
        <v>123.09</v>
      </c>
      <c r="AS54" s="98">
        <f t="shared" si="46"/>
        <v>367.625</v>
      </c>
      <c r="AT54" s="98">
        <f t="shared" si="47"/>
        <v>99.674999999999997</v>
      </c>
      <c r="AU54" s="98">
        <f t="shared" si="48"/>
        <v>0</v>
      </c>
      <c r="AV54" s="98">
        <f t="array" ref="AV54">_xlfn.IFS(U54=0,AO54,U54&lt;0,AO54/-U54,U54&gt;0,AO54/U54)</f>
        <v>337.24955897247855</v>
      </c>
      <c r="AW54" s="234">
        <f t="shared" si="49"/>
        <v>0.34307148202239868</v>
      </c>
      <c r="AX54" s="234">
        <f t="shared" si="50"/>
        <v>2.7398615563610247</v>
      </c>
      <c r="AY54" s="99"/>
      <c r="AZ54" s="94">
        <f t="shared" si="51"/>
        <v>17874.226625541363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52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1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6"/>
        <v>0</v>
      </c>
      <c r="R55" s="92">
        <f t="shared" si="17"/>
        <v>0</v>
      </c>
      <c r="S55" s="93">
        <v>0</v>
      </c>
      <c r="T55" s="93">
        <v>0</v>
      </c>
      <c r="U55" s="92">
        <f t="shared" si="18"/>
        <v>0</v>
      </c>
      <c r="V55" s="93">
        <v>0</v>
      </c>
      <c r="W55" s="93">
        <v>0</v>
      </c>
      <c r="X55" s="92">
        <f t="shared" si="19"/>
        <v>0</v>
      </c>
      <c r="Y55" s="93">
        <v>0</v>
      </c>
      <c r="Z55" s="93">
        <v>0</v>
      </c>
      <c r="AA55" s="92">
        <f t="shared" si="20"/>
        <v>0</v>
      </c>
      <c r="AB55" s="92">
        <f t="shared" si="21"/>
        <v>0</v>
      </c>
      <c r="AC55" s="234">
        <f t="shared" si="22"/>
        <v>0</v>
      </c>
      <c r="AD55" s="92">
        <f t="shared" si="23"/>
        <v>0</v>
      </c>
      <c r="AE55" s="93">
        <v>0</v>
      </c>
      <c r="AF55" s="234">
        <f t="shared" si="24"/>
        <v>0</v>
      </c>
      <c r="AG55" s="93">
        <v>0</v>
      </c>
      <c r="AH55" s="93"/>
      <c r="AI55" s="93"/>
      <c r="AJ55" s="93"/>
      <c r="AK55" s="93"/>
      <c r="AL55" s="122">
        <f t="shared" si="25"/>
        <v>0.70399965490466743</v>
      </c>
      <c r="AM55" s="93">
        <v>0</v>
      </c>
      <c r="AN55" s="94">
        <f t="shared" si="42"/>
        <v>0</v>
      </c>
      <c r="AO55" s="95">
        <f t="shared" si="43"/>
        <v>-0.70399965490466743</v>
      </c>
      <c r="AP55" s="96"/>
      <c r="AQ55" s="97">
        <f t="shared" si="44"/>
        <v>0</v>
      </c>
      <c r="AR55" s="98">
        <f t="shared" si="45"/>
        <v>158.19</v>
      </c>
      <c r="AS55" s="98">
        <f t="shared" si="46"/>
        <v>0</v>
      </c>
      <c r="AT55" s="98">
        <f t="shared" si="47"/>
        <v>0</v>
      </c>
      <c r="AU55" s="98">
        <f t="shared" si="48"/>
        <v>0</v>
      </c>
      <c r="AV55" s="98">
        <f t="array" ref="AV55">_xlfn.IFS(U55=0,AO55,U55&lt;0,AO55/-U55,U55&gt;0,AO55/U55)</f>
        <v>-0.70399965490466743</v>
      </c>
      <c r="AW55" s="234">
        <f t="shared" si="49"/>
        <v>0</v>
      </c>
      <c r="AX55" s="234">
        <f t="shared" si="50"/>
        <v>-4.4503423408854383E-3</v>
      </c>
      <c r="AY55" s="99"/>
      <c r="AZ55" s="94">
        <f t="shared" si="51"/>
        <v>-1.4079993098093349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52"/>
        <v>4</v>
      </c>
      <c r="F56" s="93" t="s">
        <v>100</v>
      </c>
      <c r="G56" s="93">
        <v>2</v>
      </c>
      <c r="H56" s="93">
        <v>1</v>
      </c>
      <c r="I56" s="93">
        <v>0</v>
      </c>
      <c r="J56" s="93">
        <v>1</v>
      </c>
      <c r="K56" s="93">
        <v>152.34</v>
      </c>
      <c r="L56" s="92">
        <f t="shared" si="41"/>
        <v>609.36</v>
      </c>
      <c r="M56" s="89">
        <v>999</v>
      </c>
      <c r="N56" s="89">
        <v>2</v>
      </c>
      <c r="O56" s="89">
        <v>1049</v>
      </c>
      <c r="P56" s="89">
        <v>0</v>
      </c>
      <c r="Q56" s="233">
        <f t="shared" si="16"/>
        <v>0.2857142857142857</v>
      </c>
      <c r="R56" s="92">
        <f t="shared" si="17"/>
        <v>0</v>
      </c>
      <c r="S56" s="93">
        <v>0</v>
      </c>
      <c r="T56" s="93">
        <v>0</v>
      </c>
      <c r="U56" s="92">
        <f t="shared" si="18"/>
        <v>0</v>
      </c>
      <c r="V56" s="93">
        <v>0</v>
      </c>
      <c r="W56" s="93">
        <v>0</v>
      </c>
      <c r="X56" s="92">
        <f t="shared" si="19"/>
        <v>0</v>
      </c>
      <c r="Y56" s="93">
        <v>0</v>
      </c>
      <c r="Z56" s="93">
        <v>0</v>
      </c>
      <c r="AA56" s="92">
        <f t="shared" si="20"/>
        <v>0</v>
      </c>
      <c r="AB56" s="92">
        <f t="shared" si="21"/>
        <v>0</v>
      </c>
      <c r="AC56" s="234">
        <f t="shared" si="22"/>
        <v>0</v>
      </c>
      <c r="AD56" s="92">
        <f t="shared" si="23"/>
        <v>0</v>
      </c>
      <c r="AE56" s="93">
        <v>0</v>
      </c>
      <c r="AF56" s="234">
        <f t="shared" si="24"/>
        <v>0</v>
      </c>
      <c r="AG56" s="93">
        <v>404.45</v>
      </c>
      <c r="AH56" s="93"/>
      <c r="AI56" s="93"/>
      <c r="AJ56" s="93"/>
      <c r="AK56" s="93"/>
      <c r="AL56" s="122">
        <f t="shared" si="25"/>
        <v>0.70399965490466743</v>
      </c>
      <c r="AM56" s="93">
        <v>0</v>
      </c>
      <c r="AN56" s="94">
        <f t="shared" si="42"/>
        <v>0</v>
      </c>
      <c r="AO56" s="95">
        <f t="shared" si="43"/>
        <v>-405.15399965490468</v>
      </c>
      <c r="AP56" s="96"/>
      <c r="AQ56" s="97">
        <f t="shared" si="44"/>
        <v>0</v>
      </c>
      <c r="AR56" s="98">
        <f t="shared" si="45"/>
        <v>152.34</v>
      </c>
      <c r="AS56" s="98">
        <f t="shared" si="46"/>
        <v>0</v>
      </c>
      <c r="AT56" s="98">
        <f t="shared" si="47"/>
        <v>404.45</v>
      </c>
      <c r="AU56" s="98">
        <f t="shared" si="48"/>
        <v>0</v>
      </c>
      <c r="AV56" s="98">
        <f t="array" ref="AV56">_xlfn.IFS(U56=0,AO56,U56&lt;0,AO56/-U56,U56&gt;0,AO56/U56)</f>
        <v>-405.15399965490468</v>
      </c>
      <c r="AW56" s="234">
        <f t="shared" si="49"/>
        <v>0</v>
      </c>
      <c r="AX56" s="234">
        <f t="shared" si="50"/>
        <v>-2.6595378735388255</v>
      </c>
      <c r="AY56" s="99"/>
      <c r="AZ56" s="94">
        <f t="shared" si="51"/>
        <v>-1620.6159986196187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52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1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v>0</v>
      </c>
      <c r="T57" s="93">
        <v>0</v>
      </c>
      <c r="U57" s="92">
        <f t="shared" si="18"/>
        <v>0</v>
      </c>
      <c r="V57" s="93">
        <v>0</v>
      </c>
      <c r="W57" s="93">
        <v>0</v>
      </c>
      <c r="X57" s="92">
        <f t="shared" si="19"/>
        <v>0</v>
      </c>
      <c r="Y57" s="93">
        <v>0</v>
      </c>
      <c r="Z57" s="93">
        <v>0</v>
      </c>
      <c r="AA57" s="92">
        <f t="shared" si="20"/>
        <v>0</v>
      </c>
      <c r="AB57" s="92">
        <f t="shared" si="21"/>
        <v>0</v>
      </c>
      <c r="AC57" s="234">
        <f t="shared" si="22"/>
        <v>0</v>
      </c>
      <c r="AD57" s="92">
        <f t="shared" si="23"/>
        <v>0</v>
      </c>
      <c r="AE57" s="93">
        <v>0</v>
      </c>
      <c r="AF57" s="234">
        <f t="shared" si="24"/>
        <v>0</v>
      </c>
      <c r="AG57" s="93">
        <v>0</v>
      </c>
      <c r="AH57" s="93"/>
      <c r="AI57" s="93"/>
      <c r="AJ57" s="93"/>
      <c r="AK57" s="93"/>
      <c r="AL57" s="122">
        <f t="shared" si="25"/>
        <v>0</v>
      </c>
      <c r="AM57" s="93">
        <v>0</v>
      </c>
      <c r="AN57" s="94">
        <f t="shared" si="42"/>
        <v>0</v>
      </c>
      <c r="AO57" s="95">
        <f t="shared" si="43"/>
        <v>0</v>
      </c>
      <c r="AP57" s="96"/>
      <c r="AQ57" s="97">
        <f t="shared" si="44"/>
        <v>0</v>
      </c>
      <c r="AR57" s="98">
        <f t="shared" si="45"/>
        <v>93.84</v>
      </c>
      <c r="AS57" s="98">
        <f t="shared" si="46"/>
        <v>0</v>
      </c>
      <c r="AT57" s="98">
        <f t="shared" si="47"/>
        <v>0</v>
      </c>
      <c r="AU57" s="98">
        <f t="shared" si="48"/>
        <v>0</v>
      </c>
      <c r="AV57" s="98">
        <f t="array" ref="AV57">_xlfn.IFS(U57=0,AO57,U57&lt;0,AO57/-U57,U57&gt;0,AO57/U57)</f>
        <v>0</v>
      </c>
      <c r="AW57" s="234">
        <f t="shared" si="49"/>
        <v>0</v>
      </c>
      <c r="AX57" s="234">
        <f t="shared" si="50"/>
        <v>0</v>
      </c>
      <c r="AY57" s="99"/>
      <c r="AZ57" s="94">
        <f t="shared" si="51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52"/>
        <v>47</v>
      </c>
      <c r="F58" s="93">
        <v>8</v>
      </c>
      <c r="G58" s="93">
        <v>1</v>
      </c>
      <c r="H58" s="93">
        <v>37</v>
      </c>
      <c r="I58" s="93">
        <v>0</v>
      </c>
      <c r="J58" s="93">
        <v>1</v>
      </c>
      <c r="K58" s="93">
        <v>169.89</v>
      </c>
      <c r="L58" s="92">
        <f t="shared" si="41"/>
        <v>7984.829999999999</v>
      </c>
      <c r="M58" s="89">
        <v>111</v>
      </c>
      <c r="N58" s="89">
        <v>11</v>
      </c>
      <c r="O58" s="89">
        <v>1039</v>
      </c>
      <c r="P58" s="89">
        <v>67</v>
      </c>
      <c r="Q58" s="233">
        <f t="shared" si="16"/>
        <v>1.5714285714285714</v>
      </c>
      <c r="R58" s="92">
        <f t="shared" si="17"/>
        <v>0.42857142857142855</v>
      </c>
      <c r="S58" s="93">
        <v>3</v>
      </c>
      <c r="T58" s="93">
        <v>0</v>
      </c>
      <c r="U58" s="92">
        <f t="shared" si="18"/>
        <v>3</v>
      </c>
      <c r="V58" s="93">
        <v>2154.16</v>
      </c>
      <c r="W58" s="93">
        <v>0</v>
      </c>
      <c r="X58" s="92">
        <f t="shared" si="19"/>
        <v>2154.16</v>
      </c>
      <c r="Y58" s="93">
        <v>3117.7</v>
      </c>
      <c r="Z58" s="93">
        <v>0</v>
      </c>
      <c r="AA58" s="92">
        <f t="shared" si="20"/>
        <v>3117.7</v>
      </c>
      <c r="AB58" s="92">
        <f t="shared" si="21"/>
        <v>7657.43</v>
      </c>
      <c r="AC58" s="234">
        <f t="shared" si="22"/>
        <v>2.3397585473045042E-3</v>
      </c>
      <c r="AD58" s="92">
        <f t="shared" si="23"/>
        <v>509.66999999999996</v>
      </c>
      <c r="AE58" s="93">
        <v>1162.57</v>
      </c>
      <c r="AF58" s="234">
        <f t="shared" si="24"/>
        <v>0.3728934791673349</v>
      </c>
      <c r="AG58" s="93">
        <v>247.66000000000003</v>
      </c>
      <c r="AH58" s="93">
        <v>2000</v>
      </c>
      <c r="AI58" s="93">
        <v>294</v>
      </c>
      <c r="AJ58" s="93"/>
      <c r="AK58" s="93"/>
      <c r="AL58" s="122">
        <f t="shared" si="25"/>
        <v>26.047987231472696</v>
      </c>
      <c r="AM58" s="93">
        <v>0</v>
      </c>
      <c r="AN58" s="94">
        <f t="shared" si="42"/>
        <v>123.00253599999999</v>
      </c>
      <c r="AO58" s="95">
        <f t="shared" si="43"/>
        <v>-1245.2505232314729</v>
      </c>
      <c r="AP58" s="96"/>
      <c r="AQ58" s="97">
        <f t="shared" si="44"/>
        <v>1039.2333333333333</v>
      </c>
      <c r="AR58" s="98">
        <f t="shared" si="45"/>
        <v>169.89</v>
      </c>
      <c r="AS58" s="98">
        <f t="shared" si="46"/>
        <v>387.52333333333331</v>
      </c>
      <c r="AT58" s="98">
        <f t="shared" si="47"/>
        <v>82.553333333333342</v>
      </c>
      <c r="AU58" s="98">
        <f t="shared" si="48"/>
        <v>764.66666666666663</v>
      </c>
      <c r="AV58" s="98">
        <f t="array" ref="AV58">_xlfn.IFS(U58=0,AO58,U58&lt;0,AO58/-U58,U58&gt;0,AO58/U58)</f>
        <v>-415.08350774382433</v>
      </c>
      <c r="AW58" s="234">
        <f t="shared" si="49"/>
        <v>-0.39941319666147257</v>
      </c>
      <c r="AX58" s="234">
        <f t="shared" si="50"/>
        <v>-2.4432486181872055</v>
      </c>
      <c r="AY58" s="99"/>
      <c r="AZ58" s="94">
        <f t="shared" si="51"/>
        <v>-19508.924863959743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52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1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v>0</v>
      </c>
      <c r="T59" s="93">
        <v>0</v>
      </c>
      <c r="U59" s="92">
        <f t="shared" si="18"/>
        <v>0</v>
      </c>
      <c r="V59" s="93">
        <v>0</v>
      </c>
      <c r="W59" s="93">
        <v>0</v>
      </c>
      <c r="X59" s="92">
        <f t="shared" si="19"/>
        <v>0</v>
      </c>
      <c r="Y59" s="93">
        <v>0</v>
      </c>
      <c r="Z59" s="93">
        <v>0</v>
      </c>
      <c r="AA59" s="92">
        <f t="shared" si="20"/>
        <v>0</v>
      </c>
      <c r="AB59" s="92">
        <f t="shared" si="21"/>
        <v>0</v>
      </c>
      <c r="AC59" s="234">
        <f t="shared" si="22"/>
        <v>0</v>
      </c>
      <c r="AD59" s="92">
        <f t="shared" si="23"/>
        <v>0</v>
      </c>
      <c r="AE59" s="93">
        <v>0</v>
      </c>
      <c r="AF59" s="234">
        <f t="shared" si="24"/>
        <v>0</v>
      </c>
      <c r="AG59" s="93">
        <v>0</v>
      </c>
      <c r="AH59" s="93"/>
      <c r="AI59" s="93"/>
      <c r="AJ59" s="93"/>
      <c r="AK59" s="93"/>
      <c r="AL59" s="122">
        <f t="shared" si="25"/>
        <v>0</v>
      </c>
      <c r="AM59" s="93">
        <v>0</v>
      </c>
      <c r="AN59" s="94">
        <f t="shared" si="42"/>
        <v>0</v>
      </c>
      <c r="AO59" s="95">
        <f t="shared" si="43"/>
        <v>0</v>
      </c>
      <c r="AP59" s="96"/>
      <c r="AQ59" s="97">
        <f t="shared" si="44"/>
        <v>0</v>
      </c>
      <c r="AR59" s="98">
        <f t="shared" si="45"/>
        <v>158.19</v>
      </c>
      <c r="AS59" s="98">
        <f t="shared" si="46"/>
        <v>0</v>
      </c>
      <c r="AT59" s="98">
        <f t="shared" si="47"/>
        <v>0</v>
      </c>
      <c r="AU59" s="98">
        <f t="shared" si="48"/>
        <v>0</v>
      </c>
      <c r="AV59" s="98">
        <f t="array" ref="AV59">_xlfn.IFS(U59=0,AO59,U59&lt;0,AO59/-U59,U59&gt;0,AO59/U59)</f>
        <v>0</v>
      </c>
      <c r="AW59" s="234">
        <f t="shared" si="49"/>
        <v>0</v>
      </c>
      <c r="AX59" s="234">
        <f t="shared" si="50"/>
        <v>0</v>
      </c>
      <c r="AY59" s="99"/>
      <c r="AZ59" s="94">
        <f t="shared" si="51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52"/>
        <v>71</v>
      </c>
      <c r="F60" s="93">
        <v>2</v>
      </c>
      <c r="G60" s="93">
        <v>2</v>
      </c>
      <c r="H60" s="93">
        <v>26</v>
      </c>
      <c r="I60" s="93">
        <v>0</v>
      </c>
      <c r="J60" s="93">
        <v>41</v>
      </c>
      <c r="K60" s="93">
        <v>158.19</v>
      </c>
      <c r="L60" s="92">
        <f t="shared" si="41"/>
        <v>11231.49</v>
      </c>
      <c r="M60" s="89">
        <v>420</v>
      </c>
      <c r="N60" s="89">
        <v>2</v>
      </c>
      <c r="O60" s="89">
        <v>1049</v>
      </c>
      <c r="P60" s="89">
        <v>0</v>
      </c>
      <c r="Q60" s="233">
        <f t="shared" si="16"/>
        <v>0.2857142857142857</v>
      </c>
      <c r="R60" s="92">
        <f t="shared" si="17"/>
        <v>0</v>
      </c>
      <c r="S60" s="93">
        <v>0</v>
      </c>
      <c r="T60" s="93">
        <v>0</v>
      </c>
      <c r="U60" s="92">
        <f t="shared" si="18"/>
        <v>0</v>
      </c>
      <c r="V60" s="93">
        <v>0</v>
      </c>
      <c r="W60" s="93">
        <v>0</v>
      </c>
      <c r="X60" s="92">
        <f t="shared" si="19"/>
        <v>0</v>
      </c>
      <c r="Y60" s="93">
        <v>0</v>
      </c>
      <c r="Z60" s="93">
        <v>0</v>
      </c>
      <c r="AA60" s="92">
        <f t="shared" si="20"/>
        <v>0</v>
      </c>
      <c r="AB60" s="92">
        <f t="shared" si="21"/>
        <v>0</v>
      </c>
      <c r="AC60" s="234">
        <f t="shared" si="22"/>
        <v>0</v>
      </c>
      <c r="AD60" s="92">
        <f t="shared" si="23"/>
        <v>0</v>
      </c>
      <c r="AE60" s="93">
        <v>0</v>
      </c>
      <c r="AF60" s="234">
        <f t="shared" si="24"/>
        <v>0</v>
      </c>
      <c r="AG60" s="93">
        <v>191.35</v>
      </c>
      <c r="AH60" s="93"/>
      <c r="AI60" s="93"/>
      <c r="AJ60" s="93"/>
      <c r="AK60" s="93"/>
      <c r="AL60" s="122">
        <f t="shared" si="25"/>
        <v>18.303991027521352</v>
      </c>
      <c r="AM60" s="93">
        <v>0</v>
      </c>
      <c r="AN60" s="94">
        <f t="shared" si="42"/>
        <v>0</v>
      </c>
      <c r="AO60" s="95">
        <f t="shared" si="43"/>
        <v>-209.65399102752136</v>
      </c>
      <c r="AP60" s="96"/>
      <c r="AQ60" s="97">
        <f t="shared" si="44"/>
        <v>0</v>
      </c>
      <c r="AR60" s="98">
        <f t="shared" si="45"/>
        <v>158.19</v>
      </c>
      <c r="AS60" s="98">
        <f t="shared" si="46"/>
        <v>0</v>
      </c>
      <c r="AT60" s="98">
        <f t="shared" si="47"/>
        <v>191.35</v>
      </c>
      <c r="AU60" s="98">
        <f t="shared" si="48"/>
        <v>0</v>
      </c>
      <c r="AV60" s="98">
        <f t="array" ref="AV60">_xlfn.IFS(U60=0,AO60,U60&lt;0,AO60/-U60,U60&gt;0,AO60/U60)</f>
        <v>-209.65399102752136</v>
      </c>
      <c r="AW60" s="234">
        <f t="shared" si="49"/>
        <v>0</v>
      </c>
      <c r="AX60" s="234">
        <f t="shared" si="50"/>
        <v>-1.3253302422878903</v>
      </c>
      <c r="AY60" s="99"/>
      <c r="AZ60" s="94">
        <f t="shared" si="51"/>
        <v>-14885.433362954016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52"/>
        <v>484</v>
      </c>
      <c r="F61" s="93" t="s">
        <v>100</v>
      </c>
      <c r="G61" s="93">
        <v>1</v>
      </c>
      <c r="H61" s="93">
        <v>162</v>
      </c>
      <c r="I61" s="93">
        <v>0</v>
      </c>
      <c r="J61" s="93">
        <v>321</v>
      </c>
      <c r="K61" s="93">
        <v>128.94</v>
      </c>
      <c r="L61" s="92">
        <f t="shared" si="41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6"/>
        <v>0.14285714285714285</v>
      </c>
      <c r="R61" s="92">
        <f t="shared" si="17"/>
        <v>0</v>
      </c>
      <c r="S61" s="93">
        <v>0</v>
      </c>
      <c r="T61" s="93">
        <v>0</v>
      </c>
      <c r="U61" s="92">
        <f t="shared" si="18"/>
        <v>0</v>
      </c>
      <c r="V61" s="93">
        <v>0</v>
      </c>
      <c r="W61" s="93">
        <v>0</v>
      </c>
      <c r="X61" s="92">
        <f t="shared" si="19"/>
        <v>0</v>
      </c>
      <c r="Y61" s="93">
        <v>0</v>
      </c>
      <c r="Z61" s="93">
        <v>0</v>
      </c>
      <c r="AA61" s="92">
        <f t="shared" si="20"/>
        <v>0</v>
      </c>
      <c r="AB61" s="92">
        <f t="shared" si="21"/>
        <v>0</v>
      </c>
      <c r="AC61" s="234">
        <f t="shared" si="22"/>
        <v>0</v>
      </c>
      <c r="AD61" s="92">
        <f t="shared" si="23"/>
        <v>0</v>
      </c>
      <c r="AE61" s="93">
        <v>0</v>
      </c>
      <c r="AF61" s="234">
        <f t="shared" si="24"/>
        <v>0</v>
      </c>
      <c r="AG61" s="93">
        <v>189.9</v>
      </c>
      <c r="AH61" s="93"/>
      <c r="AI61" s="93"/>
      <c r="AJ61" s="93"/>
      <c r="AK61" s="93"/>
      <c r="AL61" s="122">
        <f t="shared" si="25"/>
        <v>114.04794409455612</v>
      </c>
      <c r="AM61" s="93">
        <v>0</v>
      </c>
      <c r="AN61" s="94">
        <f t="shared" si="42"/>
        <v>0</v>
      </c>
      <c r="AO61" s="95">
        <f t="shared" si="43"/>
        <v>-303.94794409455614</v>
      </c>
      <c r="AP61" s="96"/>
      <c r="AQ61" s="97">
        <f t="shared" si="44"/>
        <v>0</v>
      </c>
      <c r="AR61" s="98">
        <f t="shared" si="45"/>
        <v>128.94</v>
      </c>
      <c r="AS61" s="98">
        <f t="shared" si="46"/>
        <v>0</v>
      </c>
      <c r="AT61" s="98">
        <f t="shared" si="47"/>
        <v>189.9</v>
      </c>
      <c r="AU61" s="98">
        <f t="shared" si="48"/>
        <v>0</v>
      </c>
      <c r="AV61" s="98">
        <f t="array" ref="AV61">_xlfn.IFS(U61=0,AO61,U61&lt;0,AO61/-U61,U61&gt;0,AO61/U61)</f>
        <v>-303.94794409455614</v>
      </c>
      <c r="AW61" s="234">
        <f t="shared" si="49"/>
        <v>0</v>
      </c>
      <c r="AX61" s="234">
        <f t="shared" si="50"/>
        <v>-2.3572820233795264</v>
      </c>
      <c r="AY61" s="99"/>
      <c r="AZ61" s="94">
        <f t="shared" si="51"/>
        <v>-147110.80494176518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52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1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v>0</v>
      </c>
      <c r="T62" s="93">
        <v>0</v>
      </c>
      <c r="U62" s="92">
        <f t="shared" si="18"/>
        <v>0</v>
      </c>
      <c r="V62" s="93">
        <v>0</v>
      </c>
      <c r="W62" s="93">
        <v>0</v>
      </c>
      <c r="X62" s="92">
        <f t="shared" si="19"/>
        <v>0</v>
      </c>
      <c r="Y62" s="93">
        <v>0</v>
      </c>
      <c r="Z62" s="93">
        <v>0</v>
      </c>
      <c r="AA62" s="92">
        <f t="shared" si="20"/>
        <v>0</v>
      </c>
      <c r="AB62" s="92">
        <f t="shared" si="21"/>
        <v>0</v>
      </c>
      <c r="AC62" s="234">
        <f t="shared" si="22"/>
        <v>0</v>
      </c>
      <c r="AD62" s="92">
        <f t="shared" si="23"/>
        <v>0</v>
      </c>
      <c r="AE62" s="93">
        <v>0</v>
      </c>
      <c r="AF62" s="234">
        <f t="shared" si="24"/>
        <v>0</v>
      </c>
      <c r="AG62" s="93">
        <v>0</v>
      </c>
      <c r="AH62" s="93"/>
      <c r="AI62" s="93"/>
      <c r="AJ62" s="93"/>
      <c r="AK62" s="93"/>
      <c r="AL62" s="122">
        <f t="shared" si="25"/>
        <v>0</v>
      </c>
      <c r="AM62" s="93">
        <v>0</v>
      </c>
      <c r="AN62" s="94">
        <f t="shared" si="42"/>
        <v>0</v>
      </c>
      <c r="AO62" s="95">
        <f t="shared" si="43"/>
        <v>0</v>
      </c>
      <c r="AP62" s="96"/>
      <c r="AQ62" s="97">
        <f t="shared" si="44"/>
        <v>0</v>
      </c>
      <c r="AR62" s="98">
        <f t="shared" si="45"/>
        <v>175.74</v>
      </c>
      <c r="AS62" s="98">
        <f t="shared" si="46"/>
        <v>0</v>
      </c>
      <c r="AT62" s="98">
        <f t="shared" si="47"/>
        <v>0</v>
      </c>
      <c r="AU62" s="98">
        <f t="shared" si="48"/>
        <v>0</v>
      </c>
      <c r="AV62" s="98">
        <f t="array" ref="AV62">_xlfn.IFS(U62=0,AO62,U62&lt;0,AO62/-U62,U62&gt;0,AO62/U62)</f>
        <v>0</v>
      </c>
      <c r="AW62" s="234">
        <f t="shared" si="49"/>
        <v>0</v>
      </c>
      <c r="AX62" s="234">
        <f t="shared" si="50"/>
        <v>0</v>
      </c>
      <c r="AY62" s="99"/>
      <c r="AZ62" s="94">
        <f t="shared" si="51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52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1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v>0</v>
      </c>
      <c r="T63" s="93">
        <v>0</v>
      </c>
      <c r="U63" s="92">
        <f t="shared" si="18"/>
        <v>0</v>
      </c>
      <c r="V63" s="93">
        <v>0</v>
      </c>
      <c r="W63" s="93">
        <v>0</v>
      </c>
      <c r="X63" s="92">
        <f t="shared" si="19"/>
        <v>0</v>
      </c>
      <c r="Y63" s="93">
        <v>0</v>
      </c>
      <c r="Z63" s="93">
        <v>0</v>
      </c>
      <c r="AA63" s="92">
        <f t="shared" si="20"/>
        <v>0</v>
      </c>
      <c r="AB63" s="92">
        <f t="shared" si="21"/>
        <v>0</v>
      </c>
      <c r="AC63" s="234">
        <f t="shared" si="22"/>
        <v>0</v>
      </c>
      <c r="AD63" s="92">
        <f t="shared" si="23"/>
        <v>0</v>
      </c>
      <c r="AE63" s="93">
        <v>0</v>
      </c>
      <c r="AF63" s="234">
        <f t="shared" si="24"/>
        <v>0</v>
      </c>
      <c r="AG63" s="93">
        <v>0</v>
      </c>
      <c r="AH63" s="93"/>
      <c r="AI63" s="93"/>
      <c r="AJ63" s="93"/>
      <c r="AK63" s="93"/>
      <c r="AL63" s="122">
        <f t="shared" si="25"/>
        <v>0</v>
      </c>
      <c r="AM63" s="93">
        <v>0</v>
      </c>
      <c r="AN63" s="94">
        <f t="shared" si="42"/>
        <v>0</v>
      </c>
      <c r="AO63" s="95">
        <f t="shared" si="43"/>
        <v>0</v>
      </c>
      <c r="AP63" s="96"/>
      <c r="AQ63" s="97">
        <f t="shared" si="44"/>
        <v>0</v>
      </c>
      <c r="AR63" s="98">
        <f t="shared" si="45"/>
        <v>140.63999999999999</v>
      </c>
      <c r="AS63" s="98">
        <f t="shared" si="46"/>
        <v>0</v>
      </c>
      <c r="AT63" s="98">
        <f t="shared" si="47"/>
        <v>0</v>
      </c>
      <c r="AU63" s="98">
        <f t="shared" si="48"/>
        <v>0</v>
      </c>
      <c r="AV63" s="98">
        <f t="array" ref="AV63">_xlfn.IFS(U63=0,AO63,U63&lt;0,AO63/-U63,U63&gt;0,AO63/U63)</f>
        <v>0</v>
      </c>
      <c r="AW63" s="234">
        <f t="shared" si="49"/>
        <v>0</v>
      </c>
      <c r="AX63" s="234">
        <f t="shared" si="50"/>
        <v>0</v>
      </c>
      <c r="AY63" s="99"/>
      <c r="AZ63" s="94">
        <f t="shared" si="51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52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1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v>0</v>
      </c>
      <c r="T64" s="93">
        <v>0</v>
      </c>
      <c r="U64" s="92">
        <f t="shared" si="18"/>
        <v>0</v>
      </c>
      <c r="V64" s="93">
        <v>0</v>
      </c>
      <c r="W64" s="93">
        <v>0</v>
      </c>
      <c r="X64" s="92">
        <f t="shared" si="19"/>
        <v>0</v>
      </c>
      <c r="Y64" s="93">
        <v>0</v>
      </c>
      <c r="Z64" s="93">
        <v>0</v>
      </c>
      <c r="AA64" s="92">
        <f t="shared" si="20"/>
        <v>0</v>
      </c>
      <c r="AB64" s="92">
        <f t="shared" si="21"/>
        <v>0</v>
      </c>
      <c r="AC64" s="234">
        <f t="shared" si="22"/>
        <v>0</v>
      </c>
      <c r="AD64" s="92">
        <f t="shared" si="23"/>
        <v>0</v>
      </c>
      <c r="AE64" s="93">
        <v>0</v>
      </c>
      <c r="AF64" s="234">
        <f t="shared" si="24"/>
        <v>0</v>
      </c>
      <c r="AG64" s="93">
        <v>0</v>
      </c>
      <c r="AH64" s="93"/>
      <c r="AI64" s="93"/>
      <c r="AJ64" s="93"/>
      <c r="AK64" s="93"/>
      <c r="AL64" s="122">
        <f t="shared" si="25"/>
        <v>0</v>
      </c>
      <c r="AM64" s="93">
        <v>0</v>
      </c>
      <c r="AN64" s="94">
        <f t="shared" si="42"/>
        <v>0</v>
      </c>
      <c r="AO64" s="95">
        <f t="shared" si="43"/>
        <v>0</v>
      </c>
      <c r="AP64" s="96"/>
      <c r="AQ64" s="97">
        <f t="shared" si="44"/>
        <v>0</v>
      </c>
      <c r="AR64" s="98">
        <f t="shared" si="45"/>
        <v>99.69</v>
      </c>
      <c r="AS64" s="98">
        <f t="shared" si="46"/>
        <v>0</v>
      </c>
      <c r="AT64" s="98">
        <f t="shared" si="47"/>
        <v>0</v>
      </c>
      <c r="AU64" s="98">
        <f t="shared" si="48"/>
        <v>0</v>
      </c>
      <c r="AV64" s="98">
        <f t="array" ref="AV64">_xlfn.IFS(U64=0,AO64,U64&lt;0,AO64/-U64,U64&gt;0,AO64/U64)</f>
        <v>0</v>
      </c>
      <c r="AW64" s="234">
        <f t="shared" si="49"/>
        <v>0</v>
      </c>
      <c r="AX64" s="234">
        <f t="shared" si="50"/>
        <v>0</v>
      </c>
      <c r="AY64" s="99"/>
      <c r="AZ64" s="94">
        <f t="shared" si="51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52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1"/>
        <v>199.38</v>
      </c>
      <c r="M65" s="89">
        <v>19</v>
      </c>
      <c r="N65" s="89">
        <v>1</v>
      </c>
      <c r="O65" s="89">
        <v>998</v>
      </c>
      <c r="P65" s="89">
        <v>0</v>
      </c>
      <c r="Q65" s="233">
        <f t="shared" si="16"/>
        <v>0.14285714285714285</v>
      </c>
      <c r="R65" s="92">
        <f t="shared" si="17"/>
        <v>0</v>
      </c>
      <c r="S65" s="93">
        <v>0</v>
      </c>
      <c r="T65" s="93">
        <v>0</v>
      </c>
      <c r="U65" s="92">
        <f t="shared" si="18"/>
        <v>0</v>
      </c>
      <c r="V65" s="93">
        <v>0</v>
      </c>
      <c r="W65" s="93">
        <v>0</v>
      </c>
      <c r="X65" s="92">
        <f t="shared" si="19"/>
        <v>0</v>
      </c>
      <c r="Y65" s="93">
        <v>0</v>
      </c>
      <c r="Z65" s="93">
        <v>0</v>
      </c>
      <c r="AA65" s="92">
        <f t="shared" si="20"/>
        <v>0</v>
      </c>
      <c r="AB65" s="92">
        <f t="shared" si="21"/>
        <v>0</v>
      </c>
      <c r="AC65" s="234">
        <f t="shared" si="22"/>
        <v>0</v>
      </c>
      <c r="AD65" s="92">
        <f t="shared" si="23"/>
        <v>0</v>
      </c>
      <c r="AE65" s="93">
        <v>0</v>
      </c>
      <c r="AF65" s="234">
        <f t="shared" si="24"/>
        <v>0</v>
      </c>
      <c r="AG65" s="93">
        <v>0</v>
      </c>
      <c r="AH65" s="93"/>
      <c r="AI65" s="93"/>
      <c r="AJ65" s="93"/>
      <c r="AK65" s="93"/>
      <c r="AL65" s="122">
        <f t="shared" si="25"/>
        <v>0</v>
      </c>
      <c r="AM65" s="93">
        <v>0</v>
      </c>
      <c r="AN65" s="94">
        <f t="shared" si="42"/>
        <v>0</v>
      </c>
      <c r="AO65" s="95">
        <f t="shared" si="43"/>
        <v>0</v>
      </c>
      <c r="AP65" s="96"/>
      <c r="AQ65" s="97">
        <f t="shared" si="44"/>
        <v>0</v>
      </c>
      <c r="AR65" s="98">
        <f t="shared" si="45"/>
        <v>99.69</v>
      </c>
      <c r="AS65" s="98">
        <f t="shared" si="46"/>
        <v>0</v>
      </c>
      <c r="AT65" s="98">
        <f t="shared" si="47"/>
        <v>0</v>
      </c>
      <c r="AU65" s="98">
        <f t="shared" si="48"/>
        <v>0</v>
      </c>
      <c r="AV65" s="98">
        <f t="array" ref="AV65">_xlfn.IFS(U65=0,AO65,U65&lt;0,AO65/-U65,U65&gt;0,AO65/U65)</f>
        <v>0</v>
      </c>
      <c r="AW65" s="234">
        <f t="shared" si="49"/>
        <v>0</v>
      </c>
      <c r="AX65" s="234">
        <f t="shared" si="50"/>
        <v>0</v>
      </c>
      <c r="AY65" s="99"/>
      <c r="AZ65" s="94">
        <f t="shared" si="51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52"/>
        <v>3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1</v>
      </c>
      <c r="K66" s="93">
        <v>97.35</v>
      </c>
      <c r="L66" s="92">
        <f t="shared" si="41"/>
        <v>292.04999999999995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6"/>
        <v>0</v>
      </c>
      <c r="R66" s="92">
        <f t="shared" si="17"/>
        <v>0</v>
      </c>
      <c r="S66" s="93">
        <v>0</v>
      </c>
      <c r="T66" s="93">
        <v>0</v>
      </c>
      <c r="U66" s="92">
        <f t="shared" si="18"/>
        <v>0</v>
      </c>
      <c r="V66" s="93">
        <v>0</v>
      </c>
      <c r="W66" s="93">
        <v>0</v>
      </c>
      <c r="X66" s="92">
        <f t="shared" si="19"/>
        <v>0</v>
      </c>
      <c r="Y66" s="93">
        <v>0</v>
      </c>
      <c r="Z66" s="93">
        <v>0</v>
      </c>
      <c r="AA66" s="92">
        <f t="shared" si="20"/>
        <v>0</v>
      </c>
      <c r="AB66" s="92">
        <f t="shared" si="21"/>
        <v>0</v>
      </c>
      <c r="AC66" s="234">
        <f t="shared" si="22"/>
        <v>0</v>
      </c>
      <c r="AD66" s="92">
        <f t="shared" si="23"/>
        <v>0</v>
      </c>
      <c r="AE66" s="93">
        <v>0</v>
      </c>
      <c r="AF66" s="234">
        <f t="shared" si="24"/>
        <v>0</v>
      </c>
      <c r="AG66" s="93">
        <v>0</v>
      </c>
      <c r="AH66" s="93"/>
      <c r="AI66" s="93"/>
      <c r="AJ66" s="93"/>
      <c r="AK66" s="93"/>
      <c r="AL66" s="122">
        <f t="shared" si="25"/>
        <v>1.4079993098093349</v>
      </c>
      <c r="AM66" s="93">
        <v>0</v>
      </c>
      <c r="AN66" s="94">
        <f t="shared" si="42"/>
        <v>0</v>
      </c>
      <c r="AO66" s="95">
        <f t="shared" si="43"/>
        <v>-1.4079993098093349</v>
      </c>
      <c r="AP66" s="96"/>
      <c r="AQ66" s="97">
        <f t="shared" si="44"/>
        <v>0</v>
      </c>
      <c r="AR66" s="98">
        <f t="shared" si="45"/>
        <v>97.35</v>
      </c>
      <c r="AS66" s="98">
        <f t="shared" si="46"/>
        <v>0</v>
      </c>
      <c r="AT66" s="98">
        <f t="shared" si="47"/>
        <v>0</v>
      </c>
      <c r="AU66" s="98">
        <f t="shared" si="48"/>
        <v>0</v>
      </c>
      <c r="AV66" s="98">
        <f t="array" ref="AV66">_xlfn.IFS(U66=0,AO66,U66&lt;0,AO66/-U66,U66&gt;0,AO66/U66)</f>
        <v>-1.4079993098093349</v>
      </c>
      <c r="AW66" s="234">
        <f t="shared" si="49"/>
        <v>0</v>
      </c>
      <c r="AX66" s="234">
        <f t="shared" si="50"/>
        <v>-1.4463269746372213E-2</v>
      </c>
      <c r="AY66" s="99"/>
      <c r="AZ66" s="94">
        <f t="shared" si="51"/>
        <v>-4.2239979294280046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52"/>
        <v>7</v>
      </c>
      <c r="F67" s="93" t="s">
        <v>100</v>
      </c>
      <c r="G67" s="93">
        <v>1</v>
      </c>
      <c r="H67" s="93">
        <v>5</v>
      </c>
      <c r="I67" s="93">
        <v>0</v>
      </c>
      <c r="J67" s="93">
        <v>1</v>
      </c>
      <c r="K67" s="93">
        <v>161.69999999999999</v>
      </c>
      <c r="L67" s="92">
        <f t="shared" si="41"/>
        <v>1131.8999999999999</v>
      </c>
      <c r="M67" s="89">
        <v>32</v>
      </c>
      <c r="N67" s="89">
        <v>2</v>
      </c>
      <c r="O67" s="89">
        <v>1049</v>
      </c>
      <c r="P67" s="89">
        <v>50</v>
      </c>
      <c r="Q67" s="233">
        <f t="shared" si="16"/>
        <v>0.2857142857142857</v>
      </c>
      <c r="R67" s="92">
        <f t="shared" si="17"/>
        <v>0.2857142857142857</v>
      </c>
      <c r="S67" s="93">
        <v>3</v>
      </c>
      <c r="T67" s="93">
        <v>-1</v>
      </c>
      <c r="U67" s="92">
        <f t="shared" si="18"/>
        <v>2</v>
      </c>
      <c r="V67" s="93">
        <v>2010</v>
      </c>
      <c r="W67" s="93">
        <v>-689</v>
      </c>
      <c r="X67" s="92">
        <f t="shared" si="19"/>
        <v>1321</v>
      </c>
      <c r="Y67" s="93">
        <v>3147</v>
      </c>
      <c r="Z67" s="93">
        <v>-1049</v>
      </c>
      <c r="AA67" s="92">
        <f t="shared" si="20"/>
        <v>2098</v>
      </c>
      <c r="AB67" s="92">
        <f t="shared" si="21"/>
        <v>1049</v>
      </c>
      <c r="AC67" s="234">
        <f t="shared" si="22"/>
        <v>1.5744983264088432E-3</v>
      </c>
      <c r="AD67" s="92">
        <f t="shared" si="23"/>
        <v>323.39999999999998</v>
      </c>
      <c r="AE67" s="93">
        <v>782.47000000000014</v>
      </c>
      <c r="AF67" s="234">
        <f t="shared" si="24"/>
        <v>0.37295996186844621</v>
      </c>
      <c r="AG67" s="93">
        <v>508.85</v>
      </c>
      <c r="AH67" s="93"/>
      <c r="AI67" s="93"/>
      <c r="AJ67" s="93"/>
      <c r="AK67" s="93"/>
      <c r="AL67" s="122">
        <f t="shared" si="25"/>
        <v>3.5199982745233371</v>
      </c>
      <c r="AM67" s="93">
        <v>0</v>
      </c>
      <c r="AN67" s="94">
        <f t="shared" ref="AN67:AN103" si="53">X67*5.71%</f>
        <v>75.429099999999991</v>
      </c>
      <c r="AO67" s="95">
        <f t="shared" ref="AO67:AO98" si="54">AA67-AD67-AE67-AG67-AH67-AI67-AK67-AL67-AN67-AM67</f>
        <v>404.33090172547639</v>
      </c>
      <c r="AP67" s="96"/>
      <c r="AQ67" s="97">
        <f t="shared" ref="AQ67:AQ103" si="55">IF(U67=0,0,AA67/U67)</f>
        <v>1049</v>
      </c>
      <c r="AR67" s="98">
        <f t="shared" ref="AR67:AR103" si="56">K67</f>
        <v>161.69999999999999</v>
      </c>
      <c r="AS67" s="98">
        <f t="shared" ref="AS67:AS103" si="57">IF(U67=0,0,AE67/U67)</f>
        <v>391.23500000000007</v>
      </c>
      <c r="AT67" s="98">
        <f t="shared" ref="AT67:AT103" si="58">IF(S67=0,AG67/1,AG67/S67)</f>
        <v>169.61666666666667</v>
      </c>
      <c r="AU67" s="98">
        <f t="shared" ref="AU67:AU103" si="59">IF(S67=0,0,(AH67+AI67+AJ67)/S67)</f>
        <v>0</v>
      </c>
      <c r="AV67" s="98">
        <f t="array" ref="AV67">_xlfn.IFS(U67=0,AO67,U67&lt;0,AO67/-U67,U67&gt;0,AO67/U67)</f>
        <v>202.1654508627382</v>
      </c>
      <c r="AW67" s="234">
        <f t="shared" si="49"/>
        <v>0.19272206945923565</v>
      </c>
      <c r="AX67" s="234">
        <f t="shared" si="50"/>
        <v>1.2502501599427225</v>
      </c>
      <c r="AY67" s="99"/>
      <c r="AZ67" s="94">
        <f t="shared" ref="AZ67:AZ103" si="60">AV67*E67</f>
        <v>1415.1581560391674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52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1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61">N68/7</f>
        <v>0</v>
      </c>
      <c r="R68" s="92">
        <f t="shared" ref="R68:R103" si="62">U68/7</f>
        <v>0</v>
      </c>
      <c r="S68" s="93">
        <v>0</v>
      </c>
      <c r="T68" s="93">
        <v>0</v>
      </c>
      <c r="U68" s="92">
        <f t="shared" ref="U68:U103" si="63">S68+T68</f>
        <v>0</v>
      </c>
      <c r="V68" s="93">
        <v>0</v>
      </c>
      <c r="W68" s="93">
        <v>0</v>
      </c>
      <c r="X68" s="92">
        <f t="shared" ref="X68:X103" si="64">V68+W68</f>
        <v>0</v>
      </c>
      <c r="Y68" s="93">
        <v>0</v>
      </c>
      <c r="Z68" s="93">
        <v>0</v>
      </c>
      <c r="AA68" s="92">
        <f t="shared" ref="AA68:AA103" si="65">Y68+Z68</f>
        <v>0</v>
      </c>
      <c r="AB68" s="92">
        <f t="shared" ref="AB68:AB103" si="66">N68*O68*P68/100</f>
        <v>0</v>
      </c>
      <c r="AC68" s="234">
        <f t="shared" ref="AC68:AC103" si="67">AA68/$AA$126</f>
        <v>0</v>
      </c>
      <c r="AD68" s="92">
        <f t="shared" ref="AD68:AD103" si="68">U68*K68</f>
        <v>0</v>
      </c>
      <c r="AE68" s="93">
        <v>0</v>
      </c>
      <c r="AF68" s="234">
        <f t="shared" ref="AF68:AF103" si="69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70">IFERROR($AL$126*H68/$H$126,0)</f>
        <v>0</v>
      </c>
      <c r="AM68" s="93">
        <v>0</v>
      </c>
      <c r="AN68" s="94">
        <f t="shared" si="53"/>
        <v>0</v>
      </c>
      <c r="AO68" s="95">
        <f t="shared" si="54"/>
        <v>0</v>
      </c>
      <c r="AP68" s="96"/>
      <c r="AQ68" s="97">
        <f t="shared" si="55"/>
        <v>0</v>
      </c>
      <c r="AR68" s="98">
        <f t="shared" si="56"/>
        <v>161.69999999999999</v>
      </c>
      <c r="AS68" s="98">
        <f t="shared" si="57"/>
        <v>0</v>
      </c>
      <c r="AT68" s="98">
        <f t="shared" si="58"/>
        <v>0</v>
      </c>
      <c r="AU68" s="98">
        <f t="shared" si="59"/>
        <v>0</v>
      </c>
      <c r="AV68" s="98">
        <f t="array" ref="AV68">_xlfn.IFS(U68=0,AO68,U68&lt;0,AO68/-U68,U68&gt;0,AO68/U68)</f>
        <v>0</v>
      </c>
      <c r="AW68" s="234">
        <f t="shared" si="49"/>
        <v>0</v>
      </c>
      <c r="AX68" s="234">
        <f t="shared" si="50"/>
        <v>0</v>
      </c>
      <c r="AY68" s="99"/>
      <c r="AZ68" s="94">
        <f t="shared" si="60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52"/>
        <v>13</v>
      </c>
      <c r="F69" s="93" t="s">
        <v>100</v>
      </c>
      <c r="G69" s="93">
        <v>1</v>
      </c>
      <c r="H69" s="93">
        <v>11</v>
      </c>
      <c r="I69" s="93">
        <v>0</v>
      </c>
      <c r="J69" s="93">
        <v>1</v>
      </c>
      <c r="K69" s="93">
        <v>140.63999999999999</v>
      </c>
      <c r="L69" s="92">
        <f t="shared" si="41"/>
        <v>1828.3199999999997</v>
      </c>
      <c r="M69" s="89">
        <v>356</v>
      </c>
      <c r="N69" s="89">
        <v>1</v>
      </c>
      <c r="O69" s="89">
        <v>998</v>
      </c>
      <c r="P69" s="89">
        <v>0</v>
      </c>
      <c r="Q69" s="233">
        <f t="shared" si="61"/>
        <v>0.14285714285714285</v>
      </c>
      <c r="R69" s="92">
        <f t="shared" si="62"/>
        <v>0</v>
      </c>
      <c r="S69" s="93">
        <v>0</v>
      </c>
      <c r="T69" s="93">
        <v>0</v>
      </c>
      <c r="U69" s="92">
        <f t="shared" si="63"/>
        <v>0</v>
      </c>
      <c r="V69" s="93">
        <v>0</v>
      </c>
      <c r="W69" s="93">
        <v>0</v>
      </c>
      <c r="X69" s="92">
        <f t="shared" si="64"/>
        <v>0</v>
      </c>
      <c r="Y69" s="93">
        <v>0</v>
      </c>
      <c r="Z69" s="93">
        <v>0</v>
      </c>
      <c r="AA69" s="92">
        <f t="shared" si="65"/>
        <v>0</v>
      </c>
      <c r="AB69" s="92">
        <f t="shared" si="66"/>
        <v>0</v>
      </c>
      <c r="AC69" s="234">
        <f t="shared" si="67"/>
        <v>0</v>
      </c>
      <c r="AD69" s="92">
        <f t="shared" si="68"/>
        <v>0</v>
      </c>
      <c r="AE69" s="93">
        <v>0</v>
      </c>
      <c r="AF69" s="234">
        <f t="shared" si="69"/>
        <v>0</v>
      </c>
      <c r="AG69" s="93">
        <v>106.55</v>
      </c>
      <c r="AH69" s="93"/>
      <c r="AI69" s="93"/>
      <c r="AJ69" s="93"/>
      <c r="AK69" s="93"/>
      <c r="AL69" s="122">
        <f t="shared" si="70"/>
        <v>7.7439962039513421</v>
      </c>
      <c r="AM69" s="93">
        <v>0</v>
      </c>
      <c r="AN69" s="94">
        <f t="shared" si="53"/>
        <v>0</v>
      </c>
      <c r="AO69" s="95">
        <f t="shared" si="54"/>
        <v>-114.29399620395134</v>
      </c>
      <c r="AP69" s="96"/>
      <c r="AQ69" s="97">
        <f t="shared" si="55"/>
        <v>0</v>
      </c>
      <c r="AR69" s="98">
        <f t="shared" si="56"/>
        <v>140.63999999999999</v>
      </c>
      <c r="AS69" s="98">
        <f t="shared" si="57"/>
        <v>0</v>
      </c>
      <c r="AT69" s="98">
        <f t="shared" si="58"/>
        <v>106.55</v>
      </c>
      <c r="AU69" s="98">
        <f t="shared" si="59"/>
        <v>0</v>
      </c>
      <c r="AV69" s="98">
        <f t="array" ref="AV69">_xlfn.IFS(U69=0,AO69,U69&lt;0,AO69/-U69,U69&gt;0,AO69/U69)</f>
        <v>-114.29399620395134</v>
      </c>
      <c r="AW69" s="234">
        <f t="shared" si="49"/>
        <v>0</v>
      </c>
      <c r="AX69" s="234">
        <f t="shared" si="50"/>
        <v>-0.81267062147291913</v>
      </c>
      <c r="AY69" s="99"/>
      <c r="AZ69" s="94">
        <f t="shared" si="60"/>
        <v>-1485.8219506513674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52"/>
        <v>9</v>
      </c>
      <c r="F70" s="93">
        <v>1</v>
      </c>
      <c r="G70" s="93">
        <v>1</v>
      </c>
      <c r="H70" s="93">
        <v>6</v>
      </c>
      <c r="I70" s="93">
        <v>0</v>
      </c>
      <c r="J70" s="93">
        <v>1</v>
      </c>
      <c r="K70" s="93">
        <v>117.24</v>
      </c>
      <c r="L70" s="92">
        <f t="shared" si="41"/>
        <v>1055.1599999999999</v>
      </c>
      <c r="M70" s="89">
        <v>85</v>
      </c>
      <c r="N70" s="89">
        <v>2</v>
      </c>
      <c r="O70" s="89">
        <v>1048</v>
      </c>
      <c r="P70" s="89">
        <v>0</v>
      </c>
      <c r="Q70" s="233">
        <f t="shared" si="61"/>
        <v>0.2857142857142857</v>
      </c>
      <c r="R70" s="92">
        <f t="shared" si="62"/>
        <v>0</v>
      </c>
      <c r="S70" s="93">
        <v>0</v>
      </c>
      <c r="T70" s="93">
        <v>0</v>
      </c>
      <c r="U70" s="92">
        <f t="shared" si="63"/>
        <v>0</v>
      </c>
      <c r="V70" s="93">
        <v>0</v>
      </c>
      <c r="W70" s="93">
        <v>0</v>
      </c>
      <c r="X70" s="92">
        <f t="shared" si="64"/>
        <v>0</v>
      </c>
      <c r="Y70" s="93">
        <v>0</v>
      </c>
      <c r="Z70" s="93">
        <v>0</v>
      </c>
      <c r="AA70" s="92">
        <f t="shared" si="65"/>
        <v>0</v>
      </c>
      <c r="AB70" s="92">
        <f t="shared" si="66"/>
        <v>0</v>
      </c>
      <c r="AC70" s="234">
        <f t="shared" si="67"/>
        <v>0</v>
      </c>
      <c r="AD70" s="92">
        <f t="shared" si="68"/>
        <v>0</v>
      </c>
      <c r="AE70" s="93">
        <v>0</v>
      </c>
      <c r="AF70" s="234">
        <f t="shared" si="69"/>
        <v>0</v>
      </c>
      <c r="AG70" s="93">
        <v>96.4</v>
      </c>
      <c r="AH70" s="93"/>
      <c r="AI70" s="93"/>
      <c r="AJ70" s="93"/>
      <c r="AK70" s="93"/>
      <c r="AL70" s="122">
        <f t="shared" si="70"/>
        <v>4.2239979294280046</v>
      </c>
      <c r="AM70" s="93">
        <v>0</v>
      </c>
      <c r="AN70" s="94">
        <f t="shared" si="53"/>
        <v>0</v>
      </c>
      <c r="AO70" s="95">
        <f t="shared" si="54"/>
        <v>-100.62399792942801</v>
      </c>
      <c r="AP70" s="96"/>
      <c r="AQ70" s="97">
        <f t="shared" si="55"/>
        <v>0</v>
      </c>
      <c r="AR70" s="98">
        <f t="shared" si="56"/>
        <v>117.24</v>
      </c>
      <c r="AS70" s="98">
        <f t="shared" si="57"/>
        <v>0</v>
      </c>
      <c r="AT70" s="98">
        <f t="shared" si="58"/>
        <v>96.4</v>
      </c>
      <c r="AU70" s="98">
        <f t="shared" si="59"/>
        <v>0</v>
      </c>
      <c r="AV70" s="98">
        <f t="array" ref="AV70">_xlfn.IFS(U70=0,AO70,U70&lt;0,AO70/-U70,U70&gt;0,AO70/U70)</f>
        <v>-100.62399792942801</v>
      </c>
      <c r="AW70" s="234">
        <f t="shared" si="49"/>
        <v>0</v>
      </c>
      <c r="AX70" s="234">
        <f t="shared" si="50"/>
        <v>-0.85827360908758121</v>
      </c>
      <c r="AY70" s="99"/>
      <c r="AZ70" s="94">
        <f t="shared" si="60"/>
        <v>-905.61598136485213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52"/>
        <v>20</v>
      </c>
      <c r="F71" s="93">
        <v>3</v>
      </c>
      <c r="G71" s="93">
        <v>1</v>
      </c>
      <c r="H71" s="93">
        <v>15</v>
      </c>
      <c r="I71" s="93">
        <v>0</v>
      </c>
      <c r="J71" s="93">
        <v>1</v>
      </c>
      <c r="K71" s="93">
        <v>123.09</v>
      </c>
      <c r="L71" s="92">
        <f t="shared" si="41"/>
        <v>2461.8000000000002</v>
      </c>
      <c r="M71" s="89">
        <v>92</v>
      </c>
      <c r="N71" s="89">
        <v>7</v>
      </c>
      <c r="O71" s="89">
        <v>807</v>
      </c>
      <c r="P71" s="89">
        <v>0</v>
      </c>
      <c r="Q71" s="233">
        <f t="shared" si="61"/>
        <v>1</v>
      </c>
      <c r="R71" s="92">
        <f t="shared" si="62"/>
        <v>0</v>
      </c>
      <c r="S71" s="93">
        <v>1</v>
      </c>
      <c r="T71" s="93">
        <v>-1</v>
      </c>
      <c r="U71" s="92">
        <f t="shared" si="63"/>
        <v>0</v>
      </c>
      <c r="V71" s="93">
        <v>538</v>
      </c>
      <c r="W71" s="93">
        <v>-538</v>
      </c>
      <c r="X71" s="92">
        <f t="shared" si="64"/>
        <v>0</v>
      </c>
      <c r="Y71" s="93">
        <v>807</v>
      </c>
      <c r="Z71" s="93">
        <v>-807</v>
      </c>
      <c r="AA71" s="92">
        <f t="shared" si="65"/>
        <v>0</v>
      </c>
      <c r="AB71" s="92">
        <f t="shared" si="66"/>
        <v>0</v>
      </c>
      <c r="AC71" s="234">
        <f t="shared" si="67"/>
        <v>0</v>
      </c>
      <c r="AD71" s="92">
        <f t="shared" si="68"/>
        <v>0</v>
      </c>
      <c r="AE71" s="93">
        <v>0</v>
      </c>
      <c r="AF71" s="234">
        <f t="shared" si="69"/>
        <v>0</v>
      </c>
      <c r="AG71" s="93">
        <v>643.65</v>
      </c>
      <c r="AH71" s="93"/>
      <c r="AI71" s="93"/>
      <c r="AJ71" s="93"/>
      <c r="AK71" s="93"/>
      <c r="AL71" s="122">
        <f t="shared" si="70"/>
        <v>10.559994823570012</v>
      </c>
      <c r="AM71" s="93">
        <v>0</v>
      </c>
      <c r="AN71" s="94">
        <f t="shared" si="53"/>
        <v>0</v>
      </c>
      <c r="AO71" s="95">
        <f t="shared" si="54"/>
        <v>-654.20999482357001</v>
      </c>
      <c r="AP71" s="96"/>
      <c r="AQ71" s="97">
        <f t="shared" si="55"/>
        <v>0</v>
      </c>
      <c r="AR71" s="98">
        <f t="shared" si="56"/>
        <v>123.09</v>
      </c>
      <c r="AS71" s="98">
        <f t="shared" si="57"/>
        <v>0</v>
      </c>
      <c r="AT71" s="98">
        <f t="shared" si="58"/>
        <v>643.65</v>
      </c>
      <c r="AU71" s="98">
        <f t="shared" si="59"/>
        <v>0</v>
      </c>
      <c r="AV71" s="98">
        <f t="array" ref="AV71">_xlfn.IFS(U71=0,AO71,U71&lt;0,AO71/-U71,U71&gt;0,AO71/U71)</f>
        <v>-654.20999482357001</v>
      </c>
      <c r="AW71" s="234">
        <f t="shared" si="49"/>
        <v>0</v>
      </c>
      <c r="AX71" s="234">
        <f t="shared" si="50"/>
        <v>-5.314891500719555</v>
      </c>
      <c r="AY71" s="99"/>
      <c r="AZ71" s="94">
        <f t="shared" si="60"/>
        <v>-13084.1998964714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52"/>
        <v>13</v>
      </c>
      <c r="F72" s="93">
        <v>7</v>
      </c>
      <c r="G72" s="93">
        <v>1</v>
      </c>
      <c r="H72" s="93">
        <v>4</v>
      </c>
      <c r="I72" s="93">
        <v>0</v>
      </c>
      <c r="J72" s="93">
        <v>1</v>
      </c>
      <c r="K72" s="93">
        <v>123.09</v>
      </c>
      <c r="L72" s="92">
        <f t="shared" si="41"/>
        <v>1600.17</v>
      </c>
      <c r="M72" s="89">
        <v>38</v>
      </c>
      <c r="N72" s="89">
        <v>7</v>
      </c>
      <c r="O72" s="89">
        <v>837</v>
      </c>
      <c r="P72" s="89">
        <v>0</v>
      </c>
      <c r="Q72" s="233">
        <f t="shared" si="61"/>
        <v>1</v>
      </c>
      <c r="R72" s="92">
        <f t="shared" si="62"/>
        <v>0.14285714285714285</v>
      </c>
      <c r="S72" s="93">
        <v>1</v>
      </c>
      <c r="T72" s="93">
        <v>0</v>
      </c>
      <c r="U72" s="92">
        <f t="shared" si="63"/>
        <v>1</v>
      </c>
      <c r="V72" s="93">
        <v>557</v>
      </c>
      <c r="W72" s="93">
        <v>0</v>
      </c>
      <c r="X72" s="92">
        <f t="shared" si="64"/>
        <v>557</v>
      </c>
      <c r="Y72" s="93">
        <v>837</v>
      </c>
      <c r="Z72" s="93">
        <v>0</v>
      </c>
      <c r="AA72" s="92">
        <f t="shared" si="65"/>
        <v>837</v>
      </c>
      <c r="AB72" s="92">
        <f t="shared" si="66"/>
        <v>0</v>
      </c>
      <c r="AC72" s="234">
        <f t="shared" si="67"/>
        <v>6.2814828370076343E-4</v>
      </c>
      <c r="AD72" s="92">
        <f t="shared" si="68"/>
        <v>123.09</v>
      </c>
      <c r="AE72" s="93">
        <v>313.14</v>
      </c>
      <c r="AF72" s="234">
        <f t="shared" si="69"/>
        <v>0.37412186379928314</v>
      </c>
      <c r="AG72" s="93">
        <v>354.45</v>
      </c>
      <c r="AH72" s="93"/>
      <c r="AI72" s="93"/>
      <c r="AJ72" s="93"/>
      <c r="AK72" s="93"/>
      <c r="AL72" s="122">
        <f t="shared" si="70"/>
        <v>2.8159986196186697</v>
      </c>
      <c r="AM72" s="93">
        <v>0</v>
      </c>
      <c r="AN72" s="94">
        <f t="shared" si="53"/>
        <v>31.8047</v>
      </c>
      <c r="AO72" s="95">
        <f t="shared" si="54"/>
        <v>11.699301380381325</v>
      </c>
      <c r="AP72" s="96"/>
      <c r="AQ72" s="97">
        <f t="shared" si="55"/>
        <v>837</v>
      </c>
      <c r="AR72" s="98">
        <f t="shared" si="56"/>
        <v>123.09</v>
      </c>
      <c r="AS72" s="98">
        <f t="shared" si="57"/>
        <v>313.14</v>
      </c>
      <c r="AT72" s="98">
        <f t="shared" si="58"/>
        <v>354.45</v>
      </c>
      <c r="AU72" s="98">
        <f t="shared" si="59"/>
        <v>0</v>
      </c>
      <c r="AV72" s="98">
        <f t="array" ref="AV72">_xlfn.IFS(U72=0,AO72,U72&lt;0,AO72/-U72,U72&gt;0,AO72/U72)</f>
        <v>11.699301380381325</v>
      </c>
      <c r="AW72" s="234">
        <f t="shared" si="49"/>
        <v>1.3977659952665859E-2</v>
      </c>
      <c r="AX72" s="234">
        <f t="shared" si="50"/>
        <v>9.5046725001066895E-2</v>
      </c>
      <c r="AY72" s="99"/>
      <c r="AZ72" s="94">
        <f t="shared" si="60"/>
        <v>152.09091794495723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52"/>
        <v>16</v>
      </c>
      <c r="F73" s="93">
        <v>3</v>
      </c>
      <c r="G73" s="93">
        <v>1</v>
      </c>
      <c r="H73" s="93">
        <v>11</v>
      </c>
      <c r="I73" s="93">
        <v>0</v>
      </c>
      <c r="J73" s="93">
        <v>1</v>
      </c>
      <c r="K73" s="93">
        <v>123.09</v>
      </c>
      <c r="L73" s="92">
        <f t="shared" si="41"/>
        <v>1969.44</v>
      </c>
      <c r="M73" s="89">
        <v>54</v>
      </c>
      <c r="N73" s="89">
        <v>4</v>
      </c>
      <c r="O73" s="89">
        <v>807</v>
      </c>
      <c r="P73" s="89">
        <v>0</v>
      </c>
      <c r="Q73" s="233">
        <f t="shared" si="61"/>
        <v>0.5714285714285714</v>
      </c>
      <c r="R73" s="92">
        <f t="shared" si="62"/>
        <v>0</v>
      </c>
      <c r="S73" s="93">
        <v>0</v>
      </c>
      <c r="T73" s="93">
        <v>0</v>
      </c>
      <c r="U73" s="92">
        <f t="shared" si="63"/>
        <v>0</v>
      </c>
      <c r="V73" s="93">
        <v>0</v>
      </c>
      <c r="W73" s="93">
        <v>0</v>
      </c>
      <c r="X73" s="92">
        <f t="shared" si="64"/>
        <v>0</v>
      </c>
      <c r="Y73" s="93">
        <v>0</v>
      </c>
      <c r="Z73" s="93">
        <v>0</v>
      </c>
      <c r="AA73" s="92">
        <f t="shared" si="65"/>
        <v>0</v>
      </c>
      <c r="AB73" s="92">
        <f t="shared" si="66"/>
        <v>0</v>
      </c>
      <c r="AC73" s="234">
        <f t="shared" si="67"/>
        <v>0</v>
      </c>
      <c r="AD73" s="92">
        <f t="shared" si="68"/>
        <v>0</v>
      </c>
      <c r="AE73" s="93">
        <v>0</v>
      </c>
      <c r="AF73" s="234">
        <f t="shared" si="69"/>
        <v>0</v>
      </c>
      <c r="AG73" s="93">
        <v>308.05</v>
      </c>
      <c r="AH73" s="93"/>
      <c r="AI73" s="93"/>
      <c r="AJ73" s="93"/>
      <c r="AK73" s="93"/>
      <c r="AL73" s="122">
        <f t="shared" si="70"/>
        <v>7.7439962039513421</v>
      </c>
      <c r="AM73" s="93">
        <v>0</v>
      </c>
      <c r="AN73" s="94">
        <f t="shared" si="53"/>
        <v>0</v>
      </c>
      <c r="AO73" s="95">
        <f t="shared" si="54"/>
        <v>-315.79399620395134</v>
      </c>
      <c r="AP73" s="96"/>
      <c r="AQ73" s="97">
        <f t="shared" si="55"/>
        <v>0</v>
      </c>
      <c r="AR73" s="98">
        <f t="shared" si="56"/>
        <v>123.09</v>
      </c>
      <c r="AS73" s="98">
        <f t="shared" si="57"/>
        <v>0</v>
      </c>
      <c r="AT73" s="98">
        <f t="shared" si="58"/>
        <v>308.05</v>
      </c>
      <c r="AU73" s="98">
        <f t="shared" si="59"/>
        <v>0</v>
      </c>
      <c r="AV73" s="98">
        <f t="array" ref="AV73">_xlfn.IFS(U73=0,AO73,U73&lt;0,AO73/-U73,U73&gt;0,AO73/U73)</f>
        <v>-315.79399620395134</v>
      </c>
      <c r="AW73" s="234">
        <f t="shared" si="49"/>
        <v>0</v>
      </c>
      <c r="AX73" s="234">
        <f t="shared" si="50"/>
        <v>-2.5655536290840142</v>
      </c>
      <c r="AY73" s="99"/>
      <c r="AZ73" s="94">
        <f t="shared" si="60"/>
        <v>-5052.7039392632214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52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1"/>
        <v>404.37</v>
      </c>
      <c r="M74" s="89">
        <v>13</v>
      </c>
      <c r="N74" s="89">
        <v>1</v>
      </c>
      <c r="O74" s="89">
        <v>781</v>
      </c>
      <c r="P74" s="89">
        <v>0</v>
      </c>
      <c r="Q74" s="233">
        <f t="shared" si="61"/>
        <v>0.14285714285714285</v>
      </c>
      <c r="R74" s="92">
        <f t="shared" si="62"/>
        <v>0</v>
      </c>
      <c r="S74" s="93">
        <v>0</v>
      </c>
      <c r="T74" s="93">
        <v>0</v>
      </c>
      <c r="U74" s="92">
        <f t="shared" si="63"/>
        <v>0</v>
      </c>
      <c r="V74" s="93">
        <v>0</v>
      </c>
      <c r="W74" s="93">
        <v>0</v>
      </c>
      <c r="X74" s="92">
        <f t="shared" si="64"/>
        <v>0</v>
      </c>
      <c r="Y74" s="93">
        <v>0</v>
      </c>
      <c r="Z74" s="93">
        <v>0</v>
      </c>
      <c r="AA74" s="92">
        <f t="shared" si="65"/>
        <v>0</v>
      </c>
      <c r="AB74" s="92">
        <f t="shared" si="66"/>
        <v>0</v>
      </c>
      <c r="AC74" s="234">
        <f t="shared" si="67"/>
        <v>0</v>
      </c>
      <c r="AD74" s="92">
        <f t="shared" si="68"/>
        <v>0</v>
      </c>
      <c r="AE74" s="93">
        <v>0</v>
      </c>
      <c r="AF74" s="234">
        <f t="shared" si="69"/>
        <v>0</v>
      </c>
      <c r="AG74" s="93">
        <v>0</v>
      </c>
      <c r="AH74" s="93"/>
      <c r="AI74" s="93"/>
      <c r="AJ74" s="93"/>
      <c r="AK74" s="93"/>
      <c r="AL74" s="122">
        <f t="shared" si="70"/>
        <v>0</v>
      </c>
      <c r="AM74" s="93">
        <v>0</v>
      </c>
      <c r="AN74" s="94">
        <f t="shared" si="53"/>
        <v>0</v>
      </c>
      <c r="AO74" s="95">
        <f t="shared" si="54"/>
        <v>0</v>
      </c>
      <c r="AP74" s="96"/>
      <c r="AQ74" s="97">
        <f t="shared" si="55"/>
        <v>0</v>
      </c>
      <c r="AR74" s="98">
        <f t="shared" si="56"/>
        <v>134.79</v>
      </c>
      <c r="AS74" s="98">
        <f t="shared" si="57"/>
        <v>0</v>
      </c>
      <c r="AT74" s="98">
        <f t="shared" si="58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9"/>
        <v>0</v>
      </c>
      <c r="AX74" s="234">
        <f t="shared" si="50"/>
        <v>0</v>
      </c>
      <c r="AY74" s="99"/>
      <c r="AZ74" s="94">
        <f t="shared" si="60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52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1"/>
        <v>4313.28</v>
      </c>
      <c r="M75" s="89">
        <v>999</v>
      </c>
      <c r="N75" s="89">
        <v>1</v>
      </c>
      <c r="O75" s="89">
        <v>763</v>
      </c>
      <c r="P75" s="89">
        <v>100</v>
      </c>
      <c r="Q75" s="233">
        <f t="shared" si="61"/>
        <v>0.14285714285714285</v>
      </c>
      <c r="R75" s="92">
        <f t="shared" si="62"/>
        <v>0.2857142857142857</v>
      </c>
      <c r="S75" s="93">
        <v>2</v>
      </c>
      <c r="T75" s="93">
        <v>0</v>
      </c>
      <c r="U75" s="92">
        <f t="shared" si="63"/>
        <v>2</v>
      </c>
      <c r="V75" s="93">
        <v>926</v>
      </c>
      <c r="W75" s="93">
        <v>0</v>
      </c>
      <c r="X75" s="92">
        <f t="shared" si="64"/>
        <v>926</v>
      </c>
      <c r="Y75" s="93">
        <v>1480.22</v>
      </c>
      <c r="Z75" s="93">
        <v>0</v>
      </c>
      <c r="AA75" s="92">
        <f t="shared" si="65"/>
        <v>1480.22</v>
      </c>
      <c r="AB75" s="92">
        <f t="shared" si="66"/>
        <v>763</v>
      </c>
      <c r="AC75" s="234">
        <f t="shared" si="67"/>
        <v>1.1108693578250229E-3</v>
      </c>
      <c r="AD75" s="92">
        <f t="shared" si="68"/>
        <v>269.58</v>
      </c>
      <c r="AE75" s="93">
        <v>551.86</v>
      </c>
      <c r="AF75" s="234">
        <f t="shared" si="69"/>
        <v>0.3728229587493751</v>
      </c>
      <c r="AG75" s="93">
        <v>207.06</v>
      </c>
      <c r="AH75" s="93"/>
      <c r="AI75" s="93"/>
      <c r="AJ75" s="93"/>
      <c r="AK75" s="93"/>
      <c r="AL75" s="122">
        <f t="shared" si="70"/>
        <v>0</v>
      </c>
      <c r="AM75" s="93">
        <v>0</v>
      </c>
      <c r="AN75" s="94">
        <f t="shared" si="53"/>
        <v>52.874600000000001</v>
      </c>
      <c r="AO75" s="95">
        <f t="shared" si="54"/>
        <v>398.8454000000001</v>
      </c>
      <c r="AP75" s="96"/>
      <c r="AQ75" s="97">
        <f t="shared" si="55"/>
        <v>740.11</v>
      </c>
      <c r="AR75" s="98">
        <f t="shared" si="56"/>
        <v>134.79</v>
      </c>
      <c r="AS75" s="98">
        <f t="shared" si="57"/>
        <v>275.93</v>
      </c>
      <c r="AT75" s="98">
        <f t="shared" si="58"/>
        <v>103.53</v>
      </c>
      <c r="AU75" s="98">
        <f t="shared" si="59"/>
        <v>0</v>
      </c>
      <c r="AV75" s="98">
        <f t="array" ref="AV75">_xlfn.IFS(U75=0,AO75,U75&lt;0,AO75/-U75,U75&gt;0,AO75/U75)</f>
        <v>199.42270000000005</v>
      </c>
      <c r="AW75" s="234">
        <f t="shared" si="49"/>
        <v>0.26945008174460561</v>
      </c>
      <c r="AX75" s="234">
        <f t="shared" si="50"/>
        <v>1.4795066399584544</v>
      </c>
      <c r="AY75" s="99"/>
      <c r="AZ75" s="94">
        <f t="shared" si="60"/>
        <v>6381.5264000000016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52"/>
        <v>51</v>
      </c>
      <c r="F76" s="93">
        <v>2</v>
      </c>
      <c r="G76" s="93" t="s">
        <v>100</v>
      </c>
      <c r="H76" s="93">
        <v>48</v>
      </c>
      <c r="I76" s="93">
        <v>0</v>
      </c>
      <c r="J76" s="93">
        <v>1</v>
      </c>
      <c r="K76" s="93">
        <v>123.09</v>
      </c>
      <c r="L76" s="92">
        <f t="shared" si="41"/>
        <v>6277.59</v>
      </c>
      <c r="M76" s="89">
        <v>498</v>
      </c>
      <c r="N76" s="89">
        <v>3</v>
      </c>
      <c r="O76" s="89">
        <v>1050</v>
      </c>
      <c r="P76" s="89">
        <v>0</v>
      </c>
      <c r="Q76" s="233">
        <f t="shared" si="61"/>
        <v>0.42857142857142855</v>
      </c>
      <c r="R76" s="92">
        <f t="shared" si="62"/>
        <v>0</v>
      </c>
      <c r="S76" s="93">
        <v>0</v>
      </c>
      <c r="T76" s="93">
        <v>0</v>
      </c>
      <c r="U76" s="92">
        <f t="shared" si="63"/>
        <v>0</v>
      </c>
      <c r="V76" s="93">
        <v>0</v>
      </c>
      <c r="W76" s="93">
        <v>0</v>
      </c>
      <c r="X76" s="92">
        <f t="shared" si="64"/>
        <v>0</v>
      </c>
      <c r="Y76" s="93">
        <v>0</v>
      </c>
      <c r="Z76" s="93">
        <v>0</v>
      </c>
      <c r="AA76" s="92">
        <f t="shared" si="65"/>
        <v>0</v>
      </c>
      <c r="AB76" s="92">
        <f t="shared" si="66"/>
        <v>0</v>
      </c>
      <c r="AC76" s="234">
        <f t="shared" si="67"/>
        <v>0</v>
      </c>
      <c r="AD76" s="92">
        <f t="shared" si="68"/>
        <v>0</v>
      </c>
      <c r="AE76" s="93">
        <v>0</v>
      </c>
      <c r="AF76" s="234">
        <f t="shared" si="69"/>
        <v>0</v>
      </c>
      <c r="AG76" s="93">
        <v>108</v>
      </c>
      <c r="AH76" s="93"/>
      <c r="AI76" s="93"/>
      <c r="AJ76" s="93"/>
      <c r="AK76" s="93"/>
      <c r="AL76" s="122">
        <f t="shared" si="70"/>
        <v>33.791983435424036</v>
      </c>
      <c r="AM76" s="93">
        <v>0</v>
      </c>
      <c r="AN76" s="94">
        <f t="shared" si="53"/>
        <v>0</v>
      </c>
      <c r="AO76" s="95">
        <f t="shared" si="54"/>
        <v>-141.79198343542404</v>
      </c>
      <c r="AP76" s="96"/>
      <c r="AQ76" s="97">
        <f t="shared" si="55"/>
        <v>0</v>
      </c>
      <c r="AR76" s="98">
        <f t="shared" si="56"/>
        <v>123.09</v>
      </c>
      <c r="AS76" s="98">
        <f t="shared" si="57"/>
        <v>0</v>
      </c>
      <c r="AT76" s="98">
        <f t="shared" si="58"/>
        <v>108</v>
      </c>
      <c r="AU76" s="98">
        <f t="shared" si="59"/>
        <v>0</v>
      </c>
      <c r="AV76" s="98">
        <f t="array" ref="AV76">_xlfn.IFS(U76=0,AO76,U76&lt;0,AO76/-U76,U76&gt;0,AO76/U76)</f>
        <v>-141.79198343542404</v>
      </c>
      <c r="AW76" s="234">
        <f t="shared" si="49"/>
        <v>0</v>
      </c>
      <c r="AX76" s="234">
        <f t="shared" si="50"/>
        <v>-1.1519374720564144</v>
      </c>
      <c r="AY76" s="99"/>
      <c r="AZ76" s="94">
        <f t="shared" si="60"/>
        <v>-7231.3911552066265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52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1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61"/>
        <v>0</v>
      </c>
      <c r="R77" s="92">
        <f t="shared" si="62"/>
        <v>0</v>
      </c>
      <c r="S77" s="93">
        <v>0</v>
      </c>
      <c r="T77" s="93">
        <v>0</v>
      </c>
      <c r="U77" s="92">
        <f t="shared" si="63"/>
        <v>0</v>
      </c>
      <c r="V77" s="93">
        <v>0</v>
      </c>
      <c r="W77" s="93">
        <v>0</v>
      </c>
      <c r="X77" s="92">
        <f t="shared" si="64"/>
        <v>0</v>
      </c>
      <c r="Y77" s="93">
        <v>0</v>
      </c>
      <c r="Z77" s="93">
        <v>0</v>
      </c>
      <c r="AA77" s="92">
        <f t="shared" si="65"/>
        <v>0</v>
      </c>
      <c r="AB77" s="92">
        <f t="shared" si="66"/>
        <v>0</v>
      </c>
      <c r="AC77" s="234">
        <f t="shared" si="67"/>
        <v>0</v>
      </c>
      <c r="AD77" s="92">
        <f t="shared" si="68"/>
        <v>0</v>
      </c>
      <c r="AE77" s="93">
        <v>0</v>
      </c>
      <c r="AF77" s="234">
        <f t="shared" si="69"/>
        <v>0</v>
      </c>
      <c r="AG77" s="93">
        <v>0</v>
      </c>
      <c r="AH77" s="93"/>
      <c r="AI77" s="93"/>
      <c r="AJ77" s="93"/>
      <c r="AK77" s="93"/>
      <c r="AL77" s="122">
        <f t="shared" si="70"/>
        <v>27.45598654128203</v>
      </c>
      <c r="AM77" s="93">
        <v>0</v>
      </c>
      <c r="AN77" s="94">
        <f t="shared" si="53"/>
        <v>0</v>
      </c>
      <c r="AO77" s="95">
        <f t="shared" si="54"/>
        <v>-27.45598654128203</v>
      </c>
      <c r="AP77" s="96"/>
      <c r="AQ77" s="97">
        <f t="shared" si="55"/>
        <v>0</v>
      </c>
      <c r="AR77" s="98">
        <f t="shared" si="56"/>
        <v>123.09</v>
      </c>
      <c r="AS77" s="98">
        <f t="shared" si="57"/>
        <v>0</v>
      </c>
      <c r="AT77" s="98">
        <f t="shared" si="58"/>
        <v>0</v>
      </c>
      <c r="AU77" s="98">
        <f t="shared" si="59"/>
        <v>0</v>
      </c>
      <c r="AV77" s="98">
        <f t="array" ref="AV77">_xlfn.IFS(U77=0,AO77,U77&lt;0,AO77/-U77,U77&gt;0,AO77/U77)</f>
        <v>-27.45598654128203</v>
      </c>
      <c r="AW77" s="234">
        <f t="shared" si="49"/>
        <v>0</v>
      </c>
      <c r="AX77" s="234">
        <f t="shared" si="50"/>
        <v>-0.22305619092763043</v>
      </c>
      <c r="AY77" s="99"/>
      <c r="AZ77" s="94">
        <f t="shared" si="60"/>
        <v>-1180.6074212751273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52"/>
        <v>28</v>
      </c>
      <c r="F78" s="93">
        <v>3</v>
      </c>
      <c r="G78" s="93" t="s">
        <v>100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1"/>
        <v>3446.52</v>
      </c>
      <c r="M78" s="89">
        <v>139</v>
      </c>
      <c r="N78" s="89">
        <v>5</v>
      </c>
      <c r="O78" s="89">
        <v>1150</v>
      </c>
      <c r="P78" s="89">
        <v>100</v>
      </c>
      <c r="Q78" s="233">
        <f t="shared" si="61"/>
        <v>0.7142857142857143</v>
      </c>
      <c r="R78" s="92">
        <f t="shared" si="62"/>
        <v>0.2857142857142857</v>
      </c>
      <c r="S78" s="93">
        <v>2</v>
      </c>
      <c r="T78" s="93">
        <v>0</v>
      </c>
      <c r="U78" s="92">
        <f t="shared" si="63"/>
        <v>2</v>
      </c>
      <c r="V78" s="93">
        <v>1467</v>
      </c>
      <c r="W78" s="93">
        <v>0</v>
      </c>
      <c r="X78" s="92">
        <f t="shared" si="64"/>
        <v>1467</v>
      </c>
      <c r="Y78" s="93">
        <v>2300</v>
      </c>
      <c r="Z78" s="93">
        <v>0</v>
      </c>
      <c r="AA78" s="92">
        <f t="shared" si="65"/>
        <v>2300</v>
      </c>
      <c r="AB78" s="92">
        <f t="shared" si="66"/>
        <v>5750</v>
      </c>
      <c r="AC78" s="234">
        <f t="shared" si="67"/>
        <v>1.7260944474453475E-3</v>
      </c>
      <c r="AD78" s="92">
        <f t="shared" si="68"/>
        <v>246.18</v>
      </c>
      <c r="AE78" s="93">
        <v>863.97</v>
      </c>
      <c r="AF78" s="234">
        <f t="shared" si="69"/>
        <v>0.37563913043478264</v>
      </c>
      <c r="AG78" s="93">
        <v>332</v>
      </c>
      <c r="AH78" s="93"/>
      <c r="AI78" s="93"/>
      <c r="AJ78" s="93"/>
      <c r="AK78" s="93"/>
      <c r="AL78" s="122">
        <f t="shared" si="70"/>
        <v>16.895991717712018</v>
      </c>
      <c r="AM78" s="93">
        <v>0</v>
      </c>
      <c r="AN78" s="94">
        <f t="shared" si="53"/>
        <v>83.765699999999995</v>
      </c>
      <c r="AO78" s="95">
        <f t="shared" si="54"/>
        <v>757.18830828228806</v>
      </c>
      <c r="AP78" s="96"/>
      <c r="AQ78" s="97">
        <f t="shared" si="55"/>
        <v>1150</v>
      </c>
      <c r="AR78" s="98">
        <f t="shared" si="56"/>
        <v>123.09</v>
      </c>
      <c r="AS78" s="98">
        <f t="shared" si="57"/>
        <v>431.98500000000001</v>
      </c>
      <c r="AT78" s="98">
        <f t="shared" si="58"/>
        <v>166</v>
      </c>
      <c r="AU78" s="98">
        <f t="shared" si="59"/>
        <v>0</v>
      </c>
      <c r="AV78" s="98">
        <f t="array" ref="AV78">_xlfn.IFS(U78=0,AO78,U78&lt;0,AO78/-U78,U78&gt;0,AO78/U78)</f>
        <v>378.59415414114403</v>
      </c>
      <c r="AW78" s="234">
        <f t="shared" si="49"/>
        <v>0.32921230794882089</v>
      </c>
      <c r="AX78" s="234">
        <f t="shared" si="50"/>
        <v>3.0757507038845073</v>
      </c>
      <c r="AY78" s="99"/>
      <c r="AZ78" s="94">
        <f t="shared" si="60"/>
        <v>10600.636315952033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52"/>
        <v>51</v>
      </c>
      <c r="F79" s="93" t="s">
        <v>100</v>
      </c>
      <c r="G79" s="93" t="s">
        <v>100</v>
      </c>
      <c r="H79" s="93">
        <v>50</v>
      </c>
      <c r="I79" s="93">
        <v>0</v>
      </c>
      <c r="J79" s="93">
        <v>1</v>
      </c>
      <c r="K79" s="93">
        <v>164.04</v>
      </c>
      <c r="L79" s="92">
        <f t="shared" si="41"/>
        <v>8366.0399999999991</v>
      </c>
      <c r="M79" s="89">
        <v>999</v>
      </c>
      <c r="N79" s="89">
        <v>0</v>
      </c>
      <c r="O79" s="89">
        <v>0</v>
      </c>
      <c r="P79" s="89">
        <v>0</v>
      </c>
      <c r="Q79" s="233">
        <f t="shared" si="61"/>
        <v>0</v>
      </c>
      <c r="R79" s="92">
        <f t="shared" si="62"/>
        <v>0</v>
      </c>
      <c r="S79" s="93">
        <v>0</v>
      </c>
      <c r="T79" s="93">
        <v>0</v>
      </c>
      <c r="U79" s="92">
        <f t="shared" si="63"/>
        <v>0</v>
      </c>
      <c r="V79" s="93">
        <v>0</v>
      </c>
      <c r="W79" s="93">
        <v>0</v>
      </c>
      <c r="X79" s="92">
        <f t="shared" si="64"/>
        <v>0</v>
      </c>
      <c r="Y79" s="93">
        <v>0</v>
      </c>
      <c r="Z79" s="93">
        <v>0</v>
      </c>
      <c r="AA79" s="92">
        <f t="shared" si="65"/>
        <v>0</v>
      </c>
      <c r="AB79" s="92">
        <f t="shared" si="66"/>
        <v>0</v>
      </c>
      <c r="AC79" s="234">
        <f t="shared" si="67"/>
        <v>0</v>
      </c>
      <c r="AD79" s="92">
        <f t="shared" si="68"/>
        <v>0</v>
      </c>
      <c r="AE79" s="93">
        <v>0</v>
      </c>
      <c r="AF79" s="234">
        <f t="shared" si="69"/>
        <v>0</v>
      </c>
      <c r="AG79" s="93">
        <v>216</v>
      </c>
      <c r="AH79" s="93"/>
      <c r="AI79" s="93"/>
      <c r="AJ79" s="93"/>
      <c r="AK79" s="93"/>
      <c r="AL79" s="122">
        <f t="shared" si="70"/>
        <v>35.19998274523337</v>
      </c>
      <c r="AM79" s="93">
        <v>0</v>
      </c>
      <c r="AN79" s="94">
        <f t="shared" si="53"/>
        <v>0</v>
      </c>
      <c r="AO79" s="95">
        <f t="shared" si="54"/>
        <v>-251.19998274523337</v>
      </c>
      <c r="AP79" s="96"/>
      <c r="AQ79" s="97">
        <f t="shared" si="55"/>
        <v>0</v>
      </c>
      <c r="AR79" s="98">
        <f t="shared" si="56"/>
        <v>164.04</v>
      </c>
      <c r="AS79" s="98">
        <f t="shared" si="57"/>
        <v>0</v>
      </c>
      <c r="AT79" s="98">
        <f t="shared" si="58"/>
        <v>216</v>
      </c>
      <c r="AU79" s="98">
        <f t="shared" si="59"/>
        <v>0</v>
      </c>
      <c r="AV79" s="98">
        <f t="array" ref="AV79">_xlfn.IFS(U79=0,AO79,U79&lt;0,AO79/-U79,U79&gt;0,AO79/U79)</f>
        <v>-251.19998274523337</v>
      </c>
      <c r="AW79" s="234">
        <f t="shared" si="49"/>
        <v>0</v>
      </c>
      <c r="AX79" s="234">
        <f t="shared" si="50"/>
        <v>-1.5313337158329272</v>
      </c>
      <c r="AY79" s="99"/>
      <c r="AZ79" s="94">
        <f t="shared" si="60"/>
        <v>-12811.199120006902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52"/>
        <v>50</v>
      </c>
      <c r="F80" s="93">
        <v>6</v>
      </c>
      <c r="G80" s="93">
        <v>2</v>
      </c>
      <c r="H80" s="93">
        <v>41</v>
      </c>
      <c r="I80" s="93">
        <v>0</v>
      </c>
      <c r="J80" s="93">
        <v>1</v>
      </c>
      <c r="K80" s="93">
        <v>164.04</v>
      </c>
      <c r="L80" s="92">
        <f t="shared" si="41"/>
        <v>8202</v>
      </c>
      <c r="M80" s="89">
        <v>183</v>
      </c>
      <c r="N80" s="89">
        <v>8</v>
      </c>
      <c r="O80" s="89">
        <v>1260</v>
      </c>
      <c r="P80" s="89">
        <v>0</v>
      </c>
      <c r="Q80" s="233">
        <f t="shared" si="61"/>
        <v>1.1428571428571428</v>
      </c>
      <c r="R80" s="92">
        <f t="shared" si="62"/>
        <v>0</v>
      </c>
      <c r="S80" s="93">
        <v>0</v>
      </c>
      <c r="T80" s="93">
        <v>0</v>
      </c>
      <c r="U80" s="92">
        <f t="shared" si="63"/>
        <v>0</v>
      </c>
      <c r="V80" s="93">
        <v>0</v>
      </c>
      <c r="W80" s="93">
        <v>0</v>
      </c>
      <c r="X80" s="92">
        <f t="shared" si="64"/>
        <v>0</v>
      </c>
      <c r="Y80" s="93">
        <v>0</v>
      </c>
      <c r="Z80" s="93">
        <v>0</v>
      </c>
      <c r="AA80" s="92">
        <f t="shared" si="65"/>
        <v>0</v>
      </c>
      <c r="AB80" s="92">
        <f t="shared" si="66"/>
        <v>0</v>
      </c>
      <c r="AC80" s="234">
        <f t="shared" si="67"/>
        <v>0</v>
      </c>
      <c r="AD80" s="92">
        <f t="shared" si="68"/>
        <v>0</v>
      </c>
      <c r="AE80" s="93">
        <v>0</v>
      </c>
      <c r="AF80" s="234">
        <f t="shared" si="69"/>
        <v>0</v>
      </c>
      <c r="AG80" s="93">
        <v>216</v>
      </c>
      <c r="AH80" s="93">
        <v>2000</v>
      </c>
      <c r="AI80" s="93">
        <v>1501</v>
      </c>
      <c r="AJ80" s="93"/>
      <c r="AK80" s="93"/>
      <c r="AL80" s="122">
        <f t="shared" si="70"/>
        <v>28.863985851091364</v>
      </c>
      <c r="AM80" s="93">
        <v>0</v>
      </c>
      <c r="AN80" s="94">
        <f t="shared" si="53"/>
        <v>0</v>
      </c>
      <c r="AO80" s="95">
        <f t="shared" si="54"/>
        <v>-3745.8639858510915</v>
      </c>
      <c r="AP80" s="96"/>
      <c r="AQ80" s="97">
        <f t="shared" si="55"/>
        <v>0</v>
      </c>
      <c r="AR80" s="98">
        <f t="shared" si="56"/>
        <v>164.04</v>
      </c>
      <c r="AS80" s="98">
        <f t="shared" si="57"/>
        <v>0</v>
      </c>
      <c r="AT80" s="98">
        <f t="shared" si="58"/>
        <v>216</v>
      </c>
      <c r="AU80" s="98">
        <f t="shared" si="59"/>
        <v>0</v>
      </c>
      <c r="AV80" s="98">
        <f t="array" ref="AV80">_xlfn.IFS(U80=0,AO80,U80&lt;0,AO80/-U80,U80&gt;0,AO80/U80)</f>
        <v>-3745.8639858510915</v>
      </c>
      <c r="AW80" s="234">
        <f t="shared" si="49"/>
        <v>0</v>
      </c>
      <c r="AX80" s="234">
        <f t="shared" si="50"/>
        <v>-22.835064532132964</v>
      </c>
      <c r="AY80" s="99"/>
      <c r="AZ80" s="94">
        <f t="shared" si="60"/>
        <v>-187293.19929255458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52"/>
        <v>49</v>
      </c>
      <c r="F81" s="93">
        <v>7</v>
      </c>
      <c r="G81" s="93">
        <v>2</v>
      </c>
      <c r="H81" s="93">
        <v>39</v>
      </c>
      <c r="I81" s="93">
        <v>0</v>
      </c>
      <c r="J81" s="93">
        <v>1</v>
      </c>
      <c r="K81" s="93">
        <v>128.94</v>
      </c>
      <c r="L81" s="92">
        <f t="shared" si="41"/>
        <v>6318.0599999999995</v>
      </c>
      <c r="M81" s="89">
        <v>144</v>
      </c>
      <c r="N81" s="89">
        <v>8</v>
      </c>
      <c r="O81" s="89">
        <v>1271</v>
      </c>
      <c r="P81" s="89">
        <v>100</v>
      </c>
      <c r="Q81" s="233">
        <f t="shared" si="61"/>
        <v>1.1428571428571428</v>
      </c>
      <c r="R81" s="92">
        <f t="shared" si="62"/>
        <v>0.14285714285714285</v>
      </c>
      <c r="S81" s="93">
        <v>1</v>
      </c>
      <c r="T81" s="93">
        <v>0</v>
      </c>
      <c r="U81" s="92">
        <f t="shared" si="63"/>
        <v>1</v>
      </c>
      <c r="V81" s="93">
        <v>774</v>
      </c>
      <c r="W81" s="93">
        <v>0</v>
      </c>
      <c r="X81" s="92">
        <f t="shared" si="64"/>
        <v>774</v>
      </c>
      <c r="Y81" s="93">
        <v>1271</v>
      </c>
      <c r="Z81" s="93">
        <v>0</v>
      </c>
      <c r="AA81" s="92">
        <f t="shared" si="65"/>
        <v>1271</v>
      </c>
      <c r="AB81" s="92">
        <f t="shared" si="66"/>
        <v>10168</v>
      </c>
      <c r="AC81" s="234">
        <f t="shared" si="67"/>
        <v>9.5385480117523343E-4</v>
      </c>
      <c r="AD81" s="92">
        <f t="shared" si="68"/>
        <v>128.94</v>
      </c>
      <c r="AE81" s="93">
        <v>473.17999999999995</v>
      </c>
      <c r="AF81" s="234">
        <f t="shared" si="69"/>
        <v>0.37228953579858376</v>
      </c>
      <c r="AG81" s="93">
        <v>166</v>
      </c>
      <c r="AH81" s="93">
        <v>2000</v>
      </c>
      <c r="AI81" s="93">
        <v>2000</v>
      </c>
      <c r="AJ81" s="93"/>
      <c r="AK81" s="93"/>
      <c r="AL81" s="122">
        <f t="shared" si="70"/>
        <v>27.45598654128203</v>
      </c>
      <c r="AM81" s="93">
        <v>0</v>
      </c>
      <c r="AN81" s="94">
        <f t="shared" si="53"/>
        <v>44.195399999999999</v>
      </c>
      <c r="AO81" s="95">
        <f t="shared" si="54"/>
        <v>-3568.771386541282</v>
      </c>
      <c r="AP81" s="96"/>
      <c r="AQ81" s="97">
        <f t="shared" si="55"/>
        <v>1271</v>
      </c>
      <c r="AR81" s="98">
        <f t="shared" si="56"/>
        <v>128.94</v>
      </c>
      <c r="AS81" s="98">
        <f t="shared" si="57"/>
        <v>473.17999999999995</v>
      </c>
      <c r="AT81" s="98">
        <f t="shared" si="58"/>
        <v>166</v>
      </c>
      <c r="AU81" s="98">
        <f t="shared" si="59"/>
        <v>4000</v>
      </c>
      <c r="AV81" s="98">
        <f t="array" ref="AV81">_xlfn.IFS(U81=0,AO81,U81&lt;0,AO81/-U81,U81&gt;0,AO81/U81)</f>
        <v>-3568.771386541282</v>
      </c>
      <c r="AW81" s="234">
        <f t="shared" si="49"/>
        <v>-2.8078453080576571</v>
      </c>
      <c r="AX81" s="234">
        <f t="shared" si="50"/>
        <v>-27.677767849707475</v>
      </c>
      <c r="AY81" s="99"/>
      <c r="AZ81" s="94">
        <f t="shared" si="60"/>
        <v>-174869.79794052281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52"/>
        <v>50</v>
      </c>
      <c r="F82" s="93">
        <v>2</v>
      </c>
      <c r="G82" s="93" t="s">
        <v>100</v>
      </c>
      <c r="H82" s="93">
        <v>47</v>
      </c>
      <c r="I82" s="93">
        <v>0</v>
      </c>
      <c r="J82" s="93">
        <v>1</v>
      </c>
      <c r="K82" s="93">
        <v>128.94</v>
      </c>
      <c r="L82" s="92">
        <f t="shared" si="41"/>
        <v>6447</v>
      </c>
      <c r="M82" s="89">
        <v>732</v>
      </c>
      <c r="N82" s="89">
        <v>2</v>
      </c>
      <c r="O82" s="89">
        <v>1174</v>
      </c>
      <c r="P82" s="89">
        <v>0</v>
      </c>
      <c r="Q82" s="233">
        <f t="shared" si="61"/>
        <v>0.2857142857142857</v>
      </c>
      <c r="R82" s="92">
        <f t="shared" si="62"/>
        <v>0</v>
      </c>
      <c r="S82" s="93">
        <v>0</v>
      </c>
      <c r="T82" s="93">
        <v>0</v>
      </c>
      <c r="U82" s="92">
        <f t="shared" si="63"/>
        <v>0</v>
      </c>
      <c r="V82" s="93">
        <v>0</v>
      </c>
      <c r="W82" s="93">
        <v>0</v>
      </c>
      <c r="X82" s="92">
        <f t="shared" si="64"/>
        <v>0</v>
      </c>
      <c r="Y82" s="93">
        <v>0</v>
      </c>
      <c r="Z82" s="93">
        <v>0</v>
      </c>
      <c r="AA82" s="92">
        <f t="shared" si="65"/>
        <v>0</v>
      </c>
      <c r="AB82" s="92">
        <f t="shared" si="66"/>
        <v>0</v>
      </c>
      <c r="AC82" s="234">
        <f t="shared" si="67"/>
        <v>0</v>
      </c>
      <c r="AD82" s="92">
        <f t="shared" si="68"/>
        <v>0</v>
      </c>
      <c r="AE82" s="93">
        <v>0</v>
      </c>
      <c r="AF82" s="234">
        <f t="shared" si="69"/>
        <v>0</v>
      </c>
      <c r="AG82" s="93">
        <v>0</v>
      </c>
      <c r="AH82" s="93"/>
      <c r="AI82" s="93"/>
      <c r="AJ82" s="93"/>
      <c r="AK82" s="93"/>
      <c r="AL82" s="122">
        <f t="shared" si="70"/>
        <v>33.087983780519366</v>
      </c>
      <c r="AM82" s="93">
        <v>0</v>
      </c>
      <c r="AN82" s="94">
        <f t="shared" si="53"/>
        <v>0</v>
      </c>
      <c r="AO82" s="95">
        <f t="shared" si="54"/>
        <v>-33.087983780519366</v>
      </c>
      <c r="AP82" s="96"/>
      <c r="AQ82" s="97">
        <f t="shared" si="55"/>
        <v>0</v>
      </c>
      <c r="AR82" s="98">
        <f t="shared" si="56"/>
        <v>128.94</v>
      </c>
      <c r="AS82" s="98">
        <f t="shared" si="57"/>
        <v>0</v>
      </c>
      <c r="AT82" s="98">
        <f t="shared" si="58"/>
        <v>0</v>
      </c>
      <c r="AU82" s="98">
        <f t="shared" si="59"/>
        <v>0</v>
      </c>
      <c r="AV82" s="98">
        <f t="array" ref="AV82">_xlfn.IFS(U82=0,AO82,U82&lt;0,AO82/-U82,U82&gt;0,AO82/U82)</f>
        <v>-33.087983780519366</v>
      </c>
      <c r="AW82" s="234">
        <f t="shared" si="49"/>
        <v>0</v>
      </c>
      <c r="AX82" s="234">
        <f t="shared" si="50"/>
        <v>-0.2566153542773334</v>
      </c>
      <c r="AY82" s="99"/>
      <c r="AZ82" s="94">
        <f t="shared" si="60"/>
        <v>-1654.3991890259683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52"/>
        <v>50</v>
      </c>
      <c r="F83" s="93" t="s">
        <v>100</v>
      </c>
      <c r="G83" s="93" t="s">
        <v>100</v>
      </c>
      <c r="H83" s="93">
        <v>49</v>
      </c>
      <c r="I83" s="93">
        <v>0</v>
      </c>
      <c r="J83" s="93">
        <v>1</v>
      </c>
      <c r="K83" s="93">
        <v>123.09</v>
      </c>
      <c r="L83" s="92">
        <f t="shared" si="41"/>
        <v>6154.5</v>
      </c>
      <c r="M83" s="89">
        <v>999</v>
      </c>
      <c r="N83" s="89">
        <v>0</v>
      </c>
      <c r="O83" s="89">
        <v>0</v>
      </c>
      <c r="P83" s="89">
        <v>0</v>
      </c>
      <c r="Q83" s="233">
        <f t="shared" si="61"/>
        <v>0</v>
      </c>
      <c r="R83" s="92">
        <f t="shared" si="62"/>
        <v>0</v>
      </c>
      <c r="S83" s="93">
        <v>0</v>
      </c>
      <c r="T83" s="93">
        <v>0</v>
      </c>
      <c r="U83" s="92">
        <f t="shared" si="63"/>
        <v>0</v>
      </c>
      <c r="V83" s="93">
        <v>0</v>
      </c>
      <c r="W83" s="93">
        <v>0</v>
      </c>
      <c r="X83" s="92">
        <f t="shared" si="64"/>
        <v>0</v>
      </c>
      <c r="Y83" s="93">
        <v>0</v>
      </c>
      <c r="Z83" s="93">
        <v>0</v>
      </c>
      <c r="AA83" s="92">
        <f t="shared" si="65"/>
        <v>0</v>
      </c>
      <c r="AB83" s="92">
        <f t="shared" si="66"/>
        <v>0</v>
      </c>
      <c r="AC83" s="234">
        <f t="shared" si="67"/>
        <v>0</v>
      </c>
      <c r="AD83" s="92">
        <f t="shared" si="68"/>
        <v>0</v>
      </c>
      <c r="AE83" s="93">
        <v>0</v>
      </c>
      <c r="AF83" s="234">
        <f t="shared" si="69"/>
        <v>0</v>
      </c>
      <c r="AG83" s="93">
        <v>0</v>
      </c>
      <c r="AH83" s="93"/>
      <c r="AI83" s="93"/>
      <c r="AJ83" s="93"/>
      <c r="AK83" s="93"/>
      <c r="AL83" s="122">
        <f t="shared" si="70"/>
        <v>34.495983090328707</v>
      </c>
      <c r="AM83" s="93">
        <v>0</v>
      </c>
      <c r="AN83" s="94">
        <f t="shared" si="53"/>
        <v>0</v>
      </c>
      <c r="AO83" s="95">
        <f t="shared" si="54"/>
        <v>-34.495983090328707</v>
      </c>
      <c r="AP83" s="96"/>
      <c r="AQ83" s="97">
        <f t="shared" si="55"/>
        <v>0</v>
      </c>
      <c r="AR83" s="98">
        <f t="shared" si="56"/>
        <v>123.09</v>
      </c>
      <c r="AS83" s="98">
        <f t="shared" si="57"/>
        <v>0</v>
      </c>
      <c r="AT83" s="98">
        <f t="shared" si="58"/>
        <v>0</v>
      </c>
      <c r="AU83" s="98">
        <f t="shared" si="59"/>
        <v>0</v>
      </c>
      <c r="AV83" s="98">
        <f t="array" ref="AV83">_xlfn.IFS(U83=0,AO83,U83&lt;0,AO83/-U83,U83&gt;0,AO83/U83)</f>
        <v>-34.495983090328707</v>
      </c>
      <c r="AW83" s="234">
        <f t="shared" si="49"/>
        <v>0</v>
      </c>
      <c r="AX83" s="234">
        <f t="shared" si="50"/>
        <v>-0.2802500860372793</v>
      </c>
      <c r="AY83" s="99"/>
      <c r="AZ83" s="94">
        <f t="shared" si="60"/>
        <v>-1724.7991545164355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52"/>
        <v>49</v>
      </c>
      <c r="F84" s="93">
        <v>1</v>
      </c>
      <c r="G84" s="93" t="s">
        <v>100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1"/>
        <v>7178.01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61"/>
        <v>0.14285714285714285</v>
      </c>
      <c r="R84" s="92">
        <f t="shared" si="62"/>
        <v>0</v>
      </c>
      <c r="S84" s="93">
        <v>0</v>
      </c>
      <c r="T84" s="93">
        <v>0</v>
      </c>
      <c r="U84" s="92">
        <f t="shared" si="63"/>
        <v>0</v>
      </c>
      <c r="V84" s="93">
        <v>0</v>
      </c>
      <c r="W84" s="93">
        <v>0</v>
      </c>
      <c r="X84" s="92">
        <f t="shared" si="64"/>
        <v>0</v>
      </c>
      <c r="Y84" s="93">
        <v>0</v>
      </c>
      <c r="Z84" s="93">
        <v>0</v>
      </c>
      <c r="AA84" s="92">
        <f t="shared" si="65"/>
        <v>0</v>
      </c>
      <c r="AB84" s="92">
        <f t="shared" si="66"/>
        <v>0</v>
      </c>
      <c r="AC84" s="234">
        <f t="shared" si="67"/>
        <v>0</v>
      </c>
      <c r="AD84" s="92">
        <f t="shared" si="68"/>
        <v>0</v>
      </c>
      <c r="AE84" s="93">
        <v>0</v>
      </c>
      <c r="AF84" s="234">
        <f t="shared" si="69"/>
        <v>0</v>
      </c>
      <c r="AG84" s="93">
        <v>0</v>
      </c>
      <c r="AH84" s="93"/>
      <c r="AI84" s="93"/>
      <c r="AJ84" s="93"/>
      <c r="AK84" s="93"/>
      <c r="AL84" s="122">
        <f t="shared" si="70"/>
        <v>33.087983780519366</v>
      </c>
      <c r="AM84" s="93">
        <v>0</v>
      </c>
      <c r="AN84" s="94">
        <f t="shared" si="53"/>
        <v>0</v>
      </c>
      <c r="AO84" s="95">
        <f t="shared" si="54"/>
        <v>-33.087983780519366</v>
      </c>
      <c r="AP84" s="96"/>
      <c r="AQ84" s="97">
        <f t="shared" si="55"/>
        <v>0</v>
      </c>
      <c r="AR84" s="98">
        <f t="shared" si="56"/>
        <v>146.49</v>
      </c>
      <c r="AS84" s="98">
        <f t="shared" si="57"/>
        <v>0</v>
      </c>
      <c r="AT84" s="98">
        <f t="shared" si="58"/>
        <v>0</v>
      </c>
      <c r="AU84" s="98">
        <f t="shared" si="59"/>
        <v>0</v>
      </c>
      <c r="AV84" s="98">
        <f t="array" ref="AV84">_xlfn.IFS(U84=0,AO84,U84&lt;0,AO84/-U84,U84&gt;0,AO84/U84)</f>
        <v>-33.087983780519366</v>
      </c>
      <c r="AW84" s="234">
        <f t="shared" si="49"/>
        <v>0</v>
      </c>
      <c r="AX84" s="234">
        <f t="shared" si="50"/>
        <v>-0.22587196245832045</v>
      </c>
      <c r="AY84" s="99"/>
      <c r="AZ84" s="94">
        <f t="shared" si="60"/>
        <v>-1621.3112052454489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52"/>
        <v>43</v>
      </c>
      <c r="F85" s="93">
        <v>7</v>
      </c>
      <c r="G85" s="93">
        <v>1</v>
      </c>
      <c r="H85" s="93">
        <v>34</v>
      </c>
      <c r="I85" s="93">
        <v>0</v>
      </c>
      <c r="J85" s="93">
        <v>1</v>
      </c>
      <c r="K85" s="93">
        <v>103.2</v>
      </c>
      <c r="L85" s="92">
        <f t="shared" si="41"/>
        <v>4437.6000000000004</v>
      </c>
      <c r="M85" s="89">
        <v>96</v>
      </c>
      <c r="N85" s="89">
        <v>8</v>
      </c>
      <c r="O85" s="89">
        <v>1008</v>
      </c>
      <c r="P85" s="89">
        <v>25</v>
      </c>
      <c r="Q85" s="233">
        <f t="shared" si="61"/>
        <v>1.1428571428571428</v>
      </c>
      <c r="R85" s="92">
        <f t="shared" si="62"/>
        <v>0.14285714285714285</v>
      </c>
      <c r="S85" s="93">
        <v>2</v>
      </c>
      <c r="T85" s="93">
        <v>-1</v>
      </c>
      <c r="U85" s="92">
        <f t="shared" si="63"/>
        <v>1</v>
      </c>
      <c r="V85" s="93">
        <v>1216</v>
      </c>
      <c r="W85" s="93">
        <v>-779</v>
      </c>
      <c r="X85" s="92">
        <f t="shared" si="64"/>
        <v>437</v>
      </c>
      <c r="Y85" s="93">
        <v>2016</v>
      </c>
      <c r="Z85" s="93">
        <v>-1008</v>
      </c>
      <c r="AA85" s="92">
        <f t="shared" si="65"/>
        <v>1008</v>
      </c>
      <c r="AB85" s="92">
        <f t="shared" si="66"/>
        <v>2016</v>
      </c>
      <c r="AC85" s="234">
        <f t="shared" si="67"/>
        <v>7.5647965348909151E-4</v>
      </c>
      <c r="AD85" s="92">
        <f t="shared" si="68"/>
        <v>103.2</v>
      </c>
      <c r="AE85" s="93">
        <v>369.51999999999987</v>
      </c>
      <c r="AF85" s="234">
        <f t="shared" si="69"/>
        <v>0.36658730158730146</v>
      </c>
      <c r="AG85" s="93">
        <v>890.1</v>
      </c>
      <c r="AH85" s="93"/>
      <c r="AI85" s="93"/>
      <c r="AJ85" s="93"/>
      <c r="AK85" s="93"/>
      <c r="AL85" s="122">
        <f t="shared" si="70"/>
        <v>23.935988266758695</v>
      </c>
      <c r="AM85" s="93">
        <v>0</v>
      </c>
      <c r="AN85" s="94">
        <f t="shared" si="53"/>
        <v>24.9527</v>
      </c>
      <c r="AO85" s="95">
        <f t="shared" si="54"/>
        <v>-403.7086882667586</v>
      </c>
      <c r="AP85" s="96"/>
      <c r="AQ85" s="97">
        <f t="shared" si="55"/>
        <v>1008</v>
      </c>
      <c r="AR85" s="98">
        <f t="shared" si="56"/>
        <v>103.2</v>
      </c>
      <c r="AS85" s="98">
        <f t="shared" si="57"/>
        <v>369.51999999999987</v>
      </c>
      <c r="AT85" s="98">
        <f t="shared" si="58"/>
        <v>445.05</v>
      </c>
      <c r="AU85" s="98">
        <f t="shared" si="59"/>
        <v>0</v>
      </c>
      <c r="AV85" s="98">
        <f t="array" ref="AV85">_xlfn.IFS(U85=0,AO85,U85&lt;0,AO85/-U85,U85&gt;0,AO85/U85)</f>
        <v>-403.7086882667586</v>
      </c>
      <c r="AW85" s="234">
        <f t="shared" si="49"/>
        <v>-0.40050465105829225</v>
      </c>
      <c r="AX85" s="234">
        <f t="shared" si="50"/>
        <v>-3.9119058940577385</v>
      </c>
      <c r="AY85" s="99"/>
      <c r="AZ85" s="94">
        <f t="shared" si="60"/>
        <v>-17359.473595470619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52"/>
        <v>49</v>
      </c>
      <c r="F86" s="93" t="s">
        <v>100</v>
      </c>
      <c r="G86" s="93" t="s">
        <v>100</v>
      </c>
      <c r="H86" s="93">
        <v>48</v>
      </c>
      <c r="I86" s="93">
        <v>0</v>
      </c>
      <c r="J86" s="93">
        <v>1</v>
      </c>
      <c r="K86" s="93">
        <v>150</v>
      </c>
      <c r="L86" s="92">
        <f t="shared" si="41"/>
        <v>7350</v>
      </c>
      <c r="M86" s="89">
        <v>999</v>
      </c>
      <c r="N86" s="89">
        <v>0</v>
      </c>
      <c r="O86" s="89">
        <v>0</v>
      </c>
      <c r="P86" s="89">
        <v>0</v>
      </c>
      <c r="Q86" s="233">
        <f t="shared" si="61"/>
        <v>0</v>
      </c>
      <c r="R86" s="92">
        <f t="shared" si="62"/>
        <v>0</v>
      </c>
      <c r="S86" s="93">
        <v>0</v>
      </c>
      <c r="T86" s="93">
        <v>0</v>
      </c>
      <c r="U86" s="92">
        <f t="shared" si="63"/>
        <v>0</v>
      </c>
      <c r="V86" s="93">
        <v>0</v>
      </c>
      <c r="W86" s="93">
        <v>0</v>
      </c>
      <c r="X86" s="92">
        <f t="shared" si="64"/>
        <v>0</v>
      </c>
      <c r="Y86" s="93">
        <v>0</v>
      </c>
      <c r="Z86" s="93">
        <v>0</v>
      </c>
      <c r="AA86" s="92">
        <f t="shared" si="65"/>
        <v>0</v>
      </c>
      <c r="AB86" s="92">
        <f t="shared" si="66"/>
        <v>0</v>
      </c>
      <c r="AC86" s="234">
        <f t="shared" si="67"/>
        <v>0</v>
      </c>
      <c r="AD86" s="92">
        <f t="shared" si="68"/>
        <v>0</v>
      </c>
      <c r="AE86" s="93">
        <v>0</v>
      </c>
      <c r="AF86" s="234">
        <f t="shared" si="69"/>
        <v>0</v>
      </c>
      <c r="AG86" s="93">
        <v>0</v>
      </c>
      <c r="AH86" s="93"/>
      <c r="AI86" s="93"/>
      <c r="AJ86" s="93"/>
      <c r="AK86" s="93"/>
      <c r="AL86" s="122">
        <f t="shared" si="70"/>
        <v>33.791983435424036</v>
      </c>
      <c r="AM86" s="93">
        <v>0</v>
      </c>
      <c r="AN86" s="94">
        <f t="shared" si="53"/>
        <v>0</v>
      </c>
      <c r="AO86" s="95">
        <f t="shared" si="54"/>
        <v>-33.791983435424036</v>
      </c>
      <c r="AP86" s="96"/>
      <c r="AQ86" s="97">
        <f t="shared" si="55"/>
        <v>0</v>
      </c>
      <c r="AR86" s="98">
        <f t="shared" si="56"/>
        <v>150</v>
      </c>
      <c r="AS86" s="98">
        <f t="shared" si="57"/>
        <v>0</v>
      </c>
      <c r="AT86" s="98">
        <f t="shared" si="58"/>
        <v>0</v>
      </c>
      <c r="AU86" s="98">
        <f t="shared" si="59"/>
        <v>0</v>
      </c>
      <c r="AV86" s="98">
        <f t="array" ref="AV86">_xlfn.IFS(U86=0,AO86,U86&lt;0,AO86/-U86,U86&gt;0,AO86/U86)</f>
        <v>-33.791983435424036</v>
      </c>
      <c r="AW86" s="234">
        <f t="shared" si="49"/>
        <v>0</v>
      </c>
      <c r="AX86" s="234">
        <f t="shared" si="50"/>
        <v>-0.22527988956949357</v>
      </c>
      <c r="AY86" s="99"/>
      <c r="AZ86" s="94">
        <f t="shared" si="60"/>
        <v>-1655.8071883357777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52"/>
        <v>48</v>
      </c>
      <c r="F87" s="93">
        <v>1</v>
      </c>
      <c r="G87" s="93" t="s">
        <v>100</v>
      </c>
      <c r="H87" s="93">
        <v>46</v>
      </c>
      <c r="I87" s="93">
        <v>0</v>
      </c>
      <c r="J87" s="93">
        <v>1</v>
      </c>
      <c r="K87" s="93">
        <v>150</v>
      </c>
      <c r="L87" s="92">
        <f t="shared" si="41"/>
        <v>7200</v>
      </c>
      <c r="M87" s="89">
        <v>690</v>
      </c>
      <c r="N87" s="89">
        <v>1</v>
      </c>
      <c r="O87" s="89">
        <v>1482</v>
      </c>
      <c r="P87" s="89">
        <v>0</v>
      </c>
      <c r="Q87" s="233">
        <f t="shared" si="61"/>
        <v>0.14285714285714285</v>
      </c>
      <c r="R87" s="92">
        <f t="shared" si="62"/>
        <v>0</v>
      </c>
      <c r="S87" s="93">
        <v>0</v>
      </c>
      <c r="T87" s="93">
        <v>0</v>
      </c>
      <c r="U87" s="92">
        <f t="shared" si="63"/>
        <v>0</v>
      </c>
      <c r="V87" s="93">
        <v>0</v>
      </c>
      <c r="W87" s="93">
        <v>0</v>
      </c>
      <c r="X87" s="92">
        <f t="shared" si="64"/>
        <v>0</v>
      </c>
      <c r="Y87" s="93">
        <v>0</v>
      </c>
      <c r="Z87" s="93">
        <v>0</v>
      </c>
      <c r="AA87" s="92">
        <f t="shared" si="65"/>
        <v>0</v>
      </c>
      <c r="AB87" s="92">
        <f t="shared" si="66"/>
        <v>0</v>
      </c>
      <c r="AC87" s="234">
        <f t="shared" si="67"/>
        <v>0</v>
      </c>
      <c r="AD87" s="92">
        <f t="shared" si="68"/>
        <v>0</v>
      </c>
      <c r="AE87" s="93">
        <v>0</v>
      </c>
      <c r="AF87" s="234">
        <f t="shared" si="69"/>
        <v>0</v>
      </c>
      <c r="AG87" s="93">
        <v>0</v>
      </c>
      <c r="AH87" s="93">
        <v>1000</v>
      </c>
      <c r="AI87" s="93">
        <v>1000</v>
      </c>
      <c r="AJ87" s="93"/>
      <c r="AK87" s="93"/>
      <c r="AL87" s="122">
        <f t="shared" si="70"/>
        <v>32.383984125614703</v>
      </c>
      <c r="AM87" s="93">
        <v>0</v>
      </c>
      <c r="AN87" s="94">
        <f t="shared" si="53"/>
        <v>0</v>
      </c>
      <c r="AO87" s="95">
        <f t="shared" si="54"/>
        <v>-2032.3839841256147</v>
      </c>
      <c r="AP87" s="96"/>
      <c r="AQ87" s="97">
        <f t="shared" si="55"/>
        <v>0</v>
      </c>
      <c r="AR87" s="98">
        <f t="shared" si="56"/>
        <v>150</v>
      </c>
      <c r="AS87" s="98">
        <f t="shared" si="57"/>
        <v>0</v>
      </c>
      <c r="AT87" s="98">
        <f t="shared" si="58"/>
        <v>0</v>
      </c>
      <c r="AU87" s="98">
        <f t="shared" si="59"/>
        <v>0</v>
      </c>
      <c r="AV87" s="98">
        <f t="array" ref="AV87">_xlfn.IFS(U87=0,AO87,U87&lt;0,AO87/-U87,U87&gt;0,AO87/U87)</f>
        <v>-2032.3839841256147</v>
      </c>
      <c r="AW87" s="234">
        <f t="shared" si="49"/>
        <v>0</v>
      </c>
      <c r="AX87" s="234">
        <f t="shared" si="50"/>
        <v>-13.549226560837431</v>
      </c>
      <c r="AY87" s="99"/>
      <c r="AZ87" s="94">
        <f t="shared" si="60"/>
        <v>-97554.431238029501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52"/>
        <v>25</v>
      </c>
      <c r="F88" s="93">
        <v>11</v>
      </c>
      <c r="G88" s="93">
        <v>4</v>
      </c>
      <c r="H88" s="93">
        <v>9</v>
      </c>
      <c r="I88" s="93">
        <v>0</v>
      </c>
      <c r="J88" s="93">
        <v>1</v>
      </c>
      <c r="K88" s="93">
        <v>150</v>
      </c>
      <c r="L88" s="92">
        <f t="shared" si="41"/>
        <v>3750</v>
      </c>
      <c r="M88" s="89">
        <v>29</v>
      </c>
      <c r="N88" s="89">
        <v>17</v>
      </c>
      <c r="O88" s="89">
        <v>1257</v>
      </c>
      <c r="P88" s="89">
        <v>33</v>
      </c>
      <c r="Q88" s="233">
        <f t="shared" si="61"/>
        <v>2.4285714285714284</v>
      </c>
      <c r="R88" s="92">
        <f t="shared" si="62"/>
        <v>0.42857142857142855</v>
      </c>
      <c r="S88" s="93">
        <v>4</v>
      </c>
      <c r="T88" s="93">
        <v>-1</v>
      </c>
      <c r="U88" s="92">
        <f t="shared" si="63"/>
        <v>3</v>
      </c>
      <c r="V88" s="93">
        <v>3136</v>
      </c>
      <c r="W88" s="93">
        <v>-741</v>
      </c>
      <c r="X88" s="92">
        <f t="shared" si="64"/>
        <v>2395</v>
      </c>
      <c r="Y88" s="93">
        <v>4952.58</v>
      </c>
      <c r="Z88" s="93">
        <v>-1219.29</v>
      </c>
      <c r="AA88" s="92">
        <f t="shared" si="65"/>
        <v>3733.29</v>
      </c>
      <c r="AB88" s="92">
        <f t="shared" si="66"/>
        <v>7051.77</v>
      </c>
      <c r="AC88" s="234">
        <f t="shared" si="67"/>
        <v>2.801743973784018E-3</v>
      </c>
      <c r="AD88" s="92">
        <f t="shared" si="68"/>
        <v>450</v>
      </c>
      <c r="AE88" s="93">
        <v>1383.4099999999999</v>
      </c>
      <c r="AF88" s="234">
        <f t="shared" si="69"/>
        <v>0.3705605511492544</v>
      </c>
      <c r="AG88" s="93">
        <v>1254.6999999999998</v>
      </c>
      <c r="AH88" s="93">
        <v>1877</v>
      </c>
      <c r="AI88" s="93">
        <v>237</v>
      </c>
      <c r="AJ88" s="93"/>
      <c r="AK88" s="93"/>
      <c r="AL88" s="122">
        <f t="shared" si="70"/>
        <v>6.3359968941420073</v>
      </c>
      <c r="AM88" s="93">
        <v>0</v>
      </c>
      <c r="AN88" s="94">
        <f t="shared" si="53"/>
        <v>136.75450000000001</v>
      </c>
      <c r="AO88" s="95">
        <f t="shared" si="54"/>
        <v>-1611.9104968941417</v>
      </c>
      <c r="AP88" s="96"/>
      <c r="AQ88" s="97">
        <f t="shared" si="55"/>
        <v>1244.43</v>
      </c>
      <c r="AR88" s="98">
        <f t="shared" si="56"/>
        <v>150</v>
      </c>
      <c r="AS88" s="98">
        <f t="shared" si="57"/>
        <v>461.1366666666666</v>
      </c>
      <c r="AT88" s="98">
        <f t="shared" si="58"/>
        <v>313.67499999999995</v>
      </c>
      <c r="AU88" s="98">
        <f t="shared" si="59"/>
        <v>528.5</v>
      </c>
      <c r="AV88" s="98">
        <f t="array" ref="AV88">_xlfn.IFS(U88=0,AO88,U88&lt;0,AO88/-U88,U88&gt;0,AO88/U88)</f>
        <v>-537.30349896471387</v>
      </c>
      <c r="AW88" s="234">
        <f t="shared" si="49"/>
        <v>-0.4317667518178715</v>
      </c>
      <c r="AX88" s="234">
        <f t="shared" si="50"/>
        <v>-3.5820233264314258</v>
      </c>
      <c r="AY88" s="99"/>
      <c r="AZ88" s="94">
        <f t="shared" si="60"/>
        <v>-13432.587474117847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52"/>
        <v>46</v>
      </c>
      <c r="F89" s="93">
        <v>1</v>
      </c>
      <c r="G89" s="93">
        <v>1</v>
      </c>
      <c r="H89" s="93">
        <v>43</v>
      </c>
      <c r="I89" s="93">
        <v>0</v>
      </c>
      <c r="J89" s="93">
        <v>1</v>
      </c>
      <c r="K89" s="93">
        <v>169.89</v>
      </c>
      <c r="L89" s="92">
        <f t="shared" si="41"/>
        <v>7814.94</v>
      </c>
      <c r="M89" s="89">
        <v>456</v>
      </c>
      <c r="N89" s="89">
        <v>3</v>
      </c>
      <c r="O89" s="89">
        <v>1504</v>
      </c>
      <c r="P89" s="89">
        <v>50</v>
      </c>
      <c r="Q89" s="233">
        <f t="shared" si="61"/>
        <v>0.42857142857142855</v>
      </c>
      <c r="R89" s="92">
        <f t="shared" si="62"/>
        <v>0.14285714285714285</v>
      </c>
      <c r="S89" s="93">
        <v>1</v>
      </c>
      <c r="T89" s="93">
        <v>0</v>
      </c>
      <c r="U89" s="92">
        <f t="shared" si="63"/>
        <v>1</v>
      </c>
      <c r="V89" s="93">
        <v>1153.49</v>
      </c>
      <c r="W89" s="93">
        <v>0</v>
      </c>
      <c r="X89" s="92">
        <f t="shared" si="64"/>
        <v>1153.49</v>
      </c>
      <c r="Y89" s="93">
        <v>1503.72</v>
      </c>
      <c r="Z89" s="93">
        <v>0</v>
      </c>
      <c r="AA89" s="92">
        <f t="shared" si="65"/>
        <v>1503.72</v>
      </c>
      <c r="AB89" s="92">
        <f t="shared" si="66"/>
        <v>2256</v>
      </c>
      <c r="AC89" s="234">
        <f t="shared" si="67"/>
        <v>1.128505540222834E-3</v>
      </c>
      <c r="AD89" s="92">
        <f t="shared" si="68"/>
        <v>169.89</v>
      </c>
      <c r="AE89" s="93">
        <v>556.39</v>
      </c>
      <c r="AF89" s="234">
        <f t="shared" si="69"/>
        <v>0.37000904423695902</v>
      </c>
      <c r="AG89" s="93">
        <v>154.4</v>
      </c>
      <c r="AH89" s="93"/>
      <c r="AI89" s="93"/>
      <c r="AJ89" s="93"/>
      <c r="AK89" s="93"/>
      <c r="AL89" s="122">
        <f t="shared" si="70"/>
        <v>30.271985160900702</v>
      </c>
      <c r="AM89" s="93">
        <v>0</v>
      </c>
      <c r="AN89" s="94">
        <f t="shared" si="53"/>
        <v>65.864278999999996</v>
      </c>
      <c r="AO89" s="95">
        <f t="shared" si="54"/>
        <v>526.90373583909923</v>
      </c>
      <c r="AP89" s="96"/>
      <c r="AQ89" s="97">
        <f t="shared" si="55"/>
        <v>1503.72</v>
      </c>
      <c r="AR89" s="98">
        <f t="shared" si="56"/>
        <v>169.89</v>
      </c>
      <c r="AS89" s="98">
        <f t="shared" si="57"/>
        <v>556.39</v>
      </c>
      <c r="AT89" s="98">
        <f t="shared" si="58"/>
        <v>154.4</v>
      </c>
      <c r="AU89" s="98">
        <f t="shared" si="59"/>
        <v>0</v>
      </c>
      <c r="AV89" s="98">
        <f t="array" ref="AV89">_xlfn.IFS(U89=0,AO89,U89&lt;0,AO89/-U89,U89&gt;0,AO89/U89)</f>
        <v>526.90373583909923</v>
      </c>
      <c r="AW89" s="234">
        <f t="shared" si="49"/>
        <v>0.35040016481731917</v>
      </c>
      <c r="AX89" s="234">
        <f t="shared" si="50"/>
        <v>3.1014405547065707</v>
      </c>
      <c r="AY89" s="99"/>
      <c r="AZ89" s="94">
        <f t="shared" si="60"/>
        <v>24237.571848598564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52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1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61"/>
        <v>0</v>
      </c>
      <c r="R90" s="92">
        <f t="shared" si="62"/>
        <v>0</v>
      </c>
      <c r="S90" s="93">
        <v>0</v>
      </c>
      <c r="T90" s="93">
        <v>0</v>
      </c>
      <c r="U90" s="92">
        <f t="shared" si="63"/>
        <v>0</v>
      </c>
      <c r="V90" s="93">
        <v>0</v>
      </c>
      <c r="W90" s="93">
        <v>0</v>
      </c>
      <c r="X90" s="92">
        <f t="shared" si="64"/>
        <v>0</v>
      </c>
      <c r="Y90" s="93">
        <v>0</v>
      </c>
      <c r="Z90" s="93">
        <v>0</v>
      </c>
      <c r="AA90" s="92">
        <f t="shared" si="65"/>
        <v>0</v>
      </c>
      <c r="AB90" s="92">
        <f t="shared" si="66"/>
        <v>0</v>
      </c>
      <c r="AC90" s="234">
        <f t="shared" si="67"/>
        <v>0</v>
      </c>
      <c r="AD90" s="92">
        <f t="shared" si="68"/>
        <v>0</v>
      </c>
      <c r="AE90" s="93">
        <v>0</v>
      </c>
      <c r="AF90" s="234">
        <f t="shared" si="69"/>
        <v>0</v>
      </c>
      <c r="AG90" s="93">
        <v>0</v>
      </c>
      <c r="AH90" s="93"/>
      <c r="AI90" s="93"/>
      <c r="AJ90" s="93"/>
      <c r="AK90" s="93"/>
      <c r="AL90" s="122">
        <f t="shared" si="70"/>
        <v>35.19998274523337</v>
      </c>
      <c r="AM90" s="93">
        <v>0</v>
      </c>
      <c r="AN90" s="94">
        <f t="shared" si="53"/>
        <v>0</v>
      </c>
      <c r="AO90" s="95">
        <f t="shared" si="54"/>
        <v>-35.19998274523337</v>
      </c>
      <c r="AP90" s="96"/>
      <c r="AQ90" s="97">
        <f t="shared" si="55"/>
        <v>0</v>
      </c>
      <c r="AR90" s="98">
        <f t="shared" si="56"/>
        <v>107.88</v>
      </c>
      <c r="AS90" s="98">
        <f t="shared" si="57"/>
        <v>0</v>
      </c>
      <c r="AT90" s="98">
        <f t="shared" si="58"/>
        <v>0</v>
      </c>
      <c r="AU90" s="98">
        <f t="shared" si="59"/>
        <v>0</v>
      </c>
      <c r="AV90" s="98">
        <f t="array" ref="AV90">_xlfn.IFS(U90=0,AO90,U90&lt;0,AO90/-U90,U90&gt;0,AO90/U90)</f>
        <v>-35.19998274523337</v>
      </c>
      <c r="AW90" s="234">
        <f t="shared" si="49"/>
        <v>0</v>
      </c>
      <c r="AX90" s="234">
        <f t="shared" si="50"/>
        <v>-0.32628830872481807</v>
      </c>
      <c r="AY90" s="99"/>
      <c r="AZ90" s="94">
        <f t="shared" si="60"/>
        <v>-1795.1991200069019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52"/>
        <v>43</v>
      </c>
      <c r="F91" s="93">
        <v>4</v>
      </c>
      <c r="G91" s="93">
        <v>1</v>
      </c>
      <c r="H91" s="93">
        <v>32</v>
      </c>
      <c r="I91" s="93">
        <v>0</v>
      </c>
      <c r="J91" s="93">
        <v>6</v>
      </c>
      <c r="K91" s="93">
        <v>93.84</v>
      </c>
      <c r="L91" s="92">
        <f t="shared" si="41"/>
        <v>4035.1200000000003</v>
      </c>
      <c r="M91" s="89">
        <v>182</v>
      </c>
      <c r="N91" s="89">
        <v>6</v>
      </c>
      <c r="O91" s="89">
        <v>1075</v>
      </c>
      <c r="P91" s="89">
        <v>0</v>
      </c>
      <c r="Q91" s="233">
        <f t="shared" si="61"/>
        <v>0.8571428571428571</v>
      </c>
      <c r="R91" s="92">
        <f t="shared" si="62"/>
        <v>0</v>
      </c>
      <c r="S91" s="93">
        <v>0</v>
      </c>
      <c r="T91" s="93">
        <v>0</v>
      </c>
      <c r="U91" s="92">
        <f t="shared" si="63"/>
        <v>0</v>
      </c>
      <c r="V91" s="93">
        <v>0</v>
      </c>
      <c r="W91" s="93">
        <v>0</v>
      </c>
      <c r="X91" s="92">
        <f t="shared" si="64"/>
        <v>0</v>
      </c>
      <c r="Y91" s="93">
        <v>0</v>
      </c>
      <c r="Z91" s="93">
        <v>0</v>
      </c>
      <c r="AA91" s="92">
        <f t="shared" si="65"/>
        <v>0</v>
      </c>
      <c r="AB91" s="92">
        <f t="shared" si="66"/>
        <v>0</v>
      </c>
      <c r="AC91" s="234">
        <f t="shared" si="67"/>
        <v>0</v>
      </c>
      <c r="AD91" s="92">
        <f t="shared" si="68"/>
        <v>0</v>
      </c>
      <c r="AE91" s="93">
        <v>0</v>
      </c>
      <c r="AF91" s="234">
        <f t="shared" si="69"/>
        <v>0</v>
      </c>
      <c r="AG91" s="93">
        <v>319.64999999999998</v>
      </c>
      <c r="AH91" s="93"/>
      <c r="AI91" s="93"/>
      <c r="AJ91" s="93"/>
      <c r="AK91" s="93"/>
      <c r="AL91" s="122">
        <f t="shared" si="70"/>
        <v>22.527988956949358</v>
      </c>
      <c r="AM91" s="93">
        <v>0</v>
      </c>
      <c r="AN91" s="94">
        <f t="shared" si="53"/>
        <v>0</v>
      </c>
      <c r="AO91" s="95">
        <f t="shared" si="54"/>
        <v>-342.17798895694932</v>
      </c>
      <c r="AP91" s="96"/>
      <c r="AQ91" s="97">
        <f t="shared" si="55"/>
        <v>0</v>
      </c>
      <c r="AR91" s="98">
        <f t="shared" si="56"/>
        <v>93.84</v>
      </c>
      <c r="AS91" s="98">
        <f t="shared" si="57"/>
        <v>0</v>
      </c>
      <c r="AT91" s="98">
        <f t="shared" si="58"/>
        <v>319.64999999999998</v>
      </c>
      <c r="AU91" s="98">
        <f t="shared" si="59"/>
        <v>0</v>
      </c>
      <c r="AV91" s="98">
        <f t="array" ref="AV91">_xlfn.IFS(U91=0,AO91,U91&lt;0,AO91/-U91,U91&gt;0,AO91/U91)</f>
        <v>-342.17798895694932</v>
      </c>
      <c r="AW91" s="234">
        <f t="shared" si="49"/>
        <v>0</v>
      </c>
      <c r="AX91" s="234">
        <f t="shared" si="50"/>
        <v>-3.6463980067876101</v>
      </c>
      <c r="AY91" s="99"/>
      <c r="AZ91" s="94">
        <f t="shared" si="60"/>
        <v>-14713.65352514882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52"/>
        <v>50</v>
      </c>
      <c r="F92" s="93">
        <v>1</v>
      </c>
      <c r="G92" s="93" t="s">
        <v>100</v>
      </c>
      <c r="H92" s="93">
        <v>48</v>
      </c>
      <c r="I92" s="93">
        <v>0</v>
      </c>
      <c r="J92" s="93">
        <v>1</v>
      </c>
      <c r="K92" s="93">
        <v>139.47</v>
      </c>
      <c r="L92" s="92">
        <f t="shared" si="41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61"/>
        <v>0.14285714285714285</v>
      </c>
      <c r="R92" s="92">
        <f t="shared" si="62"/>
        <v>0</v>
      </c>
      <c r="S92" s="93">
        <v>0</v>
      </c>
      <c r="T92" s="93">
        <v>0</v>
      </c>
      <c r="U92" s="92">
        <f t="shared" si="63"/>
        <v>0</v>
      </c>
      <c r="V92" s="93">
        <v>0</v>
      </c>
      <c r="W92" s="93">
        <v>0</v>
      </c>
      <c r="X92" s="92">
        <f t="shared" si="64"/>
        <v>0</v>
      </c>
      <c r="Y92" s="93">
        <v>0</v>
      </c>
      <c r="Z92" s="93">
        <v>0</v>
      </c>
      <c r="AA92" s="92">
        <f t="shared" si="65"/>
        <v>0</v>
      </c>
      <c r="AB92" s="92">
        <f t="shared" si="66"/>
        <v>0</v>
      </c>
      <c r="AC92" s="234">
        <f t="shared" si="67"/>
        <v>0</v>
      </c>
      <c r="AD92" s="92">
        <f t="shared" si="68"/>
        <v>0</v>
      </c>
      <c r="AE92" s="93">
        <v>0</v>
      </c>
      <c r="AF92" s="234">
        <f t="shared" si="69"/>
        <v>0</v>
      </c>
      <c r="AG92" s="93">
        <v>0</v>
      </c>
      <c r="AH92" s="93"/>
      <c r="AI92" s="93"/>
      <c r="AJ92" s="93"/>
      <c r="AK92" s="93"/>
      <c r="AL92" s="122">
        <f t="shared" si="70"/>
        <v>33.791983435424036</v>
      </c>
      <c r="AM92" s="93">
        <v>0</v>
      </c>
      <c r="AN92" s="94">
        <f t="shared" si="53"/>
        <v>0</v>
      </c>
      <c r="AO92" s="95">
        <f t="shared" si="54"/>
        <v>-33.791983435424036</v>
      </c>
      <c r="AP92" s="96"/>
      <c r="AQ92" s="97">
        <f t="shared" si="55"/>
        <v>0</v>
      </c>
      <c r="AR92" s="98">
        <f t="shared" si="56"/>
        <v>139.47</v>
      </c>
      <c r="AS92" s="98">
        <f t="shared" si="57"/>
        <v>0</v>
      </c>
      <c r="AT92" s="98">
        <f t="shared" si="58"/>
        <v>0</v>
      </c>
      <c r="AU92" s="98">
        <f t="shared" si="59"/>
        <v>0</v>
      </c>
      <c r="AV92" s="98">
        <f t="array" ref="AV92">_xlfn.IFS(U92=0,AO92,U92&lt;0,AO92/-U92,U92&gt;0,AO92/U92)</f>
        <v>-33.791983435424036</v>
      </c>
      <c r="AW92" s="234">
        <f t="shared" si="49"/>
        <v>0</v>
      </c>
      <c r="AX92" s="234">
        <f t="shared" si="50"/>
        <v>-0.24228854546084488</v>
      </c>
      <c r="AY92" s="99"/>
      <c r="AZ92" s="94">
        <f t="shared" si="60"/>
        <v>-1689.5991717712018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52"/>
        <v>48</v>
      </c>
      <c r="F93" s="93" t="s">
        <v>100</v>
      </c>
      <c r="G93" s="93" t="s">
        <v>100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1"/>
        <v>6694.5599999999995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61"/>
        <v>0</v>
      </c>
      <c r="R93" s="92">
        <f t="shared" si="62"/>
        <v>0</v>
      </c>
      <c r="S93" s="93">
        <v>0</v>
      </c>
      <c r="T93" s="93">
        <v>0</v>
      </c>
      <c r="U93" s="92">
        <f t="shared" si="63"/>
        <v>0</v>
      </c>
      <c r="V93" s="93">
        <v>0</v>
      </c>
      <c r="W93" s="93">
        <v>0</v>
      </c>
      <c r="X93" s="92">
        <f t="shared" si="64"/>
        <v>0</v>
      </c>
      <c r="Y93" s="93">
        <v>0</v>
      </c>
      <c r="Z93" s="93">
        <v>0</v>
      </c>
      <c r="AA93" s="92">
        <f t="shared" si="65"/>
        <v>0</v>
      </c>
      <c r="AB93" s="92">
        <f t="shared" si="66"/>
        <v>0</v>
      </c>
      <c r="AC93" s="234">
        <f t="shared" si="67"/>
        <v>0</v>
      </c>
      <c r="AD93" s="92">
        <f t="shared" si="68"/>
        <v>0</v>
      </c>
      <c r="AE93" s="93">
        <v>0</v>
      </c>
      <c r="AF93" s="234">
        <f t="shared" si="69"/>
        <v>0</v>
      </c>
      <c r="AG93" s="93">
        <v>0</v>
      </c>
      <c r="AH93" s="93"/>
      <c r="AI93" s="93"/>
      <c r="AJ93" s="93"/>
      <c r="AK93" s="93"/>
      <c r="AL93" s="122">
        <f t="shared" si="70"/>
        <v>33.087983780519366</v>
      </c>
      <c r="AM93" s="93">
        <v>0</v>
      </c>
      <c r="AN93" s="94">
        <f t="shared" si="53"/>
        <v>0</v>
      </c>
      <c r="AO93" s="95">
        <f t="shared" si="54"/>
        <v>-33.087983780519366</v>
      </c>
      <c r="AP93" s="96"/>
      <c r="AQ93" s="97">
        <f t="shared" si="55"/>
        <v>0</v>
      </c>
      <c r="AR93" s="98">
        <f t="shared" si="56"/>
        <v>139.47</v>
      </c>
      <c r="AS93" s="98">
        <f t="shared" si="57"/>
        <v>0</v>
      </c>
      <c r="AT93" s="98">
        <f t="shared" si="58"/>
        <v>0</v>
      </c>
      <c r="AU93" s="98">
        <f t="shared" si="59"/>
        <v>0</v>
      </c>
      <c r="AV93" s="98">
        <f t="array" ref="AV93">_xlfn.IFS(U93=0,AO93,U93&lt;0,AO93/-U93,U93&gt;0,AO93/U93)</f>
        <v>-33.087983780519366</v>
      </c>
      <c r="AW93" s="234">
        <f t="shared" si="49"/>
        <v>0</v>
      </c>
      <c r="AX93" s="234">
        <f t="shared" si="50"/>
        <v>-0.23724086743041059</v>
      </c>
      <c r="AY93" s="99"/>
      <c r="AZ93" s="94">
        <f t="shared" si="60"/>
        <v>-1588.2232214649296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52"/>
        <v>2</v>
      </c>
      <c r="F94" s="93" t="s">
        <v>100</v>
      </c>
      <c r="G94" s="93">
        <v>1</v>
      </c>
      <c r="H94" s="93">
        <v>1</v>
      </c>
      <c r="I94" s="93">
        <v>0</v>
      </c>
      <c r="J94" s="93">
        <v>0</v>
      </c>
      <c r="K94" s="93">
        <v>400.08</v>
      </c>
      <c r="L94" s="92">
        <f t="shared" si="41"/>
        <v>800.16</v>
      </c>
      <c r="M94" s="89">
        <v>56</v>
      </c>
      <c r="N94" s="89">
        <v>1</v>
      </c>
      <c r="O94" s="89">
        <v>1297</v>
      </c>
      <c r="P94" s="89">
        <v>0</v>
      </c>
      <c r="Q94" s="233">
        <f t="shared" si="61"/>
        <v>0.14285714285714285</v>
      </c>
      <c r="R94" s="92">
        <f t="shared" si="62"/>
        <v>0</v>
      </c>
      <c r="S94" s="93">
        <v>0</v>
      </c>
      <c r="T94" s="93">
        <v>0</v>
      </c>
      <c r="U94" s="92">
        <f t="shared" si="63"/>
        <v>0</v>
      </c>
      <c r="V94" s="93">
        <v>0</v>
      </c>
      <c r="W94" s="93">
        <v>0</v>
      </c>
      <c r="X94" s="92">
        <f t="shared" si="64"/>
        <v>0</v>
      </c>
      <c r="Y94" s="93">
        <v>0</v>
      </c>
      <c r="Z94" s="93">
        <v>0</v>
      </c>
      <c r="AA94" s="92">
        <f t="shared" si="65"/>
        <v>0</v>
      </c>
      <c r="AB94" s="92">
        <f t="shared" si="66"/>
        <v>0</v>
      </c>
      <c r="AC94" s="234">
        <f t="shared" si="67"/>
        <v>0</v>
      </c>
      <c r="AD94" s="92">
        <f t="shared" si="68"/>
        <v>0</v>
      </c>
      <c r="AE94" s="93">
        <v>0</v>
      </c>
      <c r="AF94" s="234">
        <f t="shared" si="69"/>
        <v>0</v>
      </c>
      <c r="AG94" s="93">
        <v>113.8</v>
      </c>
      <c r="AH94" s="93"/>
      <c r="AI94" s="93"/>
      <c r="AJ94" s="93"/>
      <c r="AK94" s="93"/>
      <c r="AL94" s="122">
        <f t="shared" si="70"/>
        <v>0.70399965490466743</v>
      </c>
      <c r="AM94" s="93">
        <v>0</v>
      </c>
      <c r="AN94" s="94">
        <f t="shared" si="53"/>
        <v>0</v>
      </c>
      <c r="AO94" s="95">
        <f t="shared" si="54"/>
        <v>-114.50399965490466</v>
      </c>
      <c r="AP94" s="96"/>
      <c r="AQ94" s="97">
        <f t="shared" si="55"/>
        <v>0</v>
      </c>
      <c r="AR94" s="98">
        <f t="shared" si="56"/>
        <v>400.08</v>
      </c>
      <c r="AS94" s="98">
        <f t="shared" si="57"/>
        <v>0</v>
      </c>
      <c r="AT94" s="98">
        <f t="shared" si="58"/>
        <v>113.8</v>
      </c>
      <c r="AU94" s="98">
        <f t="shared" si="59"/>
        <v>0</v>
      </c>
      <c r="AV94" s="98">
        <f t="array" ref="AV94">_xlfn.IFS(U94=0,AO94,U94&lt;0,AO94/-U94,U94&gt;0,AO94/U94)</f>
        <v>-114.50399965490466</v>
      </c>
      <c r="AW94" s="234">
        <f t="shared" si="49"/>
        <v>0</v>
      </c>
      <c r="AX94" s="234">
        <f t="shared" si="50"/>
        <v>-0.28620275858554456</v>
      </c>
      <c r="AY94" s="99"/>
      <c r="AZ94" s="94">
        <f t="shared" si="60"/>
        <v>-229.00799930980932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52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1"/>
        <v>0</v>
      </c>
      <c r="M95" s="89">
        <v>22</v>
      </c>
      <c r="N95" s="89">
        <v>0</v>
      </c>
      <c r="O95" s="89">
        <v>0</v>
      </c>
      <c r="P95" s="89">
        <v>0</v>
      </c>
      <c r="Q95" s="233">
        <f t="shared" si="61"/>
        <v>0</v>
      </c>
      <c r="R95" s="92">
        <f t="shared" si="62"/>
        <v>0.14285714285714285</v>
      </c>
      <c r="S95" s="93">
        <v>1</v>
      </c>
      <c r="T95" s="93">
        <v>0</v>
      </c>
      <c r="U95" s="92">
        <f t="shared" si="63"/>
        <v>1</v>
      </c>
      <c r="V95" s="93">
        <v>1025</v>
      </c>
      <c r="W95" s="93">
        <v>0</v>
      </c>
      <c r="X95" s="92">
        <f t="shared" si="64"/>
        <v>1025</v>
      </c>
      <c r="Y95" s="93">
        <v>1647</v>
      </c>
      <c r="Z95" s="93">
        <v>0</v>
      </c>
      <c r="AA95" s="92">
        <f t="shared" si="65"/>
        <v>1647</v>
      </c>
      <c r="AB95" s="92">
        <f t="shared" si="66"/>
        <v>0</v>
      </c>
      <c r="AC95" s="234">
        <f t="shared" si="67"/>
        <v>1.236033719540212E-3</v>
      </c>
      <c r="AD95" s="92">
        <f t="shared" si="68"/>
        <v>400.08</v>
      </c>
      <c r="AE95" s="93">
        <v>607.45000000000005</v>
      </c>
      <c r="AF95" s="234">
        <f t="shared" si="69"/>
        <v>0.36882210078931393</v>
      </c>
      <c r="AG95" s="93">
        <v>34.799999999999997</v>
      </c>
      <c r="AH95" s="93"/>
      <c r="AI95" s="93"/>
      <c r="AJ95" s="93"/>
      <c r="AK95" s="93"/>
      <c r="AL95" s="122">
        <f t="shared" si="70"/>
        <v>0</v>
      </c>
      <c r="AM95" s="93">
        <v>0</v>
      </c>
      <c r="AN95" s="94">
        <f t="shared" si="53"/>
        <v>58.527499999999996</v>
      </c>
      <c r="AO95" s="95">
        <f t="shared" si="54"/>
        <v>546.14250000000004</v>
      </c>
      <c r="AP95" s="96"/>
      <c r="AQ95" s="97">
        <f t="shared" si="55"/>
        <v>1647</v>
      </c>
      <c r="AR95" s="98">
        <f t="shared" si="56"/>
        <v>400.08</v>
      </c>
      <c r="AS95" s="98">
        <f t="shared" si="57"/>
        <v>607.45000000000005</v>
      </c>
      <c r="AT95" s="98">
        <f t="shared" si="58"/>
        <v>34.799999999999997</v>
      </c>
      <c r="AU95" s="98">
        <f t="shared" si="59"/>
        <v>0</v>
      </c>
      <c r="AV95" s="98">
        <f t="array" ref="AV95">_xlfn.IFS(U95=0,AO95,U95&lt;0,AO95/-U95,U95&gt;0,AO95/U95)</f>
        <v>546.14250000000004</v>
      </c>
      <c r="AW95" s="234">
        <f t="shared" si="49"/>
        <v>0.33159836065573772</v>
      </c>
      <c r="AX95" s="234">
        <f t="shared" si="50"/>
        <v>1.3650832333533296</v>
      </c>
      <c r="AY95" s="99"/>
      <c r="AZ95" s="94">
        <f t="shared" si="60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52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1"/>
        <v>0</v>
      </c>
      <c r="M96" s="89">
        <v>999</v>
      </c>
      <c r="N96" s="89">
        <v>0</v>
      </c>
      <c r="O96" s="89">
        <v>0</v>
      </c>
      <c r="P96" s="89">
        <v>0</v>
      </c>
      <c r="Q96" s="233">
        <f t="shared" si="61"/>
        <v>0</v>
      </c>
      <c r="R96" s="92">
        <f t="shared" si="62"/>
        <v>0</v>
      </c>
      <c r="S96" s="93">
        <v>0</v>
      </c>
      <c r="T96" s="93">
        <v>0</v>
      </c>
      <c r="U96" s="92">
        <f t="shared" si="63"/>
        <v>0</v>
      </c>
      <c r="V96" s="93">
        <v>0</v>
      </c>
      <c r="W96" s="93">
        <v>0</v>
      </c>
      <c r="X96" s="92">
        <f t="shared" si="64"/>
        <v>0</v>
      </c>
      <c r="Y96" s="93">
        <v>0</v>
      </c>
      <c r="Z96" s="93">
        <v>0</v>
      </c>
      <c r="AA96" s="92">
        <f t="shared" si="65"/>
        <v>0</v>
      </c>
      <c r="AB96" s="92">
        <f t="shared" si="66"/>
        <v>0</v>
      </c>
      <c r="AC96" s="234">
        <f t="shared" si="67"/>
        <v>0</v>
      </c>
      <c r="AD96" s="92">
        <f t="shared" si="68"/>
        <v>0</v>
      </c>
      <c r="AE96" s="93">
        <v>0</v>
      </c>
      <c r="AF96" s="234">
        <f t="shared" si="69"/>
        <v>0</v>
      </c>
      <c r="AG96" s="93">
        <v>0</v>
      </c>
      <c r="AH96" s="93"/>
      <c r="AI96" s="93"/>
      <c r="AJ96" s="93"/>
      <c r="AK96" s="93"/>
      <c r="AL96" s="122">
        <f t="shared" si="70"/>
        <v>0</v>
      </c>
      <c r="AM96" s="93">
        <v>0</v>
      </c>
      <c r="AN96" s="94">
        <f t="shared" si="53"/>
        <v>0</v>
      </c>
      <c r="AO96" s="95">
        <f t="shared" si="54"/>
        <v>0</v>
      </c>
      <c r="AP96" s="96"/>
      <c r="AQ96" s="97">
        <f t="shared" si="55"/>
        <v>0</v>
      </c>
      <c r="AR96" s="98">
        <f t="shared" si="56"/>
        <v>300.08</v>
      </c>
      <c r="AS96" s="98">
        <f t="shared" si="57"/>
        <v>0</v>
      </c>
      <c r="AT96" s="98">
        <f t="shared" si="58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9"/>
        <v>0</v>
      </c>
      <c r="AX96" s="234">
        <f t="shared" si="50"/>
        <v>0</v>
      </c>
      <c r="AY96" s="99"/>
      <c r="AZ96" s="94">
        <f t="shared" si="60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52"/>
        <v>4</v>
      </c>
      <c r="F97" s="93" t="s">
        <v>100</v>
      </c>
      <c r="G97" s="93" t="s">
        <v>100</v>
      </c>
      <c r="H97" s="93">
        <v>4</v>
      </c>
      <c r="I97" s="93">
        <v>0</v>
      </c>
      <c r="J97" s="93">
        <v>0</v>
      </c>
      <c r="K97" s="93">
        <v>400.08</v>
      </c>
      <c r="L97" s="92">
        <f t="shared" si="41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61"/>
        <v>0</v>
      </c>
      <c r="R97" s="92">
        <f t="shared" si="62"/>
        <v>0</v>
      </c>
      <c r="S97" s="93">
        <v>0</v>
      </c>
      <c r="T97" s="93">
        <v>0</v>
      </c>
      <c r="U97" s="92">
        <f t="shared" si="63"/>
        <v>0</v>
      </c>
      <c r="V97" s="93">
        <v>0</v>
      </c>
      <c r="W97" s="93">
        <v>0</v>
      </c>
      <c r="X97" s="92">
        <f t="shared" si="64"/>
        <v>0</v>
      </c>
      <c r="Y97" s="93">
        <v>0</v>
      </c>
      <c r="Z97" s="93">
        <v>0</v>
      </c>
      <c r="AA97" s="92">
        <f t="shared" si="65"/>
        <v>0</v>
      </c>
      <c r="AB97" s="92">
        <f t="shared" si="66"/>
        <v>0</v>
      </c>
      <c r="AC97" s="234">
        <f t="shared" si="67"/>
        <v>0</v>
      </c>
      <c r="AD97" s="92">
        <f t="shared" si="68"/>
        <v>0</v>
      </c>
      <c r="AE97" s="93">
        <v>0</v>
      </c>
      <c r="AF97" s="234">
        <f t="shared" si="69"/>
        <v>0</v>
      </c>
      <c r="AG97" s="93">
        <v>0</v>
      </c>
      <c r="AH97" s="93"/>
      <c r="AI97" s="93"/>
      <c r="AJ97" s="93"/>
      <c r="AK97" s="93"/>
      <c r="AL97" s="122">
        <f t="shared" si="70"/>
        <v>2.8159986196186697</v>
      </c>
      <c r="AM97" s="93">
        <v>0</v>
      </c>
      <c r="AN97" s="94">
        <f t="shared" si="53"/>
        <v>0</v>
      </c>
      <c r="AO97" s="95">
        <f t="shared" si="54"/>
        <v>-2.8159986196186697</v>
      </c>
      <c r="AP97" s="96"/>
      <c r="AQ97" s="97">
        <f t="shared" si="55"/>
        <v>0</v>
      </c>
      <c r="AR97" s="98">
        <f t="shared" si="56"/>
        <v>400.08</v>
      </c>
      <c r="AS97" s="98">
        <f t="shared" si="57"/>
        <v>0</v>
      </c>
      <c r="AT97" s="98">
        <f t="shared" si="58"/>
        <v>0</v>
      </c>
      <c r="AU97" s="98">
        <f t="shared" si="59"/>
        <v>0</v>
      </c>
      <c r="AV97" s="98">
        <f t="array" ref="AV97">_xlfn.IFS(U97=0,AO97,U97&lt;0,AO97/-U97,U97&gt;0,AO97/U97)</f>
        <v>-2.8159986196186697</v>
      </c>
      <c r="AW97" s="234">
        <f t="shared" si="49"/>
        <v>0</v>
      </c>
      <c r="AX97" s="234">
        <f t="shared" si="50"/>
        <v>-7.0385888312804188E-3</v>
      </c>
      <c r="AY97" s="99"/>
      <c r="AZ97" s="94">
        <f t="shared" si="60"/>
        <v>-11.263994478474679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52"/>
        <v>16</v>
      </c>
      <c r="F98" s="93" t="s">
        <v>100</v>
      </c>
      <c r="G98" s="93" t="s">
        <v>100</v>
      </c>
      <c r="H98" s="93">
        <v>16</v>
      </c>
      <c r="I98" s="93">
        <v>0</v>
      </c>
      <c r="J98" s="93">
        <v>0</v>
      </c>
      <c r="K98" s="93">
        <v>300.08</v>
      </c>
      <c r="L98" s="92">
        <f t="shared" si="41"/>
        <v>4801.28</v>
      </c>
      <c r="M98" s="89">
        <v>999</v>
      </c>
      <c r="N98" s="89">
        <v>0</v>
      </c>
      <c r="O98" s="89">
        <v>0</v>
      </c>
      <c r="P98" s="89">
        <v>0</v>
      </c>
      <c r="Q98" s="233">
        <f t="shared" si="61"/>
        <v>0</v>
      </c>
      <c r="R98" s="92">
        <f t="shared" si="62"/>
        <v>0</v>
      </c>
      <c r="S98" s="93">
        <v>0</v>
      </c>
      <c r="T98" s="93">
        <v>0</v>
      </c>
      <c r="U98" s="92">
        <f t="shared" si="63"/>
        <v>0</v>
      </c>
      <c r="V98" s="93">
        <v>0</v>
      </c>
      <c r="W98" s="93">
        <v>0</v>
      </c>
      <c r="X98" s="92">
        <f t="shared" si="64"/>
        <v>0</v>
      </c>
      <c r="Y98" s="93">
        <v>0</v>
      </c>
      <c r="Z98" s="93">
        <v>0</v>
      </c>
      <c r="AA98" s="92">
        <f t="shared" si="65"/>
        <v>0</v>
      </c>
      <c r="AB98" s="92">
        <f t="shared" si="66"/>
        <v>0</v>
      </c>
      <c r="AC98" s="234">
        <f t="shared" si="67"/>
        <v>0</v>
      </c>
      <c r="AD98" s="92">
        <f t="shared" si="68"/>
        <v>0</v>
      </c>
      <c r="AE98" s="93">
        <v>0</v>
      </c>
      <c r="AF98" s="234">
        <f t="shared" si="69"/>
        <v>0</v>
      </c>
      <c r="AG98" s="93">
        <v>0</v>
      </c>
      <c r="AH98" s="93"/>
      <c r="AI98" s="93"/>
      <c r="AJ98" s="93"/>
      <c r="AK98" s="93"/>
      <c r="AL98" s="122">
        <f t="shared" si="70"/>
        <v>11.263994478474679</v>
      </c>
      <c r="AM98" s="93">
        <v>0</v>
      </c>
      <c r="AN98" s="94">
        <f t="shared" si="53"/>
        <v>0</v>
      </c>
      <c r="AO98" s="95">
        <f t="shared" si="54"/>
        <v>-11.263994478474679</v>
      </c>
      <c r="AP98" s="96"/>
      <c r="AQ98" s="97">
        <f t="shared" si="55"/>
        <v>0</v>
      </c>
      <c r="AR98" s="98">
        <f t="shared" si="56"/>
        <v>300.08</v>
      </c>
      <c r="AS98" s="98">
        <f t="shared" si="57"/>
        <v>0</v>
      </c>
      <c r="AT98" s="98">
        <f t="shared" si="58"/>
        <v>0</v>
      </c>
      <c r="AU98" s="98">
        <f t="shared" si="59"/>
        <v>0</v>
      </c>
      <c r="AV98" s="98">
        <f t="array" ref="AV98">_xlfn.IFS(U98=0,AO98,U98&lt;0,AO98/-U98,U98&gt;0,AO98/U98)</f>
        <v>-11.263994478474679</v>
      </c>
      <c r="AW98" s="234">
        <f t="shared" si="49"/>
        <v>0</v>
      </c>
      <c r="AX98" s="234">
        <f t="shared" si="50"/>
        <v>-3.7536638491317914E-2</v>
      </c>
      <c r="AY98" s="99"/>
      <c r="AZ98" s="94">
        <f t="shared" si="60"/>
        <v>-180.22391165559486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52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1"/>
        <v>0</v>
      </c>
      <c r="M99" s="89" t="s">
        <v>100</v>
      </c>
      <c r="N99" s="89">
        <v>1</v>
      </c>
      <c r="O99" s="89">
        <v>1700</v>
      </c>
      <c r="P99" s="89">
        <v>0</v>
      </c>
      <c r="Q99" s="233">
        <f t="shared" si="61"/>
        <v>0.14285714285714285</v>
      </c>
      <c r="R99" s="92">
        <f t="shared" si="62"/>
        <v>0</v>
      </c>
      <c r="S99" s="93">
        <v>0</v>
      </c>
      <c r="T99" s="93">
        <v>0</v>
      </c>
      <c r="U99" s="92">
        <f t="shared" si="63"/>
        <v>0</v>
      </c>
      <c r="V99" s="93">
        <v>0</v>
      </c>
      <c r="W99" s="93">
        <v>0</v>
      </c>
      <c r="X99" s="92">
        <f t="shared" si="64"/>
        <v>0</v>
      </c>
      <c r="Y99" s="93">
        <v>0</v>
      </c>
      <c r="Z99" s="93">
        <v>0</v>
      </c>
      <c r="AA99" s="92">
        <f t="shared" si="65"/>
        <v>0</v>
      </c>
      <c r="AB99" s="92">
        <f t="shared" si="66"/>
        <v>0</v>
      </c>
      <c r="AC99" s="234">
        <f t="shared" si="67"/>
        <v>0</v>
      </c>
      <c r="AD99" s="92">
        <f t="shared" si="68"/>
        <v>0</v>
      </c>
      <c r="AE99" s="93">
        <v>0</v>
      </c>
      <c r="AF99" s="234">
        <f t="shared" si="69"/>
        <v>0</v>
      </c>
      <c r="AG99" s="93">
        <v>0</v>
      </c>
      <c r="AH99" s="93"/>
      <c r="AI99" s="93"/>
      <c r="AJ99" s="93"/>
      <c r="AK99" s="93"/>
      <c r="AL99" s="122">
        <f t="shared" si="70"/>
        <v>0</v>
      </c>
      <c r="AM99" s="93">
        <v>0</v>
      </c>
      <c r="AN99" s="94">
        <f t="shared" si="53"/>
        <v>0</v>
      </c>
      <c r="AO99" s="95">
        <f t="shared" ref="AO99:AO103" si="71">AA99-AD99-AE99-AG99-AH99-AI99-AK99-AL99-AN99-AM99</f>
        <v>0</v>
      </c>
      <c r="AP99" s="96"/>
      <c r="AQ99" s="97">
        <f t="shared" si="55"/>
        <v>0</v>
      </c>
      <c r="AR99" s="98">
        <f t="shared" si="56"/>
        <v>142.97999999999999</v>
      </c>
      <c r="AS99" s="98">
        <f t="shared" si="57"/>
        <v>0</v>
      </c>
      <c r="AT99" s="98">
        <f t="shared" si="58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72">IF(AQ99=0,0,AV99/AQ99)</f>
        <v>0</v>
      </c>
      <c r="AX99" s="234">
        <f t="shared" ref="AX99:AX103" si="73">IF(AR99=0,0,AV99/AR99)</f>
        <v>0</v>
      </c>
      <c r="AY99" s="99"/>
      <c r="AZ99" s="94">
        <f t="shared" si="60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52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74">E100*K100</f>
        <v>0</v>
      </c>
      <c r="M100" s="89">
        <v>0</v>
      </c>
      <c r="N100" s="89">
        <v>0</v>
      </c>
      <c r="O100" s="89">
        <v>0</v>
      </c>
      <c r="P100" s="89">
        <v>0</v>
      </c>
      <c r="Q100" s="233">
        <f t="shared" si="61"/>
        <v>0</v>
      </c>
      <c r="R100" s="92">
        <f t="shared" si="62"/>
        <v>0</v>
      </c>
      <c r="S100" s="93">
        <v>0</v>
      </c>
      <c r="T100" s="93">
        <v>0</v>
      </c>
      <c r="U100" s="92">
        <f t="shared" si="63"/>
        <v>0</v>
      </c>
      <c r="V100" s="93">
        <v>0</v>
      </c>
      <c r="W100" s="93">
        <v>0</v>
      </c>
      <c r="X100" s="92">
        <f t="shared" si="64"/>
        <v>0</v>
      </c>
      <c r="Y100" s="93">
        <v>0</v>
      </c>
      <c r="Z100" s="93">
        <v>0</v>
      </c>
      <c r="AA100" s="92">
        <f t="shared" si="65"/>
        <v>0</v>
      </c>
      <c r="AB100" s="92">
        <f t="shared" si="66"/>
        <v>0</v>
      </c>
      <c r="AC100" s="234">
        <f t="shared" si="67"/>
        <v>0</v>
      </c>
      <c r="AD100" s="92">
        <f t="shared" si="68"/>
        <v>0</v>
      </c>
      <c r="AE100" s="93">
        <v>0</v>
      </c>
      <c r="AF100" s="234">
        <f t="shared" si="69"/>
        <v>0</v>
      </c>
      <c r="AG100" s="93">
        <v>0</v>
      </c>
      <c r="AH100" s="93"/>
      <c r="AI100" s="93"/>
      <c r="AJ100" s="93"/>
      <c r="AK100" s="93"/>
      <c r="AL100" s="122">
        <f t="shared" si="70"/>
        <v>0</v>
      </c>
      <c r="AM100" s="93">
        <v>0</v>
      </c>
      <c r="AN100" s="94">
        <f t="shared" si="53"/>
        <v>0</v>
      </c>
      <c r="AO100" s="95">
        <f t="shared" si="71"/>
        <v>0</v>
      </c>
      <c r="AP100" s="96"/>
      <c r="AQ100" s="97">
        <f t="shared" si="55"/>
        <v>0</v>
      </c>
      <c r="AR100" s="98">
        <f t="shared" si="56"/>
        <v>142.97999999999999</v>
      </c>
      <c r="AS100" s="98">
        <f t="shared" si="57"/>
        <v>0</v>
      </c>
      <c r="AT100" s="98">
        <f t="shared" si="58"/>
        <v>0</v>
      </c>
      <c r="AU100" s="98">
        <f t="shared" si="59"/>
        <v>0</v>
      </c>
      <c r="AV100" s="98">
        <f t="array" ref="AV100">_xlfn.IFS(U100=0,AO100,U100&lt;0,AO100/-U100,U100&gt;0,AO100/U100)</f>
        <v>0</v>
      </c>
      <c r="AW100" s="234">
        <f t="shared" si="72"/>
        <v>0</v>
      </c>
      <c r="AX100" s="234">
        <f t="shared" si="73"/>
        <v>0</v>
      </c>
      <c r="AY100" s="99"/>
      <c r="AZ100" s="94">
        <f t="shared" si="6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52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74"/>
        <v>0</v>
      </c>
      <c r="M101" s="89" t="s">
        <v>100</v>
      </c>
      <c r="N101" s="89">
        <v>1</v>
      </c>
      <c r="O101" s="89">
        <v>900</v>
      </c>
      <c r="P101" s="89">
        <v>0</v>
      </c>
      <c r="Q101" s="233">
        <f t="shared" si="61"/>
        <v>0.14285714285714285</v>
      </c>
      <c r="R101" s="92">
        <f t="shared" si="62"/>
        <v>0</v>
      </c>
      <c r="S101" s="93">
        <v>0</v>
      </c>
      <c r="T101" s="93">
        <v>0</v>
      </c>
      <c r="U101" s="92">
        <f t="shared" si="63"/>
        <v>0</v>
      </c>
      <c r="V101" s="93">
        <v>0</v>
      </c>
      <c r="W101" s="93">
        <v>0</v>
      </c>
      <c r="X101" s="92">
        <f t="shared" si="64"/>
        <v>0</v>
      </c>
      <c r="Y101" s="93">
        <v>0</v>
      </c>
      <c r="Z101" s="93">
        <v>0</v>
      </c>
      <c r="AA101" s="92">
        <f t="shared" si="65"/>
        <v>0</v>
      </c>
      <c r="AB101" s="92">
        <f t="shared" si="66"/>
        <v>0</v>
      </c>
      <c r="AC101" s="234">
        <f t="shared" si="67"/>
        <v>0</v>
      </c>
      <c r="AD101" s="92">
        <f t="shared" si="68"/>
        <v>0</v>
      </c>
      <c r="AE101" s="93">
        <v>0</v>
      </c>
      <c r="AF101" s="234">
        <f t="shared" si="69"/>
        <v>0</v>
      </c>
      <c r="AG101" s="93">
        <v>0</v>
      </c>
      <c r="AH101" s="93"/>
      <c r="AI101" s="93"/>
      <c r="AJ101" s="93"/>
      <c r="AK101" s="93"/>
      <c r="AL101" s="122">
        <f t="shared" si="70"/>
        <v>0</v>
      </c>
      <c r="AM101" s="93">
        <v>0</v>
      </c>
      <c r="AN101" s="94">
        <f t="shared" si="53"/>
        <v>0</v>
      </c>
      <c r="AO101" s="95">
        <f t="shared" si="71"/>
        <v>0</v>
      </c>
      <c r="AP101" s="96"/>
      <c r="AQ101" s="97">
        <f t="shared" si="55"/>
        <v>0</v>
      </c>
      <c r="AR101" s="98">
        <f t="shared" si="56"/>
        <v>123.09</v>
      </c>
      <c r="AS101" s="98">
        <f t="shared" si="57"/>
        <v>0</v>
      </c>
      <c r="AT101" s="98">
        <f t="shared" si="58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72"/>
        <v>0</v>
      </c>
      <c r="AX101" s="234">
        <f t="shared" si="73"/>
        <v>0</v>
      </c>
      <c r="AY101" s="99"/>
      <c r="AZ101" s="94">
        <f t="shared" si="6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52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74"/>
        <v>0</v>
      </c>
      <c r="M102" s="89">
        <v>0</v>
      </c>
      <c r="N102" s="89">
        <v>0</v>
      </c>
      <c r="O102" s="89">
        <v>0</v>
      </c>
      <c r="P102" s="89">
        <v>0</v>
      </c>
      <c r="Q102" s="233">
        <f t="shared" si="61"/>
        <v>0</v>
      </c>
      <c r="R102" s="92">
        <f t="shared" si="62"/>
        <v>0</v>
      </c>
      <c r="S102" s="93">
        <v>0</v>
      </c>
      <c r="T102" s="93">
        <v>0</v>
      </c>
      <c r="U102" s="92">
        <f t="shared" si="63"/>
        <v>0</v>
      </c>
      <c r="V102" s="93">
        <v>0</v>
      </c>
      <c r="W102" s="93">
        <v>0</v>
      </c>
      <c r="X102" s="92">
        <f t="shared" si="64"/>
        <v>0</v>
      </c>
      <c r="Y102" s="93">
        <v>0</v>
      </c>
      <c r="Z102" s="93">
        <v>0</v>
      </c>
      <c r="AA102" s="92">
        <f t="shared" si="65"/>
        <v>0</v>
      </c>
      <c r="AB102" s="92">
        <f t="shared" si="66"/>
        <v>0</v>
      </c>
      <c r="AC102" s="234">
        <f t="shared" si="67"/>
        <v>0</v>
      </c>
      <c r="AD102" s="92">
        <f t="shared" si="68"/>
        <v>0</v>
      </c>
      <c r="AE102" s="93">
        <v>0</v>
      </c>
      <c r="AF102" s="234">
        <f t="shared" si="69"/>
        <v>0</v>
      </c>
      <c r="AG102" s="93">
        <v>0</v>
      </c>
      <c r="AH102" s="93"/>
      <c r="AI102" s="93"/>
      <c r="AJ102" s="93"/>
      <c r="AK102" s="93"/>
      <c r="AL102" s="122">
        <f t="shared" si="70"/>
        <v>0</v>
      </c>
      <c r="AM102" s="93">
        <v>0</v>
      </c>
      <c r="AN102" s="94">
        <f t="shared" si="53"/>
        <v>0</v>
      </c>
      <c r="AO102" s="95">
        <f t="shared" si="71"/>
        <v>0</v>
      </c>
      <c r="AP102" s="96"/>
      <c r="AQ102" s="97">
        <f t="shared" si="55"/>
        <v>0</v>
      </c>
      <c r="AR102" s="98">
        <f t="shared" si="56"/>
        <v>123.09</v>
      </c>
      <c r="AS102" s="98">
        <f t="shared" si="57"/>
        <v>0</v>
      </c>
      <c r="AT102" s="98">
        <f t="shared" si="58"/>
        <v>0</v>
      </c>
      <c r="AU102" s="98">
        <f t="shared" si="59"/>
        <v>0</v>
      </c>
      <c r="AV102" s="98">
        <f t="array" ref="AV102">_xlfn.IFS(U102=0,AO102,U102&lt;0,AO102/-U102,U102&gt;0,AO102/U102)</f>
        <v>0</v>
      </c>
      <c r="AW102" s="234">
        <f t="shared" si="72"/>
        <v>0</v>
      </c>
      <c r="AX102" s="234">
        <f t="shared" si="73"/>
        <v>0</v>
      </c>
      <c r="AY102" s="99"/>
      <c r="AZ102" s="94">
        <f t="shared" si="6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52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7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61"/>
        <v>0</v>
      </c>
      <c r="R103" s="92">
        <f t="shared" si="62"/>
        <v>0</v>
      </c>
      <c r="S103" s="93">
        <v>0</v>
      </c>
      <c r="T103" s="93">
        <v>0</v>
      </c>
      <c r="U103" s="92">
        <f t="shared" si="63"/>
        <v>0</v>
      </c>
      <c r="V103" s="93">
        <v>0</v>
      </c>
      <c r="W103" s="93">
        <v>0</v>
      </c>
      <c r="X103" s="92">
        <f t="shared" si="64"/>
        <v>0</v>
      </c>
      <c r="Y103" s="93">
        <v>0</v>
      </c>
      <c r="Z103" s="93">
        <v>0</v>
      </c>
      <c r="AA103" s="92">
        <f t="shared" si="65"/>
        <v>0</v>
      </c>
      <c r="AB103" s="92">
        <f t="shared" si="66"/>
        <v>0</v>
      </c>
      <c r="AC103" s="234">
        <f t="shared" si="67"/>
        <v>0</v>
      </c>
      <c r="AD103" s="92">
        <f t="shared" si="68"/>
        <v>0</v>
      </c>
      <c r="AE103" s="93">
        <v>0</v>
      </c>
      <c r="AF103" s="234">
        <f t="shared" si="69"/>
        <v>0</v>
      </c>
      <c r="AG103" s="93">
        <v>0</v>
      </c>
      <c r="AH103" s="93"/>
      <c r="AI103" s="93"/>
      <c r="AJ103" s="93"/>
      <c r="AK103" s="93"/>
      <c r="AL103" s="122">
        <f t="shared" si="70"/>
        <v>0</v>
      </c>
      <c r="AM103" s="93">
        <v>0</v>
      </c>
      <c r="AN103" s="94">
        <f t="shared" si="53"/>
        <v>0</v>
      </c>
      <c r="AO103" s="95">
        <f t="shared" si="71"/>
        <v>0</v>
      </c>
      <c r="AP103" s="96"/>
      <c r="AQ103" s="97">
        <f t="shared" si="55"/>
        <v>0</v>
      </c>
      <c r="AR103" s="98">
        <f t="shared" si="56"/>
        <v>107.88</v>
      </c>
      <c r="AS103" s="98">
        <f t="shared" si="57"/>
        <v>0</v>
      </c>
      <c r="AT103" s="98">
        <f t="shared" si="58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72"/>
        <v>0</v>
      </c>
      <c r="AX103" s="234">
        <f t="shared" si="73"/>
        <v>0</v>
      </c>
      <c r="AY103" s="99"/>
      <c r="AZ103" s="94">
        <f t="shared" si="6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75">AVERAGE(AQ7:AQ98)</f>
        <v>451.05550453739244</v>
      </c>
      <c r="AR104" s="111">
        <f t="shared" si="75"/>
        <v>141.22217391304349</v>
      </c>
      <c r="AS104" s="111">
        <f t="shared" si="75"/>
        <v>167.71756264163091</v>
      </c>
      <c r="AT104" s="111">
        <f t="shared" si="75"/>
        <v>110.80472362061795</v>
      </c>
      <c r="AU104" s="111">
        <f t="shared" si="75"/>
        <v>243.63487986065653</v>
      </c>
      <c r="AV104" s="111">
        <f t="shared" si="75"/>
        <v>-226.53457184954871</v>
      </c>
      <c r="AW104" s="112">
        <f t="shared" si="75"/>
        <v>-0.16138246276985932</v>
      </c>
      <c r="AX104" s="112">
        <f t="shared" si="75"/>
        <v>-1.7147241339902215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76">SUM(E3:E104)</f>
        <v>85280</v>
      </c>
      <c r="F105" s="116">
        <f t="shared" si="76"/>
        <v>1971</v>
      </c>
      <c r="G105" s="116">
        <f t="shared" si="76"/>
        <v>336</v>
      </c>
      <c r="H105" s="116">
        <f t="shared" si="76"/>
        <v>11591</v>
      </c>
      <c r="I105" s="116">
        <f t="shared" si="76"/>
        <v>1611</v>
      </c>
      <c r="J105" s="116">
        <f t="shared" si="76"/>
        <v>69771</v>
      </c>
      <c r="K105" s="116"/>
      <c r="L105" s="116">
        <f>SUM(L3:L104)</f>
        <v>10558771.669999998</v>
      </c>
      <c r="M105" s="116"/>
      <c r="N105" s="116">
        <f>SUM(N3:N104)</f>
        <v>2829</v>
      </c>
      <c r="O105" s="116"/>
      <c r="P105" s="116"/>
      <c r="Q105" s="212"/>
      <c r="R105" s="116"/>
      <c r="S105" s="116">
        <f t="shared" ref="S105:AE105" si="77">SUM(S3:S104)</f>
        <v>1418</v>
      </c>
      <c r="T105" s="116">
        <f t="shared" si="77"/>
        <v>-25</v>
      </c>
      <c r="U105" s="116">
        <f t="shared" si="77"/>
        <v>1393</v>
      </c>
      <c r="V105" s="116">
        <f t="shared" si="77"/>
        <v>894889.92999999982</v>
      </c>
      <c r="W105" s="116">
        <f t="shared" si="77"/>
        <v>-16453.5</v>
      </c>
      <c r="X105" s="116">
        <f t="shared" si="77"/>
        <v>878436.42999999982</v>
      </c>
      <c r="Y105" s="116">
        <f t="shared" si="77"/>
        <v>1357374.9799999997</v>
      </c>
      <c r="Z105" s="116">
        <f t="shared" si="77"/>
        <v>-24887.06</v>
      </c>
      <c r="AA105" s="116">
        <f t="shared" si="77"/>
        <v>1332487.9199999997</v>
      </c>
      <c r="AB105" s="116">
        <f t="shared" si="77"/>
        <v>1864942.6099999999</v>
      </c>
      <c r="AC105" s="239">
        <f t="shared" si="77"/>
        <v>1.0000000000000004</v>
      </c>
      <c r="AD105" s="117">
        <f t="shared" si="77"/>
        <v>175437.39</v>
      </c>
      <c r="AE105" s="116">
        <f t="shared" si="77"/>
        <v>495216.10999999969</v>
      </c>
      <c r="AF105" s="239">
        <f>AE105/AA105</f>
        <v>0.37164772945934083</v>
      </c>
      <c r="AG105" s="116">
        <f t="shared" ref="AG105:AO105" si="78">SUM(AG3:AG104)</f>
        <v>153486.12</v>
      </c>
      <c r="AH105" s="117">
        <f t="shared" si="78"/>
        <v>111419</v>
      </c>
      <c r="AI105" s="117">
        <f t="shared" si="78"/>
        <v>126688</v>
      </c>
      <c r="AJ105" s="117">
        <f t="shared" si="78"/>
        <v>3554</v>
      </c>
      <c r="AK105" s="117">
        <f t="shared" si="78"/>
        <v>0</v>
      </c>
      <c r="AL105" s="117">
        <f t="shared" si="78"/>
        <v>8160.0600000000068</v>
      </c>
      <c r="AM105" s="116">
        <f t="shared" si="78"/>
        <v>0</v>
      </c>
      <c r="AN105" s="117">
        <f t="shared" si="78"/>
        <v>50158.720153000002</v>
      </c>
      <c r="AO105" s="117">
        <f t="shared" si="78"/>
        <v>211922.51984700011</v>
      </c>
      <c r="AP105" s="118"/>
      <c r="AQ105" s="116"/>
      <c r="AR105" s="116"/>
      <c r="AS105" s="116"/>
      <c r="AT105" s="116"/>
      <c r="AU105" s="294">
        <f>(AH105+AI105+AJ104)/S105</f>
        <v>167.91748942172075</v>
      </c>
      <c r="AV105" s="116"/>
      <c r="AW105" s="116"/>
      <c r="AX105" s="116"/>
      <c r="AY105" s="119"/>
      <c r="AZ105" s="116">
        <f>SUM(AZ3:AZ104)</f>
        <v>10354974.978182226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45"/>
      <c r="AI106" s="545"/>
      <c r="AJ106" s="296"/>
      <c r="AK106" s="29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79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:Q111" si="80">N107/7</f>
        <v>0</v>
      </c>
      <c r="R107" s="92">
        <f t="shared" ref="R107:R111" si="81">U107/7</f>
        <v>0</v>
      </c>
      <c r="S107" s="93">
        <v>0</v>
      </c>
      <c r="T107" s="93">
        <v>0</v>
      </c>
      <c r="U107" s="92">
        <f t="shared" ref="U107" si="82">S107+T107</f>
        <v>0</v>
      </c>
      <c r="V107" s="93">
        <v>0</v>
      </c>
      <c r="W107" s="93">
        <v>0</v>
      </c>
      <c r="X107" s="92">
        <f t="shared" ref="X107" si="83">V107+W107</f>
        <v>0</v>
      </c>
      <c r="Y107" s="93">
        <v>0</v>
      </c>
      <c r="Z107" s="93">
        <v>0</v>
      </c>
      <c r="AA107" s="92">
        <f t="shared" ref="AA107" si="84">Y107+Z107</f>
        <v>0</v>
      </c>
      <c r="AB107" s="92">
        <f t="shared" ref="AB107" si="85">N107*O107*P107/100</f>
        <v>0</v>
      </c>
      <c r="AC107" s="234">
        <f t="shared" ref="AC107" si="86">AA107/$AA$126</f>
        <v>0</v>
      </c>
      <c r="AD107" s="92">
        <f t="shared" ref="AD107" si="87">U107*K107</f>
        <v>0</v>
      </c>
      <c r="AE107" s="93">
        <v>0</v>
      </c>
      <c r="AF107" s="234">
        <f t="shared" ref="AF107" si="88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89">IFERROR($AL$126*H107/$H$126,0)</f>
        <v>0</v>
      </c>
      <c r="AM107" s="93">
        <v>0</v>
      </c>
      <c r="AN107" s="94">
        <f>X107*5.71%</f>
        <v>0</v>
      </c>
      <c r="AO107" s="95">
        <f>AA107-AD107-AE107-AG107-AH107-AI107-AK107-AL107-AN107-AM107</f>
        <v>0</v>
      </c>
      <c r="AP107" s="96"/>
      <c r="AQ107" s="97">
        <f>IF(U107=0,0,AA107/U107)</f>
        <v>0</v>
      </c>
      <c r="AR107" s="98">
        <f>K107</f>
        <v>579.17999999999995</v>
      </c>
      <c r="AS107" s="98">
        <f>IF(U107=0,0,AE107/U107)</f>
        <v>0</v>
      </c>
      <c r="AT107" s="98">
        <f>IF(S107=0,AG107/1,AG107/S107)</f>
        <v>0</v>
      </c>
      <c r="AU107" s="98">
        <f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90">IF(AQ107=0,0,AV107/AQ107)</f>
        <v>0</v>
      </c>
      <c r="AX107" s="234">
        <f t="shared" ref="AX107:AX111" si="91">IF(AR107=0,0,AV107/AR107)</f>
        <v>0</v>
      </c>
      <c r="AY107" s="99"/>
      <c r="AZ107" s="94">
        <f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79"/>
        <v>2</v>
      </c>
      <c r="F108" s="93">
        <v>1</v>
      </c>
      <c r="G108" s="93" t="s">
        <v>100</v>
      </c>
      <c r="H108" s="93" t="s">
        <v>100</v>
      </c>
      <c r="I108" s="93">
        <v>0</v>
      </c>
      <c r="J108" s="93">
        <v>1</v>
      </c>
      <c r="K108" s="93">
        <v>579.17999999999995</v>
      </c>
      <c r="L108" s="92">
        <f t="shared" ref="L108:L111" si="92">E108*K108</f>
        <v>1158.3599999999999</v>
      </c>
      <c r="M108" s="89">
        <v>18</v>
      </c>
      <c r="N108" s="89">
        <v>1</v>
      </c>
      <c r="O108" s="89">
        <v>2079</v>
      </c>
      <c r="P108" s="89">
        <v>0</v>
      </c>
      <c r="Q108" s="233">
        <f t="shared" si="80"/>
        <v>0.14285714285714285</v>
      </c>
      <c r="R108" s="92">
        <f t="shared" si="81"/>
        <v>0</v>
      </c>
      <c r="S108" s="93">
        <v>0</v>
      </c>
      <c r="T108" s="93">
        <v>0</v>
      </c>
      <c r="U108" s="92">
        <f t="shared" ref="U108:U111" si="93">S108+T108</f>
        <v>0</v>
      </c>
      <c r="V108" s="93">
        <v>0</v>
      </c>
      <c r="W108" s="93">
        <v>0</v>
      </c>
      <c r="X108" s="92">
        <f t="shared" ref="X108:X111" si="94">V108+W108</f>
        <v>0</v>
      </c>
      <c r="Y108" s="93">
        <v>0</v>
      </c>
      <c r="Z108" s="93">
        <v>0</v>
      </c>
      <c r="AA108" s="92">
        <f t="shared" ref="AA108:AA111" si="95">Y108+Z108</f>
        <v>0</v>
      </c>
      <c r="AB108" s="92">
        <f t="shared" ref="AB108:AB111" si="96">N108*O108*P108/100</f>
        <v>0</v>
      </c>
      <c r="AC108" s="234">
        <f t="shared" ref="AC108:AC111" si="97">AA108/$AA$126</f>
        <v>0</v>
      </c>
      <c r="AD108" s="92">
        <f t="shared" ref="AD108:AD111" si="98">U108*K108</f>
        <v>0</v>
      </c>
      <c r="AE108" s="93">
        <v>0</v>
      </c>
      <c r="AF108" s="234">
        <f t="shared" ref="AF108:AF111" si="99">IF(AA108=0,0,AE108/AA108)</f>
        <v>0</v>
      </c>
      <c r="AG108" s="93">
        <v>0</v>
      </c>
      <c r="AH108" s="93"/>
      <c r="AI108" s="93"/>
      <c r="AJ108" s="93"/>
      <c r="AK108" s="93"/>
      <c r="AL108" s="122">
        <f t="shared" ref="AL108:AL111" si="100">IFERROR($AL$126*H108/$H$126,0)</f>
        <v>0</v>
      </c>
      <c r="AM108" s="93">
        <v>0</v>
      </c>
      <c r="AN108" s="94">
        <f>X108*5.71%</f>
        <v>0</v>
      </c>
      <c r="AO108" s="95">
        <f>AA108-AD108-AE108-AG108-AH108-AI108-AK108-AL108-AN108-AM108</f>
        <v>0</v>
      </c>
      <c r="AP108" s="96"/>
      <c r="AQ108" s="97">
        <f>IF(U108=0,0,AA108/U108)</f>
        <v>0</v>
      </c>
      <c r="AR108" s="98">
        <f>K108</f>
        <v>579.17999999999995</v>
      </c>
      <c r="AS108" s="98">
        <f>IF(U108=0,0,AE108/U108)</f>
        <v>0</v>
      </c>
      <c r="AT108" s="98">
        <f>IF(S108=0,AG108/1,AG108/S108)</f>
        <v>0</v>
      </c>
      <c r="AU108" s="98">
        <f>IF(S108=0,0,(AH108+AI108+AJ108)/S108)</f>
        <v>0</v>
      </c>
      <c r="AV108" s="98">
        <f t="array" ref="AV108">_xlfn.IFS(U108=0,AO108,U108&lt;0,AO108/-U108,U108&gt;0,AO108/U108)</f>
        <v>0</v>
      </c>
      <c r="AW108" s="234">
        <f t="shared" si="90"/>
        <v>0</v>
      </c>
      <c r="AX108" s="234">
        <f t="shared" si="91"/>
        <v>0</v>
      </c>
      <c r="AY108" s="99"/>
      <c r="AZ108" s="94">
        <f>AV108*E108</f>
        <v>0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79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9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80"/>
        <v>0</v>
      </c>
      <c r="R109" s="92">
        <f t="shared" si="81"/>
        <v>0</v>
      </c>
      <c r="S109" s="93">
        <v>0</v>
      </c>
      <c r="T109" s="93">
        <v>0</v>
      </c>
      <c r="U109" s="92">
        <f t="shared" si="93"/>
        <v>0</v>
      </c>
      <c r="V109" s="93">
        <v>0</v>
      </c>
      <c r="W109" s="93">
        <v>0</v>
      </c>
      <c r="X109" s="92">
        <f t="shared" si="94"/>
        <v>0</v>
      </c>
      <c r="Y109" s="93">
        <v>0</v>
      </c>
      <c r="Z109" s="93">
        <v>0</v>
      </c>
      <c r="AA109" s="92">
        <f t="shared" si="95"/>
        <v>0</v>
      </c>
      <c r="AB109" s="92">
        <f t="shared" si="96"/>
        <v>0</v>
      </c>
      <c r="AC109" s="234">
        <f t="shared" si="97"/>
        <v>0</v>
      </c>
      <c r="AD109" s="92">
        <f t="shared" si="98"/>
        <v>0</v>
      </c>
      <c r="AE109" s="93">
        <v>0</v>
      </c>
      <c r="AF109" s="234">
        <f t="shared" si="99"/>
        <v>0</v>
      </c>
      <c r="AG109" s="93">
        <v>0</v>
      </c>
      <c r="AH109" s="93"/>
      <c r="AI109" s="93"/>
      <c r="AJ109" s="93"/>
      <c r="AK109" s="93"/>
      <c r="AL109" s="122">
        <f t="shared" si="100"/>
        <v>0</v>
      </c>
      <c r="AM109" s="93">
        <v>0</v>
      </c>
      <c r="AN109" s="94">
        <f>X109*5.71%</f>
        <v>0</v>
      </c>
      <c r="AO109" s="95">
        <f>AA109-AD109-AE109-AG109-AH109-AI109-AK109-AL109-AN109-AM109</f>
        <v>0</v>
      </c>
      <c r="AP109" s="96"/>
      <c r="AQ109" s="97">
        <f>IF(U109=0,0,AA109/U109)</f>
        <v>0</v>
      </c>
      <c r="AR109" s="98">
        <f>K109</f>
        <v>541.67999999999995</v>
      </c>
      <c r="AS109" s="98">
        <f>IF(U109=0,0,AE109/U109)</f>
        <v>0</v>
      </c>
      <c r="AT109" s="98">
        <f>IF(S109=0,AG109/1,AG109/S109)</f>
        <v>0</v>
      </c>
      <c r="AU109" s="98">
        <f>IF(S109=0,0,(AH109+AI109+AJ109)/S109)</f>
        <v>0</v>
      </c>
      <c r="AV109" s="98">
        <f t="array" ref="AV109">_xlfn.IFS(U109=0,AO109,U109&lt;0,AO109/-U109,U109&gt;0,AO109/U109)</f>
        <v>0</v>
      </c>
      <c r="AW109" s="234">
        <f t="shared" si="90"/>
        <v>0</v>
      </c>
      <c r="AX109" s="234">
        <f t="shared" si="91"/>
        <v>0</v>
      </c>
      <c r="AY109" s="99"/>
      <c r="AZ109" s="94">
        <f>AV109*E109</f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79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9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80"/>
        <v>0</v>
      </c>
      <c r="R110" s="92">
        <f t="shared" si="81"/>
        <v>0</v>
      </c>
      <c r="S110" s="93">
        <v>0</v>
      </c>
      <c r="T110" s="93">
        <v>0</v>
      </c>
      <c r="U110" s="92">
        <f t="shared" si="93"/>
        <v>0</v>
      </c>
      <c r="V110" s="93">
        <v>0</v>
      </c>
      <c r="W110" s="93">
        <v>0</v>
      </c>
      <c r="X110" s="92">
        <f t="shared" si="94"/>
        <v>0</v>
      </c>
      <c r="Y110" s="93">
        <v>0</v>
      </c>
      <c r="Z110" s="93">
        <v>0</v>
      </c>
      <c r="AA110" s="92">
        <f t="shared" si="95"/>
        <v>0</v>
      </c>
      <c r="AB110" s="92">
        <f t="shared" si="96"/>
        <v>0</v>
      </c>
      <c r="AC110" s="234">
        <f t="shared" si="97"/>
        <v>0</v>
      </c>
      <c r="AD110" s="92">
        <f t="shared" si="98"/>
        <v>0</v>
      </c>
      <c r="AE110" s="93">
        <v>0</v>
      </c>
      <c r="AF110" s="234">
        <f t="shared" si="99"/>
        <v>0</v>
      </c>
      <c r="AG110" s="93">
        <v>0</v>
      </c>
      <c r="AH110" s="93"/>
      <c r="AI110" s="93"/>
      <c r="AJ110" s="93"/>
      <c r="AK110" s="93"/>
      <c r="AL110" s="122">
        <f t="shared" si="100"/>
        <v>0</v>
      </c>
      <c r="AM110" s="93">
        <v>0</v>
      </c>
      <c r="AN110" s="94">
        <f>X110*5.71%</f>
        <v>0</v>
      </c>
      <c r="AO110" s="95">
        <f>AA110-AD110-AE110-AG110-AH110-AI110-AK110-AL110-AN110-AM110</f>
        <v>0</v>
      </c>
      <c r="AP110" s="96"/>
      <c r="AQ110" s="97">
        <f>IF(U110=0,0,AA110/U110)</f>
        <v>0</v>
      </c>
      <c r="AR110" s="98">
        <f>K110</f>
        <v>541.67999999999995</v>
      </c>
      <c r="AS110" s="98">
        <f>IF(U110=0,0,AE110/U110)</f>
        <v>0</v>
      </c>
      <c r="AT110" s="98">
        <f>IF(S110=0,AG110/1,AG110/S110)</f>
        <v>0</v>
      </c>
      <c r="AU110" s="98">
        <f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si="90"/>
        <v>0</v>
      </c>
      <c r="AX110" s="234">
        <f t="shared" si="91"/>
        <v>0</v>
      </c>
      <c r="AY110" s="99"/>
      <c r="AZ110" s="94">
        <f>AV110*E110</f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79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9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80"/>
        <v>0</v>
      </c>
      <c r="R111" s="92">
        <f t="shared" si="81"/>
        <v>0</v>
      </c>
      <c r="S111" s="93">
        <v>0</v>
      </c>
      <c r="T111" s="93">
        <v>0</v>
      </c>
      <c r="U111" s="92">
        <f t="shared" si="93"/>
        <v>0</v>
      </c>
      <c r="V111" s="93">
        <v>0</v>
      </c>
      <c r="W111" s="93">
        <v>0</v>
      </c>
      <c r="X111" s="92">
        <f t="shared" si="94"/>
        <v>0</v>
      </c>
      <c r="Y111" s="93">
        <v>0</v>
      </c>
      <c r="Z111" s="93">
        <v>0</v>
      </c>
      <c r="AA111" s="92">
        <f t="shared" si="95"/>
        <v>0</v>
      </c>
      <c r="AB111" s="92">
        <f t="shared" si="96"/>
        <v>0</v>
      </c>
      <c r="AC111" s="234">
        <f t="shared" si="97"/>
        <v>0</v>
      </c>
      <c r="AD111" s="92">
        <f t="shared" si="98"/>
        <v>0</v>
      </c>
      <c r="AE111" s="93">
        <v>0</v>
      </c>
      <c r="AF111" s="234">
        <f t="shared" si="99"/>
        <v>0</v>
      </c>
      <c r="AG111" s="93">
        <v>0</v>
      </c>
      <c r="AH111" s="93"/>
      <c r="AI111" s="93"/>
      <c r="AJ111" s="93"/>
      <c r="AK111" s="93"/>
      <c r="AL111" s="122">
        <f t="shared" si="100"/>
        <v>0</v>
      </c>
      <c r="AM111" s="93">
        <v>0</v>
      </c>
      <c r="AN111" s="94">
        <f>X111*5.71%</f>
        <v>0</v>
      </c>
      <c r="AO111" s="95">
        <f>AA111-AD111-AE111-AG111-AH111-AI111-AK111-AL111-AN111-AM111</f>
        <v>0</v>
      </c>
      <c r="AP111" s="96"/>
      <c r="AQ111" s="97">
        <f>IF(U111=0,0,AA111/U111)</f>
        <v>0</v>
      </c>
      <c r="AR111" s="98">
        <f>K111</f>
        <v>541.67999999999995</v>
      </c>
      <c r="AS111" s="98">
        <f>IF(U111=0,0,AE111/U111)</f>
        <v>0</v>
      </c>
      <c r="AT111" s="98">
        <f>IF(S111=0,AG111/1,AG111/S111)</f>
        <v>0</v>
      </c>
      <c r="AU111" s="98">
        <f>IF(S111=0,0,(AH111+AI111+AJ111)/S111)</f>
        <v>0</v>
      </c>
      <c r="AV111" s="98">
        <f t="array" ref="AV111">_xlfn.IFS(U111=0,AO111,U111&lt;0,AO111/-U111,U111&gt;0,AO111/U111)</f>
        <v>0</v>
      </c>
      <c r="AW111" s="234">
        <f t="shared" si="90"/>
        <v>0</v>
      </c>
      <c r="AX111" s="234">
        <f t="shared" si="91"/>
        <v>0</v>
      </c>
      <c r="AY111" s="99"/>
      <c r="AZ111" s="94">
        <f>AV111*E111</f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96"/>
      <c r="AI112" s="296"/>
      <c r="AJ112" s="296"/>
      <c r="AK112" s="296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01">AVERAGE(AS107:AS111)</f>
        <v>0</v>
      </c>
      <c r="AT112" s="245">
        <f t="shared" si="101"/>
        <v>0</v>
      </c>
      <c r="AU112" s="245">
        <f t="shared" si="101"/>
        <v>0</v>
      </c>
      <c r="AV112" s="245">
        <f t="shared" si="101"/>
        <v>0</v>
      </c>
      <c r="AW112" s="246">
        <f t="shared" si="101"/>
        <v>0</v>
      </c>
      <c r="AX112" s="246">
        <f t="shared" si="101"/>
        <v>0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2">SUM(E107:E111)</f>
        <v>7</v>
      </c>
      <c r="F113" s="249">
        <f t="shared" si="102"/>
        <v>1</v>
      </c>
      <c r="G113" s="249">
        <f t="shared" si="102"/>
        <v>0</v>
      </c>
      <c r="H113" s="249">
        <f t="shared" si="102"/>
        <v>0</v>
      </c>
      <c r="I113" s="249">
        <f t="shared" si="102"/>
        <v>0</v>
      </c>
      <c r="J113" s="249">
        <f t="shared" si="102"/>
        <v>6</v>
      </c>
      <c r="K113" s="249"/>
      <c r="L113" s="249">
        <f>SUM(L107:L111)</f>
        <v>3904.2599999999993</v>
      </c>
      <c r="M113" s="249"/>
      <c r="N113" s="249">
        <f>SUM(N107:N111)</f>
        <v>1</v>
      </c>
      <c r="O113" s="249"/>
      <c r="P113" s="249"/>
      <c r="Q113" s="251"/>
      <c r="R113" s="249"/>
      <c r="S113" s="249">
        <f t="shared" ref="S113:AE113" si="103">SUM(S107:S111)</f>
        <v>0</v>
      </c>
      <c r="T113" s="249">
        <f t="shared" si="103"/>
        <v>0</v>
      </c>
      <c r="U113" s="249">
        <f t="shared" si="103"/>
        <v>0</v>
      </c>
      <c r="V113" s="249">
        <f t="shared" si="103"/>
        <v>0</v>
      </c>
      <c r="W113" s="249">
        <f t="shared" si="103"/>
        <v>0</v>
      </c>
      <c r="X113" s="249">
        <f t="shared" si="103"/>
        <v>0</v>
      </c>
      <c r="Y113" s="249">
        <f t="shared" si="103"/>
        <v>0</v>
      </c>
      <c r="Z113" s="249">
        <f t="shared" si="103"/>
        <v>0</v>
      </c>
      <c r="AA113" s="249">
        <f t="shared" si="103"/>
        <v>0</v>
      </c>
      <c r="AB113" s="249">
        <f t="shared" si="103"/>
        <v>0</v>
      </c>
      <c r="AC113" s="252">
        <f t="shared" si="103"/>
        <v>0</v>
      </c>
      <c r="AD113" s="253">
        <f t="shared" si="103"/>
        <v>0</v>
      </c>
      <c r="AE113" s="249">
        <f t="shared" si="103"/>
        <v>0</v>
      </c>
      <c r="AF113" s="252" t="e">
        <f>AE113/AA113</f>
        <v>#DIV/0!</v>
      </c>
      <c r="AG113" s="249">
        <f t="shared" ref="AG113:AO113" si="104">SUM(AG107:AG111)</f>
        <v>0</v>
      </c>
      <c r="AH113" s="253">
        <f t="shared" si="104"/>
        <v>0</v>
      </c>
      <c r="AI113" s="253">
        <f t="shared" si="104"/>
        <v>0</v>
      </c>
      <c r="AJ113" s="253">
        <f t="shared" si="104"/>
        <v>0</v>
      </c>
      <c r="AK113" s="253">
        <f t="shared" si="104"/>
        <v>0</v>
      </c>
      <c r="AL113" s="253">
        <f t="shared" si="104"/>
        <v>0</v>
      </c>
      <c r="AM113" s="249">
        <f t="shared" si="104"/>
        <v>0</v>
      </c>
      <c r="AN113" s="253">
        <f t="shared" si="104"/>
        <v>0</v>
      </c>
      <c r="AO113" s="253">
        <f t="shared" si="10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46"/>
      <c r="AI114" s="547"/>
      <c r="AJ114" s="297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05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:Q122" si="106">N115/7</f>
        <v>0</v>
      </c>
      <c r="R115" s="92">
        <f t="shared" ref="R115:R122" si="107">U115/7</f>
        <v>0</v>
      </c>
      <c r="S115" s="93">
        <v>0</v>
      </c>
      <c r="T115" s="93">
        <v>0</v>
      </c>
      <c r="U115" s="92">
        <f t="shared" ref="U115" si="108">S115+T115</f>
        <v>0</v>
      </c>
      <c r="V115" s="93">
        <v>0</v>
      </c>
      <c r="W115" s="93">
        <v>0</v>
      </c>
      <c r="X115" s="92">
        <f t="shared" ref="X115" si="109">V115+W115</f>
        <v>0</v>
      </c>
      <c r="Y115" s="93">
        <v>0</v>
      </c>
      <c r="Z115" s="93">
        <v>0</v>
      </c>
      <c r="AA115" s="92">
        <f t="shared" ref="AA115" si="110">Y115+Z115</f>
        <v>0</v>
      </c>
      <c r="AB115" s="92">
        <f t="shared" ref="AB115" si="111">N115*O115*P115/100</f>
        <v>0</v>
      </c>
      <c r="AC115" s="234">
        <f t="shared" ref="AC115" si="112">AA115/$AA$126</f>
        <v>0</v>
      </c>
      <c r="AD115" s="92">
        <f t="shared" ref="AD115" si="113">U115*K115</f>
        <v>0</v>
      </c>
      <c r="AE115" s="93">
        <v>0</v>
      </c>
      <c r="AF115" s="234">
        <f t="shared" ref="AF115" si="114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15">IFERROR($AL$126*H115/$H$126,0)</f>
        <v>0</v>
      </c>
      <c r="AM115" s="93">
        <v>0</v>
      </c>
      <c r="AN115" s="94">
        <f t="shared" ref="AN115:AN122" si="116">X115*5.71%</f>
        <v>0</v>
      </c>
      <c r="AO115" s="95">
        <f t="shared" ref="AO115:AO122" si="117">AA115-AD115-AE115-AG115-AH115-AI115-AK115-AL115-AN115-AM115</f>
        <v>0</v>
      </c>
      <c r="AP115" s="96"/>
      <c r="AQ115" s="97">
        <f t="shared" ref="AQ115:AQ122" si="118">IF(U115=0,0,AA115/U115)</f>
        <v>0</v>
      </c>
      <c r="AR115" s="98">
        <f t="shared" ref="AR115:AR122" si="119">K115</f>
        <v>140</v>
      </c>
      <c r="AS115" s="98">
        <f t="shared" ref="AS115:AS122" si="120">IF(U115=0,0,AE115/U115)</f>
        <v>0</v>
      </c>
      <c r="AT115" s="98">
        <f t="shared" ref="AT115:AT122" si="121">IF(S115=0,AG115/1,AG115/S115)</f>
        <v>0</v>
      </c>
      <c r="AU115" s="98">
        <f t="shared" ref="AU115:AU122" si="122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3">IF(AQ115=0,0,AV115/AQ115)</f>
        <v>0</v>
      </c>
      <c r="AX115" s="234">
        <f t="shared" ref="AX115:AX122" si="124">IF(AR115=0,0,AV115/AR115)</f>
        <v>0</v>
      </c>
      <c r="AY115" s="99"/>
      <c r="AZ115" s="94">
        <f t="shared" ref="AZ115:AZ122" si="125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26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>
        <v>0</v>
      </c>
      <c r="K116" s="92">
        <v>154</v>
      </c>
      <c r="L116" s="92">
        <f t="shared" si="105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si="106"/>
        <v>0</v>
      </c>
      <c r="R116" s="92">
        <f t="shared" si="107"/>
        <v>0</v>
      </c>
      <c r="S116" s="93">
        <v>0</v>
      </c>
      <c r="T116" s="93">
        <v>0</v>
      </c>
      <c r="U116" s="92">
        <f t="shared" ref="U116:U122" si="127">S116+T116</f>
        <v>0</v>
      </c>
      <c r="V116" s="93">
        <v>0</v>
      </c>
      <c r="W116" s="93">
        <v>0</v>
      </c>
      <c r="X116" s="92">
        <f t="shared" ref="X116:X122" si="128">V116+W116</f>
        <v>0</v>
      </c>
      <c r="Y116" s="93">
        <v>0</v>
      </c>
      <c r="Z116" s="93">
        <v>0</v>
      </c>
      <c r="AA116" s="92">
        <f t="shared" ref="AA116:AA122" si="129">Y116+Z116</f>
        <v>0</v>
      </c>
      <c r="AB116" s="92">
        <f t="shared" ref="AB116:AB122" si="130">N116*O116*P116/100</f>
        <v>0</v>
      </c>
      <c r="AC116" s="234">
        <f t="shared" ref="AC116:AC122" si="131">AA116/$AA$126</f>
        <v>0</v>
      </c>
      <c r="AD116" s="92">
        <f t="shared" ref="AD116:AD122" si="132">U116*K116</f>
        <v>0</v>
      </c>
      <c r="AE116" s="93">
        <v>0</v>
      </c>
      <c r="AF116" s="234">
        <f t="shared" ref="AF116:AF122" si="133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34">IFERROR($AL$126*H116/$H$126,0)</f>
        <v>0</v>
      </c>
      <c r="AM116" s="93">
        <v>0</v>
      </c>
      <c r="AN116" s="94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154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26"/>
        <v>1</v>
      </c>
      <c r="F117" s="93">
        <v>0</v>
      </c>
      <c r="G117" s="93">
        <v>0</v>
      </c>
      <c r="H117" s="93">
        <v>0</v>
      </c>
      <c r="I117" s="93">
        <v>1</v>
      </c>
      <c r="J117" s="93">
        <v>0</v>
      </c>
      <c r="K117" s="92">
        <v>220</v>
      </c>
      <c r="L117" s="92">
        <f t="shared" si="105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06"/>
        <v>0</v>
      </c>
      <c r="R117" s="92">
        <f t="shared" si="107"/>
        <v>0</v>
      </c>
      <c r="S117" s="93">
        <v>0</v>
      </c>
      <c r="T117" s="93">
        <v>0</v>
      </c>
      <c r="U117" s="92">
        <f t="shared" si="127"/>
        <v>0</v>
      </c>
      <c r="V117" s="93">
        <v>0</v>
      </c>
      <c r="W117" s="93">
        <v>0</v>
      </c>
      <c r="X117" s="92">
        <f t="shared" si="128"/>
        <v>0</v>
      </c>
      <c r="Y117" s="93">
        <v>0</v>
      </c>
      <c r="Z117" s="93">
        <v>0</v>
      </c>
      <c r="AA117" s="92">
        <f t="shared" si="129"/>
        <v>0</v>
      </c>
      <c r="AB117" s="92">
        <f t="shared" si="130"/>
        <v>0</v>
      </c>
      <c r="AC117" s="234">
        <f t="shared" si="131"/>
        <v>0</v>
      </c>
      <c r="AD117" s="92">
        <f t="shared" si="132"/>
        <v>0</v>
      </c>
      <c r="AE117" s="93">
        <v>0</v>
      </c>
      <c r="AF117" s="234">
        <f t="shared" si="133"/>
        <v>0</v>
      </c>
      <c r="AG117" s="93">
        <v>0</v>
      </c>
      <c r="AH117" s="93"/>
      <c r="AI117" s="93"/>
      <c r="AJ117" s="93"/>
      <c r="AK117" s="93"/>
      <c r="AL117" s="122">
        <f t="shared" si="134"/>
        <v>0</v>
      </c>
      <c r="AM117" s="93">
        <v>0</v>
      </c>
      <c r="AN117" s="94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220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26"/>
        <v>1</v>
      </c>
      <c r="F118" s="93">
        <v>0</v>
      </c>
      <c r="G118" s="93">
        <v>0</v>
      </c>
      <c r="H118" s="93">
        <v>0</v>
      </c>
      <c r="I118" s="93">
        <v>1</v>
      </c>
      <c r="J118" s="93">
        <v>0</v>
      </c>
      <c r="K118" s="92">
        <v>220</v>
      </c>
      <c r="L118" s="92">
        <f t="shared" si="105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06"/>
        <v>0</v>
      </c>
      <c r="R118" s="92">
        <f t="shared" si="107"/>
        <v>0</v>
      </c>
      <c r="S118" s="93">
        <v>0</v>
      </c>
      <c r="T118" s="93">
        <v>0</v>
      </c>
      <c r="U118" s="92">
        <f t="shared" si="127"/>
        <v>0</v>
      </c>
      <c r="V118" s="93">
        <v>0</v>
      </c>
      <c r="W118" s="93">
        <v>0</v>
      </c>
      <c r="X118" s="92">
        <f t="shared" si="128"/>
        <v>0</v>
      </c>
      <c r="Y118" s="93">
        <v>0</v>
      </c>
      <c r="Z118" s="93">
        <v>0</v>
      </c>
      <c r="AA118" s="92">
        <f t="shared" si="129"/>
        <v>0</v>
      </c>
      <c r="AB118" s="92">
        <f t="shared" si="130"/>
        <v>0</v>
      </c>
      <c r="AC118" s="234">
        <f t="shared" si="131"/>
        <v>0</v>
      </c>
      <c r="AD118" s="92">
        <f t="shared" si="132"/>
        <v>0</v>
      </c>
      <c r="AE118" s="93">
        <v>0</v>
      </c>
      <c r="AF118" s="234">
        <f t="shared" si="133"/>
        <v>0</v>
      </c>
      <c r="AG118" s="93">
        <v>0</v>
      </c>
      <c r="AH118" s="93"/>
      <c r="AI118" s="93"/>
      <c r="AJ118" s="93"/>
      <c r="AK118" s="93"/>
      <c r="AL118" s="122">
        <f t="shared" si="134"/>
        <v>0</v>
      </c>
      <c r="AM118" s="93">
        <v>0</v>
      </c>
      <c r="AN118" s="94">
        <f t="shared" si="116"/>
        <v>0</v>
      </c>
      <c r="AO118" s="95">
        <f t="shared" si="117"/>
        <v>0</v>
      </c>
      <c r="AP118" s="96"/>
      <c r="AQ118" s="97">
        <f t="shared" si="118"/>
        <v>0</v>
      </c>
      <c r="AR118" s="98">
        <f t="shared" si="119"/>
        <v>220</v>
      </c>
      <c r="AS118" s="98">
        <f t="shared" si="120"/>
        <v>0</v>
      </c>
      <c r="AT118" s="98">
        <f t="shared" si="121"/>
        <v>0</v>
      </c>
      <c r="AU118" s="98">
        <f t="shared" si="122"/>
        <v>0</v>
      </c>
      <c r="AV118" s="98">
        <f t="array" ref="AV118">_xlfn.IFS(U118=0,AO118,U118&lt;0,AO118/-U118,U118&gt;0,AO118/U118)</f>
        <v>0</v>
      </c>
      <c r="AW118" s="234">
        <f t="shared" si="123"/>
        <v>0</v>
      </c>
      <c r="AX118" s="234">
        <f t="shared" si="124"/>
        <v>0</v>
      </c>
      <c r="AY118" s="99"/>
      <c r="AZ118" s="94">
        <f t="shared" si="125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26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05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06"/>
        <v>0</v>
      </c>
      <c r="R119" s="92">
        <f t="shared" si="107"/>
        <v>0</v>
      </c>
      <c r="S119" s="93">
        <v>0</v>
      </c>
      <c r="T119" s="93">
        <v>0</v>
      </c>
      <c r="U119" s="92">
        <f t="shared" si="127"/>
        <v>0</v>
      </c>
      <c r="V119" s="93">
        <v>0</v>
      </c>
      <c r="W119" s="93">
        <v>0</v>
      </c>
      <c r="X119" s="92">
        <f t="shared" si="128"/>
        <v>0</v>
      </c>
      <c r="Y119" s="93">
        <v>0</v>
      </c>
      <c r="Z119" s="93">
        <v>0</v>
      </c>
      <c r="AA119" s="92">
        <f t="shared" si="129"/>
        <v>0</v>
      </c>
      <c r="AB119" s="92">
        <f t="shared" si="130"/>
        <v>0</v>
      </c>
      <c r="AC119" s="234">
        <f t="shared" si="131"/>
        <v>0</v>
      </c>
      <c r="AD119" s="92">
        <f t="shared" si="132"/>
        <v>0</v>
      </c>
      <c r="AE119" s="93">
        <v>0</v>
      </c>
      <c r="AF119" s="234">
        <f t="shared" si="133"/>
        <v>0</v>
      </c>
      <c r="AG119" s="93">
        <v>0</v>
      </c>
      <c r="AH119" s="93"/>
      <c r="AI119" s="93"/>
      <c r="AJ119" s="93"/>
      <c r="AK119" s="93"/>
      <c r="AL119" s="122">
        <f t="shared" si="134"/>
        <v>0</v>
      </c>
      <c r="AM119" s="93">
        <v>0</v>
      </c>
      <c r="AN119" s="94">
        <f t="shared" si="116"/>
        <v>0</v>
      </c>
      <c r="AO119" s="95">
        <f t="shared" si="117"/>
        <v>0</v>
      </c>
      <c r="AP119" s="96"/>
      <c r="AQ119" s="97">
        <f t="shared" si="118"/>
        <v>0</v>
      </c>
      <c r="AR119" s="98">
        <f t="shared" si="119"/>
        <v>220</v>
      </c>
      <c r="AS119" s="98">
        <f t="shared" si="120"/>
        <v>0</v>
      </c>
      <c r="AT119" s="98">
        <f t="shared" si="121"/>
        <v>0</v>
      </c>
      <c r="AU119" s="98">
        <f t="shared" si="122"/>
        <v>0</v>
      </c>
      <c r="AV119" s="98">
        <f t="array" ref="AV119">_xlfn.IFS(U119=0,AO119,U119&lt;0,AO119/-U119,U119&gt;0,AO119/U119)</f>
        <v>0</v>
      </c>
      <c r="AW119" s="234">
        <f t="shared" si="123"/>
        <v>0</v>
      </c>
      <c r="AX119" s="234">
        <f t="shared" si="124"/>
        <v>0</v>
      </c>
      <c r="AY119" s="99"/>
      <c r="AZ119" s="94">
        <f t="shared" si="125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26"/>
        <v>1</v>
      </c>
      <c r="F120" s="93">
        <v>0</v>
      </c>
      <c r="G120" s="93">
        <v>0</v>
      </c>
      <c r="H120" s="93">
        <v>0</v>
      </c>
      <c r="I120" s="93">
        <v>1</v>
      </c>
      <c r="J120" s="93">
        <v>0</v>
      </c>
      <c r="K120" s="92">
        <v>205</v>
      </c>
      <c r="L120" s="92">
        <f t="shared" si="105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06"/>
        <v>0</v>
      </c>
      <c r="R120" s="92">
        <f t="shared" si="107"/>
        <v>0</v>
      </c>
      <c r="S120" s="93">
        <v>0</v>
      </c>
      <c r="T120" s="93">
        <v>0</v>
      </c>
      <c r="U120" s="92">
        <f t="shared" si="127"/>
        <v>0</v>
      </c>
      <c r="V120" s="93">
        <v>0</v>
      </c>
      <c r="W120" s="93">
        <v>0</v>
      </c>
      <c r="X120" s="92">
        <f t="shared" si="128"/>
        <v>0</v>
      </c>
      <c r="Y120" s="93">
        <v>0</v>
      </c>
      <c r="Z120" s="93">
        <v>0</v>
      </c>
      <c r="AA120" s="92">
        <f t="shared" si="129"/>
        <v>0</v>
      </c>
      <c r="AB120" s="92">
        <f t="shared" si="130"/>
        <v>0</v>
      </c>
      <c r="AC120" s="234">
        <f t="shared" si="131"/>
        <v>0</v>
      </c>
      <c r="AD120" s="92">
        <f t="shared" si="132"/>
        <v>0</v>
      </c>
      <c r="AE120" s="93">
        <v>0</v>
      </c>
      <c r="AF120" s="234">
        <f t="shared" si="133"/>
        <v>0</v>
      </c>
      <c r="AG120" s="93">
        <v>0</v>
      </c>
      <c r="AH120" s="93"/>
      <c r="AI120" s="93"/>
      <c r="AJ120" s="93"/>
      <c r="AK120" s="93"/>
      <c r="AL120" s="122">
        <f t="shared" si="134"/>
        <v>0</v>
      </c>
      <c r="AM120" s="93">
        <v>0</v>
      </c>
      <c r="AN120" s="94">
        <f t="shared" si="116"/>
        <v>0</v>
      </c>
      <c r="AO120" s="95">
        <f t="shared" si="117"/>
        <v>0</v>
      </c>
      <c r="AP120" s="96"/>
      <c r="AQ120" s="97">
        <f t="shared" si="118"/>
        <v>0</v>
      </c>
      <c r="AR120" s="98">
        <f t="shared" si="119"/>
        <v>205</v>
      </c>
      <c r="AS120" s="98">
        <f t="shared" si="120"/>
        <v>0</v>
      </c>
      <c r="AT120" s="98">
        <f t="shared" si="121"/>
        <v>0</v>
      </c>
      <c r="AU120" s="98">
        <f t="shared" si="122"/>
        <v>0</v>
      </c>
      <c r="AV120" s="98">
        <f t="array" ref="AV120">_xlfn.IFS(U120=0,AO120,U120&lt;0,AO120/-U120,U120&gt;0,AO120/U120)</f>
        <v>0</v>
      </c>
      <c r="AW120" s="234">
        <f t="shared" si="123"/>
        <v>0</v>
      </c>
      <c r="AX120" s="234">
        <f t="shared" si="124"/>
        <v>0</v>
      </c>
      <c r="AY120" s="99"/>
      <c r="AZ120" s="94">
        <f t="shared" si="125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26"/>
        <v>1</v>
      </c>
      <c r="F121" s="93">
        <v>0</v>
      </c>
      <c r="G121" s="93">
        <v>0</v>
      </c>
      <c r="H121" s="93">
        <v>0</v>
      </c>
      <c r="I121" s="93">
        <v>1</v>
      </c>
      <c r="J121" s="93">
        <v>0</v>
      </c>
      <c r="K121" s="92">
        <v>205</v>
      </c>
      <c r="L121" s="92">
        <f t="shared" si="105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06"/>
        <v>0</v>
      </c>
      <c r="R121" s="92">
        <f t="shared" si="107"/>
        <v>0</v>
      </c>
      <c r="S121" s="93">
        <v>0</v>
      </c>
      <c r="T121" s="93">
        <v>0</v>
      </c>
      <c r="U121" s="92">
        <f t="shared" si="127"/>
        <v>0</v>
      </c>
      <c r="V121" s="93">
        <v>0</v>
      </c>
      <c r="W121" s="93">
        <v>0</v>
      </c>
      <c r="X121" s="92">
        <f t="shared" si="128"/>
        <v>0</v>
      </c>
      <c r="Y121" s="93">
        <v>0</v>
      </c>
      <c r="Z121" s="93">
        <v>0</v>
      </c>
      <c r="AA121" s="92">
        <f t="shared" si="129"/>
        <v>0</v>
      </c>
      <c r="AB121" s="92">
        <f t="shared" si="130"/>
        <v>0</v>
      </c>
      <c r="AC121" s="234">
        <f t="shared" si="131"/>
        <v>0</v>
      </c>
      <c r="AD121" s="92">
        <f t="shared" si="132"/>
        <v>0</v>
      </c>
      <c r="AE121" s="93">
        <v>0</v>
      </c>
      <c r="AF121" s="234">
        <f t="shared" si="133"/>
        <v>0</v>
      </c>
      <c r="AG121" s="93">
        <v>0</v>
      </c>
      <c r="AH121" s="93"/>
      <c r="AI121" s="93"/>
      <c r="AJ121" s="93"/>
      <c r="AK121" s="93"/>
      <c r="AL121" s="122">
        <f t="shared" si="134"/>
        <v>0</v>
      </c>
      <c r="AM121" s="93">
        <v>0</v>
      </c>
      <c r="AN121" s="94">
        <f t="shared" si="116"/>
        <v>0</v>
      </c>
      <c r="AO121" s="95">
        <f t="shared" si="117"/>
        <v>0</v>
      </c>
      <c r="AP121" s="96"/>
      <c r="AQ121" s="97">
        <f t="shared" si="118"/>
        <v>0</v>
      </c>
      <c r="AR121" s="98">
        <f t="shared" si="119"/>
        <v>205</v>
      </c>
      <c r="AS121" s="98">
        <f t="shared" si="120"/>
        <v>0</v>
      </c>
      <c r="AT121" s="98">
        <f t="shared" si="121"/>
        <v>0</v>
      </c>
      <c r="AU121" s="98">
        <f t="shared" si="122"/>
        <v>0</v>
      </c>
      <c r="AV121" s="98">
        <f t="array" ref="AV121">_xlfn.IFS(U121=0,AO121,U121&lt;0,AO121/-U121,U121&gt;0,AO121/U121)</f>
        <v>0</v>
      </c>
      <c r="AW121" s="234">
        <f t="shared" si="123"/>
        <v>0</v>
      </c>
      <c r="AX121" s="234">
        <f t="shared" si="124"/>
        <v>0</v>
      </c>
      <c r="AY121" s="99"/>
      <c r="AZ121" s="94">
        <f t="shared" si="125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26"/>
        <v>1</v>
      </c>
      <c r="F122" s="93">
        <v>0</v>
      </c>
      <c r="G122" s="93">
        <v>0</v>
      </c>
      <c r="H122" s="93">
        <v>0</v>
      </c>
      <c r="I122" s="93">
        <v>1</v>
      </c>
      <c r="J122" s="93">
        <v>0</v>
      </c>
      <c r="K122" s="92">
        <v>453</v>
      </c>
      <c r="L122" s="92">
        <f t="shared" si="105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06"/>
        <v>0</v>
      </c>
      <c r="R122" s="92">
        <f t="shared" si="107"/>
        <v>0</v>
      </c>
      <c r="S122" s="93">
        <v>0</v>
      </c>
      <c r="T122" s="93">
        <v>0</v>
      </c>
      <c r="U122" s="92">
        <f t="shared" si="127"/>
        <v>0</v>
      </c>
      <c r="V122" s="93">
        <v>0</v>
      </c>
      <c r="W122" s="93">
        <v>0</v>
      </c>
      <c r="X122" s="92">
        <f t="shared" si="128"/>
        <v>0</v>
      </c>
      <c r="Y122" s="93">
        <v>0</v>
      </c>
      <c r="Z122" s="93">
        <v>0</v>
      </c>
      <c r="AA122" s="92">
        <f t="shared" si="129"/>
        <v>0</v>
      </c>
      <c r="AB122" s="92">
        <f t="shared" si="130"/>
        <v>0</v>
      </c>
      <c r="AC122" s="234">
        <f t="shared" si="131"/>
        <v>0</v>
      </c>
      <c r="AD122" s="92">
        <f t="shared" si="132"/>
        <v>0</v>
      </c>
      <c r="AE122" s="93">
        <v>0</v>
      </c>
      <c r="AF122" s="234">
        <f t="shared" si="133"/>
        <v>0</v>
      </c>
      <c r="AG122" s="93">
        <v>0</v>
      </c>
      <c r="AH122" s="93"/>
      <c r="AI122" s="93"/>
      <c r="AJ122" s="93"/>
      <c r="AK122" s="93"/>
      <c r="AL122" s="122">
        <f t="shared" si="134"/>
        <v>0</v>
      </c>
      <c r="AM122" s="93">
        <v>0</v>
      </c>
      <c r="AN122" s="94">
        <f t="shared" si="116"/>
        <v>0</v>
      </c>
      <c r="AO122" s="95">
        <f t="shared" si="117"/>
        <v>0</v>
      </c>
      <c r="AP122" s="96"/>
      <c r="AQ122" s="97">
        <f t="shared" si="118"/>
        <v>0</v>
      </c>
      <c r="AR122" s="98">
        <f t="shared" si="119"/>
        <v>453</v>
      </c>
      <c r="AS122" s="98">
        <f t="shared" si="120"/>
        <v>0</v>
      </c>
      <c r="AT122" s="98">
        <f t="shared" si="121"/>
        <v>0</v>
      </c>
      <c r="AU122" s="98">
        <f t="shared" si="122"/>
        <v>0</v>
      </c>
      <c r="AV122" s="98">
        <f t="array" ref="AV122">_xlfn.IFS(U122=0,AO122,U122&lt;0,AO122/-U122,U122&gt;0,AO122/U122)</f>
        <v>0</v>
      </c>
      <c r="AW122" s="234">
        <f t="shared" si="123"/>
        <v>0</v>
      </c>
      <c r="AX122" s="234">
        <f t="shared" si="124"/>
        <v>0</v>
      </c>
      <c r="AY122" s="99"/>
      <c r="AZ122" s="94">
        <f t="shared" si="125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35">AVERAGE(AQ115:AQ122)</f>
        <v>0</v>
      </c>
      <c r="AR123" s="130">
        <f t="shared" si="135"/>
        <v>227.125</v>
      </c>
      <c r="AS123" s="130">
        <f t="shared" si="135"/>
        <v>0</v>
      </c>
      <c r="AT123" s="130">
        <f t="shared" si="135"/>
        <v>0</v>
      </c>
      <c r="AU123" s="130">
        <f t="shared" si="135"/>
        <v>0</v>
      </c>
      <c r="AV123" s="130">
        <f t="shared" si="135"/>
        <v>0</v>
      </c>
      <c r="AW123" s="131">
        <f t="shared" si="135"/>
        <v>0</v>
      </c>
      <c r="AX123" s="131">
        <f t="shared" si="135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6">SUM(E115:E122)</f>
        <v>14</v>
      </c>
      <c r="F124" s="134">
        <f t="shared" si="136"/>
        <v>0</v>
      </c>
      <c r="G124" s="134">
        <f t="shared" si="136"/>
        <v>0</v>
      </c>
      <c r="H124" s="134">
        <f t="shared" si="136"/>
        <v>0</v>
      </c>
      <c r="I124" s="134">
        <f t="shared" si="136"/>
        <v>8</v>
      </c>
      <c r="J124" s="134">
        <f t="shared" si="136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37">SUM(S115:S122)</f>
        <v>0</v>
      </c>
      <c r="T124" s="134">
        <f t="shared" si="137"/>
        <v>0</v>
      </c>
      <c r="U124" s="134">
        <f t="shared" si="137"/>
        <v>0</v>
      </c>
      <c r="V124" s="134">
        <f t="shared" si="137"/>
        <v>0</v>
      </c>
      <c r="W124" s="134">
        <f t="shared" si="137"/>
        <v>0</v>
      </c>
      <c r="X124" s="134">
        <f t="shared" si="137"/>
        <v>0</v>
      </c>
      <c r="Y124" s="134">
        <f t="shared" si="137"/>
        <v>0</v>
      </c>
      <c r="Z124" s="134">
        <f t="shared" si="137"/>
        <v>0</v>
      </c>
      <c r="AA124" s="134">
        <f t="shared" si="137"/>
        <v>0</v>
      </c>
      <c r="AB124" s="134">
        <f t="shared" si="137"/>
        <v>0</v>
      </c>
      <c r="AC124" s="265">
        <f t="shared" si="137"/>
        <v>0</v>
      </c>
      <c r="AD124" s="135">
        <f t="shared" si="137"/>
        <v>0</v>
      </c>
      <c r="AE124" s="134">
        <f t="shared" si="137"/>
        <v>0</v>
      </c>
      <c r="AF124" s="265" t="e">
        <f>AE124/AA124</f>
        <v>#DIV/0!</v>
      </c>
      <c r="AG124" s="134">
        <f t="shared" ref="AG124:AO124" si="138">SUM(AG115:AG122)</f>
        <v>0</v>
      </c>
      <c r="AH124" s="134">
        <f t="shared" si="138"/>
        <v>0</v>
      </c>
      <c r="AI124" s="134">
        <f t="shared" si="138"/>
        <v>0</v>
      </c>
      <c r="AJ124" s="134">
        <f t="shared" si="138"/>
        <v>0</v>
      </c>
      <c r="AK124" s="134">
        <f t="shared" si="138"/>
        <v>0</v>
      </c>
      <c r="AL124" s="136">
        <f t="shared" si="138"/>
        <v>0</v>
      </c>
      <c r="AM124" s="134">
        <f t="shared" si="138"/>
        <v>0</v>
      </c>
      <c r="AN124" s="134">
        <f t="shared" si="138"/>
        <v>0</v>
      </c>
      <c r="AO124" s="134">
        <f t="shared" si="13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548"/>
      <c r="AI125" s="548"/>
      <c r="AJ125" s="298"/>
      <c r="AK125" s="298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39">E105+E113+E124</f>
        <v>85301</v>
      </c>
      <c r="F126" s="267">
        <f t="shared" si="139"/>
        <v>1972</v>
      </c>
      <c r="G126" s="267">
        <f t="shared" si="139"/>
        <v>336</v>
      </c>
      <c r="H126" s="267">
        <f t="shared" si="139"/>
        <v>11591</v>
      </c>
      <c r="I126" s="267">
        <f t="shared" si="139"/>
        <v>1619</v>
      </c>
      <c r="J126" s="267">
        <f t="shared" si="139"/>
        <v>69783</v>
      </c>
      <c r="K126" s="267">
        <f t="shared" si="139"/>
        <v>0</v>
      </c>
      <c r="L126" s="267">
        <f t="shared" si="139"/>
        <v>10565732.929999998</v>
      </c>
      <c r="M126" s="267">
        <f t="shared" si="139"/>
        <v>0</v>
      </c>
      <c r="N126" s="267">
        <f t="shared" si="139"/>
        <v>2830</v>
      </c>
      <c r="O126" s="267">
        <f t="shared" si="139"/>
        <v>0</v>
      </c>
      <c r="P126" s="267">
        <f t="shared" si="139"/>
        <v>0</v>
      </c>
      <c r="Q126" s="215">
        <f t="shared" si="139"/>
        <v>0</v>
      </c>
      <c r="R126" s="267">
        <f t="shared" si="139"/>
        <v>0</v>
      </c>
      <c r="S126" s="267">
        <f t="shared" si="139"/>
        <v>1418</v>
      </c>
      <c r="T126" s="267">
        <f t="shared" si="139"/>
        <v>-25</v>
      </c>
      <c r="U126" s="267">
        <f t="shared" si="139"/>
        <v>1393</v>
      </c>
      <c r="V126" s="267">
        <f t="shared" si="139"/>
        <v>894889.92999999982</v>
      </c>
      <c r="W126" s="267">
        <f t="shared" si="139"/>
        <v>-16453.5</v>
      </c>
      <c r="X126" s="267">
        <f t="shared" si="139"/>
        <v>878436.42999999982</v>
      </c>
      <c r="Y126" s="267">
        <f t="shared" si="139"/>
        <v>1357374.9799999997</v>
      </c>
      <c r="Z126" s="267">
        <f t="shared" si="139"/>
        <v>-24887.06</v>
      </c>
      <c r="AA126" s="267">
        <f t="shared" si="139"/>
        <v>1332487.9199999997</v>
      </c>
      <c r="AB126" s="267">
        <f t="shared" si="139"/>
        <v>1864942.6099999999</v>
      </c>
      <c r="AC126" s="267">
        <f t="shared" si="139"/>
        <v>1.0000000000000004</v>
      </c>
      <c r="AD126" s="267">
        <f t="shared" si="139"/>
        <v>175437.39</v>
      </c>
      <c r="AE126" s="267">
        <f t="shared" si="139"/>
        <v>495216.10999999969</v>
      </c>
      <c r="AF126" s="268">
        <f>AE126/AA126</f>
        <v>0.37164772945934083</v>
      </c>
      <c r="AG126" s="267">
        <f>AG105+AG113+AG124</f>
        <v>153486.12</v>
      </c>
      <c r="AH126" s="267">
        <f>AH105+AH113+AH124</f>
        <v>111419</v>
      </c>
      <c r="AI126" s="267">
        <f>AI105+AI113+AI124</f>
        <v>126688</v>
      </c>
      <c r="AJ126" s="267">
        <f>AJ105+AJ113+AJ124</f>
        <v>3554</v>
      </c>
      <c r="AK126" s="267">
        <f>AK105+AK113+AK124</f>
        <v>0</v>
      </c>
      <c r="AL126" s="156">
        <v>8160.06</v>
      </c>
      <c r="AM126" s="267">
        <f>AM105+AM113+AM124</f>
        <v>0</v>
      </c>
      <c r="AN126" s="267">
        <f>AN105+AN113+AN124</f>
        <v>50158.720153000002</v>
      </c>
      <c r="AO126" s="267">
        <f>AO105+AO113+AO124</f>
        <v>211922.51984700011</v>
      </c>
      <c r="AP126" s="155"/>
      <c r="AQ126" s="155"/>
      <c r="AR126" s="155"/>
      <c r="AS126" s="155"/>
      <c r="AT126" s="155"/>
      <c r="AU126" s="155">
        <f>(AH126+AI126)/S126</f>
        <v>167.91748942172075</v>
      </c>
      <c r="AV126" s="155"/>
      <c r="AW126" s="155"/>
      <c r="AX126" s="155"/>
      <c r="AY126" s="157"/>
      <c r="AZ126" s="155">
        <f>AZ105+AZ124</f>
        <v>10354974.978182226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48">
        <f>AH106+AH114+AH125</f>
        <v>0</v>
      </c>
      <c r="AI127" s="548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17" priority="17" operator="greaterThan">
      <formula>0.23</formula>
    </cfRule>
  </conditionalFormatting>
  <conditionalFormatting sqref="M123:O123 M3:M104 M106:M112">
    <cfRule type="cellIs" dxfId="16" priority="28" operator="greaterThan">
      <formula>120</formula>
    </cfRule>
  </conditionalFormatting>
  <conditionalFormatting sqref="AC125 AC127">
    <cfRule type="cellIs" dxfId="15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{58851D61-1B06-4ECE-AD02-82B0A24BD07C}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{822BB793-4250-4DA2-8D82-939050D83CBF}</x14:id>
        </ext>
      </extLst>
    </cfRule>
  </conditionalFormatting>
  <conditionalFormatting sqref="AC1">
    <cfRule type="cellIs" dxfId="14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{2932B8D6-2996-47B0-8D8C-D218E3381C42}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{2AB7635D-1F5C-47D3-9E2D-C1EDAC59EFAB}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{439866ED-9679-4E3E-87B6-7AB41E79C5AB}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{4C9C8C30-E654-411E-90D9-8D606A2001B5}</x14:id>
        </ext>
      </extLst>
    </cfRule>
  </conditionalFormatting>
  <conditionalFormatting sqref="Q123">
    <cfRule type="cellIs" dxfId="13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{243F804F-5070-444D-9145-491A1131373D}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{64728C40-D3A2-4E01-A2BC-EB4E68630A5F}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{7CD18B9C-048B-4380-A8D6-210030EC868C}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{B9F77F40-FCE5-4762-8E3E-91D432D1C8E2}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{AF9A76AB-B735-4AA0-AFFD-A23B841BFFA2}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{F091C3A6-3237-4B25-807A-6F84EAD332F7}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{D50D5915-1275-4C61-99C8-A9497BF66929}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{C3FF0622-B41E-452F-9AA6-87E58D6FF6D3}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{94AA3CF3-6C09-4ECC-A2CA-391C5AA6C344}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{C646AD9F-2943-436C-A5B1-80C15FF56E51}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{B7FEF617-F5A2-4DF0-A312-EF05480B46BC}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{331DB512-9F94-42E6-A3C6-1D8D882F41EF}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{2081CAD5-7ADE-4C8E-AD2D-82D7E7F03AE4}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{2D76C2EF-76D5-4C31-B122-0812427AF844}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{6DAAB26B-5644-4D90-B81C-BEBDF4DB57D6}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{6A8B3119-2607-48B3-B65B-ED4EBC3B13DC}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{F3E58D7C-141C-4A75-AEC7-B939DCEEDDE9}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{A2A5B715-5BAD-497F-A898-13BF574ED280}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{5245DA69-FF7F-4084-BFEE-4CEFC5A65A8D}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{74824C76-BD4F-4EC6-A01A-845AF1CE6473}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{0EFF0E9E-CD38-4FF4-BF24-B5094B1F48C0}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{46E783C1-D5E3-450C-9A71-D3AC4D9BE5C0}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{5F406F6C-DD30-40D3-B561-8EA252573D19}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{1AE383EB-9CB1-4FFA-A610-838DE8C21F53}</x14:id>
        </ext>
      </extLst>
    </cfRule>
  </conditionalFormatting>
  <conditionalFormatting sqref="M115:M122">
    <cfRule type="cellIs" dxfId="12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851D61-1B06-4ECE-AD02-82B0A24BD0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822BB793-4250-4DA2-8D82-939050D83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932B8D6-2996-47B0-8D8C-D218E3381C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2AB7635D-1F5C-47D3-9E2D-C1EDAC59E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39866ED-9679-4E3E-87B6-7AB41E79C5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C9C8C30-E654-411E-90D9-8D606A2001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43F804F-5070-444D-9145-491A113137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4728C40-D3A2-4E01-A2BC-EB4E68630A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7CD18B9C-048B-4380-A8D6-210030EC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9F77F40-FCE5-4762-8E3E-91D432D1C8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F9A76AB-B735-4AA0-AFFD-A23B841BFF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F091C3A6-3237-4B25-807A-6F84EAD332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D50D5915-1275-4C61-99C8-A9497BF66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C3FF0622-B41E-452F-9AA6-87E58D6FF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4AA3CF3-6C09-4ECC-A2CA-391C5AA6C3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C646AD9F-2943-436C-A5B1-80C15FF56E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EF617-F5A2-4DF0-A312-EF05480B46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331DB512-9F94-42E6-A3C6-1D8D882F4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081CAD5-7ADE-4C8E-AD2D-82D7E7F03A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2D76C2EF-76D5-4C31-B122-0812427AF8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6DAAB26B-5644-4D90-B81C-BEBDF4DB57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6A8B3119-2607-48B3-B65B-ED4EBC3B1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F3E58D7C-141C-4A75-AEC7-B939DCEED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2A5B715-5BAD-497F-A898-13BF574ED2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245DA69-FF7F-4084-BFEE-4CEFC5A65A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74824C76-BD4F-4EC6-A01A-845AF1CE6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FF0E9E-CD38-4FF4-BF24-B5094B1F48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46E783C1-D5E3-450C-9A71-D3AC4D9BE5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F406F6C-DD30-40D3-B561-8EA252573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1AE383EB-9CB1-4FFA-A610-838DE8C21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983F-E4BA-40E1-B61B-16FE24B60FB2}">
  <dimension ref="A1:AZ124"/>
  <sheetViews>
    <sheetView zoomScale="70" zoomScaleNormal="70" workbookViewId="0">
      <pane xSplit="3" ySplit="2" topLeftCell="AE3" activePane="bottomRight" state="frozen"/>
      <selection pane="topRight" activeCell="D1" sqref="D1"/>
      <selection pane="bottomLeft" activeCell="A3" sqref="A3"/>
      <selection pane="bottomRight" activeCell="AL20" sqref="AL2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239</v>
      </c>
      <c r="B1" s="73"/>
      <c r="C1" s="72"/>
      <c r="D1" s="72"/>
      <c r="E1" s="222"/>
      <c r="F1" s="539" t="s">
        <v>42</v>
      </c>
      <c r="G1" s="539"/>
      <c r="H1" s="539"/>
      <c r="I1" s="540" t="s">
        <v>115</v>
      </c>
      <c r="J1" s="541"/>
      <c r="M1" s="223" t="s">
        <v>43</v>
      </c>
      <c r="N1" s="539" t="s">
        <v>116</v>
      </c>
      <c r="O1" s="539"/>
      <c r="P1" s="539"/>
      <c r="R1" s="224"/>
      <c r="S1" s="542"/>
      <c r="T1" s="542"/>
      <c r="U1" s="224"/>
      <c r="V1" s="543"/>
      <c r="W1" s="544"/>
      <c r="X1" s="224"/>
      <c r="Y1" s="542"/>
      <c r="Z1" s="542"/>
      <c r="AA1" s="224"/>
      <c r="AB1" s="224"/>
      <c r="AC1" s="224"/>
      <c r="AD1" s="224"/>
      <c r="AE1" s="225"/>
      <c r="AF1" s="224"/>
      <c r="AG1" s="225"/>
      <c r="AH1" s="535"/>
      <c r="AI1" s="535"/>
      <c r="AJ1" s="283" t="s">
        <v>248</v>
      </c>
      <c r="AK1" s="218"/>
      <c r="AL1" s="226" t="s">
        <v>44</v>
      </c>
      <c r="AM1" s="225"/>
      <c r="AQ1" s="536" t="s">
        <v>45</v>
      </c>
      <c r="AR1" s="537"/>
      <c r="AS1" s="537"/>
      <c r="AT1" s="537"/>
      <c r="AU1" s="537"/>
      <c r="AV1" s="537"/>
      <c r="AW1" s="537"/>
      <c r="AX1" s="538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240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887</v>
      </c>
      <c r="F3" s="93"/>
      <c r="G3" s="93"/>
      <c r="H3" s="272">
        <v>887</v>
      </c>
      <c r="I3" s="93"/>
      <c r="J3" s="93"/>
      <c r="K3" s="92">
        <v>142.97999999999999</v>
      </c>
      <c r="L3" s="92">
        <f t="shared" ref="L3" si="0">E3*K3</f>
        <v>126823.26</v>
      </c>
      <c r="M3" s="89"/>
      <c r="N3" s="89">
        <v>349</v>
      </c>
      <c r="O3" s="89">
        <v>1302</v>
      </c>
      <c r="P3" s="89">
        <v>59</v>
      </c>
      <c r="Q3" s="233">
        <f>N3/32</f>
        <v>10.90625</v>
      </c>
      <c r="R3" s="92">
        <f>U3/32</f>
        <v>4.9375</v>
      </c>
      <c r="S3" s="93">
        <v>160</v>
      </c>
      <c r="T3" s="93">
        <v>-2</v>
      </c>
      <c r="U3" s="92">
        <f t="shared" ref="U3" si="1">S3+T3</f>
        <v>158</v>
      </c>
      <c r="V3" s="93">
        <v>160009.77000000002</v>
      </c>
      <c r="W3" s="93">
        <v>-2166</v>
      </c>
      <c r="X3" s="92">
        <f t="shared" ref="X3" si="2">V3+W3</f>
        <v>157843.77000000002</v>
      </c>
      <c r="Y3" s="93">
        <v>210906.4</v>
      </c>
      <c r="Z3" s="93">
        <v>-2902</v>
      </c>
      <c r="AA3" s="92">
        <f t="shared" ref="AA3" si="3">Y3+Z3</f>
        <v>208004.4</v>
      </c>
      <c r="AB3" s="92">
        <f>N3*O3*P3/100</f>
        <v>268094.82</v>
      </c>
      <c r="AC3" s="234">
        <f t="shared" ref="AC3" si="4">AA3/$AA$121</f>
        <v>9.2649197976466729E-2</v>
      </c>
      <c r="AD3" s="92">
        <f t="shared" ref="AD3" si="5">U3*K3</f>
        <v>22590.84</v>
      </c>
      <c r="AE3" s="93">
        <v>76644.809999999969</v>
      </c>
      <c r="AF3" s="234">
        <f t="shared" ref="AF3" si="6">IF(AA3=0,0,AE3/AA3)</f>
        <v>0.36847686875854535</v>
      </c>
      <c r="AG3" s="93">
        <v>19643.119999999984</v>
      </c>
      <c r="AH3" s="93">
        <v>7000</v>
      </c>
      <c r="AI3" s="93">
        <f>846+46873</f>
        <v>47719</v>
      </c>
      <c r="AJ3" s="93"/>
      <c r="AK3" s="93"/>
      <c r="AL3" s="122">
        <f t="shared" ref="AL3" si="7">IFERROR($AL$121*H3/$H$121,0)</f>
        <v>2847.0074361422771</v>
      </c>
      <c r="AM3" s="93">
        <v>0</v>
      </c>
      <c r="AN3" s="325">
        <f t="shared" ref="AN3:AN34" si="8">95827.42*Y3/Y$121</f>
        <v>8774.4745014068849</v>
      </c>
      <c r="AO3" s="95">
        <f>AA3-AD3-AE3-AG3-AH3-AI3-AK3-AL3-AN3-AM3</f>
        <v>22785.148062450884</v>
      </c>
      <c r="AP3" s="96"/>
      <c r="AQ3" s="97">
        <f t="shared" ref="AQ3:AQ97" si="9">IF(U3=0,0,AA3/U3)</f>
        <v>1316.4835443037975</v>
      </c>
      <c r="AR3" s="98">
        <f t="shared" ref="AR3:AR19" si="10">K3</f>
        <v>142.97999999999999</v>
      </c>
      <c r="AS3" s="98">
        <f t="shared" ref="AS3:AS97" si="11">IF(U3=0,0,AE3/U3)</f>
        <v>485.09373417721497</v>
      </c>
      <c r="AT3" s="98">
        <f t="shared" ref="AT3:AT97" si="12">IF(S3=0,AG3/1,AG3/S3)</f>
        <v>122.76949999999991</v>
      </c>
      <c r="AU3" s="98">
        <f>IF(S3=0,0,(AH3+AI3+AJ3)/S3)</f>
        <v>341.99374999999998</v>
      </c>
      <c r="AV3" s="98">
        <f>_xlfn.IFS(U3=0,AO3,U3&lt;0,AO3/-U3,U3&gt;0,AO3/U3)</f>
        <v>144.2097978636132</v>
      </c>
      <c r="AW3" s="234">
        <f t="shared" ref="AW3" si="13">IF(AQ3=0,0,AV3/AQ3)</f>
        <v>0.10954166384197106</v>
      </c>
      <c r="AX3" s="234">
        <f t="shared" ref="AX3" si="14">IF(AR3=0,0,AV3/AR3)</f>
        <v>1.0086011880235921</v>
      </c>
      <c r="AY3" s="99"/>
      <c r="AZ3" s="94">
        <f t="shared" ref="AZ3:AZ97" si="15">AV3*E3</f>
        <v>127914.09070502491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349</v>
      </c>
      <c r="F4" s="93"/>
      <c r="G4" s="93"/>
      <c r="H4" s="272">
        <v>349</v>
      </c>
      <c r="I4" s="93"/>
      <c r="J4" s="93"/>
      <c r="K4" s="92">
        <v>123.09</v>
      </c>
      <c r="L4" s="92">
        <f>E4*K4</f>
        <v>42958.41</v>
      </c>
      <c r="M4" s="89"/>
      <c r="N4" s="89">
        <v>1013</v>
      </c>
      <c r="O4" s="89">
        <v>657</v>
      </c>
      <c r="P4" s="89">
        <v>78</v>
      </c>
      <c r="Q4" s="233">
        <f t="shared" ref="Q4:Q67" si="16">N4/32</f>
        <v>31.65625</v>
      </c>
      <c r="R4" s="92">
        <f t="shared" ref="R4:R67" si="17">U4/32</f>
        <v>18.8125</v>
      </c>
      <c r="S4" s="93">
        <v>607</v>
      </c>
      <c r="T4" s="93">
        <v>-5</v>
      </c>
      <c r="U4" s="92">
        <f t="shared" ref="U4:U67" si="18">S4+T4</f>
        <v>602</v>
      </c>
      <c r="V4" s="93">
        <v>295794.19000000035</v>
      </c>
      <c r="W4" s="93">
        <v>-2554.87</v>
      </c>
      <c r="X4" s="92">
        <f t="shared" ref="X4:X67" si="19">V4+W4</f>
        <v>293239.32000000036</v>
      </c>
      <c r="Y4" s="93">
        <v>395383.81000000011</v>
      </c>
      <c r="Z4" s="93">
        <v>-3316.59</v>
      </c>
      <c r="AA4" s="92">
        <f t="shared" ref="AA4:AA67" si="20">Y4+Z4</f>
        <v>392067.22000000009</v>
      </c>
      <c r="AB4" s="92">
        <f t="shared" ref="AB4:AB67" si="21">N4*O4*P4/100</f>
        <v>519121.98</v>
      </c>
      <c r="AC4" s="234">
        <f t="shared" ref="AC4:AC67" si="22">AA4/$AA$121</f>
        <v>0.17463435141690725</v>
      </c>
      <c r="AD4" s="92">
        <f t="shared" ref="AD4:AD67" si="23">U4*K4</f>
        <v>74100.180000000008</v>
      </c>
      <c r="AE4" s="93">
        <v>146969.56000000096</v>
      </c>
      <c r="AF4" s="234">
        <f t="shared" ref="AF4:AF67" si="24">IF(AA4=0,0,AE4/AA4)</f>
        <v>0.37485806643054964</v>
      </c>
      <c r="AG4" s="93">
        <v>51237.270000000142</v>
      </c>
      <c r="AH4" s="93">
        <v>3984</v>
      </c>
      <c r="AI4" s="93">
        <v>2390</v>
      </c>
      <c r="AJ4" s="93"/>
      <c r="AK4" s="93"/>
      <c r="AL4" s="122">
        <f t="shared" ref="AL4:AL67" si="25">IFERROR($AL$121*H4/$H$121,0)</f>
        <v>1120.1866913344475</v>
      </c>
      <c r="AM4" s="93">
        <v>0</v>
      </c>
      <c r="AN4" s="325">
        <f t="shared" si="8"/>
        <v>16449.406746851237</v>
      </c>
      <c r="AO4" s="95">
        <f t="shared" ref="AO4:AO67" si="26">AA4-AD4-AE4-AG4-AH4-AI4-AK4-AL4-AN4-AM4</f>
        <v>95816.616561813324</v>
      </c>
      <c r="AP4" s="96"/>
      <c r="AQ4" s="97">
        <f t="shared" si="9"/>
        <v>651.27445182724273</v>
      </c>
      <c r="AR4" s="98">
        <f t="shared" si="10"/>
        <v>123.09</v>
      </c>
      <c r="AS4" s="98">
        <f t="shared" si="11"/>
        <v>244.13548172757635</v>
      </c>
      <c r="AT4" s="98">
        <f t="shared" si="12"/>
        <v>84.410658978583427</v>
      </c>
      <c r="AU4" s="98">
        <f t="shared" ref="AU4:AU70" si="27">IF(S4=0,0,(AH4+AI4+AJ4)/S4)</f>
        <v>10.500823723228995</v>
      </c>
      <c r="AV4" s="98">
        <f t="array" ref="AV4">_xlfn.IFS(U4=0,AO4,U4&lt;0,AO4/-U4,U4&gt;0,AO4/U4)</f>
        <v>159.16381488673309</v>
      </c>
      <c r="AW4" s="234">
        <f>IF(AQ4=0,0,AV4/AQ4)</f>
        <v>0.24438823669526183</v>
      </c>
      <c r="AX4" s="234">
        <f>IF(AR4=0,0,AV4/AR4)</f>
        <v>1.2930686074151685</v>
      </c>
      <c r="AY4" s="99"/>
      <c r="AZ4" s="94">
        <f t="shared" si="15"/>
        <v>55548.17139546985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728</v>
      </c>
      <c r="F5" s="93"/>
      <c r="G5" s="93"/>
      <c r="H5" s="272">
        <v>728</v>
      </c>
      <c r="I5" s="93"/>
      <c r="J5" s="93"/>
      <c r="K5" s="92">
        <v>123.09</v>
      </c>
      <c r="L5" s="92">
        <f>E5*K5</f>
        <v>89609.52</v>
      </c>
      <c r="M5" s="89"/>
      <c r="N5" s="89">
        <v>341</v>
      </c>
      <c r="O5" s="89">
        <v>1039</v>
      </c>
      <c r="P5" s="89">
        <v>73</v>
      </c>
      <c r="Q5" s="233">
        <f t="shared" si="16"/>
        <v>10.65625</v>
      </c>
      <c r="R5" s="92">
        <f t="shared" si="17"/>
        <v>6.28125</v>
      </c>
      <c r="S5" s="93">
        <v>205</v>
      </c>
      <c r="T5" s="93">
        <v>-4</v>
      </c>
      <c r="U5" s="92">
        <f t="shared" si="18"/>
        <v>201</v>
      </c>
      <c r="V5" s="93">
        <v>164275.78000000003</v>
      </c>
      <c r="W5" s="93">
        <v>-3499</v>
      </c>
      <c r="X5" s="92">
        <f t="shared" si="19"/>
        <v>160776.78000000003</v>
      </c>
      <c r="Y5" s="93">
        <v>217576.03000000006</v>
      </c>
      <c r="Z5" s="93">
        <v>-4380.6000000000004</v>
      </c>
      <c r="AA5" s="92">
        <f t="shared" si="20"/>
        <v>213195.43000000005</v>
      </c>
      <c r="AB5" s="92">
        <f t="shared" si="21"/>
        <v>258638.27</v>
      </c>
      <c r="AC5" s="234">
        <f t="shared" si="22"/>
        <v>9.4961383517598461E-2</v>
      </c>
      <c r="AD5" s="92">
        <f t="shared" si="23"/>
        <v>24741.09</v>
      </c>
      <c r="AE5" s="93">
        <v>79363.80000000009</v>
      </c>
      <c r="AF5" s="234">
        <f t="shared" si="24"/>
        <v>0.37225844850426704</v>
      </c>
      <c r="AG5" s="93">
        <v>17412.569999999982</v>
      </c>
      <c r="AH5" s="93">
        <v>7000</v>
      </c>
      <c r="AI5" s="93">
        <v>25645</v>
      </c>
      <c r="AJ5" s="93"/>
      <c r="AK5" s="93"/>
      <c r="AL5" s="122">
        <f t="shared" si="25"/>
        <v>2336.6645022678445</v>
      </c>
      <c r="AM5" s="93">
        <v>0</v>
      </c>
      <c r="AN5" s="325">
        <f t="shared" si="8"/>
        <v>9051.9554046360845</v>
      </c>
      <c r="AO5" s="95">
        <f t="shared" si="26"/>
        <v>47644.350093096058</v>
      </c>
      <c r="AP5" s="96"/>
      <c r="AQ5" s="97">
        <f t="shared" si="9"/>
        <v>1060.6737810945276</v>
      </c>
      <c r="AR5" s="98">
        <f t="shared" si="10"/>
        <v>123.09</v>
      </c>
      <c r="AS5" s="98">
        <f t="shared" si="11"/>
        <v>394.84477611940343</v>
      </c>
      <c r="AT5" s="98">
        <f t="shared" si="12"/>
        <v>84.939365853658444</v>
      </c>
      <c r="AU5" s="98">
        <f t="shared" si="27"/>
        <v>159.2439024390244</v>
      </c>
      <c r="AV5" s="98">
        <f t="array" ref="AV5">_xlfn.IFS(U5=0,AO5,U5&lt;0,AO5/-U5,U5&gt;0,AO5/U5)</f>
        <v>237.03656762734357</v>
      </c>
      <c r="AW5" s="234">
        <f>IF(AQ5=0,0,AV5/AQ5)</f>
        <v>0.22347735171010019</v>
      </c>
      <c r="AX5" s="234">
        <f>IF(AR5=0,0,AV5/AR5)</f>
        <v>1.9257175044873147</v>
      </c>
      <c r="AY5" s="99"/>
      <c r="AZ5" s="94">
        <f t="shared" si="15"/>
        <v>172562.62123270612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8">SUM(F6:J6)</f>
        <v>523</v>
      </c>
      <c r="F6" s="93"/>
      <c r="G6" s="93"/>
      <c r="H6" s="272">
        <v>523</v>
      </c>
      <c r="I6" s="93"/>
      <c r="J6" s="93"/>
      <c r="K6" s="92">
        <v>123.09</v>
      </c>
      <c r="L6" s="92">
        <f t="shared" ref="L6" si="29">E6*K6</f>
        <v>64376.07</v>
      </c>
      <c r="M6" s="89"/>
      <c r="N6" s="89">
        <v>315</v>
      </c>
      <c r="O6" s="89">
        <v>977</v>
      </c>
      <c r="P6" s="89">
        <v>74</v>
      </c>
      <c r="Q6" s="233">
        <f t="shared" si="16"/>
        <v>9.84375</v>
      </c>
      <c r="R6" s="92">
        <f t="shared" si="17"/>
        <v>5.53125</v>
      </c>
      <c r="S6" s="93">
        <v>183</v>
      </c>
      <c r="T6" s="93">
        <v>-6</v>
      </c>
      <c r="U6" s="92">
        <f t="shared" si="18"/>
        <v>177</v>
      </c>
      <c r="V6" s="93">
        <v>139934.35</v>
      </c>
      <c r="W6" s="93">
        <v>-4767</v>
      </c>
      <c r="X6" s="92">
        <f t="shared" si="19"/>
        <v>135167.35</v>
      </c>
      <c r="Y6" s="93">
        <v>182610.13000000003</v>
      </c>
      <c r="Z6" s="93">
        <v>-6305.51</v>
      </c>
      <c r="AA6" s="92">
        <f t="shared" si="20"/>
        <v>176304.62000000002</v>
      </c>
      <c r="AB6" s="92">
        <f t="shared" si="21"/>
        <v>227738.7</v>
      </c>
      <c r="AC6" s="234">
        <f t="shared" si="22"/>
        <v>7.8529500542035349E-2</v>
      </c>
      <c r="AD6" s="92">
        <f t="shared" si="23"/>
        <v>21786.93</v>
      </c>
      <c r="AE6" s="93">
        <v>65784.11000000003</v>
      </c>
      <c r="AF6" s="234">
        <f t="shared" si="24"/>
        <v>0.3731275448141973</v>
      </c>
      <c r="AG6" s="93">
        <v>16754.849999999984</v>
      </c>
      <c r="AH6" s="93">
        <v>7603</v>
      </c>
      <c r="AI6" s="93">
        <f>1799+23927</f>
        <v>25726</v>
      </c>
      <c r="AJ6" s="93"/>
      <c r="AK6" s="93"/>
      <c r="AL6" s="122">
        <f t="shared" si="25"/>
        <v>1678.6751850083554</v>
      </c>
      <c r="AM6" s="93">
        <v>0</v>
      </c>
      <c r="AN6" s="325">
        <f t="shared" si="8"/>
        <v>7597.2465955684447</v>
      </c>
      <c r="AO6" s="95">
        <f t="shared" si="26"/>
        <v>29373.808219423212</v>
      </c>
      <c r="AP6" s="96"/>
      <c r="AQ6" s="97">
        <f t="shared" si="9"/>
        <v>996.07129943502844</v>
      </c>
      <c r="AR6" s="98">
        <f t="shared" si="10"/>
        <v>123.09</v>
      </c>
      <c r="AS6" s="98">
        <f t="shared" si="11"/>
        <v>371.66163841807929</v>
      </c>
      <c r="AT6" s="98">
        <f t="shared" si="12"/>
        <v>91.556557377049089</v>
      </c>
      <c r="AU6" s="98">
        <f t="shared" si="27"/>
        <v>182.12568306010928</v>
      </c>
      <c r="AV6" s="98">
        <f t="array" ref="AV6">_xlfn.IFS(U6=0,AO6,U6&lt;0,AO6/-U6,U6&gt;0,AO6/U6)</f>
        <v>165.95371875380346</v>
      </c>
      <c r="AW6" s="234">
        <f t="shared" ref="AW6" si="30">IF(AQ6=0,0,AV6/AQ6)</f>
        <v>0.1666082727691606</v>
      </c>
      <c r="AX6" s="234">
        <f t="shared" ref="AX6" si="31">IF(AR6=0,0,AV6/AR6)</f>
        <v>1.3482307153611459</v>
      </c>
      <c r="AY6" s="99"/>
      <c r="AZ6" s="94">
        <f t="shared" si="15"/>
        <v>86793.794908239215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441</v>
      </c>
      <c r="F7" s="93"/>
      <c r="G7" s="93"/>
      <c r="H7" s="272">
        <v>441</v>
      </c>
      <c r="I7" s="93"/>
      <c r="J7" s="93"/>
      <c r="K7" s="92">
        <v>117.24</v>
      </c>
      <c r="L7" s="92">
        <f>E7*K7</f>
        <v>51702.84</v>
      </c>
      <c r="M7" s="89"/>
      <c r="N7" s="89">
        <v>327</v>
      </c>
      <c r="O7" s="89">
        <v>979</v>
      </c>
      <c r="P7" s="89">
        <v>65</v>
      </c>
      <c r="Q7" s="233">
        <f t="shared" si="16"/>
        <v>10.21875</v>
      </c>
      <c r="R7" s="92">
        <f t="shared" si="17"/>
        <v>4.96875</v>
      </c>
      <c r="S7" s="93">
        <v>165</v>
      </c>
      <c r="T7" s="93">
        <v>-6</v>
      </c>
      <c r="U7" s="92">
        <f t="shared" si="18"/>
        <v>159</v>
      </c>
      <c r="V7" s="93">
        <v>119332.73999999999</v>
      </c>
      <c r="W7" s="93">
        <v>-5120</v>
      </c>
      <c r="X7" s="92">
        <f t="shared" si="19"/>
        <v>114212.73999999999</v>
      </c>
      <c r="Y7" s="93">
        <v>160648.13999999996</v>
      </c>
      <c r="Z7" s="93">
        <v>-6530.72</v>
      </c>
      <c r="AA7" s="92">
        <f t="shared" si="20"/>
        <v>154117.41999999995</v>
      </c>
      <c r="AB7" s="92">
        <f t="shared" si="21"/>
        <v>208086.45</v>
      </c>
      <c r="AC7" s="234">
        <f t="shared" si="22"/>
        <v>6.8646890917703027E-2</v>
      </c>
      <c r="AD7" s="92">
        <f t="shared" si="23"/>
        <v>18641.16</v>
      </c>
      <c r="AE7" s="93">
        <v>56930.909999999967</v>
      </c>
      <c r="AF7" s="234">
        <f t="shared" si="24"/>
        <v>0.36939957858105843</v>
      </c>
      <c r="AG7" s="93">
        <v>16568.10999999995</v>
      </c>
      <c r="AH7" s="93">
        <v>4000</v>
      </c>
      <c r="AI7" s="93">
        <v>20657</v>
      </c>
      <c r="AJ7" s="93"/>
      <c r="AK7" s="93"/>
      <c r="AL7" s="122">
        <f t="shared" si="25"/>
        <v>1415.4794581045594</v>
      </c>
      <c r="AM7" s="93">
        <v>0</v>
      </c>
      <c r="AN7" s="325">
        <f t="shared" si="8"/>
        <v>6683.5478113914178</v>
      </c>
      <c r="AO7" s="95">
        <f t="shared" si="26"/>
        <v>29221.212730504052</v>
      </c>
      <c r="AP7" s="96"/>
      <c r="AQ7" s="97">
        <f t="shared" si="9"/>
        <v>969.29194968553429</v>
      </c>
      <c r="AR7" s="98">
        <f t="shared" si="10"/>
        <v>117.24</v>
      </c>
      <c r="AS7" s="98">
        <f t="shared" si="11"/>
        <v>358.05603773584886</v>
      </c>
      <c r="AT7" s="98">
        <f t="shared" si="12"/>
        <v>100.41278787878757</v>
      </c>
      <c r="AU7" s="98">
        <f t="shared" si="27"/>
        <v>149.43636363636364</v>
      </c>
      <c r="AV7" s="98">
        <f t="array" ref="AV7">_xlfn.IFS(U7=0,AO7,U7&lt;0,AO7/-U7,U7&gt;0,AO7/U7)</f>
        <v>183.78121214153492</v>
      </c>
      <c r="AW7" s="234">
        <f>IF(AQ7=0,0,AV7/AQ7)</f>
        <v>0.1896035680489854</v>
      </c>
      <c r="AX7" s="234">
        <f>IF(AR7=0,0,AV7/AR7)</f>
        <v>1.5675640749022086</v>
      </c>
      <c r="AY7" s="99"/>
      <c r="AZ7" s="94">
        <f t="shared" si="15"/>
        <v>81047.514554416906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497</v>
      </c>
      <c r="F8" s="93"/>
      <c r="G8" s="93"/>
      <c r="H8" s="272">
        <v>497</v>
      </c>
      <c r="I8" s="93"/>
      <c r="J8" s="93"/>
      <c r="K8" s="92">
        <v>169.89</v>
      </c>
      <c r="L8" s="92">
        <f>E8*K8</f>
        <v>84435.329999999987</v>
      </c>
      <c r="M8" s="89"/>
      <c r="N8" s="89">
        <v>286</v>
      </c>
      <c r="O8" s="89">
        <v>1258</v>
      </c>
      <c r="P8" s="89">
        <v>53</v>
      </c>
      <c r="Q8" s="233">
        <f t="shared" si="16"/>
        <v>8.9375</v>
      </c>
      <c r="R8" s="92">
        <f t="shared" si="17"/>
        <v>3.71875</v>
      </c>
      <c r="S8" s="93">
        <v>123</v>
      </c>
      <c r="T8" s="93">
        <v>-4</v>
      </c>
      <c r="U8" s="92">
        <f t="shared" si="18"/>
        <v>119</v>
      </c>
      <c r="V8" s="93">
        <v>117745.48999999999</v>
      </c>
      <c r="W8" s="93">
        <v>-4240</v>
      </c>
      <c r="X8" s="92">
        <f t="shared" si="19"/>
        <v>113505.48999999999</v>
      </c>
      <c r="Y8" s="93">
        <v>159228.43</v>
      </c>
      <c r="Z8" s="93">
        <v>-5400</v>
      </c>
      <c r="AA8" s="92">
        <f t="shared" si="20"/>
        <v>153828.43</v>
      </c>
      <c r="AB8" s="92">
        <f t="shared" si="21"/>
        <v>190687.64</v>
      </c>
      <c r="AC8" s="234">
        <f t="shared" si="22"/>
        <v>6.8518169161224732E-2</v>
      </c>
      <c r="AD8" s="92">
        <f t="shared" si="23"/>
        <v>20216.91</v>
      </c>
      <c r="AE8" s="93">
        <v>56810.78</v>
      </c>
      <c r="AF8" s="234">
        <f t="shared" si="24"/>
        <v>0.36931261666000231</v>
      </c>
      <c r="AG8" s="93">
        <v>17667.549999999992</v>
      </c>
      <c r="AH8" s="93">
        <v>9500</v>
      </c>
      <c r="AI8" s="93">
        <f>1000+46228</f>
        <v>47228</v>
      </c>
      <c r="AJ8" s="93"/>
      <c r="AK8" s="93"/>
      <c r="AL8" s="122">
        <f t="shared" si="25"/>
        <v>1595.222881355932</v>
      </c>
      <c r="AM8" s="93">
        <v>0</v>
      </c>
      <c r="AN8" s="325">
        <f t="shared" si="8"/>
        <v>6624.4827038631875</v>
      </c>
      <c r="AO8" s="95">
        <f t="shared" si="26"/>
        <v>-5814.5155852191174</v>
      </c>
      <c r="AP8" s="96"/>
      <c r="AQ8" s="97">
        <f t="shared" si="9"/>
        <v>1292.675882352941</v>
      </c>
      <c r="AR8" s="98">
        <f t="shared" si="10"/>
        <v>169.89</v>
      </c>
      <c r="AS8" s="98">
        <f t="shared" si="11"/>
        <v>477.401512605042</v>
      </c>
      <c r="AT8" s="98">
        <f t="shared" si="12"/>
        <v>143.63861788617879</v>
      </c>
      <c r="AU8" s="98">
        <f t="shared" si="27"/>
        <v>461.20325203252031</v>
      </c>
      <c r="AV8" s="98">
        <f t="array" ref="AV8">_xlfn.IFS(U8=0,AO8,U8&lt;0,AO8/-U8,U8&gt;0,AO8/U8)</f>
        <v>-48.861475506043</v>
      </c>
      <c r="AW8" s="234">
        <f>IF(AQ8=0,0,AV8/AQ8)</f>
        <v>-3.7798705903837916E-2</v>
      </c>
      <c r="AX8" s="234">
        <f>IF(AR8=0,0,AV8/AR8)</f>
        <v>-0.28760654250422629</v>
      </c>
      <c r="AY8" s="99"/>
      <c r="AZ8" s="94">
        <f t="shared" si="15"/>
        <v>-24284.153326503372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411</v>
      </c>
      <c r="F9" s="93"/>
      <c r="G9" s="93"/>
      <c r="H9" s="272">
        <v>411</v>
      </c>
      <c r="I9" s="93"/>
      <c r="J9" s="93"/>
      <c r="K9" s="92">
        <v>123.09</v>
      </c>
      <c r="L9" s="92">
        <f>E9*K9</f>
        <v>50589.99</v>
      </c>
      <c r="M9" s="89"/>
      <c r="N9" s="89">
        <v>320</v>
      </c>
      <c r="O9" s="89">
        <v>1256</v>
      </c>
      <c r="P9" s="89">
        <v>51</v>
      </c>
      <c r="Q9" s="233">
        <f t="shared" si="16"/>
        <v>10</v>
      </c>
      <c r="R9" s="92">
        <f t="shared" si="17"/>
        <v>3.8125</v>
      </c>
      <c r="S9" s="93">
        <v>124</v>
      </c>
      <c r="T9" s="93">
        <v>-2</v>
      </c>
      <c r="U9" s="92">
        <f t="shared" si="18"/>
        <v>122</v>
      </c>
      <c r="V9" s="93">
        <v>117699.29000000001</v>
      </c>
      <c r="W9" s="93">
        <v>-2139</v>
      </c>
      <c r="X9" s="92">
        <f t="shared" si="19"/>
        <v>115560.29000000001</v>
      </c>
      <c r="Y9" s="93">
        <v>156839.69</v>
      </c>
      <c r="Z9" s="93">
        <v>-2600</v>
      </c>
      <c r="AA9" s="92">
        <f t="shared" si="20"/>
        <v>154239.69</v>
      </c>
      <c r="AB9" s="92">
        <f t="shared" si="21"/>
        <v>204979.20000000001</v>
      </c>
      <c r="AC9" s="234">
        <f t="shared" si="22"/>
        <v>6.8701352349464034E-2</v>
      </c>
      <c r="AD9" s="92">
        <f t="shared" si="23"/>
        <v>15016.98</v>
      </c>
      <c r="AE9" s="93">
        <v>56899.760000000017</v>
      </c>
      <c r="AF9" s="234">
        <f t="shared" si="24"/>
        <v>0.36890478708820029</v>
      </c>
      <c r="AG9" s="93">
        <v>19030.379999999972</v>
      </c>
      <c r="AH9" s="93">
        <f>1000+20586</f>
        <v>21586</v>
      </c>
      <c r="AI9" s="93">
        <f>368+27766</f>
        <v>28134</v>
      </c>
      <c r="AJ9" s="93"/>
      <c r="AK9" s="93"/>
      <c r="AL9" s="122">
        <f t="shared" si="25"/>
        <v>1319.1883385056099</v>
      </c>
      <c r="AM9" s="93">
        <v>0</v>
      </c>
      <c r="AN9" s="325">
        <f t="shared" si="8"/>
        <v>6525.1024184830831</v>
      </c>
      <c r="AO9" s="95">
        <f t="shared" si="26"/>
        <v>5728.2792430113141</v>
      </c>
      <c r="AP9" s="96"/>
      <c r="AQ9" s="97">
        <f t="shared" si="9"/>
        <v>1264.2597540983606</v>
      </c>
      <c r="AR9" s="98">
        <f t="shared" si="10"/>
        <v>123.09</v>
      </c>
      <c r="AS9" s="98">
        <f t="shared" si="11"/>
        <v>466.39147540983618</v>
      </c>
      <c r="AT9" s="98">
        <f t="shared" si="12"/>
        <v>153.47080645161267</v>
      </c>
      <c r="AU9" s="98">
        <f t="shared" si="27"/>
        <v>400.96774193548384</v>
      </c>
      <c r="AV9" s="98">
        <f t="array" ref="AV9">_xlfn.IFS(U9=0,AO9,U9&lt;0,AO9/-U9,U9&gt;0,AO9/U9)</f>
        <v>46.953108549273068</v>
      </c>
      <c r="AW9" s="234">
        <f>IF(AQ9=0,0,AV9/AQ9)</f>
        <v>3.713881454903932E-2</v>
      </c>
      <c r="AX9" s="234">
        <f>IF(AR9=0,0,AV9/AR9)</f>
        <v>0.38145347753085601</v>
      </c>
      <c r="AY9" s="99"/>
      <c r="AZ9" s="94">
        <f t="shared" si="15"/>
        <v>19297.727613751231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481</v>
      </c>
      <c r="F10" s="93"/>
      <c r="G10" s="93"/>
      <c r="H10" s="272">
        <v>481</v>
      </c>
      <c r="I10" s="93"/>
      <c r="J10" s="93"/>
      <c r="K10" s="92">
        <v>123.09</v>
      </c>
      <c r="L10" s="92">
        <f>E10*K10</f>
        <v>59206.29</v>
      </c>
      <c r="M10" s="89"/>
      <c r="N10" s="89">
        <v>207</v>
      </c>
      <c r="O10" s="89">
        <v>850</v>
      </c>
      <c r="P10" s="89">
        <v>63</v>
      </c>
      <c r="Q10" s="233">
        <f t="shared" si="16"/>
        <v>6.46875</v>
      </c>
      <c r="R10" s="92">
        <f t="shared" si="17"/>
        <v>2.75</v>
      </c>
      <c r="S10" s="93">
        <v>88</v>
      </c>
      <c r="T10" s="93">
        <v>0</v>
      </c>
      <c r="U10" s="92">
        <f t="shared" si="18"/>
        <v>88</v>
      </c>
      <c r="V10" s="93">
        <v>54824.52</v>
      </c>
      <c r="W10" s="93">
        <v>0</v>
      </c>
      <c r="X10" s="92">
        <f t="shared" si="19"/>
        <v>54824.52</v>
      </c>
      <c r="Y10" s="93">
        <v>74862.429999999993</v>
      </c>
      <c r="Z10" s="93">
        <v>0</v>
      </c>
      <c r="AA10" s="92">
        <f t="shared" si="20"/>
        <v>74862.429999999993</v>
      </c>
      <c r="AB10" s="92">
        <f t="shared" si="21"/>
        <v>110848.5</v>
      </c>
      <c r="AC10" s="234">
        <f t="shared" si="22"/>
        <v>3.3345179708070508E-2</v>
      </c>
      <c r="AD10" s="92">
        <f t="shared" si="23"/>
        <v>10831.92</v>
      </c>
      <c r="AE10" s="93">
        <v>27936.629999999983</v>
      </c>
      <c r="AF10" s="234">
        <f t="shared" si="24"/>
        <v>0.37317289860882136</v>
      </c>
      <c r="AG10" s="93">
        <v>10222.68999999999</v>
      </c>
      <c r="AH10" s="93"/>
      <c r="AI10" s="93">
        <f>538+22017</f>
        <v>22555</v>
      </c>
      <c r="AJ10" s="93"/>
      <c r="AK10" s="93"/>
      <c r="AL10" s="122">
        <f t="shared" si="25"/>
        <v>1543.8676175698256</v>
      </c>
      <c r="AM10" s="93">
        <v>0</v>
      </c>
      <c r="AN10" s="325">
        <f t="shared" si="8"/>
        <v>3114.5497867696654</v>
      </c>
      <c r="AO10" s="95">
        <f t="shared" si="26"/>
        <v>-1342.2274043394668</v>
      </c>
      <c r="AP10" s="96"/>
      <c r="AQ10" s="97">
        <f t="shared" si="9"/>
        <v>850.70943181818177</v>
      </c>
      <c r="AR10" s="98">
        <f t="shared" si="10"/>
        <v>123.09</v>
      </c>
      <c r="AS10" s="98">
        <f t="shared" si="11"/>
        <v>317.46170454545432</v>
      </c>
      <c r="AT10" s="98">
        <f t="shared" si="12"/>
        <v>116.16693181818169</v>
      </c>
      <c r="AU10" s="98">
        <f t="shared" si="27"/>
        <v>256.30681818181819</v>
      </c>
      <c r="AV10" s="98">
        <f t="array" ref="AV10">_xlfn.IFS(U10=0,AO10,U10&lt;0,AO10/-U10,U10&gt;0,AO10/U10)</f>
        <v>-15.252584140221215</v>
      </c>
      <c r="AW10" s="234">
        <f>IF(AQ10=0,0,AV10/AQ10)</f>
        <v>-1.7929252421267475E-2</v>
      </c>
      <c r="AX10" s="234">
        <f>IF(AR10=0,0,AV10/AR10)</f>
        <v>-0.12391408026826886</v>
      </c>
      <c r="AY10" s="99"/>
      <c r="AZ10" s="94">
        <f t="shared" si="15"/>
        <v>-7336.4929714464042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2">SUM(F11:J11)</f>
        <v>504</v>
      </c>
      <c r="F11" s="93"/>
      <c r="G11" s="93"/>
      <c r="H11" s="272">
        <v>504</v>
      </c>
      <c r="I11" s="93"/>
      <c r="J11" s="93"/>
      <c r="K11" s="92">
        <v>123.09</v>
      </c>
      <c r="L11" s="92">
        <f t="shared" ref="L11" si="33">E11*K11</f>
        <v>62037.36</v>
      </c>
      <c r="M11" s="89"/>
      <c r="N11" s="89">
        <v>148</v>
      </c>
      <c r="O11" s="89">
        <v>1147</v>
      </c>
      <c r="P11" s="89">
        <v>68</v>
      </c>
      <c r="Q11" s="233">
        <f t="shared" si="16"/>
        <v>4.625</v>
      </c>
      <c r="R11" s="92">
        <f t="shared" si="17"/>
        <v>2.5</v>
      </c>
      <c r="S11" s="93">
        <v>81</v>
      </c>
      <c r="T11" s="93">
        <v>-1</v>
      </c>
      <c r="U11" s="92">
        <f t="shared" si="18"/>
        <v>80</v>
      </c>
      <c r="V11" s="93">
        <v>69516.260000000009</v>
      </c>
      <c r="W11" s="93">
        <v>-957</v>
      </c>
      <c r="X11" s="92">
        <f t="shared" si="19"/>
        <v>68559.260000000009</v>
      </c>
      <c r="Y11" s="93">
        <v>92972.43</v>
      </c>
      <c r="Z11" s="93">
        <v>-1197</v>
      </c>
      <c r="AA11" s="92">
        <f t="shared" si="20"/>
        <v>91775.43</v>
      </c>
      <c r="AB11" s="92">
        <f t="shared" si="21"/>
        <v>115434.08</v>
      </c>
      <c r="AC11" s="234">
        <f t="shared" si="22"/>
        <v>4.087855825860108E-2</v>
      </c>
      <c r="AD11" s="92">
        <f t="shared" si="23"/>
        <v>9847.2000000000007</v>
      </c>
      <c r="AE11" s="93">
        <v>33981.659999999989</v>
      </c>
      <c r="AF11" s="234">
        <f t="shared" si="24"/>
        <v>0.37026968982874819</v>
      </c>
      <c r="AG11" s="93">
        <v>9071.1699999999983</v>
      </c>
      <c r="AH11" s="93">
        <v>3000</v>
      </c>
      <c r="AI11" s="93">
        <v>15177</v>
      </c>
      <c r="AJ11" s="93"/>
      <c r="AK11" s="93"/>
      <c r="AL11" s="122">
        <f t="shared" si="25"/>
        <v>1617.6908092623537</v>
      </c>
      <c r="AM11" s="93">
        <v>0</v>
      </c>
      <c r="AN11" s="325">
        <f t="shared" si="8"/>
        <v>3867.991755436708</v>
      </c>
      <c r="AO11" s="95">
        <f t="shared" si="26"/>
        <v>15212.717435300949</v>
      </c>
      <c r="AP11" s="96"/>
      <c r="AQ11" s="97">
        <f t="shared" si="9"/>
        <v>1147.192875</v>
      </c>
      <c r="AR11" s="98">
        <f t="shared" si="10"/>
        <v>123.09</v>
      </c>
      <c r="AS11" s="98">
        <f t="shared" si="11"/>
        <v>424.77074999999985</v>
      </c>
      <c r="AT11" s="98">
        <f t="shared" si="12"/>
        <v>111.98975308641973</v>
      </c>
      <c r="AU11" s="98">
        <f t="shared" si="27"/>
        <v>224.40740740740742</v>
      </c>
      <c r="AV11" s="98">
        <f t="array" ref="AV11">_xlfn.IFS(U11=0,AO11,U11&lt;0,AO11/-U11,U11&gt;0,AO11/U11)</f>
        <v>190.15896794126186</v>
      </c>
      <c r="AW11" s="234">
        <f t="shared" ref="AW11:AW28" si="34">IF(AQ11=0,0,AV11/AQ11)</f>
        <v>0.16576024144262741</v>
      </c>
      <c r="AX11" s="234">
        <f t="shared" ref="AX11:AX28" si="35">IF(AR11=0,0,AV11/AR11)</f>
        <v>1.5448774712914279</v>
      </c>
      <c r="AY11" s="99"/>
      <c r="AZ11" s="94">
        <f t="shared" si="15"/>
        <v>95840.119842395972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2"/>
        <v>559</v>
      </c>
      <c r="F12" s="93"/>
      <c r="G12" s="93"/>
      <c r="H12" s="272">
        <v>559</v>
      </c>
      <c r="I12" s="93"/>
      <c r="J12" s="93"/>
      <c r="K12" s="92">
        <v>117.24</v>
      </c>
      <c r="L12" s="92">
        <f>E12*K12</f>
        <v>65537.16</v>
      </c>
      <c r="M12" s="89"/>
      <c r="N12" s="89">
        <v>126</v>
      </c>
      <c r="O12" s="89">
        <v>1082</v>
      </c>
      <c r="P12" s="89">
        <v>51</v>
      </c>
      <c r="Q12" s="233">
        <f t="shared" si="16"/>
        <v>3.9375</v>
      </c>
      <c r="R12" s="92">
        <f t="shared" si="17"/>
        <v>1.46875</v>
      </c>
      <c r="S12" s="93">
        <v>51</v>
      </c>
      <c r="T12" s="93">
        <v>-4</v>
      </c>
      <c r="U12" s="92">
        <f t="shared" si="18"/>
        <v>47</v>
      </c>
      <c r="V12" s="93">
        <v>40291.090000000004</v>
      </c>
      <c r="W12" s="93">
        <v>-2990</v>
      </c>
      <c r="X12" s="92">
        <f t="shared" si="19"/>
        <v>37301.090000000004</v>
      </c>
      <c r="Y12" s="93">
        <v>54935.169999999991</v>
      </c>
      <c r="Z12" s="93">
        <v>-4233.84</v>
      </c>
      <c r="AA12" s="92">
        <f t="shared" si="20"/>
        <v>50701.329999999987</v>
      </c>
      <c r="AB12" s="92">
        <f t="shared" si="21"/>
        <v>69529.320000000007</v>
      </c>
      <c r="AC12" s="234">
        <f t="shared" si="22"/>
        <v>2.2583356702262889E-2</v>
      </c>
      <c r="AD12" s="92">
        <f t="shared" si="23"/>
        <v>5510.28</v>
      </c>
      <c r="AE12" s="93">
        <v>18835.239999999994</v>
      </c>
      <c r="AF12" s="234">
        <f t="shared" si="24"/>
        <v>0.37149400222834389</v>
      </c>
      <c r="AG12" s="93">
        <v>7194.1899999999987</v>
      </c>
      <c r="AH12" s="93">
        <v>6000</v>
      </c>
      <c r="AI12" s="93">
        <f>110+14451</f>
        <v>14561</v>
      </c>
      <c r="AJ12" s="93"/>
      <c r="AK12" s="93"/>
      <c r="AL12" s="122">
        <f t="shared" si="25"/>
        <v>1794.2245285270947</v>
      </c>
      <c r="AM12" s="93">
        <v>0</v>
      </c>
      <c r="AN12" s="325">
        <f t="shared" si="8"/>
        <v>2285.5031824328344</v>
      </c>
      <c r="AO12" s="95">
        <f t="shared" si="26"/>
        <v>-5479.1077109599337</v>
      </c>
      <c r="AP12" s="96"/>
      <c r="AQ12" s="97">
        <f t="shared" si="9"/>
        <v>1078.7517021276592</v>
      </c>
      <c r="AR12" s="98">
        <f t="shared" si="10"/>
        <v>117.24</v>
      </c>
      <c r="AS12" s="98">
        <f t="shared" si="11"/>
        <v>400.74978723404246</v>
      </c>
      <c r="AT12" s="98">
        <f t="shared" si="12"/>
        <v>141.06254901960781</v>
      </c>
      <c r="AU12" s="98">
        <f t="shared" si="27"/>
        <v>403.15686274509807</v>
      </c>
      <c r="AV12" s="98">
        <f t="array" ref="AV12">_xlfn.IFS(U12=0,AO12,U12&lt;0,AO12/-U12,U12&gt;0,AO12/U12)</f>
        <v>-116.57675980765816</v>
      </c>
      <c r="AW12" s="234">
        <f t="shared" si="34"/>
        <v>-0.10806635074385496</v>
      </c>
      <c r="AX12" s="234">
        <f t="shared" si="35"/>
        <v>-0.99434288474631671</v>
      </c>
      <c r="AY12" s="99"/>
      <c r="AZ12" s="94">
        <f t="shared" si="15"/>
        <v>-65166.408732480915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2"/>
        <v>639</v>
      </c>
      <c r="F13" s="93"/>
      <c r="G13" s="93"/>
      <c r="H13" s="272">
        <v>639</v>
      </c>
      <c r="I13" s="93"/>
      <c r="J13" s="93"/>
      <c r="K13" s="92">
        <v>123.09</v>
      </c>
      <c r="L13" s="92">
        <f t="shared" ref="L13:L28" si="36">E13*K13</f>
        <v>78654.510000000009</v>
      </c>
      <c r="M13" s="89"/>
      <c r="N13" s="89">
        <v>140</v>
      </c>
      <c r="O13" s="89">
        <v>1247</v>
      </c>
      <c r="P13" s="89">
        <v>59</v>
      </c>
      <c r="Q13" s="233">
        <f t="shared" si="16"/>
        <v>4.375</v>
      </c>
      <c r="R13" s="92">
        <f t="shared" si="17"/>
        <v>2.21875</v>
      </c>
      <c r="S13" s="93">
        <v>73</v>
      </c>
      <c r="T13" s="93">
        <v>-2</v>
      </c>
      <c r="U13" s="92">
        <f t="shared" si="18"/>
        <v>71</v>
      </c>
      <c r="V13" s="93">
        <v>69275.539999999994</v>
      </c>
      <c r="W13" s="93">
        <v>-2006</v>
      </c>
      <c r="X13" s="92">
        <f t="shared" si="19"/>
        <v>67269.539999999994</v>
      </c>
      <c r="Y13" s="93">
        <v>91790.159999999989</v>
      </c>
      <c r="Z13" s="93">
        <v>-2464</v>
      </c>
      <c r="AA13" s="92">
        <f t="shared" si="20"/>
        <v>89326.159999999989</v>
      </c>
      <c r="AB13" s="92">
        <f t="shared" si="21"/>
        <v>103002.2</v>
      </c>
      <c r="AC13" s="234">
        <f t="shared" si="22"/>
        <v>3.9787605850249042E-2</v>
      </c>
      <c r="AD13" s="92">
        <f t="shared" si="23"/>
        <v>8739.39</v>
      </c>
      <c r="AE13" s="93">
        <v>33015.949999999983</v>
      </c>
      <c r="AF13" s="234">
        <f t="shared" si="24"/>
        <v>0.36961120907917666</v>
      </c>
      <c r="AG13" s="93">
        <v>8577.600000000004</v>
      </c>
      <c r="AH13" s="93">
        <v>5097</v>
      </c>
      <c r="AI13" s="93">
        <v>22143</v>
      </c>
      <c r="AJ13" s="93"/>
      <c r="AK13" s="93"/>
      <c r="AL13" s="122">
        <f t="shared" si="25"/>
        <v>2051.0008474576271</v>
      </c>
      <c r="AM13" s="93">
        <v>0</v>
      </c>
      <c r="AN13" s="325">
        <f t="shared" si="8"/>
        <v>3818.8050168229038</v>
      </c>
      <c r="AO13" s="95">
        <f t="shared" si="26"/>
        <v>5883.4141357194694</v>
      </c>
      <c r="AP13" s="96"/>
      <c r="AQ13" s="97">
        <f t="shared" si="9"/>
        <v>1258.1149295774646</v>
      </c>
      <c r="AR13" s="98">
        <f t="shared" si="10"/>
        <v>123.09</v>
      </c>
      <c r="AS13" s="98">
        <f t="shared" si="11"/>
        <v>465.01338028168988</v>
      </c>
      <c r="AT13" s="98">
        <f t="shared" si="12"/>
        <v>117.50136986301375</v>
      </c>
      <c r="AU13" s="98">
        <f t="shared" si="27"/>
        <v>373.15068493150687</v>
      </c>
      <c r="AV13" s="98">
        <f t="array" ref="AV13">_xlfn.IFS(U13=0,AO13,U13&lt;0,AO13/-U13,U13&gt;0,AO13/U13)</f>
        <v>82.864987827034781</v>
      </c>
      <c r="AW13" s="234">
        <f t="shared" si="34"/>
        <v>6.5864402272743733E-2</v>
      </c>
      <c r="AX13" s="234">
        <f t="shared" si="35"/>
        <v>0.67320649790425524</v>
      </c>
      <c r="AY13" s="99"/>
      <c r="AZ13" s="94">
        <f t="shared" si="15"/>
        <v>52950.727221475223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2"/>
        <v>517</v>
      </c>
      <c r="F14" s="93"/>
      <c r="G14" s="93"/>
      <c r="H14" s="272">
        <v>517</v>
      </c>
      <c r="I14" s="93"/>
      <c r="J14" s="93"/>
      <c r="K14" s="92">
        <v>123.09</v>
      </c>
      <c r="L14" s="92">
        <f t="shared" si="36"/>
        <v>63637.53</v>
      </c>
      <c r="M14" s="89"/>
      <c r="N14" s="89">
        <v>58</v>
      </c>
      <c r="O14" s="89">
        <v>967</v>
      </c>
      <c r="P14" s="89">
        <v>64</v>
      </c>
      <c r="Q14" s="233">
        <f t="shared" si="16"/>
        <v>1.8125</v>
      </c>
      <c r="R14" s="92">
        <f t="shared" si="17"/>
        <v>0.78125</v>
      </c>
      <c r="S14" s="93">
        <v>25</v>
      </c>
      <c r="T14" s="93">
        <v>0</v>
      </c>
      <c r="U14" s="92">
        <f t="shared" si="18"/>
        <v>25</v>
      </c>
      <c r="V14" s="93">
        <v>17287.419999999998</v>
      </c>
      <c r="W14" s="93">
        <v>0</v>
      </c>
      <c r="X14" s="92">
        <f t="shared" si="19"/>
        <v>17287.419999999998</v>
      </c>
      <c r="Y14" s="93">
        <v>23975.08</v>
      </c>
      <c r="Z14" s="93">
        <v>0</v>
      </c>
      <c r="AA14" s="92">
        <f t="shared" si="20"/>
        <v>23975.08</v>
      </c>
      <c r="AB14" s="92">
        <f t="shared" si="21"/>
        <v>35895.040000000001</v>
      </c>
      <c r="AC14" s="234">
        <f t="shared" si="22"/>
        <v>1.0678966086398307E-2</v>
      </c>
      <c r="AD14" s="92">
        <f t="shared" si="23"/>
        <v>3077.25</v>
      </c>
      <c r="AE14" s="93">
        <v>8980.0300000000007</v>
      </c>
      <c r="AF14" s="234">
        <f t="shared" si="24"/>
        <v>0.37455683151005126</v>
      </c>
      <c r="AG14" s="93">
        <v>3432.2600000000007</v>
      </c>
      <c r="AH14" s="93">
        <v>6134</v>
      </c>
      <c r="AI14" s="93">
        <v>8572</v>
      </c>
      <c r="AJ14" s="93"/>
      <c r="AK14" s="93"/>
      <c r="AL14" s="122">
        <f t="shared" si="25"/>
        <v>1659.4169610885651</v>
      </c>
      <c r="AM14" s="93">
        <v>0</v>
      </c>
      <c r="AN14" s="325">
        <f t="shared" si="8"/>
        <v>997.45066118994112</v>
      </c>
      <c r="AO14" s="95">
        <f t="shared" si="26"/>
        <v>-8877.3276222785062</v>
      </c>
      <c r="AP14" s="96"/>
      <c r="AQ14" s="97">
        <f t="shared" si="9"/>
        <v>959.00320000000011</v>
      </c>
      <c r="AR14" s="98">
        <f t="shared" si="10"/>
        <v>123.09</v>
      </c>
      <c r="AS14" s="98">
        <f t="shared" si="11"/>
        <v>359.20120000000003</v>
      </c>
      <c r="AT14" s="98">
        <f t="shared" si="12"/>
        <v>137.29040000000003</v>
      </c>
      <c r="AU14" s="98">
        <f t="shared" si="27"/>
        <v>588.24</v>
      </c>
      <c r="AV14" s="98">
        <f t="array" ref="AV14">_xlfn.IFS(U14=0,AO14,U14&lt;0,AO14/-U14,U14&gt;0,AO14/U14)</f>
        <v>-355.09310489114023</v>
      </c>
      <c r="AW14" s="234">
        <f t="shared" si="34"/>
        <v>-0.37027311784897088</v>
      </c>
      <c r="AX14" s="234">
        <f t="shared" si="35"/>
        <v>-2.8848249645880268</v>
      </c>
      <c r="AY14" s="99"/>
      <c r="AZ14" s="94">
        <f t="shared" si="15"/>
        <v>-183583.1352287195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2"/>
        <v>616</v>
      </c>
      <c r="F15" s="93"/>
      <c r="G15" s="93"/>
      <c r="H15" s="272">
        <v>616</v>
      </c>
      <c r="I15" s="93"/>
      <c r="J15" s="93"/>
      <c r="K15" s="92">
        <v>123.09</v>
      </c>
      <c r="L15" s="92">
        <f t="shared" si="36"/>
        <v>75823.44</v>
      </c>
      <c r="M15" s="89"/>
      <c r="N15" s="89">
        <v>59</v>
      </c>
      <c r="O15" s="89">
        <v>915</v>
      </c>
      <c r="P15" s="89">
        <v>74</v>
      </c>
      <c r="Q15" s="233">
        <f t="shared" si="16"/>
        <v>1.84375</v>
      </c>
      <c r="R15" s="92">
        <f t="shared" si="17"/>
        <v>0.90625</v>
      </c>
      <c r="S15" s="93">
        <v>29</v>
      </c>
      <c r="T15" s="93">
        <v>0</v>
      </c>
      <c r="U15" s="92">
        <f t="shared" si="18"/>
        <v>29</v>
      </c>
      <c r="V15" s="93">
        <v>19497.380000000005</v>
      </c>
      <c r="W15" s="93">
        <v>0</v>
      </c>
      <c r="X15" s="92">
        <f t="shared" si="19"/>
        <v>19497.380000000005</v>
      </c>
      <c r="Y15" s="93">
        <v>26728.139999999996</v>
      </c>
      <c r="Z15" s="93">
        <v>0</v>
      </c>
      <c r="AA15" s="92">
        <f t="shared" si="20"/>
        <v>26728.139999999996</v>
      </c>
      <c r="AB15" s="92">
        <f t="shared" si="21"/>
        <v>39948.9</v>
      </c>
      <c r="AC15" s="234">
        <f t="shared" si="22"/>
        <v>1.1905232458557218E-2</v>
      </c>
      <c r="AD15" s="92">
        <f t="shared" si="23"/>
        <v>3569.61</v>
      </c>
      <c r="AE15" s="93">
        <v>9983.7599999999984</v>
      </c>
      <c r="AF15" s="234">
        <f t="shared" si="24"/>
        <v>0.3735299201515706</v>
      </c>
      <c r="AG15" s="93">
        <v>2687.8100000000004</v>
      </c>
      <c r="AH15" s="93">
        <f>268+3192</f>
        <v>3460</v>
      </c>
      <c r="AI15" s="93">
        <f>242+9568</f>
        <v>9810</v>
      </c>
      <c r="AJ15" s="93"/>
      <c r="AK15" s="93"/>
      <c r="AL15" s="122">
        <f t="shared" si="25"/>
        <v>1977.177655765099</v>
      </c>
      <c r="AM15" s="93">
        <v>0</v>
      </c>
      <c r="AN15" s="325">
        <f t="shared" si="8"/>
        <v>1111.9879856658374</v>
      </c>
      <c r="AO15" s="95">
        <f t="shared" si="26"/>
        <v>-5872.2056414309409</v>
      </c>
      <c r="AP15" s="96"/>
      <c r="AQ15" s="97">
        <f t="shared" si="9"/>
        <v>921.65999999999985</v>
      </c>
      <c r="AR15" s="98">
        <f t="shared" si="10"/>
        <v>123.09</v>
      </c>
      <c r="AS15" s="98">
        <f t="shared" si="11"/>
        <v>344.26758620689651</v>
      </c>
      <c r="AT15" s="98">
        <f t="shared" si="12"/>
        <v>92.683103448275872</v>
      </c>
      <c r="AU15" s="98">
        <f t="shared" si="27"/>
        <v>457.58620689655174</v>
      </c>
      <c r="AV15" s="98">
        <f t="array" ref="AV15">_xlfn.IFS(U15=0,AO15,U15&lt;0,AO15/-U15,U15&gt;0,AO15/U15)</f>
        <v>-202.48984970451519</v>
      </c>
      <c r="AW15" s="234">
        <f t="shared" si="34"/>
        <v>-0.21970124525802923</v>
      </c>
      <c r="AX15" s="234">
        <f t="shared" si="35"/>
        <v>-1.6450552417297521</v>
      </c>
      <c r="AY15" s="99"/>
      <c r="AZ15" s="94">
        <f t="shared" si="15"/>
        <v>-124733.74741798136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2"/>
        <v>308</v>
      </c>
      <c r="F16" s="93"/>
      <c r="G16" s="93"/>
      <c r="H16" s="272">
        <v>308</v>
      </c>
      <c r="I16" s="93"/>
      <c r="J16" s="93"/>
      <c r="K16" s="92">
        <v>117.24</v>
      </c>
      <c r="L16" s="92">
        <f t="shared" si="36"/>
        <v>36109.919999999998</v>
      </c>
      <c r="M16" s="89"/>
      <c r="N16" s="89">
        <v>118</v>
      </c>
      <c r="O16" s="89">
        <v>916</v>
      </c>
      <c r="P16" s="89">
        <v>73</v>
      </c>
      <c r="Q16" s="233">
        <f t="shared" si="16"/>
        <v>3.6875</v>
      </c>
      <c r="R16" s="92">
        <f t="shared" si="17"/>
        <v>1.8125</v>
      </c>
      <c r="S16" s="93">
        <v>59</v>
      </c>
      <c r="T16" s="93">
        <v>-1</v>
      </c>
      <c r="U16" s="92">
        <f t="shared" si="18"/>
        <v>58</v>
      </c>
      <c r="V16" s="93">
        <v>43122.340000000004</v>
      </c>
      <c r="W16" s="93">
        <v>-898</v>
      </c>
      <c r="X16" s="92">
        <f t="shared" si="19"/>
        <v>42224.340000000004</v>
      </c>
      <c r="Y16" s="93">
        <v>57195.08</v>
      </c>
      <c r="Z16" s="93">
        <v>-1136</v>
      </c>
      <c r="AA16" s="92">
        <f t="shared" si="20"/>
        <v>56059.08</v>
      </c>
      <c r="AB16" s="92">
        <f t="shared" si="21"/>
        <v>78904.240000000005</v>
      </c>
      <c r="AC16" s="234">
        <f t="shared" si="22"/>
        <v>2.4969802568111956E-2</v>
      </c>
      <c r="AD16" s="92">
        <f t="shared" si="23"/>
        <v>6799.92</v>
      </c>
      <c r="AE16" s="93">
        <v>20854.03000000001</v>
      </c>
      <c r="AF16" s="234">
        <f t="shared" si="24"/>
        <v>0.37200093187401595</v>
      </c>
      <c r="AG16" s="93">
        <v>5295.3600000000006</v>
      </c>
      <c r="AH16" s="93">
        <v>3000</v>
      </c>
      <c r="AI16" s="93">
        <v>15459</v>
      </c>
      <c r="AJ16" s="93"/>
      <c r="AK16" s="93"/>
      <c r="AL16" s="122">
        <f t="shared" si="25"/>
        <v>988.58882788254948</v>
      </c>
      <c r="AM16" s="93">
        <v>0</v>
      </c>
      <c r="AN16" s="325">
        <f t="shared" si="8"/>
        <v>2379.523670528381</v>
      </c>
      <c r="AO16" s="95">
        <f t="shared" si="26"/>
        <v>1282.6575015890626</v>
      </c>
      <c r="AP16" s="96"/>
      <c r="AQ16" s="97">
        <f t="shared" si="9"/>
        <v>966.53586206896557</v>
      </c>
      <c r="AR16" s="98">
        <f t="shared" si="10"/>
        <v>117.24</v>
      </c>
      <c r="AS16" s="98">
        <f t="shared" si="11"/>
        <v>359.55224137931049</v>
      </c>
      <c r="AT16" s="98">
        <f t="shared" si="12"/>
        <v>89.751864406779674</v>
      </c>
      <c r="AU16" s="98">
        <f t="shared" si="27"/>
        <v>312.86440677966101</v>
      </c>
      <c r="AV16" s="98">
        <f t="array" ref="AV16">_xlfn.IFS(U16=0,AO16,U16&lt;0,AO16/-U16,U16&gt;0,AO16/U16)</f>
        <v>22.114784510156252</v>
      </c>
      <c r="AW16" s="234">
        <f t="shared" si="34"/>
        <v>2.2880459358039101E-2</v>
      </c>
      <c r="AX16" s="234">
        <f t="shared" si="35"/>
        <v>0.18862832233159546</v>
      </c>
      <c r="AY16" s="99"/>
      <c r="AZ16" s="94">
        <f t="shared" si="15"/>
        <v>6811.3536291281252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2"/>
        <v>95</v>
      </c>
      <c r="F17" s="93"/>
      <c r="G17" s="93"/>
      <c r="H17" s="272">
        <v>95</v>
      </c>
      <c r="I17" s="93"/>
      <c r="J17" s="93"/>
      <c r="K17" s="93">
        <v>123.09</v>
      </c>
      <c r="L17" s="92">
        <f t="shared" si="36"/>
        <v>11693.550000000001</v>
      </c>
      <c r="M17" s="89"/>
      <c r="N17" s="89">
        <v>73</v>
      </c>
      <c r="O17" s="89">
        <v>1154</v>
      </c>
      <c r="P17" s="89">
        <v>44</v>
      </c>
      <c r="Q17" s="233">
        <f t="shared" si="16"/>
        <v>2.28125</v>
      </c>
      <c r="R17" s="92">
        <f t="shared" si="17"/>
        <v>0.90625</v>
      </c>
      <c r="S17" s="93">
        <v>30</v>
      </c>
      <c r="T17" s="93">
        <v>-1</v>
      </c>
      <c r="U17" s="92">
        <f t="shared" si="18"/>
        <v>29</v>
      </c>
      <c r="V17" s="93">
        <v>26326.12</v>
      </c>
      <c r="W17" s="93">
        <v>-872</v>
      </c>
      <c r="X17" s="92">
        <f t="shared" si="19"/>
        <v>25454.12</v>
      </c>
      <c r="Y17" s="93">
        <v>34304.389999999992</v>
      </c>
      <c r="Z17" s="93">
        <v>-1136</v>
      </c>
      <c r="AA17" s="92">
        <f t="shared" si="20"/>
        <v>33168.389999999992</v>
      </c>
      <c r="AB17" s="92">
        <f t="shared" si="21"/>
        <v>37066.480000000003</v>
      </c>
      <c r="AC17" s="234">
        <f t="shared" si="22"/>
        <v>1.4773844840160394E-2</v>
      </c>
      <c r="AD17" s="92">
        <f t="shared" si="23"/>
        <v>3569.61</v>
      </c>
      <c r="AE17" s="93">
        <v>12244.149999999989</v>
      </c>
      <c r="AF17" s="234">
        <f t="shared" si="24"/>
        <v>0.36915117073816339</v>
      </c>
      <c r="AG17" s="93">
        <v>4905.2200000000012</v>
      </c>
      <c r="AH17" s="93">
        <v>1000</v>
      </c>
      <c r="AI17" s="93">
        <v>9544</v>
      </c>
      <c r="AJ17" s="93"/>
      <c r="AK17" s="93"/>
      <c r="AL17" s="122">
        <f t="shared" si="25"/>
        <v>304.92187873000717</v>
      </c>
      <c r="AM17" s="93">
        <v>0</v>
      </c>
      <c r="AN17" s="325">
        <f t="shared" si="8"/>
        <v>1427.187583408172</v>
      </c>
      <c r="AO17" s="95">
        <f t="shared" si="26"/>
        <v>173.3005378618243</v>
      </c>
      <c r="AP17" s="96"/>
      <c r="AQ17" s="97">
        <f t="shared" si="9"/>
        <v>1143.7375862068964</v>
      </c>
      <c r="AR17" s="98">
        <f t="shared" si="10"/>
        <v>123.09</v>
      </c>
      <c r="AS17" s="98">
        <f t="shared" si="11"/>
        <v>422.21206896551683</v>
      </c>
      <c r="AT17" s="98">
        <f t="shared" si="12"/>
        <v>163.50733333333338</v>
      </c>
      <c r="AU17" s="98">
        <f t="shared" si="27"/>
        <v>351.46666666666664</v>
      </c>
      <c r="AV17" s="98">
        <f t="array" ref="AV17">_xlfn.IFS(U17=0,AO17,U17&lt;0,AO17/-U17,U17&gt;0,AO17/U17)</f>
        <v>5.975880615924976</v>
      </c>
      <c r="AW17" s="234">
        <f t="shared" si="34"/>
        <v>5.2248703618663532E-3</v>
      </c>
      <c r="AX17" s="234">
        <f t="shared" si="35"/>
        <v>4.8548871686773708E-2</v>
      </c>
      <c r="AY17" s="99"/>
      <c r="AZ17" s="94">
        <f t="shared" si="15"/>
        <v>567.70865851287272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2"/>
        <v>365</v>
      </c>
      <c r="F18" s="93"/>
      <c r="G18" s="93"/>
      <c r="H18" s="272">
        <v>365</v>
      </c>
      <c r="I18" s="93"/>
      <c r="J18" s="93"/>
      <c r="K18" s="93">
        <v>123.09</v>
      </c>
      <c r="L18" s="92">
        <f t="shared" si="36"/>
        <v>44927.85</v>
      </c>
      <c r="M18" s="89"/>
      <c r="N18" s="89">
        <v>65</v>
      </c>
      <c r="O18" s="89">
        <v>1152</v>
      </c>
      <c r="P18" s="89">
        <v>61</v>
      </c>
      <c r="Q18" s="233">
        <f t="shared" si="16"/>
        <v>2.03125</v>
      </c>
      <c r="R18" s="92">
        <f t="shared" si="17"/>
        <v>1</v>
      </c>
      <c r="S18" s="93">
        <v>32</v>
      </c>
      <c r="T18" s="93">
        <v>0</v>
      </c>
      <c r="U18" s="92">
        <f t="shared" si="18"/>
        <v>32</v>
      </c>
      <c r="V18" s="93">
        <v>27780.260000000002</v>
      </c>
      <c r="W18" s="93">
        <v>0</v>
      </c>
      <c r="X18" s="92">
        <f t="shared" si="19"/>
        <v>27780.260000000002</v>
      </c>
      <c r="Y18" s="93">
        <v>36890.899999999994</v>
      </c>
      <c r="Z18" s="93">
        <v>0</v>
      </c>
      <c r="AA18" s="92">
        <f t="shared" si="20"/>
        <v>36890.899999999994</v>
      </c>
      <c r="AB18" s="92">
        <f t="shared" si="21"/>
        <v>45676.800000000003</v>
      </c>
      <c r="AC18" s="234">
        <f t="shared" si="22"/>
        <v>1.6431923063310372E-2</v>
      </c>
      <c r="AD18" s="92">
        <f t="shared" si="23"/>
        <v>3938.88</v>
      </c>
      <c r="AE18" s="93">
        <v>13665.269999999993</v>
      </c>
      <c r="AF18" s="234">
        <f t="shared" si="24"/>
        <v>0.37042387146965772</v>
      </c>
      <c r="AG18" s="93">
        <v>3533.2800000000016</v>
      </c>
      <c r="AH18" s="93">
        <v>4787</v>
      </c>
      <c r="AI18" s="93">
        <v>2000</v>
      </c>
      <c r="AJ18" s="93"/>
      <c r="AK18" s="93"/>
      <c r="AL18" s="122">
        <f t="shared" si="25"/>
        <v>1171.5419551205539</v>
      </c>
      <c r="AM18" s="93">
        <v>0</v>
      </c>
      <c r="AN18" s="325">
        <f t="shared" si="8"/>
        <v>1534.795821198177</v>
      </c>
      <c r="AO18" s="95">
        <f t="shared" si="26"/>
        <v>6260.1322236812703</v>
      </c>
      <c r="AP18" s="96"/>
      <c r="AQ18" s="97">
        <f t="shared" si="9"/>
        <v>1152.8406249999998</v>
      </c>
      <c r="AR18" s="98">
        <f t="shared" si="10"/>
        <v>123.09</v>
      </c>
      <c r="AS18" s="98">
        <f t="shared" si="11"/>
        <v>427.03968749999979</v>
      </c>
      <c r="AT18" s="98">
        <f t="shared" si="12"/>
        <v>110.41500000000005</v>
      </c>
      <c r="AU18" s="98">
        <f t="shared" si="27"/>
        <v>212.09375</v>
      </c>
      <c r="AV18" s="98">
        <f t="array" ref="AV18">_xlfn.IFS(U18=0,AO18,U18&lt;0,AO18/-U18,U18&gt;0,AO18/U18)</f>
        <v>195.6291319900397</v>
      </c>
      <c r="AW18" s="234">
        <f t="shared" si="34"/>
        <v>0.16969312821539381</v>
      </c>
      <c r="AX18" s="234">
        <f t="shared" si="35"/>
        <v>1.58931783239938</v>
      </c>
      <c r="AY18" s="99"/>
      <c r="AZ18" s="94">
        <f t="shared" si="15"/>
        <v>71404.633176364485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2"/>
        <v>0</v>
      </c>
      <c r="F19" s="93"/>
      <c r="G19" s="93"/>
      <c r="H19" s="272">
        <v>0</v>
      </c>
      <c r="I19" s="93"/>
      <c r="J19" s="93"/>
      <c r="K19" s="93">
        <v>123.09</v>
      </c>
      <c r="L19" s="92">
        <f t="shared" si="36"/>
        <v>0</v>
      </c>
      <c r="M19" s="89"/>
      <c r="N19" s="89"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v>0</v>
      </c>
      <c r="T19" s="93">
        <v>0</v>
      </c>
      <c r="U19" s="92">
        <f t="shared" si="18"/>
        <v>0</v>
      </c>
      <c r="V19" s="93">
        <v>0</v>
      </c>
      <c r="W19" s="93">
        <v>0</v>
      </c>
      <c r="X19" s="92">
        <f t="shared" si="19"/>
        <v>0</v>
      </c>
      <c r="Y19" s="93">
        <v>0</v>
      </c>
      <c r="Z19" s="93">
        <v>0</v>
      </c>
      <c r="AA19" s="92">
        <f t="shared" si="20"/>
        <v>0</v>
      </c>
      <c r="AB19" s="92">
        <f t="shared" si="21"/>
        <v>0</v>
      </c>
      <c r="AC19" s="234">
        <f t="shared" si="22"/>
        <v>0</v>
      </c>
      <c r="AD19" s="92">
        <f t="shared" si="23"/>
        <v>0</v>
      </c>
      <c r="AE19" s="93">
        <v>0</v>
      </c>
      <c r="AF19" s="234">
        <f t="shared" si="24"/>
        <v>0</v>
      </c>
      <c r="AG19" s="93">
        <v>0</v>
      </c>
      <c r="AH19" s="93"/>
      <c r="AI19" s="93"/>
      <c r="AJ19" s="93"/>
      <c r="AK19" s="93"/>
      <c r="AL19" s="122">
        <f t="shared" si="25"/>
        <v>0</v>
      </c>
      <c r="AM19" s="93">
        <v>0</v>
      </c>
      <c r="AN19" s="325">
        <f t="shared" si="8"/>
        <v>0</v>
      </c>
      <c r="AO19" s="95">
        <f t="shared" si="26"/>
        <v>0</v>
      </c>
      <c r="AP19" s="96"/>
      <c r="AQ19" s="97">
        <f t="shared" si="9"/>
        <v>0</v>
      </c>
      <c r="AR19" s="98">
        <f t="shared" si="10"/>
        <v>123.09</v>
      </c>
      <c r="AS19" s="98">
        <f t="shared" si="11"/>
        <v>0</v>
      </c>
      <c r="AT19" s="98">
        <f t="shared" si="12"/>
        <v>0</v>
      </c>
      <c r="AU19" s="98">
        <f t="shared" si="27"/>
        <v>0</v>
      </c>
      <c r="AV19" s="98">
        <f t="array" ref="AV19">_xlfn.IFS(U19=0,AO19,U19&lt;0,AO19/-U19,U19&gt;0,AO19/U19)</f>
        <v>0</v>
      </c>
      <c r="AW19" s="234">
        <f t="shared" si="34"/>
        <v>0</v>
      </c>
      <c r="AX19" s="234">
        <f t="shared" si="35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2"/>
        <v>0</v>
      </c>
      <c r="F20" s="93"/>
      <c r="G20" s="93"/>
      <c r="H20" s="272">
        <v>0</v>
      </c>
      <c r="I20" s="93"/>
      <c r="J20" s="93"/>
      <c r="K20" s="93">
        <v>117.24</v>
      </c>
      <c r="L20" s="92">
        <f t="shared" si="36"/>
        <v>0</v>
      </c>
      <c r="M20" s="89"/>
      <c r="N20" s="89"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</v>
      </c>
      <c r="S20" s="93">
        <v>0</v>
      </c>
      <c r="T20" s="93">
        <v>0</v>
      </c>
      <c r="U20" s="92">
        <f t="shared" si="18"/>
        <v>0</v>
      </c>
      <c r="V20" s="93">
        <v>0</v>
      </c>
      <c r="W20" s="93">
        <v>0</v>
      </c>
      <c r="X20" s="92">
        <f t="shared" si="19"/>
        <v>0</v>
      </c>
      <c r="Y20" s="93">
        <v>0</v>
      </c>
      <c r="Z20" s="93">
        <v>0</v>
      </c>
      <c r="AA20" s="92">
        <f t="shared" si="20"/>
        <v>0</v>
      </c>
      <c r="AB20" s="92">
        <f t="shared" si="21"/>
        <v>0</v>
      </c>
      <c r="AC20" s="234">
        <f t="shared" si="22"/>
        <v>0</v>
      </c>
      <c r="AD20" s="92">
        <f t="shared" si="23"/>
        <v>0</v>
      </c>
      <c r="AE20" s="93">
        <v>0</v>
      </c>
      <c r="AF20" s="234">
        <f t="shared" si="24"/>
        <v>0</v>
      </c>
      <c r="AG20" s="93">
        <v>0</v>
      </c>
      <c r="AH20" s="93"/>
      <c r="AI20" s="93"/>
      <c r="AJ20" s="93"/>
      <c r="AK20" s="93"/>
      <c r="AL20" s="122">
        <f t="shared" si="25"/>
        <v>0</v>
      </c>
      <c r="AM20" s="93">
        <v>0</v>
      </c>
      <c r="AN20" s="325">
        <f t="shared" si="8"/>
        <v>0</v>
      </c>
      <c r="AO20" s="95">
        <f t="shared" si="26"/>
        <v>0</v>
      </c>
      <c r="AP20" s="96"/>
      <c r="AQ20" s="97">
        <f t="shared" si="9"/>
        <v>0</v>
      </c>
      <c r="AR20" s="98">
        <f>K20</f>
        <v>117.24</v>
      </c>
      <c r="AS20" s="98">
        <f t="shared" si="11"/>
        <v>0</v>
      </c>
      <c r="AT20" s="98">
        <f t="shared" si="12"/>
        <v>0</v>
      </c>
      <c r="AU20" s="98">
        <f t="shared" si="27"/>
        <v>0</v>
      </c>
      <c r="AV20" s="98">
        <f t="array" ref="AV20">_xlfn.IFS(U20=0,AO20,U20&lt;0,AO20/-U20,U20&gt;0,AO20/U20)</f>
        <v>0</v>
      </c>
      <c r="AW20" s="234">
        <f t="shared" si="34"/>
        <v>0</v>
      </c>
      <c r="AX20" s="234">
        <f t="shared" si="35"/>
        <v>0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2"/>
        <v>1</v>
      </c>
      <c r="F21" s="93"/>
      <c r="G21" s="93"/>
      <c r="H21" s="272">
        <v>1</v>
      </c>
      <c r="I21" s="93"/>
      <c r="J21" s="93"/>
      <c r="K21" s="93">
        <v>117.24</v>
      </c>
      <c r="L21" s="92">
        <f t="shared" si="36"/>
        <v>117.24</v>
      </c>
      <c r="M21" s="89"/>
      <c r="N21" s="89">
        <v>0</v>
      </c>
      <c r="O21" s="89">
        <v>0</v>
      </c>
      <c r="P21" s="89">
        <v>0</v>
      </c>
      <c r="Q21" s="233">
        <f t="shared" si="16"/>
        <v>0</v>
      </c>
      <c r="R21" s="92">
        <f t="shared" si="17"/>
        <v>0</v>
      </c>
      <c r="S21" s="93">
        <v>0</v>
      </c>
      <c r="T21" s="93">
        <v>0</v>
      </c>
      <c r="U21" s="92">
        <f t="shared" si="18"/>
        <v>0</v>
      </c>
      <c r="V21" s="93">
        <v>0</v>
      </c>
      <c r="W21" s="93">
        <v>0</v>
      </c>
      <c r="X21" s="92">
        <f t="shared" si="19"/>
        <v>0</v>
      </c>
      <c r="Y21" s="93">
        <v>0</v>
      </c>
      <c r="Z21" s="93">
        <v>0</v>
      </c>
      <c r="AA21" s="92">
        <f t="shared" si="20"/>
        <v>0</v>
      </c>
      <c r="AB21" s="92">
        <f t="shared" si="21"/>
        <v>0</v>
      </c>
      <c r="AC21" s="234">
        <f t="shared" si="22"/>
        <v>0</v>
      </c>
      <c r="AD21" s="92">
        <f t="shared" si="23"/>
        <v>0</v>
      </c>
      <c r="AE21" s="93">
        <v>0</v>
      </c>
      <c r="AF21" s="234">
        <f t="shared" si="24"/>
        <v>0</v>
      </c>
      <c r="AG21" s="93">
        <v>0</v>
      </c>
      <c r="AH21" s="93"/>
      <c r="AI21" s="93"/>
      <c r="AJ21" s="93"/>
      <c r="AK21" s="93"/>
      <c r="AL21" s="122">
        <f t="shared" si="25"/>
        <v>3.2097039866316543</v>
      </c>
      <c r="AM21" s="93">
        <v>0</v>
      </c>
      <c r="AN21" s="325">
        <f t="shared" si="8"/>
        <v>0</v>
      </c>
      <c r="AO21" s="95">
        <f t="shared" si="26"/>
        <v>-3.2097039866316543</v>
      </c>
      <c r="AP21" s="96"/>
      <c r="AQ21" s="97">
        <f t="shared" si="9"/>
        <v>0</v>
      </c>
      <c r="AR21" s="98">
        <f t="shared" ref="AR21:AR98" si="37">K21</f>
        <v>117.24</v>
      </c>
      <c r="AS21" s="98">
        <f t="shared" si="11"/>
        <v>0</v>
      </c>
      <c r="AT21" s="98">
        <f t="shared" si="12"/>
        <v>0</v>
      </c>
      <c r="AU21" s="98">
        <f t="shared" si="27"/>
        <v>0</v>
      </c>
      <c r="AV21" s="98">
        <f t="array" ref="AV21">_xlfn.IFS(U21=0,AO21,U21&lt;0,AO21/-U21,U21&gt;0,AO21/U21)</f>
        <v>-3.2097039866316543</v>
      </c>
      <c r="AW21" s="234">
        <f t="shared" si="34"/>
        <v>0</v>
      </c>
      <c r="AX21" s="234">
        <f t="shared" si="35"/>
        <v>-2.7377209029611518E-2</v>
      </c>
      <c r="AY21" s="99"/>
      <c r="AZ21" s="94">
        <f t="shared" si="15"/>
        <v>-3.2097039866316543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2"/>
        <v>3</v>
      </c>
      <c r="F22" s="93"/>
      <c r="G22" s="93"/>
      <c r="H22" s="272">
        <v>3</v>
      </c>
      <c r="I22" s="93"/>
      <c r="J22" s="93"/>
      <c r="K22" s="93">
        <v>117.24</v>
      </c>
      <c r="L22" s="92">
        <f t="shared" si="36"/>
        <v>351.71999999999997</v>
      </c>
      <c r="M22" s="89"/>
      <c r="N22" s="89">
        <v>2</v>
      </c>
      <c r="O22" s="89">
        <v>858</v>
      </c>
      <c r="P22" s="89">
        <v>0</v>
      </c>
      <c r="Q22" s="233">
        <f t="shared" si="16"/>
        <v>6.25E-2</v>
      </c>
      <c r="R22" s="92">
        <f t="shared" si="17"/>
        <v>0</v>
      </c>
      <c r="S22" s="93">
        <v>0</v>
      </c>
      <c r="T22" s="93">
        <v>0</v>
      </c>
      <c r="U22" s="92">
        <f t="shared" si="18"/>
        <v>0</v>
      </c>
      <c r="V22" s="93">
        <v>0</v>
      </c>
      <c r="W22" s="93">
        <v>0</v>
      </c>
      <c r="X22" s="92">
        <f t="shared" si="19"/>
        <v>0</v>
      </c>
      <c r="Y22" s="93">
        <v>0</v>
      </c>
      <c r="Z22" s="93">
        <v>0</v>
      </c>
      <c r="AA22" s="92">
        <f t="shared" si="20"/>
        <v>0</v>
      </c>
      <c r="AB22" s="92">
        <f t="shared" si="21"/>
        <v>0</v>
      </c>
      <c r="AC22" s="234">
        <f t="shared" si="22"/>
        <v>0</v>
      </c>
      <c r="AD22" s="92">
        <f t="shared" si="23"/>
        <v>0</v>
      </c>
      <c r="AE22" s="93">
        <v>0</v>
      </c>
      <c r="AF22" s="234">
        <f t="shared" si="24"/>
        <v>0</v>
      </c>
      <c r="AG22" s="93">
        <v>96.4</v>
      </c>
      <c r="AH22" s="93"/>
      <c r="AI22" s="93"/>
      <c r="AJ22" s="93"/>
      <c r="AK22" s="93"/>
      <c r="AL22" s="122">
        <f t="shared" si="25"/>
        <v>9.6291119598949617</v>
      </c>
      <c r="AM22" s="93">
        <v>0</v>
      </c>
      <c r="AN22" s="325">
        <f t="shared" si="8"/>
        <v>0</v>
      </c>
      <c r="AO22" s="95">
        <f t="shared" si="26"/>
        <v>-106.02911195989496</v>
      </c>
      <c r="AP22" s="96"/>
      <c r="AQ22" s="97">
        <f t="shared" si="9"/>
        <v>0</v>
      </c>
      <c r="AR22" s="98">
        <f t="shared" si="37"/>
        <v>117.24</v>
      </c>
      <c r="AS22" s="98">
        <f t="shared" si="11"/>
        <v>0</v>
      </c>
      <c r="AT22" s="98">
        <f t="shared" si="12"/>
        <v>96.4</v>
      </c>
      <c r="AU22" s="98">
        <f t="shared" si="27"/>
        <v>0</v>
      </c>
      <c r="AV22" s="98">
        <f t="array" ref="AV22">_xlfn.IFS(U22=0,AO22,U22&lt;0,AO22/-U22,U22&gt;0,AO22/U22)</f>
        <v>-106.02911195989496</v>
      </c>
      <c r="AW22" s="234">
        <f t="shared" si="34"/>
        <v>0</v>
      </c>
      <c r="AX22" s="234">
        <f t="shared" si="35"/>
        <v>-0.90437659467668852</v>
      </c>
      <c r="AY22" s="99"/>
      <c r="AZ22" s="94">
        <f t="shared" si="15"/>
        <v>-318.08733587968487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2"/>
        <v>0</v>
      </c>
      <c r="F23" s="93"/>
      <c r="G23" s="93"/>
      <c r="H23" s="272">
        <v>0</v>
      </c>
      <c r="I23" s="93"/>
      <c r="J23" s="93"/>
      <c r="K23" s="93">
        <v>117.24</v>
      </c>
      <c r="L23" s="92">
        <f t="shared" si="36"/>
        <v>0</v>
      </c>
      <c r="M23" s="89"/>
      <c r="N23" s="89"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v>0</v>
      </c>
      <c r="T23" s="93">
        <v>0</v>
      </c>
      <c r="U23" s="92">
        <f t="shared" si="18"/>
        <v>0</v>
      </c>
      <c r="V23" s="93">
        <v>0</v>
      </c>
      <c r="W23" s="93">
        <v>0</v>
      </c>
      <c r="X23" s="92">
        <f t="shared" si="19"/>
        <v>0</v>
      </c>
      <c r="Y23" s="93">
        <v>0</v>
      </c>
      <c r="Z23" s="93">
        <v>0</v>
      </c>
      <c r="AA23" s="92">
        <f t="shared" si="20"/>
        <v>0</v>
      </c>
      <c r="AB23" s="92">
        <f t="shared" si="21"/>
        <v>0</v>
      </c>
      <c r="AC23" s="234">
        <f t="shared" si="22"/>
        <v>0</v>
      </c>
      <c r="AD23" s="92">
        <f t="shared" si="23"/>
        <v>0</v>
      </c>
      <c r="AE23" s="93">
        <v>0</v>
      </c>
      <c r="AF23" s="234">
        <f t="shared" si="24"/>
        <v>0</v>
      </c>
      <c r="AG23" s="93">
        <v>0</v>
      </c>
      <c r="AH23" s="93"/>
      <c r="AI23" s="93"/>
      <c r="AJ23" s="93"/>
      <c r="AK23" s="93"/>
      <c r="AL23" s="122">
        <f t="shared" si="25"/>
        <v>0</v>
      </c>
      <c r="AM23" s="93">
        <v>0</v>
      </c>
      <c r="AN23" s="325">
        <f t="shared" si="8"/>
        <v>0</v>
      </c>
      <c r="AO23" s="95">
        <f t="shared" si="26"/>
        <v>0</v>
      </c>
      <c r="AP23" s="96"/>
      <c r="AQ23" s="97">
        <f t="shared" si="9"/>
        <v>0</v>
      </c>
      <c r="AR23" s="98">
        <f t="shared" si="37"/>
        <v>117.24</v>
      </c>
      <c r="AS23" s="98">
        <f t="shared" si="11"/>
        <v>0</v>
      </c>
      <c r="AT23" s="98">
        <f t="shared" si="12"/>
        <v>0</v>
      </c>
      <c r="AU23" s="98">
        <f t="shared" si="27"/>
        <v>0</v>
      </c>
      <c r="AV23" s="98">
        <f t="array" ref="AV23">_xlfn.IFS(U23=0,AO23,U23&lt;0,AO23/-U23,U23&gt;0,AO23/U23)</f>
        <v>0</v>
      </c>
      <c r="AW23" s="234">
        <f t="shared" si="34"/>
        <v>0</v>
      </c>
      <c r="AX23" s="234">
        <f t="shared" si="35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2"/>
        <v>0</v>
      </c>
      <c r="F24" s="93"/>
      <c r="G24" s="93"/>
      <c r="H24" s="272" t="s">
        <v>100</v>
      </c>
      <c r="I24" s="93"/>
      <c r="J24" s="93"/>
      <c r="K24" s="93">
        <v>117.24</v>
      </c>
      <c r="L24" s="92">
        <f t="shared" si="36"/>
        <v>0</v>
      </c>
      <c r="M24" s="89"/>
      <c r="N24" s="89">
        <v>3</v>
      </c>
      <c r="O24" s="89">
        <v>931</v>
      </c>
      <c r="P24" s="89">
        <v>67</v>
      </c>
      <c r="Q24" s="233">
        <f t="shared" si="16"/>
        <v>9.375E-2</v>
      </c>
      <c r="R24" s="92">
        <f t="shared" si="17"/>
        <v>0.125</v>
      </c>
      <c r="S24" s="93">
        <v>4</v>
      </c>
      <c r="T24" s="93">
        <v>0</v>
      </c>
      <c r="U24" s="92">
        <f t="shared" si="18"/>
        <v>4</v>
      </c>
      <c r="V24" s="93">
        <v>3006</v>
      </c>
      <c r="W24" s="93">
        <v>0</v>
      </c>
      <c r="X24" s="92">
        <f t="shared" si="19"/>
        <v>3006</v>
      </c>
      <c r="Y24" s="93">
        <v>3792</v>
      </c>
      <c r="Z24" s="93">
        <v>0</v>
      </c>
      <c r="AA24" s="92">
        <f t="shared" si="20"/>
        <v>3792</v>
      </c>
      <c r="AB24" s="92">
        <f t="shared" si="21"/>
        <v>1871.31</v>
      </c>
      <c r="AC24" s="234">
        <f t="shared" si="22"/>
        <v>1.6890304182351999E-3</v>
      </c>
      <c r="AD24" s="92">
        <f t="shared" si="23"/>
        <v>468.96</v>
      </c>
      <c r="AE24" s="93">
        <v>1419.44</v>
      </c>
      <c r="AF24" s="234">
        <f t="shared" si="24"/>
        <v>0.37432489451476797</v>
      </c>
      <c r="AG24" s="93">
        <v>387.19</v>
      </c>
      <c r="AH24" s="93"/>
      <c r="AI24" s="93"/>
      <c r="AJ24" s="93"/>
      <c r="AK24" s="93"/>
      <c r="AL24" s="122">
        <f t="shared" si="25"/>
        <v>0</v>
      </c>
      <c r="AM24" s="93">
        <v>0</v>
      </c>
      <c r="AN24" s="325">
        <f t="shared" si="8"/>
        <v>157.76101298649499</v>
      </c>
      <c r="AO24" s="95">
        <f t="shared" si="26"/>
        <v>1358.6489870135049</v>
      </c>
      <c r="AP24" s="96"/>
      <c r="AQ24" s="97">
        <f t="shared" si="9"/>
        <v>948</v>
      </c>
      <c r="AR24" s="98">
        <f t="shared" si="37"/>
        <v>117.24</v>
      </c>
      <c r="AS24" s="98">
        <f t="shared" si="11"/>
        <v>354.86</v>
      </c>
      <c r="AT24" s="98">
        <f t="shared" si="12"/>
        <v>96.797499999999999</v>
      </c>
      <c r="AU24" s="98">
        <f t="shared" si="27"/>
        <v>0</v>
      </c>
      <c r="AV24" s="98">
        <f t="array" ref="AV24">_xlfn.IFS(U24=0,AO24,U24&lt;0,AO24/-U24,U24&gt;0,AO24/U24)</f>
        <v>339.66224675337622</v>
      </c>
      <c r="AW24" s="234">
        <f t="shared" si="34"/>
        <v>0.35829350923351921</v>
      </c>
      <c r="AX24" s="234">
        <f t="shared" si="35"/>
        <v>2.8971532476405342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2"/>
        <v>11</v>
      </c>
      <c r="F25" s="93"/>
      <c r="G25" s="93"/>
      <c r="H25" s="272">
        <v>11</v>
      </c>
      <c r="I25" s="93"/>
      <c r="J25" s="93"/>
      <c r="K25" s="93">
        <v>117.24</v>
      </c>
      <c r="L25" s="92">
        <f t="shared" si="36"/>
        <v>1289.6399999999999</v>
      </c>
      <c r="M25" s="89"/>
      <c r="N25" s="89">
        <v>8</v>
      </c>
      <c r="O25" s="89">
        <v>923</v>
      </c>
      <c r="P25" s="89">
        <v>100</v>
      </c>
      <c r="Q25" s="233">
        <f t="shared" si="16"/>
        <v>0.25</v>
      </c>
      <c r="R25" s="92">
        <f t="shared" si="17"/>
        <v>0.15625</v>
      </c>
      <c r="S25" s="93">
        <v>5</v>
      </c>
      <c r="T25" s="93">
        <v>0</v>
      </c>
      <c r="U25" s="92">
        <f t="shared" si="18"/>
        <v>5</v>
      </c>
      <c r="V25" s="93">
        <v>3318.98</v>
      </c>
      <c r="W25" s="93">
        <v>0</v>
      </c>
      <c r="X25" s="92">
        <f t="shared" si="19"/>
        <v>3318.98</v>
      </c>
      <c r="Y25" s="93">
        <v>4629.7700000000004</v>
      </c>
      <c r="Z25" s="93">
        <v>0</v>
      </c>
      <c r="AA25" s="92">
        <f t="shared" si="20"/>
        <v>4629.7700000000004</v>
      </c>
      <c r="AB25" s="92">
        <f t="shared" si="21"/>
        <v>7384</v>
      </c>
      <c r="AC25" s="234">
        <f t="shared" si="22"/>
        <v>2.0621894407786873E-3</v>
      </c>
      <c r="AD25" s="92">
        <f t="shared" si="23"/>
        <v>586.19999999999993</v>
      </c>
      <c r="AE25" s="93">
        <v>1730.5700000000006</v>
      </c>
      <c r="AF25" s="234">
        <f t="shared" si="24"/>
        <v>0.37379178663302937</v>
      </c>
      <c r="AG25" s="93">
        <v>334.42</v>
      </c>
      <c r="AH25" s="93"/>
      <c r="AI25" s="93"/>
      <c r="AJ25" s="93"/>
      <c r="AK25" s="93"/>
      <c r="AL25" s="122">
        <f t="shared" si="25"/>
        <v>35.306743852948195</v>
      </c>
      <c r="AM25" s="93">
        <v>0</v>
      </c>
      <c r="AN25" s="325">
        <f t="shared" si="8"/>
        <v>192.61529670213213</v>
      </c>
      <c r="AO25" s="95">
        <f t="shared" si="26"/>
        <v>1750.6579594449197</v>
      </c>
      <c r="AP25" s="96"/>
      <c r="AQ25" s="97">
        <f t="shared" si="9"/>
        <v>925.95400000000006</v>
      </c>
      <c r="AR25" s="98">
        <f t="shared" si="37"/>
        <v>117.24</v>
      </c>
      <c r="AS25" s="98">
        <f t="shared" si="11"/>
        <v>346.11400000000015</v>
      </c>
      <c r="AT25" s="98">
        <f t="shared" si="12"/>
        <v>66.884</v>
      </c>
      <c r="AU25" s="98">
        <f t="shared" si="27"/>
        <v>0</v>
      </c>
      <c r="AV25" s="98">
        <f t="array" ref="AV25">_xlfn.IFS(U25=0,AO25,U25&lt;0,AO25/-U25,U25&gt;0,AO25/U25)</f>
        <v>350.13159188898396</v>
      </c>
      <c r="AW25" s="234">
        <f t="shared" si="34"/>
        <v>0.37813065431866372</v>
      </c>
      <c r="AX25" s="234">
        <f t="shared" si="35"/>
        <v>2.9864516537784374</v>
      </c>
      <c r="AY25" s="99"/>
      <c r="AZ25" s="94">
        <f t="shared" si="15"/>
        <v>3851.4475107788235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2"/>
        <v>409</v>
      </c>
      <c r="F26" s="93"/>
      <c r="G26" s="93"/>
      <c r="H26" s="272">
        <v>409</v>
      </c>
      <c r="I26" s="93"/>
      <c r="J26" s="93"/>
      <c r="K26" s="93">
        <v>123.09</v>
      </c>
      <c r="L26" s="92">
        <f t="shared" si="36"/>
        <v>50343.810000000005</v>
      </c>
      <c r="M26" s="89"/>
      <c r="N26" s="89">
        <v>127</v>
      </c>
      <c r="O26" s="89">
        <v>729</v>
      </c>
      <c r="P26" s="89">
        <v>30</v>
      </c>
      <c r="Q26" s="233">
        <f t="shared" si="16"/>
        <v>3.96875</v>
      </c>
      <c r="R26" s="92">
        <f t="shared" si="17"/>
        <v>0.6875</v>
      </c>
      <c r="S26" s="93">
        <v>23</v>
      </c>
      <c r="T26" s="93">
        <v>-1</v>
      </c>
      <c r="U26" s="92">
        <f t="shared" si="18"/>
        <v>22</v>
      </c>
      <c r="V26" s="93">
        <v>12539</v>
      </c>
      <c r="W26" s="93">
        <v>-595</v>
      </c>
      <c r="X26" s="92">
        <f t="shared" si="19"/>
        <v>11944</v>
      </c>
      <c r="Y26" s="93">
        <v>17077</v>
      </c>
      <c r="Z26" s="93">
        <v>-749</v>
      </c>
      <c r="AA26" s="92">
        <f t="shared" si="20"/>
        <v>16328</v>
      </c>
      <c r="AB26" s="92">
        <f t="shared" si="21"/>
        <v>27774.9</v>
      </c>
      <c r="AC26" s="234">
        <f t="shared" si="22"/>
        <v>7.2728081932870109E-3</v>
      </c>
      <c r="AD26" s="92">
        <f t="shared" si="23"/>
        <v>2707.98</v>
      </c>
      <c r="AE26" s="93">
        <v>6139.9299999999976</v>
      </c>
      <c r="AF26" s="234">
        <f t="shared" si="24"/>
        <v>0.37603686918177348</v>
      </c>
      <c r="AG26" s="93">
        <v>7111.2799999999988</v>
      </c>
      <c r="AH26" s="93">
        <v>1000</v>
      </c>
      <c r="AI26" s="93">
        <f>292+9708</f>
        <v>10000</v>
      </c>
      <c r="AJ26" s="93"/>
      <c r="AK26" s="93"/>
      <c r="AL26" s="122">
        <f t="shared" si="25"/>
        <v>1312.7689305323465</v>
      </c>
      <c r="AM26" s="93">
        <v>0</v>
      </c>
      <c r="AN26" s="325">
        <f t="shared" si="8"/>
        <v>710.46540579387522</v>
      </c>
      <c r="AO26" s="95">
        <f t="shared" si="26"/>
        <v>-12654.424336326218</v>
      </c>
      <c r="AP26" s="96"/>
      <c r="AQ26" s="97">
        <f t="shared" si="9"/>
        <v>742.18181818181813</v>
      </c>
      <c r="AR26" s="98">
        <f t="shared" si="37"/>
        <v>123.09</v>
      </c>
      <c r="AS26" s="98">
        <f t="shared" si="11"/>
        <v>279.08772727272714</v>
      </c>
      <c r="AT26" s="98">
        <f t="shared" si="12"/>
        <v>309.18608695652171</v>
      </c>
      <c r="AU26" s="98">
        <f t="shared" si="27"/>
        <v>478.26086956521738</v>
      </c>
      <c r="AV26" s="98">
        <f t="array" ref="AV26">_xlfn.IFS(U26=0,AO26,U26&lt;0,AO26/-U26,U26&gt;0,AO26/U26)</f>
        <v>-575.20110619664626</v>
      </c>
      <c r="AW26" s="234">
        <f t="shared" si="34"/>
        <v>-0.7750137393634382</v>
      </c>
      <c r="AX26" s="234">
        <f t="shared" si="35"/>
        <v>-4.6730124802717219</v>
      </c>
      <c r="AY26" s="99"/>
      <c r="AZ26" s="94">
        <f t="shared" si="15"/>
        <v>-235257.25243442832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2"/>
        <v>74</v>
      </c>
      <c r="F27" s="93"/>
      <c r="G27" s="93"/>
      <c r="H27" s="272">
        <v>74</v>
      </c>
      <c r="I27" s="93"/>
      <c r="J27" s="93"/>
      <c r="K27" s="93">
        <v>181.59</v>
      </c>
      <c r="L27" s="92">
        <f t="shared" si="36"/>
        <v>13437.66</v>
      </c>
      <c r="M27" s="89"/>
      <c r="N27" s="89">
        <v>5</v>
      </c>
      <c r="O27" s="89">
        <v>484</v>
      </c>
      <c r="P27" s="89">
        <v>40</v>
      </c>
      <c r="Q27" s="233">
        <f t="shared" si="16"/>
        <v>0.15625</v>
      </c>
      <c r="R27" s="92">
        <f t="shared" si="17"/>
        <v>3.125E-2</v>
      </c>
      <c r="S27" s="93">
        <v>1</v>
      </c>
      <c r="T27" s="93">
        <v>0</v>
      </c>
      <c r="U27" s="92">
        <f t="shared" si="18"/>
        <v>1</v>
      </c>
      <c r="V27" s="93">
        <v>363</v>
      </c>
      <c r="W27" s="93">
        <v>0</v>
      </c>
      <c r="X27" s="92">
        <f t="shared" si="19"/>
        <v>363</v>
      </c>
      <c r="Y27" s="93">
        <v>478</v>
      </c>
      <c r="Z27" s="93">
        <v>0</v>
      </c>
      <c r="AA27" s="92">
        <f t="shared" si="20"/>
        <v>478</v>
      </c>
      <c r="AB27" s="92">
        <f t="shared" si="21"/>
        <v>968</v>
      </c>
      <c r="AC27" s="234">
        <f t="shared" si="22"/>
        <v>2.1291047993576625E-4</v>
      </c>
      <c r="AD27" s="92">
        <f t="shared" si="23"/>
        <v>181.59</v>
      </c>
      <c r="AE27" s="93">
        <v>180.3</v>
      </c>
      <c r="AF27" s="234">
        <f t="shared" si="24"/>
        <v>0.37719665271966529</v>
      </c>
      <c r="AG27" s="93">
        <v>427.28</v>
      </c>
      <c r="AH27" s="93"/>
      <c r="AI27" s="93"/>
      <c r="AJ27" s="93"/>
      <c r="AK27" s="93"/>
      <c r="AL27" s="122">
        <f t="shared" si="25"/>
        <v>237.5180950107424</v>
      </c>
      <c r="AM27" s="93">
        <v>0</v>
      </c>
      <c r="AN27" s="325">
        <f t="shared" si="8"/>
        <v>19.886541193972732</v>
      </c>
      <c r="AO27" s="95">
        <f t="shared" si="26"/>
        <v>-568.57463620471526</v>
      </c>
      <c r="AP27" s="96"/>
      <c r="AQ27" s="97">
        <f t="shared" si="9"/>
        <v>478</v>
      </c>
      <c r="AR27" s="98">
        <f t="shared" si="37"/>
        <v>181.59</v>
      </c>
      <c r="AS27" s="98">
        <f t="shared" si="11"/>
        <v>180.3</v>
      </c>
      <c r="AT27" s="98">
        <f t="shared" si="12"/>
        <v>427.28</v>
      </c>
      <c r="AU27" s="98">
        <f t="shared" si="27"/>
        <v>0</v>
      </c>
      <c r="AV27" s="98">
        <f t="array" ref="AV27">_xlfn.IFS(U27=0,AO27,U27&lt;0,AO27/-U27,U27&gt;0,AO27/U27)</f>
        <v>-568.57463620471526</v>
      </c>
      <c r="AW27" s="234">
        <f t="shared" si="34"/>
        <v>-1.1894866866207432</v>
      </c>
      <c r="AX27" s="234">
        <f t="shared" si="35"/>
        <v>-3.131090017097391</v>
      </c>
      <c r="AY27" s="99"/>
      <c r="AZ27" s="94">
        <f t="shared" si="15"/>
        <v>-42074.52307914893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8">SUM(F28:J28)</f>
        <v>763</v>
      </c>
      <c r="F28" s="93"/>
      <c r="G28" s="93"/>
      <c r="H28" s="272">
        <v>763</v>
      </c>
      <c r="I28" s="93"/>
      <c r="J28" s="93"/>
      <c r="K28" s="93">
        <v>133.62</v>
      </c>
      <c r="L28" s="92">
        <f t="shared" si="36"/>
        <v>101952.06</v>
      </c>
      <c r="M28" s="89"/>
      <c r="N28" s="89">
        <v>224</v>
      </c>
      <c r="O28" s="89">
        <v>1091</v>
      </c>
      <c r="P28" s="89">
        <v>43</v>
      </c>
      <c r="Q28" s="233">
        <f t="shared" si="16"/>
        <v>7</v>
      </c>
      <c r="R28" s="92">
        <f t="shared" si="17"/>
        <v>1.9375</v>
      </c>
      <c r="S28" s="93">
        <v>63</v>
      </c>
      <c r="T28" s="93">
        <v>-1</v>
      </c>
      <c r="U28" s="92">
        <f t="shared" si="18"/>
        <v>62</v>
      </c>
      <c r="V28" s="93">
        <v>50175.25</v>
      </c>
      <c r="W28" s="93">
        <v>-669</v>
      </c>
      <c r="X28" s="92">
        <f t="shared" si="19"/>
        <v>49506.25</v>
      </c>
      <c r="Y28" s="93">
        <v>68107.839999999997</v>
      </c>
      <c r="Z28" s="93">
        <v>-1018</v>
      </c>
      <c r="AA28" s="92">
        <f t="shared" si="20"/>
        <v>67089.84</v>
      </c>
      <c r="AB28" s="92">
        <f t="shared" si="21"/>
        <v>105085.12</v>
      </c>
      <c r="AC28" s="234">
        <f t="shared" si="22"/>
        <v>2.9883117224296582E-2</v>
      </c>
      <c r="AD28" s="92">
        <f t="shared" si="23"/>
        <v>8284.44</v>
      </c>
      <c r="AE28" s="93">
        <v>24438.289999999961</v>
      </c>
      <c r="AF28" s="234">
        <f t="shared" si="24"/>
        <v>0.36426215951625407</v>
      </c>
      <c r="AG28" s="93">
        <v>13260.179999999993</v>
      </c>
      <c r="AH28" s="93">
        <v>2239</v>
      </c>
      <c r="AI28" s="93">
        <f>1166+22498</f>
        <v>23664</v>
      </c>
      <c r="AJ28" s="93"/>
      <c r="AK28" s="93"/>
      <c r="AL28" s="122">
        <f t="shared" si="25"/>
        <v>2449.0041417999523</v>
      </c>
      <c r="AM28" s="93">
        <v>0</v>
      </c>
      <c r="AN28" s="325">
        <f t="shared" si="8"/>
        <v>2833.5342380596312</v>
      </c>
      <c r="AO28" s="95">
        <f t="shared" si="26"/>
        <v>-10078.608379859546</v>
      </c>
      <c r="AP28" s="96"/>
      <c r="AQ28" s="97">
        <f t="shared" si="9"/>
        <v>1082.094193548387</v>
      </c>
      <c r="AR28" s="98">
        <f t="shared" si="37"/>
        <v>133.62</v>
      </c>
      <c r="AS28" s="98">
        <f t="shared" si="11"/>
        <v>394.16596774193488</v>
      </c>
      <c r="AT28" s="98">
        <f t="shared" si="12"/>
        <v>210.47904761904752</v>
      </c>
      <c r="AU28" s="98">
        <f t="shared" si="27"/>
        <v>411.15873015873018</v>
      </c>
      <c r="AV28" s="98">
        <f>_xlfn.IFS(U28=0,AO28,U28&lt;0,AO28/-U28,U28&gt;0,AO28/U28)</f>
        <v>-162.55819967515399</v>
      </c>
      <c r="AW28" s="234">
        <f t="shared" si="34"/>
        <v>-0.15022555397150369</v>
      </c>
      <c r="AX28" s="234">
        <f t="shared" si="35"/>
        <v>-1.2165708701927405</v>
      </c>
      <c r="AY28" s="99"/>
      <c r="AZ28" s="94">
        <f t="shared" si="15"/>
        <v>-124031.9063521425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2</v>
      </c>
      <c r="F29" s="93"/>
      <c r="G29" s="93"/>
      <c r="H29" s="272">
        <v>2</v>
      </c>
      <c r="I29" s="93"/>
      <c r="J29" s="93"/>
      <c r="K29" s="93">
        <v>111.39</v>
      </c>
      <c r="L29" s="92">
        <f>E29*K29</f>
        <v>222.78</v>
      </c>
      <c r="M29" s="89"/>
      <c r="N29" s="89">
        <v>5</v>
      </c>
      <c r="O29" s="89">
        <v>496</v>
      </c>
      <c r="P29" s="89">
        <v>40</v>
      </c>
      <c r="Q29" s="233">
        <f t="shared" si="16"/>
        <v>0.15625</v>
      </c>
      <c r="R29" s="92">
        <f t="shared" si="17"/>
        <v>3.125E-2</v>
      </c>
      <c r="S29" s="93">
        <v>1</v>
      </c>
      <c r="T29" s="93">
        <v>0</v>
      </c>
      <c r="U29" s="92">
        <f t="shared" si="18"/>
        <v>1</v>
      </c>
      <c r="V29" s="93">
        <v>408</v>
      </c>
      <c r="W29" s="93">
        <v>0</v>
      </c>
      <c r="X29" s="92">
        <f t="shared" si="19"/>
        <v>408</v>
      </c>
      <c r="Y29" s="93">
        <v>508</v>
      </c>
      <c r="Z29" s="93">
        <v>0</v>
      </c>
      <c r="AA29" s="92">
        <f t="shared" si="20"/>
        <v>508</v>
      </c>
      <c r="AB29" s="92">
        <f t="shared" si="21"/>
        <v>992</v>
      </c>
      <c r="AC29" s="234">
        <f t="shared" si="22"/>
        <v>2.2627306235851308E-4</v>
      </c>
      <c r="AD29" s="92">
        <f t="shared" si="23"/>
        <v>111.39</v>
      </c>
      <c r="AE29" s="93">
        <v>192.32999999999998</v>
      </c>
      <c r="AF29" s="234">
        <f t="shared" si="24"/>
        <v>0.37860236220472437</v>
      </c>
      <c r="AG29" s="93">
        <v>351.62</v>
      </c>
      <c r="AH29" s="93"/>
      <c r="AI29" s="93"/>
      <c r="AJ29" s="93"/>
      <c r="AK29" s="93"/>
      <c r="AL29" s="122">
        <f t="shared" si="25"/>
        <v>6.4194079732633087</v>
      </c>
      <c r="AM29" s="93">
        <v>0</v>
      </c>
      <c r="AN29" s="325">
        <f t="shared" si="8"/>
        <v>21.134650473929181</v>
      </c>
      <c r="AO29" s="95">
        <f t="shared" si="26"/>
        <v>-174.89405844719246</v>
      </c>
      <c r="AP29" s="96"/>
      <c r="AQ29" s="97">
        <f t="shared" si="9"/>
        <v>508</v>
      </c>
      <c r="AR29" s="98">
        <f t="shared" si="37"/>
        <v>111.39</v>
      </c>
      <c r="AS29" s="98">
        <f t="shared" si="11"/>
        <v>192.32999999999998</v>
      </c>
      <c r="AT29" s="98">
        <f t="shared" si="12"/>
        <v>351.62</v>
      </c>
      <c r="AU29" s="98">
        <f t="shared" si="27"/>
        <v>0</v>
      </c>
      <c r="AV29" s="98">
        <f t="array" ref="AV29">_xlfn.IFS(U29=0,AO29,U29&lt;0,AO29/-U29,U29&gt;0,AO29/U29)</f>
        <v>-174.89405844719246</v>
      </c>
      <c r="AW29" s="234">
        <f>IF(AQ29=0,0,AV29/AQ29)</f>
        <v>-0.34427964261258359</v>
      </c>
      <c r="AX29" s="234">
        <f>IF(AR29=0,0,AV29/AR29)</f>
        <v>-1.5701055610664554</v>
      </c>
      <c r="AY29" s="99"/>
      <c r="AZ29" s="94">
        <f t="shared" si="15"/>
        <v>-349.78811689438493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272" t="s">
        <v>100</v>
      </c>
      <c r="I30" s="93"/>
      <c r="J30" s="93"/>
      <c r="K30" s="93">
        <v>111.39</v>
      </c>
      <c r="L30" s="92">
        <f>E30*K30</f>
        <v>0</v>
      </c>
      <c r="M30" s="89"/>
      <c r="N30" s="89">
        <v>45</v>
      </c>
      <c r="O30" s="89">
        <v>574</v>
      </c>
      <c r="P30" s="89">
        <v>43</v>
      </c>
      <c r="Q30" s="233">
        <f t="shared" si="16"/>
        <v>1.40625</v>
      </c>
      <c r="R30" s="92">
        <f t="shared" si="17"/>
        <v>0.53125</v>
      </c>
      <c r="S30" s="93">
        <v>17</v>
      </c>
      <c r="T30" s="93">
        <v>0</v>
      </c>
      <c r="U30" s="92">
        <f t="shared" si="18"/>
        <v>17</v>
      </c>
      <c r="V30" s="93">
        <v>7897.47</v>
      </c>
      <c r="W30" s="93">
        <v>0</v>
      </c>
      <c r="X30" s="92">
        <f t="shared" si="19"/>
        <v>7897.47</v>
      </c>
      <c r="Y30" s="93">
        <v>9731.7900000000009</v>
      </c>
      <c r="Z30" s="93">
        <v>0</v>
      </c>
      <c r="AA30" s="92">
        <f t="shared" si="20"/>
        <v>9731.7900000000009</v>
      </c>
      <c r="AB30" s="92">
        <f t="shared" si="21"/>
        <v>11106.9</v>
      </c>
      <c r="AC30" s="234">
        <f t="shared" si="22"/>
        <v>4.3347281998621142E-3</v>
      </c>
      <c r="AD30" s="92">
        <f t="shared" si="23"/>
        <v>1893.63</v>
      </c>
      <c r="AE30" s="93">
        <v>3680.4900000000007</v>
      </c>
      <c r="AF30" s="234">
        <f t="shared" si="24"/>
        <v>0.37819250107123153</v>
      </c>
      <c r="AG30" s="93">
        <v>3627.6300000000006</v>
      </c>
      <c r="AH30" s="93">
        <v>671</v>
      </c>
      <c r="AI30" s="93">
        <v>99</v>
      </c>
      <c r="AJ30" s="93">
        <v>1873</v>
      </c>
      <c r="AK30" s="93"/>
      <c r="AL30" s="122">
        <f t="shared" si="25"/>
        <v>0</v>
      </c>
      <c r="AM30" s="93">
        <v>0</v>
      </c>
      <c r="AN30" s="325">
        <f t="shared" si="8"/>
        <v>404.87791365291196</v>
      </c>
      <c r="AO30" s="95">
        <f t="shared" si="26"/>
        <v>-644.83791365291245</v>
      </c>
      <c r="AP30" s="96"/>
      <c r="AQ30" s="97">
        <f t="shared" si="9"/>
        <v>572.45823529411769</v>
      </c>
      <c r="AR30" s="98">
        <f t="shared" si="37"/>
        <v>111.39</v>
      </c>
      <c r="AS30" s="98">
        <f t="shared" si="11"/>
        <v>216.49941176470591</v>
      </c>
      <c r="AT30" s="98">
        <f t="shared" si="12"/>
        <v>213.39000000000004</v>
      </c>
      <c r="AU30" s="98">
        <f t="shared" si="27"/>
        <v>155.47058823529412</v>
      </c>
      <c r="AV30" s="98">
        <f t="array" ref="AV30">_xlfn.IFS(U30=0,AO30,U30&lt;0,AO30/-U30,U30&gt;0,AO30/U30)</f>
        <v>-37.931641979583084</v>
      </c>
      <c r="AW30" s="234">
        <f>IF(AQ30=0,0,AV30/AQ30)</f>
        <v>-6.6260977030218729E-2</v>
      </c>
      <c r="AX30" s="234">
        <f>IF(AR30=0,0,AV30/AR30)</f>
        <v>-0.3405300473972806</v>
      </c>
      <c r="AY30" s="99"/>
      <c r="AZ30" s="94">
        <f t="shared" si="15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/>
      <c r="G31" s="93"/>
      <c r="H31" s="272">
        <v>1</v>
      </c>
      <c r="I31" s="93"/>
      <c r="J31" s="93"/>
      <c r="K31" s="93">
        <v>105.54</v>
      </c>
      <c r="L31" s="92">
        <f>E31*K31</f>
        <v>105.54</v>
      </c>
      <c r="M31" s="89"/>
      <c r="N31" s="89">
        <v>46</v>
      </c>
      <c r="O31" s="89">
        <v>523</v>
      </c>
      <c r="P31" s="89">
        <v>37</v>
      </c>
      <c r="Q31" s="233">
        <f t="shared" si="16"/>
        <v>1.4375</v>
      </c>
      <c r="R31" s="92">
        <f t="shared" si="17"/>
        <v>0.53125</v>
      </c>
      <c r="S31" s="93">
        <v>17</v>
      </c>
      <c r="T31" s="93">
        <v>0</v>
      </c>
      <c r="U31" s="92">
        <f t="shared" si="18"/>
        <v>17</v>
      </c>
      <c r="V31" s="93">
        <v>6828</v>
      </c>
      <c r="W31" s="93">
        <v>0</v>
      </c>
      <c r="X31" s="92">
        <f t="shared" si="19"/>
        <v>6828</v>
      </c>
      <c r="Y31" s="93">
        <v>8783</v>
      </c>
      <c r="Z31" s="93">
        <v>0</v>
      </c>
      <c r="AA31" s="92">
        <f t="shared" si="20"/>
        <v>8783</v>
      </c>
      <c r="AB31" s="92">
        <f t="shared" si="21"/>
        <v>8901.4599999999991</v>
      </c>
      <c r="AC31" s="234">
        <f t="shared" si="22"/>
        <v>3.9121187139661822E-3</v>
      </c>
      <c r="AD31" s="92">
        <f t="shared" si="23"/>
        <v>1794.18</v>
      </c>
      <c r="AE31" s="93">
        <v>3322.79</v>
      </c>
      <c r="AF31" s="234">
        <f t="shared" si="24"/>
        <v>0.37832061937834455</v>
      </c>
      <c r="AG31" s="93">
        <v>3408.0600000000004</v>
      </c>
      <c r="AH31" s="93">
        <v>575</v>
      </c>
      <c r="AI31" s="93">
        <v>1007</v>
      </c>
      <c r="AJ31" s="93"/>
      <c r="AK31" s="93"/>
      <c r="AL31" s="122">
        <f t="shared" si="25"/>
        <v>3.2097039866316543</v>
      </c>
      <c r="AM31" s="93">
        <v>0</v>
      </c>
      <c r="AN31" s="325">
        <f t="shared" si="8"/>
        <v>365.40479352858267</v>
      </c>
      <c r="AO31" s="95">
        <f t="shared" si="26"/>
        <v>-1692.6444975152149</v>
      </c>
      <c r="AP31" s="96"/>
      <c r="AQ31" s="97">
        <f t="shared" si="9"/>
        <v>516.64705882352939</v>
      </c>
      <c r="AR31" s="98">
        <f t="shared" si="37"/>
        <v>105.54</v>
      </c>
      <c r="AS31" s="98">
        <f t="shared" si="11"/>
        <v>195.45823529411766</v>
      </c>
      <c r="AT31" s="98">
        <f t="shared" si="12"/>
        <v>200.47411764705885</v>
      </c>
      <c r="AU31" s="98">
        <f t="shared" si="27"/>
        <v>93.058823529411768</v>
      </c>
      <c r="AV31" s="98">
        <f t="array" ref="AV31">_xlfn.IFS(U31=0,AO31,U31&lt;0,AO31/-U31,U31&gt;0,AO31/U31)</f>
        <v>-99.567323383247938</v>
      </c>
      <c r="AW31" s="234">
        <f>IF(AQ31=0,0,AV31/AQ31)</f>
        <v>-0.19271826226975008</v>
      </c>
      <c r="AX31" s="234">
        <f>IF(AR31=0,0,AV31/AR31)</f>
        <v>-0.9434084080277424</v>
      </c>
      <c r="AY31" s="99"/>
      <c r="AZ31" s="94">
        <f t="shared" si="15"/>
        <v>-99.567323383247938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9">SUM(F32:J32)</f>
        <v>0</v>
      </c>
      <c r="F32" s="93"/>
      <c r="G32" s="93"/>
      <c r="H32" s="272" t="s">
        <v>100</v>
      </c>
      <c r="I32" s="93"/>
      <c r="J32" s="93"/>
      <c r="K32" s="93">
        <v>140.63999999999999</v>
      </c>
      <c r="L32" s="92">
        <f t="shared" ref="L32" si="40">E32*K32</f>
        <v>0</v>
      </c>
      <c r="M32" s="89"/>
      <c r="N32" s="89">
        <v>8</v>
      </c>
      <c r="O32" s="89">
        <v>539</v>
      </c>
      <c r="P32" s="89">
        <v>50</v>
      </c>
      <c r="Q32" s="233">
        <f t="shared" si="16"/>
        <v>0.25</v>
      </c>
      <c r="R32" s="92">
        <f t="shared" si="17"/>
        <v>0.125</v>
      </c>
      <c r="S32" s="93">
        <v>4</v>
      </c>
      <c r="T32" s="93">
        <v>0</v>
      </c>
      <c r="U32" s="92">
        <f t="shared" si="18"/>
        <v>4</v>
      </c>
      <c r="V32" s="93">
        <v>1713.76</v>
      </c>
      <c r="W32" s="93">
        <v>0</v>
      </c>
      <c r="X32" s="92">
        <f t="shared" si="19"/>
        <v>1713.76</v>
      </c>
      <c r="Y32" s="93">
        <v>2155.9899999999998</v>
      </c>
      <c r="Z32" s="93">
        <v>0</v>
      </c>
      <c r="AA32" s="92">
        <f t="shared" si="20"/>
        <v>2155.9899999999998</v>
      </c>
      <c r="AB32" s="92">
        <f t="shared" si="21"/>
        <v>2156</v>
      </c>
      <c r="AC32" s="234">
        <f t="shared" si="22"/>
        <v>9.6031980258726494E-4</v>
      </c>
      <c r="AD32" s="92">
        <f t="shared" si="23"/>
        <v>562.55999999999995</v>
      </c>
      <c r="AE32" s="93">
        <v>811.22999999999979</v>
      </c>
      <c r="AF32" s="234">
        <f t="shared" si="24"/>
        <v>0.37626797897949427</v>
      </c>
      <c r="AG32" s="93">
        <v>527.62000000000012</v>
      </c>
      <c r="AH32" s="93"/>
      <c r="AI32" s="93"/>
      <c r="AJ32" s="93"/>
      <c r="AK32" s="93"/>
      <c r="AL32" s="122">
        <f t="shared" si="25"/>
        <v>0</v>
      </c>
      <c r="AM32" s="93">
        <v>0</v>
      </c>
      <c r="AN32" s="325">
        <f t="shared" si="8"/>
        <v>89.697037549776724</v>
      </c>
      <c r="AO32" s="95">
        <f t="shared" si="26"/>
        <v>164.8829624502232</v>
      </c>
      <c r="AP32" s="96"/>
      <c r="AQ32" s="97">
        <f t="shared" si="9"/>
        <v>538.99749999999995</v>
      </c>
      <c r="AR32" s="98">
        <f t="shared" si="37"/>
        <v>140.63999999999999</v>
      </c>
      <c r="AS32" s="98">
        <f t="shared" si="11"/>
        <v>202.80749999999995</v>
      </c>
      <c r="AT32" s="98">
        <f t="shared" si="12"/>
        <v>131.90500000000003</v>
      </c>
      <c r="AU32" s="98">
        <f t="shared" si="27"/>
        <v>0</v>
      </c>
      <c r="AV32" s="98">
        <f t="array" ref="AV32">_xlfn.IFS(U32=0,AO32,U32&lt;0,AO32/-U32,U32&gt;0,AO32/U32)</f>
        <v>41.220740612555801</v>
      </c>
      <c r="AW32" s="234">
        <f t="shared" ref="AW32" si="41">IF(AQ32=0,0,AV32/AQ32)</f>
        <v>7.6476682382674882E-2</v>
      </c>
      <c r="AX32" s="234">
        <f t="shared" ref="AX32" si="42">IF(AR32=0,0,AV32/AR32)</f>
        <v>0.29309400321783136</v>
      </c>
      <c r="AY32" s="99"/>
      <c r="AZ32" s="94">
        <f t="shared" si="15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157</v>
      </c>
      <c r="F33" s="93"/>
      <c r="G33" s="93"/>
      <c r="H33" s="272">
        <v>157</v>
      </c>
      <c r="I33" s="93"/>
      <c r="J33" s="93"/>
      <c r="K33" s="93">
        <v>123.09</v>
      </c>
      <c r="L33" s="92">
        <f>E33*K33</f>
        <v>19325.13</v>
      </c>
      <c r="M33" s="89"/>
      <c r="N33" s="89">
        <v>5</v>
      </c>
      <c r="O33" s="89">
        <v>440</v>
      </c>
      <c r="P33" s="89">
        <v>40</v>
      </c>
      <c r="Q33" s="233">
        <f t="shared" si="16"/>
        <v>0.15625</v>
      </c>
      <c r="R33" s="92">
        <f t="shared" si="17"/>
        <v>6.25E-2</v>
      </c>
      <c r="S33" s="93">
        <v>2</v>
      </c>
      <c r="T33" s="93">
        <v>0</v>
      </c>
      <c r="U33" s="92">
        <f t="shared" si="18"/>
        <v>2</v>
      </c>
      <c r="V33" s="93">
        <v>713.73</v>
      </c>
      <c r="W33" s="93">
        <v>0</v>
      </c>
      <c r="X33" s="92">
        <f t="shared" si="19"/>
        <v>713.73</v>
      </c>
      <c r="Y33" s="93">
        <v>871.67</v>
      </c>
      <c r="Z33" s="93">
        <v>0</v>
      </c>
      <c r="AA33" s="92">
        <f t="shared" si="20"/>
        <v>871.67</v>
      </c>
      <c r="AB33" s="92">
        <f t="shared" si="21"/>
        <v>880</v>
      </c>
      <c r="AC33" s="234">
        <f t="shared" si="22"/>
        <v>3.8825874068119113E-4</v>
      </c>
      <c r="AD33" s="92">
        <f t="shared" si="23"/>
        <v>246.18</v>
      </c>
      <c r="AE33" s="93">
        <v>323.53999999999996</v>
      </c>
      <c r="AF33" s="234">
        <f t="shared" si="24"/>
        <v>0.37117257677790905</v>
      </c>
      <c r="AG33" s="93">
        <v>322.81</v>
      </c>
      <c r="AH33" s="93"/>
      <c r="AI33" s="93"/>
      <c r="AJ33" s="93"/>
      <c r="AK33" s="93"/>
      <c r="AL33" s="122">
        <f t="shared" si="25"/>
        <v>503.92352590116974</v>
      </c>
      <c r="AM33" s="93">
        <v>0</v>
      </c>
      <c r="AN33" s="325">
        <f t="shared" si="8"/>
        <v>36.264647201987891</v>
      </c>
      <c r="AO33" s="95">
        <f t="shared" si="26"/>
        <v>-561.04817310315764</v>
      </c>
      <c r="AP33" s="96"/>
      <c r="AQ33" s="97">
        <f t="shared" si="9"/>
        <v>435.83499999999998</v>
      </c>
      <c r="AR33" s="98">
        <f t="shared" si="37"/>
        <v>123.09</v>
      </c>
      <c r="AS33" s="98">
        <f t="shared" si="11"/>
        <v>161.76999999999998</v>
      </c>
      <c r="AT33" s="98">
        <f t="shared" si="12"/>
        <v>161.405</v>
      </c>
      <c r="AU33" s="98">
        <f t="shared" si="27"/>
        <v>0</v>
      </c>
      <c r="AV33" s="98">
        <f t="array" ref="AV33">_xlfn.IFS(U33=0,AO33,U33&lt;0,AO33/-U33,U33&gt;0,AO33/U33)</f>
        <v>-280.52408655157882</v>
      </c>
      <c r="AW33" s="234">
        <f>IF(AQ33=0,0,AV33/AQ33)</f>
        <v>-0.64364745041490201</v>
      </c>
      <c r="AX33" s="234">
        <f>IF(AR33=0,0,AV33/AR33)</f>
        <v>-2.279016057775439</v>
      </c>
      <c r="AY33" s="99"/>
      <c r="AZ33" s="94">
        <f t="shared" si="15"/>
        <v>-44042.281588597878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23</v>
      </c>
      <c r="F34" s="93"/>
      <c r="G34" s="93"/>
      <c r="H34" s="272">
        <v>23</v>
      </c>
      <c r="I34" s="93"/>
      <c r="J34" s="93"/>
      <c r="K34" s="93">
        <v>117.24</v>
      </c>
      <c r="L34" s="92">
        <f>E34*K34</f>
        <v>2696.52</v>
      </c>
      <c r="M34" s="89"/>
      <c r="N34" s="89">
        <v>6</v>
      </c>
      <c r="O34" s="89">
        <v>459</v>
      </c>
      <c r="P34" s="89">
        <v>33</v>
      </c>
      <c r="Q34" s="233">
        <f t="shared" si="16"/>
        <v>0.1875</v>
      </c>
      <c r="R34" s="92">
        <f t="shared" si="17"/>
        <v>3.125E-2</v>
      </c>
      <c r="S34" s="93">
        <v>1</v>
      </c>
      <c r="T34" s="93">
        <v>0</v>
      </c>
      <c r="U34" s="92">
        <f t="shared" si="18"/>
        <v>1</v>
      </c>
      <c r="V34" s="93">
        <v>308</v>
      </c>
      <c r="W34" s="93">
        <v>0</v>
      </c>
      <c r="X34" s="92">
        <f t="shared" si="19"/>
        <v>308</v>
      </c>
      <c r="Y34" s="93">
        <v>479</v>
      </c>
      <c r="Z34" s="93">
        <v>0</v>
      </c>
      <c r="AA34" s="92">
        <f t="shared" si="20"/>
        <v>479</v>
      </c>
      <c r="AB34" s="92">
        <f t="shared" si="21"/>
        <v>908.82</v>
      </c>
      <c r="AC34" s="234">
        <f t="shared" si="22"/>
        <v>2.133558993498578E-4</v>
      </c>
      <c r="AD34" s="92">
        <f t="shared" si="23"/>
        <v>117.24</v>
      </c>
      <c r="AE34" s="93">
        <v>178.85000000000002</v>
      </c>
      <c r="AF34" s="234">
        <f t="shared" si="24"/>
        <v>0.37338204592901886</v>
      </c>
      <c r="AG34" s="93">
        <v>252.25</v>
      </c>
      <c r="AH34" s="93"/>
      <c r="AI34" s="93"/>
      <c r="AJ34" s="93"/>
      <c r="AK34" s="93"/>
      <c r="AL34" s="122">
        <f t="shared" si="25"/>
        <v>73.823191692528042</v>
      </c>
      <c r="AM34" s="93">
        <v>0</v>
      </c>
      <c r="AN34" s="325">
        <f t="shared" si="8"/>
        <v>19.928144836637948</v>
      </c>
      <c r="AO34" s="95">
        <f t="shared" si="26"/>
        <v>-163.09133652916603</v>
      </c>
      <c r="AP34" s="96"/>
      <c r="AQ34" s="97">
        <f t="shared" si="9"/>
        <v>479</v>
      </c>
      <c r="AR34" s="98">
        <f t="shared" si="37"/>
        <v>117.24</v>
      </c>
      <c r="AS34" s="98">
        <f t="shared" si="11"/>
        <v>178.85000000000002</v>
      </c>
      <c r="AT34" s="98">
        <f t="shared" si="12"/>
        <v>252.25</v>
      </c>
      <c r="AU34" s="98">
        <f t="shared" si="27"/>
        <v>0</v>
      </c>
      <c r="AV34" s="98">
        <f t="array" ref="AV34">_xlfn.IFS(U34=0,AO34,U34&lt;0,AO34/-U34,U34&gt;0,AO34/U34)</f>
        <v>-163.09133652916603</v>
      </c>
      <c r="AW34" s="234">
        <f>IF(AQ34=0,0,AV34/AQ34)</f>
        <v>-0.34048295726339461</v>
      </c>
      <c r="AX34" s="234">
        <f>IF(AR34=0,0,AV34/AR34)</f>
        <v>-1.3910895302726547</v>
      </c>
      <c r="AY34" s="99"/>
      <c r="AZ34" s="94">
        <f t="shared" si="15"/>
        <v>-3751.1007401708184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3">SUM(F35:J35)</f>
        <v>0</v>
      </c>
      <c r="F35" s="93"/>
      <c r="G35" s="93"/>
      <c r="H35" s="272">
        <v>0</v>
      </c>
      <c r="I35" s="93"/>
      <c r="J35" s="93"/>
      <c r="K35" s="93">
        <v>128.94</v>
      </c>
      <c r="L35" s="92">
        <f t="shared" ref="L35:L98" si="44">E35*K35</f>
        <v>0</v>
      </c>
      <c r="M35" s="89"/>
      <c r="N35" s="89"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v>0</v>
      </c>
      <c r="T35" s="93">
        <v>0</v>
      </c>
      <c r="U35" s="92">
        <f t="shared" si="18"/>
        <v>0</v>
      </c>
      <c r="V35" s="93">
        <v>0</v>
      </c>
      <c r="W35" s="93">
        <v>0</v>
      </c>
      <c r="X35" s="92">
        <f t="shared" si="19"/>
        <v>0</v>
      </c>
      <c r="Y35" s="93">
        <v>0</v>
      </c>
      <c r="Z35" s="93">
        <v>0</v>
      </c>
      <c r="AA35" s="92">
        <f t="shared" si="20"/>
        <v>0</v>
      </c>
      <c r="AB35" s="92">
        <f t="shared" si="21"/>
        <v>0</v>
      </c>
      <c r="AC35" s="234">
        <f t="shared" si="22"/>
        <v>0</v>
      </c>
      <c r="AD35" s="92">
        <f t="shared" si="23"/>
        <v>0</v>
      </c>
      <c r="AE35" s="93">
        <v>0</v>
      </c>
      <c r="AF35" s="234">
        <f t="shared" si="24"/>
        <v>0</v>
      </c>
      <c r="AG35" s="93">
        <v>0</v>
      </c>
      <c r="AH35" s="93"/>
      <c r="AI35" s="93"/>
      <c r="AJ35" s="93"/>
      <c r="AK35" s="93"/>
      <c r="AL35" s="122">
        <f t="shared" si="25"/>
        <v>0</v>
      </c>
      <c r="AM35" s="93">
        <v>0</v>
      </c>
      <c r="AN35" s="325">
        <f t="shared" ref="AN35:AN66" si="45">95827.42*Y35/Y$121</f>
        <v>0</v>
      </c>
      <c r="AO35" s="95">
        <f t="shared" si="26"/>
        <v>0</v>
      </c>
      <c r="AP35" s="96"/>
      <c r="AQ35" s="97">
        <f t="shared" si="9"/>
        <v>0</v>
      </c>
      <c r="AR35" s="98">
        <f t="shared" si="37"/>
        <v>128.94</v>
      </c>
      <c r="AS35" s="98">
        <f t="shared" si="11"/>
        <v>0</v>
      </c>
      <c r="AT35" s="98">
        <f t="shared" si="12"/>
        <v>0</v>
      </c>
      <c r="AU35" s="98">
        <f t="shared" si="27"/>
        <v>0</v>
      </c>
      <c r="AV35" s="98">
        <f t="array" ref="AV35">_xlfn.IFS(U35=0,AO35,U35&lt;0,AO35/-U35,U35&gt;0,AO35/U35)</f>
        <v>0</v>
      </c>
      <c r="AW35" s="234">
        <f t="shared" ref="AW35:AW98" si="46">IF(AQ35=0,0,AV35/AQ35)</f>
        <v>0</v>
      </c>
      <c r="AX35" s="234">
        <f t="shared" ref="AX35:AX98" si="47">IF(AR35=0,0,AV35/AR35)</f>
        <v>0</v>
      </c>
      <c r="AY35" s="99"/>
      <c r="AZ35" s="94">
        <f t="shared" si="15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3"/>
        <v>0</v>
      </c>
      <c r="F36" s="93"/>
      <c r="G36" s="93"/>
      <c r="H36" s="272">
        <v>0</v>
      </c>
      <c r="I36" s="93"/>
      <c r="J36" s="93"/>
      <c r="K36" s="93">
        <v>169.89</v>
      </c>
      <c r="L36" s="92">
        <f t="shared" si="44"/>
        <v>0</v>
      </c>
      <c r="M36" s="89"/>
      <c r="N36" s="89"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v>0</v>
      </c>
      <c r="T36" s="93">
        <v>0</v>
      </c>
      <c r="U36" s="92">
        <f t="shared" si="18"/>
        <v>0</v>
      </c>
      <c r="V36" s="93">
        <v>0</v>
      </c>
      <c r="W36" s="93">
        <v>0</v>
      </c>
      <c r="X36" s="92">
        <f t="shared" si="19"/>
        <v>0</v>
      </c>
      <c r="Y36" s="93">
        <v>0</v>
      </c>
      <c r="Z36" s="93">
        <v>0</v>
      </c>
      <c r="AA36" s="92">
        <f t="shared" si="20"/>
        <v>0</v>
      </c>
      <c r="AB36" s="92">
        <f t="shared" si="21"/>
        <v>0</v>
      </c>
      <c r="AC36" s="234">
        <f t="shared" si="22"/>
        <v>0</v>
      </c>
      <c r="AD36" s="92">
        <f t="shared" si="23"/>
        <v>0</v>
      </c>
      <c r="AE36" s="93">
        <v>0</v>
      </c>
      <c r="AF36" s="234">
        <f t="shared" si="24"/>
        <v>0</v>
      </c>
      <c r="AG36" s="93">
        <v>0</v>
      </c>
      <c r="AH36" s="93"/>
      <c r="AI36" s="93"/>
      <c r="AJ36" s="93"/>
      <c r="AK36" s="93"/>
      <c r="AL36" s="122">
        <f t="shared" si="25"/>
        <v>0</v>
      </c>
      <c r="AM36" s="93">
        <v>0</v>
      </c>
      <c r="AN36" s="325">
        <f t="shared" si="45"/>
        <v>0</v>
      </c>
      <c r="AO36" s="95">
        <f t="shared" si="26"/>
        <v>0</v>
      </c>
      <c r="AP36" s="96"/>
      <c r="AQ36" s="97">
        <f t="shared" si="9"/>
        <v>0</v>
      </c>
      <c r="AR36" s="98">
        <f t="shared" si="37"/>
        <v>169.89</v>
      </c>
      <c r="AS36" s="98">
        <f t="shared" si="11"/>
        <v>0</v>
      </c>
      <c r="AT36" s="98">
        <f t="shared" si="12"/>
        <v>0</v>
      </c>
      <c r="AU36" s="98">
        <f t="shared" si="27"/>
        <v>0</v>
      </c>
      <c r="AV36" s="98">
        <f t="array" ref="AV36">_xlfn.IFS(U36=0,AO36,U36&lt;0,AO36/-U36,U36&gt;0,AO36/U36)</f>
        <v>0</v>
      </c>
      <c r="AW36" s="234">
        <f t="shared" si="46"/>
        <v>0</v>
      </c>
      <c r="AX36" s="234">
        <f t="shared" si="47"/>
        <v>0</v>
      </c>
      <c r="AY36" s="99"/>
      <c r="AZ36" s="94">
        <f t="shared" si="15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3"/>
        <v>16</v>
      </c>
      <c r="F37" s="93"/>
      <c r="G37" s="93"/>
      <c r="H37" s="272">
        <v>16</v>
      </c>
      <c r="I37" s="93"/>
      <c r="J37" s="93"/>
      <c r="K37" s="93">
        <v>169.89</v>
      </c>
      <c r="L37" s="92">
        <f t="shared" si="44"/>
        <v>2718.24</v>
      </c>
      <c r="M37" s="89"/>
      <c r="N37" s="89">
        <v>4</v>
      </c>
      <c r="O37" s="89">
        <v>1023</v>
      </c>
      <c r="P37" s="89">
        <v>50</v>
      </c>
      <c r="Q37" s="233">
        <f t="shared" si="16"/>
        <v>0.125</v>
      </c>
      <c r="R37" s="92">
        <f t="shared" si="17"/>
        <v>3.125E-2</v>
      </c>
      <c r="S37" s="93">
        <v>1</v>
      </c>
      <c r="T37" s="93">
        <v>0</v>
      </c>
      <c r="U37" s="92">
        <f t="shared" si="18"/>
        <v>1</v>
      </c>
      <c r="V37" s="93">
        <v>810</v>
      </c>
      <c r="W37" s="93">
        <v>0</v>
      </c>
      <c r="X37" s="92">
        <f t="shared" si="19"/>
        <v>810</v>
      </c>
      <c r="Y37" s="93">
        <v>1016.56</v>
      </c>
      <c r="Z37" s="93">
        <v>0</v>
      </c>
      <c r="AA37" s="92">
        <f t="shared" si="20"/>
        <v>1016.56</v>
      </c>
      <c r="AB37" s="92">
        <f t="shared" si="21"/>
        <v>2046</v>
      </c>
      <c r="AC37" s="234">
        <f t="shared" si="22"/>
        <v>4.5279555958891739E-4</v>
      </c>
      <c r="AD37" s="92">
        <f t="shared" si="23"/>
        <v>169.89</v>
      </c>
      <c r="AE37" s="93">
        <v>375.75</v>
      </c>
      <c r="AF37" s="234">
        <f t="shared" si="24"/>
        <v>0.36962894467616275</v>
      </c>
      <c r="AG37" s="93">
        <v>157.9</v>
      </c>
      <c r="AH37" s="93"/>
      <c r="AI37" s="93"/>
      <c r="AJ37" s="93"/>
      <c r="AK37" s="93"/>
      <c r="AL37" s="122">
        <f t="shared" si="25"/>
        <v>51.35526378610647</v>
      </c>
      <c r="AM37" s="93">
        <v>0</v>
      </c>
      <c r="AN37" s="325">
        <f t="shared" si="45"/>
        <v>42.292598987750878</v>
      </c>
      <c r="AO37" s="95">
        <f t="shared" si="26"/>
        <v>219.37213722614263</v>
      </c>
      <c r="AP37" s="96"/>
      <c r="AQ37" s="97">
        <f t="shared" si="9"/>
        <v>1016.56</v>
      </c>
      <c r="AR37" s="98">
        <f t="shared" si="37"/>
        <v>169.89</v>
      </c>
      <c r="AS37" s="98">
        <f t="shared" si="11"/>
        <v>375.75</v>
      </c>
      <c r="AT37" s="98">
        <f t="shared" si="12"/>
        <v>157.9</v>
      </c>
      <c r="AU37" s="98">
        <f t="shared" si="27"/>
        <v>0</v>
      </c>
      <c r="AV37" s="98">
        <f t="array" ref="AV37">_xlfn.IFS(U37=0,AO37,U37&lt;0,AO37/-U37,U37&gt;0,AO37/U37)</f>
        <v>219.37213722614263</v>
      </c>
      <c r="AW37" s="234">
        <f t="shared" si="46"/>
        <v>0.21579851383700188</v>
      </c>
      <c r="AX37" s="234">
        <f t="shared" si="47"/>
        <v>1.2912598577087684</v>
      </c>
      <c r="AY37" s="99"/>
      <c r="AZ37" s="94">
        <f t="shared" si="15"/>
        <v>3509.954195618282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3"/>
        <v>47</v>
      </c>
      <c r="F38" s="93"/>
      <c r="G38" s="93"/>
      <c r="H38" s="272">
        <v>47</v>
      </c>
      <c r="I38" s="93"/>
      <c r="J38" s="93"/>
      <c r="K38" s="92">
        <v>105.54</v>
      </c>
      <c r="L38" s="92">
        <f t="shared" si="44"/>
        <v>4960.38</v>
      </c>
      <c r="M38" s="89"/>
      <c r="N38" s="89">
        <v>0</v>
      </c>
      <c r="O38" s="89">
        <v>0</v>
      </c>
      <c r="P38" s="89">
        <v>0</v>
      </c>
      <c r="Q38" s="233">
        <f t="shared" si="16"/>
        <v>0</v>
      </c>
      <c r="R38" s="92">
        <f t="shared" si="17"/>
        <v>0</v>
      </c>
      <c r="S38" s="93">
        <v>0</v>
      </c>
      <c r="T38" s="93">
        <v>0</v>
      </c>
      <c r="U38" s="92">
        <f t="shared" si="18"/>
        <v>0</v>
      </c>
      <c r="V38" s="93">
        <v>0</v>
      </c>
      <c r="W38" s="93">
        <v>0</v>
      </c>
      <c r="X38" s="92">
        <f t="shared" si="19"/>
        <v>0</v>
      </c>
      <c r="Y38" s="93">
        <v>0</v>
      </c>
      <c r="Z38" s="93">
        <v>0</v>
      </c>
      <c r="AA38" s="92">
        <f t="shared" si="20"/>
        <v>0</v>
      </c>
      <c r="AB38" s="92">
        <f t="shared" si="21"/>
        <v>0</v>
      </c>
      <c r="AC38" s="234">
        <f t="shared" si="22"/>
        <v>0</v>
      </c>
      <c r="AD38" s="92">
        <f t="shared" si="23"/>
        <v>0</v>
      </c>
      <c r="AE38" s="93">
        <v>0</v>
      </c>
      <c r="AF38" s="234">
        <f t="shared" si="24"/>
        <v>0</v>
      </c>
      <c r="AG38" s="93">
        <v>0</v>
      </c>
      <c r="AH38" s="93"/>
      <c r="AI38" s="93"/>
      <c r="AJ38" s="93"/>
      <c r="AK38" s="93"/>
      <c r="AL38" s="122">
        <f t="shared" si="25"/>
        <v>150.85608737168775</v>
      </c>
      <c r="AM38" s="93">
        <v>0</v>
      </c>
      <c r="AN38" s="325">
        <f t="shared" si="45"/>
        <v>0</v>
      </c>
      <c r="AO38" s="95">
        <f t="shared" si="26"/>
        <v>-150.85608737168775</v>
      </c>
      <c r="AP38" s="96"/>
      <c r="AQ38" s="97">
        <f t="shared" si="9"/>
        <v>0</v>
      </c>
      <c r="AR38" s="98">
        <f t="shared" si="37"/>
        <v>105.54</v>
      </c>
      <c r="AS38" s="98">
        <f t="shared" si="11"/>
        <v>0</v>
      </c>
      <c r="AT38" s="98">
        <f t="shared" si="12"/>
        <v>0</v>
      </c>
      <c r="AU38" s="98">
        <f t="shared" si="27"/>
        <v>0</v>
      </c>
      <c r="AV38" s="98">
        <f t="array" ref="AV38">_xlfn.IFS(U38=0,AO38,U38&lt;0,AO38/-U38,U38&gt;0,AO38/U38)</f>
        <v>-150.85608737168775</v>
      </c>
      <c r="AW38" s="234">
        <f t="shared" si="46"/>
        <v>0</v>
      </c>
      <c r="AX38" s="234">
        <f t="shared" si="47"/>
        <v>-1.4293735775221503</v>
      </c>
      <c r="AY38" s="99"/>
      <c r="AZ38" s="94">
        <f t="shared" si="15"/>
        <v>-7090.2361064693241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3"/>
        <v>49</v>
      </c>
      <c r="F39" s="93"/>
      <c r="G39" s="93"/>
      <c r="H39" s="272">
        <v>49</v>
      </c>
      <c r="I39" s="93"/>
      <c r="J39" s="93"/>
      <c r="K39" s="92">
        <v>105.54</v>
      </c>
      <c r="L39" s="92">
        <f t="shared" si="44"/>
        <v>5171.46</v>
      </c>
      <c r="M39" s="89"/>
      <c r="N39" s="89">
        <v>1</v>
      </c>
      <c r="O39" s="89">
        <v>1077</v>
      </c>
      <c r="P39" s="89">
        <v>0</v>
      </c>
      <c r="Q39" s="233">
        <f t="shared" si="16"/>
        <v>3.125E-2</v>
      </c>
      <c r="R39" s="92">
        <f t="shared" si="17"/>
        <v>0</v>
      </c>
      <c r="S39" s="93">
        <v>0</v>
      </c>
      <c r="T39" s="93">
        <v>0</v>
      </c>
      <c r="U39" s="92">
        <f t="shared" si="18"/>
        <v>0</v>
      </c>
      <c r="V39" s="93">
        <v>0</v>
      </c>
      <c r="W39" s="93">
        <v>0</v>
      </c>
      <c r="X39" s="92">
        <f t="shared" si="19"/>
        <v>0</v>
      </c>
      <c r="Y39" s="93">
        <v>0</v>
      </c>
      <c r="Z39" s="93">
        <v>0</v>
      </c>
      <c r="AA39" s="92">
        <f t="shared" si="20"/>
        <v>0</v>
      </c>
      <c r="AB39" s="92">
        <f t="shared" si="21"/>
        <v>0</v>
      </c>
      <c r="AC39" s="234">
        <f t="shared" si="22"/>
        <v>0</v>
      </c>
      <c r="AD39" s="92">
        <f t="shared" si="23"/>
        <v>0</v>
      </c>
      <c r="AE39" s="93">
        <v>0</v>
      </c>
      <c r="AF39" s="234">
        <f t="shared" si="24"/>
        <v>0</v>
      </c>
      <c r="AG39" s="93">
        <v>0</v>
      </c>
      <c r="AH39" s="93"/>
      <c r="AI39" s="93"/>
      <c r="AJ39" s="93"/>
      <c r="AK39" s="93"/>
      <c r="AL39" s="122">
        <f t="shared" si="25"/>
        <v>157.27549534495105</v>
      </c>
      <c r="AM39" s="93">
        <v>0</v>
      </c>
      <c r="AN39" s="325">
        <f t="shared" si="45"/>
        <v>0</v>
      </c>
      <c r="AO39" s="95">
        <f t="shared" si="26"/>
        <v>-157.27549534495105</v>
      </c>
      <c r="AP39" s="96"/>
      <c r="AQ39" s="97">
        <f t="shared" si="9"/>
        <v>0</v>
      </c>
      <c r="AR39" s="98">
        <f t="shared" si="37"/>
        <v>105.54</v>
      </c>
      <c r="AS39" s="98">
        <f t="shared" si="11"/>
        <v>0</v>
      </c>
      <c r="AT39" s="98">
        <f t="shared" si="12"/>
        <v>0</v>
      </c>
      <c r="AU39" s="98">
        <f t="shared" si="27"/>
        <v>0</v>
      </c>
      <c r="AV39" s="98">
        <f t="array" ref="AV39">_xlfn.IFS(U39=0,AO39,U39&lt;0,AO39/-U39,U39&gt;0,AO39/U39)</f>
        <v>-157.27549534495105</v>
      </c>
      <c r="AW39" s="234">
        <f t="shared" si="46"/>
        <v>0</v>
      </c>
      <c r="AX39" s="234">
        <f t="shared" si="47"/>
        <v>-1.4901979850762843</v>
      </c>
      <c r="AY39" s="99"/>
      <c r="AZ39" s="94">
        <f t="shared" si="15"/>
        <v>-7706.4992719026013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3"/>
        <v>47</v>
      </c>
      <c r="F40" s="93"/>
      <c r="G40" s="93"/>
      <c r="H40" s="272">
        <v>47</v>
      </c>
      <c r="I40" s="93"/>
      <c r="J40" s="93"/>
      <c r="K40" s="92">
        <v>105.54</v>
      </c>
      <c r="L40" s="92">
        <f t="shared" si="44"/>
        <v>4960.38</v>
      </c>
      <c r="M40" s="89"/>
      <c r="N40" s="89">
        <v>5</v>
      </c>
      <c r="O40" s="89">
        <v>1229</v>
      </c>
      <c r="P40" s="89">
        <v>25</v>
      </c>
      <c r="Q40" s="233">
        <f t="shared" si="16"/>
        <v>0.15625</v>
      </c>
      <c r="R40" s="92">
        <f t="shared" si="17"/>
        <v>3.125E-2</v>
      </c>
      <c r="S40" s="93">
        <v>1</v>
      </c>
      <c r="T40" s="93">
        <v>0</v>
      </c>
      <c r="U40" s="92">
        <f t="shared" si="18"/>
        <v>1</v>
      </c>
      <c r="V40" s="93">
        <v>848</v>
      </c>
      <c r="W40" s="93">
        <v>0</v>
      </c>
      <c r="X40" s="92">
        <f t="shared" si="19"/>
        <v>848</v>
      </c>
      <c r="Y40" s="93">
        <v>1237</v>
      </c>
      <c r="Z40" s="93">
        <v>0</v>
      </c>
      <c r="AA40" s="92">
        <f t="shared" si="20"/>
        <v>1237</v>
      </c>
      <c r="AB40" s="92">
        <f t="shared" si="21"/>
        <v>1536.25</v>
      </c>
      <c r="AC40" s="234">
        <f t="shared" si="22"/>
        <v>5.5098381523126119E-4</v>
      </c>
      <c r="AD40" s="92">
        <f t="shared" si="23"/>
        <v>105.54</v>
      </c>
      <c r="AE40" s="93">
        <v>454.28</v>
      </c>
      <c r="AF40" s="234">
        <f t="shared" si="24"/>
        <v>0.36724333063864184</v>
      </c>
      <c r="AG40" s="93">
        <v>356.48</v>
      </c>
      <c r="AH40" s="93"/>
      <c r="AI40" s="93"/>
      <c r="AJ40" s="93"/>
      <c r="AK40" s="93"/>
      <c r="AL40" s="122">
        <f t="shared" si="25"/>
        <v>150.85608737168775</v>
      </c>
      <c r="AM40" s="93">
        <v>0</v>
      </c>
      <c r="AN40" s="325">
        <f t="shared" si="45"/>
        <v>51.463705976870862</v>
      </c>
      <c r="AO40" s="95">
        <f t="shared" si="26"/>
        <v>118.38020665144143</v>
      </c>
      <c r="AP40" s="96"/>
      <c r="AQ40" s="97">
        <f t="shared" si="9"/>
        <v>1237</v>
      </c>
      <c r="AR40" s="98">
        <f t="shared" si="37"/>
        <v>105.54</v>
      </c>
      <c r="AS40" s="98">
        <f t="shared" si="11"/>
        <v>454.28</v>
      </c>
      <c r="AT40" s="98">
        <f t="shared" si="12"/>
        <v>356.48</v>
      </c>
      <c r="AU40" s="98">
        <f t="shared" si="27"/>
        <v>0</v>
      </c>
      <c r="AV40" s="98">
        <f t="array" ref="AV40">_xlfn.IFS(U40=0,AO40,U40&lt;0,AO40/-U40,U40&gt;0,AO40/U40)</f>
        <v>118.38020665144143</v>
      </c>
      <c r="AW40" s="234">
        <f t="shared" si="46"/>
        <v>9.5699439491868571E-2</v>
      </c>
      <c r="AX40" s="234">
        <f t="shared" si="47"/>
        <v>1.1216619921493407</v>
      </c>
      <c r="AY40" s="99"/>
      <c r="AZ40" s="94">
        <f t="shared" si="15"/>
        <v>5563.8697126177467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3"/>
        <v>47</v>
      </c>
      <c r="F41" s="93"/>
      <c r="G41" s="93"/>
      <c r="H41" s="272">
        <v>47</v>
      </c>
      <c r="I41" s="93"/>
      <c r="J41" s="93"/>
      <c r="K41" s="92">
        <v>123.09</v>
      </c>
      <c r="L41" s="92">
        <f t="shared" si="44"/>
        <v>5785.2300000000005</v>
      </c>
      <c r="M41" s="89"/>
      <c r="N41" s="89">
        <v>5</v>
      </c>
      <c r="O41" s="89">
        <v>1252</v>
      </c>
      <c r="P41" s="89">
        <v>40</v>
      </c>
      <c r="Q41" s="233">
        <f t="shared" si="16"/>
        <v>0.15625</v>
      </c>
      <c r="R41" s="92">
        <f t="shared" si="17"/>
        <v>6.25E-2</v>
      </c>
      <c r="S41" s="93">
        <v>2</v>
      </c>
      <c r="T41" s="93">
        <v>0</v>
      </c>
      <c r="U41" s="92">
        <f t="shared" si="18"/>
        <v>2</v>
      </c>
      <c r="V41" s="93">
        <v>1870</v>
      </c>
      <c r="W41" s="93">
        <v>0</v>
      </c>
      <c r="X41" s="92">
        <f t="shared" si="19"/>
        <v>1870</v>
      </c>
      <c r="Y41" s="93">
        <v>2520</v>
      </c>
      <c r="Z41" s="93">
        <v>0</v>
      </c>
      <c r="AA41" s="92">
        <f t="shared" si="20"/>
        <v>2520</v>
      </c>
      <c r="AB41" s="92">
        <f t="shared" si="21"/>
        <v>2504</v>
      </c>
      <c r="AC41" s="234">
        <f t="shared" si="22"/>
        <v>1.1224569235107342E-3</v>
      </c>
      <c r="AD41" s="92">
        <f t="shared" si="23"/>
        <v>246.18</v>
      </c>
      <c r="AE41" s="93">
        <v>912.52</v>
      </c>
      <c r="AF41" s="234">
        <f t="shared" si="24"/>
        <v>0.36211111111111111</v>
      </c>
      <c r="AG41" s="93">
        <v>338.43</v>
      </c>
      <c r="AH41" s="93"/>
      <c r="AI41" s="93"/>
      <c r="AJ41" s="93"/>
      <c r="AK41" s="93"/>
      <c r="AL41" s="122">
        <f t="shared" si="25"/>
        <v>150.85608737168775</v>
      </c>
      <c r="AM41" s="93">
        <v>0</v>
      </c>
      <c r="AN41" s="325">
        <f t="shared" si="45"/>
        <v>104.84117951634161</v>
      </c>
      <c r="AO41" s="95">
        <f t="shared" si="26"/>
        <v>767.17273311197073</v>
      </c>
      <c r="AP41" s="96"/>
      <c r="AQ41" s="97">
        <f t="shared" si="9"/>
        <v>1260</v>
      </c>
      <c r="AR41" s="98">
        <f t="shared" si="37"/>
        <v>123.09</v>
      </c>
      <c r="AS41" s="98">
        <f t="shared" si="11"/>
        <v>456.26</v>
      </c>
      <c r="AT41" s="98">
        <f t="shared" si="12"/>
        <v>169.215</v>
      </c>
      <c r="AU41" s="98">
        <f t="shared" si="27"/>
        <v>0</v>
      </c>
      <c r="AV41" s="98">
        <f t="array" ref="AV41">_xlfn.IFS(U41=0,AO41,U41&lt;0,AO41/-U41,U41&gt;0,AO41/U41)</f>
        <v>383.58636655598536</v>
      </c>
      <c r="AW41" s="234">
        <f t="shared" si="46"/>
        <v>0.30443362425078202</v>
      </c>
      <c r="AX41" s="234">
        <f t="shared" si="47"/>
        <v>3.1163081205295748</v>
      </c>
      <c r="AY41" s="99"/>
      <c r="AZ41" s="94">
        <f t="shared" si="15"/>
        <v>18028.559228131311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3"/>
        <v>48</v>
      </c>
      <c r="F42" s="93"/>
      <c r="G42" s="93"/>
      <c r="H42" s="272">
        <v>48</v>
      </c>
      <c r="I42" s="93"/>
      <c r="J42" s="93"/>
      <c r="K42" s="92">
        <v>123.09</v>
      </c>
      <c r="L42" s="92">
        <f t="shared" si="44"/>
        <v>5908.32</v>
      </c>
      <c r="M42" s="89"/>
      <c r="N42" s="89">
        <v>1</v>
      </c>
      <c r="O42" s="89">
        <v>1218</v>
      </c>
      <c r="P42" s="89">
        <v>0</v>
      </c>
      <c r="Q42" s="233">
        <f t="shared" si="16"/>
        <v>3.125E-2</v>
      </c>
      <c r="R42" s="92">
        <f t="shared" si="17"/>
        <v>0</v>
      </c>
      <c r="S42" s="93">
        <v>0</v>
      </c>
      <c r="T42" s="93">
        <v>0</v>
      </c>
      <c r="U42" s="92">
        <f t="shared" si="18"/>
        <v>0</v>
      </c>
      <c r="V42" s="93">
        <v>0</v>
      </c>
      <c r="W42" s="93">
        <v>0</v>
      </c>
      <c r="X42" s="92">
        <f t="shared" si="19"/>
        <v>0</v>
      </c>
      <c r="Y42" s="93">
        <v>0</v>
      </c>
      <c r="Z42" s="93">
        <v>0</v>
      </c>
      <c r="AA42" s="92">
        <f t="shared" si="20"/>
        <v>0</v>
      </c>
      <c r="AB42" s="92">
        <f t="shared" si="21"/>
        <v>0</v>
      </c>
      <c r="AC42" s="234">
        <f t="shared" si="22"/>
        <v>0</v>
      </c>
      <c r="AD42" s="92">
        <f t="shared" si="23"/>
        <v>0</v>
      </c>
      <c r="AE42" s="93">
        <v>0</v>
      </c>
      <c r="AF42" s="234">
        <f t="shared" si="24"/>
        <v>0</v>
      </c>
      <c r="AG42" s="93">
        <v>84.8</v>
      </c>
      <c r="AH42" s="93"/>
      <c r="AI42" s="93"/>
      <c r="AJ42" s="93"/>
      <c r="AK42" s="93"/>
      <c r="AL42" s="122">
        <f t="shared" si="25"/>
        <v>154.06579135831939</v>
      </c>
      <c r="AM42" s="93">
        <v>0</v>
      </c>
      <c r="AN42" s="325">
        <f t="shared" si="45"/>
        <v>0</v>
      </c>
      <c r="AO42" s="95">
        <f t="shared" si="26"/>
        <v>-238.86579135831937</v>
      </c>
      <c r="AP42" s="96"/>
      <c r="AQ42" s="97">
        <f t="shared" si="9"/>
        <v>0</v>
      </c>
      <c r="AR42" s="98">
        <f t="shared" si="37"/>
        <v>123.09</v>
      </c>
      <c r="AS42" s="98">
        <f t="shared" si="11"/>
        <v>0</v>
      </c>
      <c r="AT42" s="98">
        <f t="shared" si="12"/>
        <v>84.8</v>
      </c>
      <c r="AU42" s="98">
        <f t="shared" si="27"/>
        <v>0</v>
      </c>
      <c r="AV42" s="98">
        <f t="array" ref="AV42">_xlfn.IFS(U42=0,AO42,U42&lt;0,AO42/-U42,U42&gt;0,AO42/U42)</f>
        <v>-238.86579135831937</v>
      </c>
      <c r="AW42" s="234">
        <f t="shared" si="46"/>
        <v>0</v>
      </c>
      <c r="AX42" s="234">
        <f t="shared" si="47"/>
        <v>-1.9405783683347093</v>
      </c>
      <c r="AY42" s="99"/>
      <c r="AZ42" s="94">
        <f t="shared" si="15"/>
        <v>-11465.55798519933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3"/>
        <v>48</v>
      </c>
      <c r="F43" s="93"/>
      <c r="G43" s="93"/>
      <c r="H43" s="272">
        <v>48</v>
      </c>
      <c r="I43" s="93"/>
      <c r="J43" s="93"/>
      <c r="K43" s="92">
        <v>123.09</v>
      </c>
      <c r="L43" s="92">
        <f t="shared" si="44"/>
        <v>5908.32</v>
      </c>
      <c r="M43" s="89"/>
      <c r="N43" s="89">
        <v>1</v>
      </c>
      <c r="O43" s="89">
        <v>1260</v>
      </c>
      <c r="P43" s="89">
        <v>0</v>
      </c>
      <c r="Q43" s="233">
        <f t="shared" si="16"/>
        <v>3.125E-2</v>
      </c>
      <c r="R43" s="92">
        <f t="shared" si="17"/>
        <v>0</v>
      </c>
      <c r="S43" s="93">
        <v>1</v>
      </c>
      <c r="T43" s="93">
        <v>-1</v>
      </c>
      <c r="U43" s="92">
        <f t="shared" si="18"/>
        <v>0</v>
      </c>
      <c r="V43" s="93">
        <v>1011</v>
      </c>
      <c r="W43" s="93">
        <v>-1011</v>
      </c>
      <c r="X43" s="92">
        <f t="shared" si="19"/>
        <v>0</v>
      </c>
      <c r="Y43" s="93">
        <v>1260</v>
      </c>
      <c r="Z43" s="93">
        <v>-1260</v>
      </c>
      <c r="AA43" s="92">
        <f t="shared" si="20"/>
        <v>0</v>
      </c>
      <c r="AB43" s="92">
        <f t="shared" si="21"/>
        <v>0</v>
      </c>
      <c r="AC43" s="234">
        <f t="shared" si="22"/>
        <v>0</v>
      </c>
      <c r="AD43" s="92">
        <f t="shared" si="23"/>
        <v>0</v>
      </c>
      <c r="AE43" s="93">
        <v>0</v>
      </c>
      <c r="AF43" s="234">
        <f t="shared" si="24"/>
        <v>0</v>
      </c>
      <c r="AG43" s="93">
        <v>107.11</v>
      </c>
      <c r="AH43" s="93"/>
      <c r="AI43" s="93"/>
      <c r="AJ43" s="93"/>
      <c r="AK43" s="93"/>
      <c r="AL43" s="122">
        <f t="shared" si="25"/>
        <v>154.06579135831939</v>
      </c>
      <c r="AM43" s="93">
        <v>0</v>
      </c>
      <c r="AN43" s="325">
        <f t="shared" si="45"/>
        <v>52.420589758170806</v>
      </c>
      <c r="AO43" s="95">
        <f t="shared" si="26"/>
        <v>-313.59638111649019</v>
      </c>
      <c r="AP43" s="96"/>
      <c r="AQ43" s="97">
        <f t="shared" si="9"/>
        <v>0</v>
      </c>
      <c r="AR43" s="98">
        <f t="shared" si="37"/>
        <v>123.09</v>
      </c>
      <c r="AS43" s="98">
        <f t="shared" si="11"/>
        <v>0</v>
      </c>
      <c r="AT43" s="98">
        <f t="shared" si="12"/>
        <v>107.11</v>
      </c>
      <c r="AU43" s="98">
        <f t="shared" si="27"/>
        <v>0</v>
      </c>
      <c r="AV43" s="98">
        <f t="array" ref="AV43">_xlfn.IFS(U43=0,AO43,U43&lt;0,AO43/-U43,U43&gt;0,AO43/U43)</f>
        <v>-313.59638111649019</v>
      </c>
      <c r="AW43" s="234">
        <f t="shared" si="46"/>
        <v>0</v>
      </c>
      <c r="AX43" s="234">
        <f t="shared" si="47"/>
        <v>-2.5476999034567402</v>
      </c>
      <c r="AY43" s="99"/>
      <c r="AZ43" s="94">
        <f t="shared" si="15"/>
        <v>-15052.626293591529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3"/>
        <v>219</v>
      </c>
      <c r="F44" s="93"/>
      <c r="G44" s="93"/>
      <c r="H44" s="272">
        <v>219</v>
      </c>
      <c r="I44" s="93"/>
      <c r="J44" s="93"/>
      <c r="K44" s="92">
        <v>111.39</v>
      </c>
      <c r="L44" s="92">
        <f t="shared" si="44"/>
        <v>24394.41</v>
      </c>
      <c r="M44" s="89"/>
      <c r="N44" s="89">
        <v>8</v>
      </c>
      <c r="O44" s="89">
        <v>1128</v>
      </c>
      <c r="P44" s="89">
        <v>13</v>
      </c>
      <c r="Q44" s="233">
        <f t="shared" si="16"/>
        <v>0.25</v>
      </c>
      <c r="R44" s="92">
        <f t="shared" si="17"/>
        <v>3.125E-2</v>
      </c>
      <c r="S44" s="93">
        <v>1</v>
      </c>
      <c r="T44" s="93">
        <v>0</v>
      </c>
      <c r="U44" s="92">
        <f t="shared" si="18"/>
        <v>1</v>
      </c>
      <c r="V44" s="93">
        <v>752</v>
      </c>
      <c r="W44" s="93">
        <v>0</v>
      </c>
      <c r="X44" s="92">
        <f t="shared" si="19"/>
        <v>752</v>
      </c>
      <c r="Y44" s="93">
        <v>1048</v>
      </c>
      <c r="Z44" s="93">
        <v>0</v>
      </c>
      <c r="AA44" s="92">
        <f t="shared" si="20"/>
        <v>1048</v>
      </c>
      <c r="AB44" s="92">
        <f t="shared" si="21"/>
        <v>1173.1199999999999</v>
      </c>
      <c r="AC44" s="234">
        <f t="shared" si="22"/>
        <v>4.6679954596795612E-4</v>
      </c>
      <c r="AD44" s="92">
        <f t="shared" si="23"/>
        <v>111.39</v>
      </c>
      <c r="AE44" s="93">
        <v>372.42999999999995</v>
      </c>
      <c r="AF44" s="234">
        <f t="shared" si="24"/>
        <v>0.35537213740458012</v>
      </c>
      <c r="AG44" s="93">
        <v>645.46</v>
      </c>
      <c r="AH44" s="93"/>
      <c r="AI44" s="93"/>
      <c r="AJ44" s="93"/>
      <c r="AK44" s="93"/>
      <c r="AL44" s="122">
        <f t="shared" si="25"/>
        <v>702.92517307233231</v>
      </c>
      <c r="AM44" s="93">
        <v>0</v>
      </c>
      <c r="AN44" s="325">
        <f t="shared" si="45"/>
        <v>43.600617513145238</v>
      </c>
      <c r="AO44" s="95">
        <f t="shared" si="26"/>
        <v>-827.80579058547755</v>
      </c>
      <c r="AP44" s="96"/>
      <c r="AQ44" s="97">
        <f t="shared" si="9"/>
        <v>1048</v>
      </c>
      <c r="AR44" s="98">
        <f t="shared" si="37"/>
        <v>111.39</v>
      </c>
      <c r="AS44" s="98">
        <f t="shared" si="11"/>
        <v>372.42999999999995</v>
      </c>
      <c r="AT44" s="98">
        <f t="shared" si="12"/>
        <v>645.46</v>
      </c>
      <c r="AU44" s="98">
        <f t="shared" si="27"/>
        <v>0</v>
      </c>
      <c r="AV44" s="98">
        <f t="array" ref="AV44">_xlfn.IFS(U44=0,AO44,U44&lt;0,AO44/-U44,U44&gt;0,AO44/U44)</f>
        <v>-827.80579058547755</v>
      </c>
      <c r="AW44" s="234">
        <f t="shared" si="46"/>
        <v>-0.78989102155102819</v>
      </c>
      <c r="AX44" s="234">
        <f t="shared" si="47"/>
        <v>-7.4315988022755866</v>
      </c>
      <c r="AY44" s="99"/>
      <c r="AZ44" s="94">
        <f t="shared" si="15"/>
        <v>-181289.46813821958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3"/>
        <v>296</v>
      </c>
      <c r="F45" s="93"/>
      <c r="G45" s="93"/>
      <c r="H45" s="272">
        <v>296</v>
      </c>
      <c r="I45" s="93"/>
      <c r="J45" s="93"/>
      <c r="K45" s="92">
        <v>107.88</v>
      </c>
      <c r="L45" s="92">
        <f t="shared" si="44"/>
        <v>31932.48</v>
      </c>
      <c r="M45" s="89"/>
      <c r="N45" s="89">
        <v>30</v>
      </c>
      <c r="O45" s="89">
        <v>1016</v>
      </c>
      <c r="P45" s="89">
        <v>52</v>
      </c>
      <c r="Q45" s="233">
        <f t="shared" si="16"/>
        <v>0.9375</v>
      </c>
      <c r="R45" s="92">
        <f t="shared" si="17"/>
        <v>0.375</v>
      </c>
      <c r="S45" s="93">
        <v>13</v>
      </c>
      <c r="T45" s="93">
        <v>-1</v>
      </c>
      <c r="U45" s="92">
        <f t="shared" si="18"/>
        <v>12</v>
      </c>
      <c r="V45" s="93">
        <v>9560.64</v>
      </c>
      <c r="W45" s="93">
        <v>-672</v>
      </c>
      <c r="X45" s="92">
        <f t="shared" si="19"/>
        <v>8888.64</v>
      </c>
      <c r="Y45" s="93">
        <v>13245.34</v>
      </c>
      <c r="Z45" s="93">
        <v>-998</v>
      </c>
      <c r="AA45" s="92">
        <f t="shared" si="20"/>
        <v>12247.34</v>
      </c>
      <c r="AB45" s="92">
        <f t="shared" si="21"/>
        <v>15849.6</v>
      </c>
      <c r="AC45" s="234">
        <f t="shared" si="22"/>
        <v>5.4552030069801409E-3</v>
      </c>
      <c r="AD45" s="92">
        <f t="shared" si="23"/>
        <v>1294.56</v>
      </c>
      <c r="AE45" s="93">
        <v>4591.45</v>
      </c>
      <c r="AF45" s="234">
        <f t="shared" si="24"/>
        <v>0.3748936503763266</v>
      </c>
      <c r="AG45" s="93">
        <v>1342.38</v>
      </c>
      <c r="AH45" s="93"/>
      <c r="AI45" s="93"/>
      <c r="AJ45" s="93"/>
      <c r="AK45" s="93"/>
      <c r="AL45" s="122">
        <f t="shared" si="25"/>
        <v>950.0723800429696</v>
      </c>
      <c r="AM45" s="93">
        <v>0</v>
      </c>
      <c r="AN45" s="325">
        <f t="shared" si="45"/>
        <v>551.05439233927791</v>
      </c>
      <c r="AO45" s="95">
        <f t="shared" si="26"/>
        <v>3517.8232276177532</v>
      </c>
      <c r="AP45" s="96"/>
      <c r="AQ45" s="97">
        <f t="shared" si="9"/>
        <v>1020.6116666666667</v>
      </c>
      <c r="AR45" s="98">
        <f t="shared" si="37"/>
        <v>107.88</v>
      </c>
      <c r="AS45" s="98">
        <f t="shared" si="11"/>
        <v>382.62083333333334</v>
      </c>
      <c r="AT45" s="98">
        <f t="shared" si="12"/>
        <v>103.26</v>
      </c>
      <c r="AU45" s="98">
        <f t="shared" si="27"/>
        <v>0</v>
      </c>
      <c r="AV45" s="98">
        <f t="array" ref="AV45">_xlfn.IFS(U45=0,AO45,U45&lt;0,AO45/-U45,U45&gt;0,AO45/U45)</f>
        <v>293.15193563481279</v>
      </c>
      <c r="AW45" s="234">
        <f t="shared" si="46"/>
        <v>0.28723161336402464</v>
      </c>
      <c r="AX45" s="234">
        <f t="shared" si="47"/>
        <v>2.7173890956137634</v>
      </c>
      <c r="AY45" s="99"/>
      <c r="AZ45" s="94">
        <f t="shared" si="15"/>
        <v>86772.972947904578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3"/>
        <v>0</v>
      </c>
      <c r="F46" s="93"/>
      <c r="G46" s="93"/>
      <c r="H46" s="272">
        <v>0</v>
      </c>
      <c r="I46" s="93"/>
      <c r="J46" s="93"/>
      <c r="K46" s="92">
        <v>107.88</v>
      </c>
      <c r="L46" s="92">
        <f t="shared" si="44"/>
        <v>0</v>
      </c>
      <c r="M46" s="89"/>
      <c r="N46" s="89"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v>0</v>
      </c>
      <c r="T46" s="93">
        <v>0</v>
      </c>
      <c r="U46" s="92">
        <f t="shared" si="18"/>
        <v>0</v>
      </c>
      <c r="V46" s="93">
        <v>0</v>
      </c>
      <c r="W46" s="93">
        <v>0</v>
      </c>
      <c r="X46" s="92">
        <f t="shared" si="19"/>
        <v>0</v>
      </c>
      <c r="Y46" s="93">
        <v>0</v>
      </c>
      <c r="Z46" s="93">
        <v>0</v>
      </c>
      <c r="AA46" s="92">
        <f t="shared" si="20"/>
        <v>0</v>
      </c>
      <c r="AB46" s="92">
        <f t="shared" si="21"/>
        <v>0</v>
      </c>
      <c r="AC46" s="234">
        <f t="shared" si="22"/>
        <v>0</v>
      </c>
      <c r="AD46" s="92">
        <f t="shared" si="23"/>
        <v>0</v>
      </c>
      <c r="AE46" s="93">
        <v>0</v>
      </c>
      <c r="AF46" s="234">
        <f t="shared" si="24"/>
        <v>0</v>
      </c>
      <c r="AG46" s="93">
        <v>0</v>
      </c>
      <c r="AH46" s="93"/>
      <c r="AI46" s="93"/>
      <c r="AJ46" s="93"/>
      <c r="AK46" s="93"/>
      <c r="AL46" s="122">
        <f t="shared" si="25"/>
        <v>0</v>
      </c>
      <c r="AM46" s="93">
        <v>0</v>
      </c>
      <c r="AN46" s="325">
        <f t="shared" si="45"/>
        <v>0</v>
      </c>
      <c r="AO46" s="95">
        <f t="shared" si="26"/>
        <v>0</v>
      </c>
      <c r="AP46" s="96"/>
      <c r="AQ46" s="97">
        <f t="shared" si="9"/>
        <v>0</v>
      </c>
      <c r="AR46" s="98">
        <f t="shared" si="37"/>
        <v>107.88</v>
      </c>
      <c r="AS46" s="98">
        <f t="shared" si="11"/>
        <v>0</v>
      </c>
      <c r="AT46" s="98">
        <f t="shared" si="12"/>
        <v>0</v>
      </c>
      <c r="AU46" s="98">
        <f t="shared" si="27"/>
        <v>0</v>
      </c>
      <c r="AV46" s="98">
        <f t="array" ref="AV46">_xlfn.IFS(U46=0,AO46,U46&lt;0,AO46/-U46,U46&gt;0,AO46/U46)</f>
        <v>0</v>
      </c>
      <c r="AW46" s="234">
        <f t="shared" si="46"/>
        <v>0</v>
      </c>
      <c r="AX46" s="234">
        <f t="shared" si="47"/>
        <v>0</v>
      </c>
      <c r="AY46" s="99"/>
      <c r="AZ46" s="94">
        <f t="shared" si="15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3"/>
        <v>170</v>
      </c>
      <c r="F47" s="93"/>
      <c r="G47" s="93"/>
      <c r="H47" s="272">
        <v>170</v>
      </c>
      <c r="I47" s="93"/>
      <c r="J47" s="93"/>
      <c r="K47" s="92">
        <v>123.09</v>
      </c>
      <c r="L47" s="92">
        <f t="shared" si="44"/>
        <v>20925.3</v>
      </c>
      <c r="M47" s="89"/>
      <c r="N47" s="89">
        <v>14</v>
      </c>
      <c r="O47" s="89">
        <v>968</v>
      </c>
      <c r="P47" s="89">
        <v>57</v>
      </c>
      <c r="Q47" s="233">
        <f t="shared" si="16"/>
        <v>0.4375</v>
      </c>
      <c r="R47" s="92">
        <f t="shared" si="17"/>
        <v>0.1875</v>
      </c>
      <c r="S47" s="93">
        <v>6</v>
      </c>
      <c r="T47" s="93">
        <v>0</v>
      </c>
      <c r="U47" s="92">
        <f t="shared" si="18"/>
        <v>6</v>
      </c>
      <c r="V47" s="93">
        <v>4518.4799999999996</v>
      </c>
      <c r="W47" s="93">
        <v>0</v>
      </c>
      <c r="X47" s="92">
        <f t="shared" si="19"/>
        <v>4518.4799999999996</v>
      </c>
      <c r="Y47" s="93">
        <v>5847.58</v>
      </c>
      <c r="Z47" s="93">
        <v>0</v>
      </c>
      <c r="AA47" s="92">
        <f t="shared" si="20"/>
        <v>5847.58</v>
      </c>
      <c r="AB47" s="92">
        <f t="shared" si="21"/>
        <v>7724.64</v>
      </c>
      <c r="AC47" s="234">
        <f t="shared" si="22"/>
        <v>2.6046256574535315E-3</v>
      </c>
      <c r="AD47" s="92">
        <f t="shared" si="23"/>
        <v>738.54</v>
      </c>
      <c r="AE47" s="93">
        <v>2187.6</v>
      </c>
      <c r="AF47" s="234">
        <f t="shared" si="24"/>
        <v>0.37410347528379262</v>
      </c>
      <c r="AG47" s="93">
        <v>826.83999999999992</v>
      </c>
      <c r="AH47" s="93"/>
      <c r="AI47" s="93"/>
      <c r="AJ47" s="93"/>
      <c r="AK47" s="93"/>
      <c r="AL47" s="122">
        <f t="shared" si="25"/>
        <v>545.64967772738123</v>
      </c>
      <c r="AM47" s="93">
        <v>0</v>
      </c>
      <c r="AN47" s="325">
        <f t="shared" si="45"/>
        <v>243.28062877625749</v>
      </c>
      <c r="AO47" s="95">
        <f t="shared" si="26"/>
        <v>1305.6696934963616</v>
      </c>
      <c r="AP47" s="96"/>
      <c r="AQ47" s="97">
        <f t="shared" si="9"/>
        <v>974.59666666666669</v>
      </c>
      <c r="AR47" s="98">
        <f t="shared" si="37"/>
        <v>123.09</v>
      </c>
      <c r="AS47" s="98">
        <f t="shared" si="11"/>
        <v>364.59999999999997</v>
      </c>
      <c r="AT47" s="98">
        <f t="shared" si="12"/>
        <v>137.80666666666664</v>
      </c>
      <c r="AU47" s="98">
        <f t="shared" si="27"/>
        <v>0</v>
      </c>
      <c r="AV47" s="98">
        <f t="array" ref="AV47">_xlfn.IFS(U47=0,AO47,U47&lt;0,AO47/-U47,U47&gt;0,AO47/U47)</f>
        <v>217.61161558272693</v>
      </c>
      <c r="AW47" s="234">
        <f t="shared" si="46"/>
        <v>0.22328376755792337</v>
      </c>
      <c r="AX47" s="234">
        <f t="shared" si="47"/>
        <v>1.7679065365401487</v>
      </c>
      <c r="AY47" s="99"/>
      <c r="AZ47" s="94">
        <f t="shared" si="15"/>
        <v>36993.974649063581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3"/>
        <v>408</v>
      </c>
      <c r="F48" s="93"/>
      <c r="G48" s="93"/>
      <c r="H48" s="272">
        <v>408</v>
      </c>
      <c r="I48" s="93"/>
      <c r="J48" s="93"/>
      <c r="K48" s="92">
        <v>107.88</v>
      </c>
      <c r="L48" s="92">
        <f t="shared" si="44"/>
        <v>44015.040000000001</v>
      </c>
      <c r="M48" s="89"/>
      <c r="N48" s="89">
        <v>30</v>
      </c>
      <c r="O48" s="89">
        <v>1084</v>
      </c>
      <c r="P48" s="89">
        <v>63</v>
      </c>
      <c r="Q48" s="233">
        <f t="shared" si="16"/>
        <v>0.9375</v>
      </c>
      <c r="R48" s="92">
        <f t="shared" si="17"/>
        <v>0.40625</v>
      </c>
      <c r="S48" s="93">
        <v>13</v>
      </c>
      <c r="T48" s="93">
        <v>0</v>
      </c>
      <c r="U48" s="92">
        <f t="shared" si="18"/>
        <v>13</v>
      </c>
      <c r="V48" s="93">
        <v>9845</v>
      </c>
      <c r="W48" s="93">
        <v>0</v>
      </c>
      <c r="X48" s="92">
        <f t="shared" si="19"/>
        <v>9845</v>
      </c>
      <c r="Y48" s="93">
        <v>13990.69</v>
      </c>
      <c r="Z48" s="93">
        <v>0</v>
      </c>
      <c r="AA48" s="92">
        <f t="shared" si="20"/>
        <v>13990.69</v>
      </c>
      <c r="AB48" s="92">
        <f t="shared" si="21"/>
        <v>20487.599999999999</v>
      </c>
      <c r="AC48" s="234">
        <f t="shared" si="22"/>
        <v>6.2317249425366643E-3</v>
      </c>
      <c r="AD48" s="92">
        <f t="shared" si="23"/>
        <v>1402.44</v>
      </c>
      <c r="AE48" s="93">
        <v>5188.93</v>
      </c>
      <c r="AF48" s="234">
        <f t="shared" si="24"/>
        <v>0.37088449533225309</v>
      </c>
      <c r="AG48" s="93">
        <v>1435.1699999999998</v>
      </c>
      <c r="AH48" s="93"/>
      <c r="AI48" s="93">
        <v>3453</v>
      </c>
      <c r="AJ48" s="93"/>
      <c r="AK48" s="93"/>
      <c r="AL48" s="122">
        <f t="shared" si="25"/>
        <v>1309.5592265457149</v>
      </c>
      <c r="AM48" s="93">
        <v>0</v>
      </c>
      <c r="AN48" s="325">
        <f t="shared" si="45"/>
        <v>582.0636673997958</v>
      </c>
      <c r="AO48" s="95">
        <f t="shared" si="26"/>
        <v>619.52710605448897</v>
      </c>
      <c r="AP48" s="96"/>
      <c r="AQ48" s="97">
        <f t="shared" si="9"/>
        <v>1076.2069230769232</v>
      </c>
      <c r="AR48" s="98">
        <f t="shared" si="37"/>
        <v>107.88</v>
      </c>
      <c r="AS48" s="98">
        <f t="shared" si="11"/>
        <v>399.14846153846156</v>
      </c>
      <c r="AT48" s="98">
        <f t="shared" si="12"/>
        <v>110.3976923076923</v>
      </c>
      <c r="AU48" s="98">
        <f t="shared" si="27"/>
        <v>265.61538461538464</v>
      </c>
      <c r="AV48" s="98">
        <f t="array" ref="AV48">_xlfn.IFS(U48=0,AO48,U48&lt;0,AO48/-U48,U48&gt;0,AO48/U48)</f>
        <v>47.65593123496069</v>
      </c>
      <c r="AW48" s="234">
        <f t="shared" si="46"/>
        <v>4.428138326662151E-2</v>
      </c>
      <c r="AX48" s="234">
        <f t="shared" si="47"/>
        <v>0.44174945527401455</v>
      </c>
      <c r="AY48" s="99"/>
      <c r="AZ48" s="94">
        <f t="shared" si="15"/>
        <v>19443.61994386396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3"/>
        <v>213</v>
      </c>
      <c r="F49" s="93"/>
      <c r="G49" s="93"/>
      <c r="H49" s="272">
        <v>213</v>
      </c>
      <c r="I49" s="93"/>
      <c r="J49" s="93"/>
      <c r="K49" s="92">
        <v>123.09</v>
      </c>
      <c r="L49" s="92">
        <f t="shared" si="44"/>
        <v>26218.170000000002</v>
      </c>
      <c r="M49" s="89"/>
      <c r="N49" s="89">
        <v>101</v>
      </c>
      <c r="O49" s="89">
        <v>1267</v>
      </c>
      <c r="P49" s="89">
        <v>39</v>
      </c>
      <c r="Q49" s="233">
        <f t="shared" si="16"/>
        <v>3.15625</v>
      </c>
      <c r="R49" s="92">
        <f t="shared" si="17"/>
        <v>1</v>
      </c>
      <c r="S49" s="93">
        <v>35</v>
      </c>
      <c r="T49" s="93">
        <v>-3</v>
      </c>
      <c r="U49" s="92">
        <f t="shared" si="18"/>
        <v>32</v>
      </c>
      <c r="V49" s="93">
        <v>34412.629999999997</v>
      </c>
      <c r="W49" s="93">
        <v>-2821</v>
      </c>
      <c r="X49" s="92">
        <f t="shared" si="19"/>
        <v>31591.629999999997</v>
      </c>
      <c r="Y49" s="93">
        <v>44403.44</v>
      </c>
      <c r="Z49" s="93">
        <v>-3774</v>
      </c>
      <c r="AA49" s="92">
        <f t="shared" si="20"/>
        <v>40629.440000000002</v>
      </c>
      <c r="AB49" s="92">
        <f t="shared" si="21"/>
        <v>49907.13</v>
      </c>
      <c r="AC49" s="234">
        <f t="shared" si="22"/>
        <v>1.809714135966824E-2</v>
      </c>
      <c r="AD49" s="92">
        <f t="shared" si="23"/>
        <v>3938.88</v>
      </c>
      <c r="AE49" s="93">
        <v>14990.630000000005</v>
      </c>
      <c r="AF49" s="234">
        <f t="shared" si="24"/>
        <v>0.36895979860908751</v>
      </c>
      <c r="AG49" s="93">
        <v>6465.0399999999945</v>
      </c>
      <c r="AH49" s="93">
        <v>2000</v>
      </c>
      <c r="AI49" s="93">
        <v>12112</v>
      </c>
      <c r="AJ49" s="93"/>
      <c r="AK49" s="93"/>
      <c r="AL49" s="122">
        <f t="shared" si="25"/>
        <v>683.66694915254232</v>
      </c>
      <c r="AM49" s="93">
        <v>0</v>
      </c>
      <c r="AN49" s="325">
        <f t="shared" si="45"/>
        <v>1847.3448508663109</v>
      </c>
      <c r="AO49" s="95">
        <f t="shared" si="26"/>
        <v>-1408.1218000188464</v>
      </c>
      <c r="AP49" s="96"/>
      <c r="AQ49" s="97">
        <f t="shared" si="9"/>
        <v>1269.67</v>
      </c>
      <c r="AR49" s="98">
        <f t="shared" si="37"/>
        <v>123.09</v>
      </c>
      <c r="AS49" s="98">
        <f t="shared" si="11"/>
        <v>468.45718750000015</v>
      </c>
      <c r="AT49" s="98">
        <f t="shared" si="12"/>
        <v>184.71542857142842</v>
      </c>
      <c r="AU49" s="98">
        <f t="shared" si="27"/>
        <v>403.2</v>
      </c>
      <c r="AV49" s="98">
        <f t="array" ref="AV49">_xlfn.IFS(U49=0,AO49,U49&lt;0,AO49/-U49,U49&gt;0,AO49/U49)</f>
        <v>-44.003806250588951</v>
      </c>
      <c r="AW49" s="234">
        <f t="shared" si="46"/>
        <v>-3.4657671875833053E-2</v>
      </c>
      <c r="AX49" s="234">
        <f t="shared" si="47"/>
        <v>-0.35749294216093064</v>
      </c>
      <c r="AY49" s="99"/>
      <c r="AZ49" s="94">
        <f t="shared" si="15"/>
        <v>-9372.8107313754463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3"/>
        <v>250</v>
      </c>
      <c r="F50" s="93"/>
      <c r="G50" s="93"/>
      <c r="H50" s="272">
        <v>250</v>
      </c>
      <c r="I50" s="93"/>
      <c r="J50" s="93"/>
      <c r="K50" s="92">
        <v>134.79</v>
      </c>
      <c r="L50" s="92">
        <f t="shared" si="44"/>
        <v>33697.5</v>
      </c>
      <c r="M50" s="89"/>
      <c r="N50" s="89">
        <v>53</v>
      </c>
      <c r="O50" s="89">
        <v>1146</v>
      </c>
      <c r="P50" s="89">
        <v>64</v>
      </c>
      <c r="Q50" s="233">
        <f t="shared" si="16"/>
        <v>1.65625</v>
      </c>
      <c r="R50" s="92">
        <f t="shared" si="17"/>
        <v>0.8125</v>
      </c>
      <c r="S50" s="93">
        <v>27</v>
      </c>
      <c r="T50" s="93">
        <v>-1</v>
      </c>
      <c r="U50" s="92">
        <f t="shared" si="18"/>
        <v>26</v>
      </c>
      <c r="V50" s="93">
        <v>23429.49</v>
      </c>
      <c r="W50" s="93">
        <v>-891</v>
      </c>
      <c r="X50" s="92">
        <f t="shared" si="19"/>
        <v>22538.49</v>
      </c>
      <c r="Y50" s="93">
        <v>30799.43</v>
      </c>
      <c r="Z50" s="93">
        <v>-1138</v>
      </c>
      <c r="AA50" s="92">
        <f t="shared" si="20"/>
        <v>29661.43</v>
      </c>
      <c r="AB50" s="92">
        <f t="shared" si="21"/>
        <v>38872.32</v>
      </c>
      <c r="AC50" s="234">
        <f t="shared" si="22"/>
        <v>1.3211776771717856E-2</v>
      </c>
      <c r="AD50" s="92">
        <f t="shared" si="23"/>
        <v>3504.54</v>
      </c>
      <c r="AE50" s="93">
        <v>10971.44</v>
      </c>
      <c r="AF50" s="234">
        <f t="shared" si="24"/>
        <v>0.36988911188705331</v>
      </c>
      <c r="AG50" s="93">
        <v>2912.09</v>
      </c>
      <c r="AH50" s="93">
        <v>8502</v>
      </c>
      <c r="AI50" s="93">
        <f>110+4419</f>
        <v>4529</v>
      </c>
      <c r="AJ50" s="93"/>
      <c r="AK50" s="93"/>
      <c r="AL50" s="122">
        <f t="shared" si="25"/>
        <v>802.42599665791363</v>
      </c>
      <c r="AM50" s="93">
        <v>0</v>
      </c>
      <c r="AN50" s="325">
        <f t="shared" si="45"/>
        <v>1281.3684800123003</v>
      </c>
      <c r="AO50" s="95">
        <f t="shared" si="26"/>
        <v>-2841.4344766702152</v>
      </c>
      <c r="AP50" s="96"/>
      <c r="AQ50" s="97">
        <f t="shared" si="9"/>
        <v>1140.8242307692308</v>
      </c>
      <c r="AR50" s="98">
        <f t="shared" si="37"/>
        <v>134.79</v>
      </c>
      <c r="AS50" s="98">
        <f t="shared" si="11"/>
        <v>421.97846153846154</v>
      </c>
      <c r="AT50" s="98">
        <f t="shared" si="12"/>
        <v>107.85518518518519</v>
      </c>
      <c r="AU50" s="98">
        <f t="shared" si="27"/>
        <v>482.62962962962962</v>
      </c>
      <c r="AV50" s="98">
        <f t="array" ref="AV50">_xlfn.IFS(U50=0,AO50,U50&lt;0,AO50/-U50,U50&gt;0,AO50/U50)</f>
        <v>-109.28594141039289</v>
      </c>
      <c r="AW50" s="234">
        <f t="shared" si="46"/>
        <v>-9.5795599762729416E-2</v>
      </c>
      <c r="AX50" s="234">
        <f t="shared" si="47"/>
        <v>-0.81078671570882777</v>
      </c>
      <c r="AY50" s="99"/>
      <c r="AZ50" s="94">
        <f t="shared" si="15"/>
        <v>-27321.485352598225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3"/>
        <v>32</v>
      </c>
      <c r="F51" s="93"/>
      <c r="G51" s="93"/>
      <c r="H51" s="272">
        <v>32</v>
      </c>
      <c r="I51" s="93"/>
      <c r="J51" s="93"/>
      <c r="K51" s="92">
        <v>144.15</v>
      </c>
      <c r="L51" s="92">
        <f t="shared" si="44"/>
        <v>4612.8</v>
      </c>
      <c r="M51" s="89"/>
      <c r="N51" s="89">
        <v>53</v>
      </c>
      <c r="O51" s="89">
        <v>1183</v>
      </c>
      <c r="P51" s="89">
        <v>27</v>
      </c>
      <c r="Q51" s="233">
        <f t="shared" si="16"/>
        <v>1.65625</v>
      </c>
      <c r="R51" s="92">
        <f t="shared" si="17"/>
        <v>0.375</v>
      </c>
      <c r="S51" s="93">
        <v>12</v>
      </c>
      <c r="T51" s="93">
        <v>0</v>
      </c>
      <c r="U51" s="92">
        <f t="shared" si="18"/>
        <v>12</v>
      </c>
      <c r="V51" s="93">
        <v>10065.91</v>
      </c>
      <c r="W51" s="93">
        <v>0</v>
      </c>
      <c r="X51" s="92">
        <f t="shared" si="19"/>
        <v>10065.91</v>
      </c>
      <c r="Y51" s="93">
        <v>14171.07</v>
      </c>
      <c r="Z51" s="93">
        <v>0</v>
      </c>
      <c r="AA51" s="92">
        <f t="shared" si="20"/>
        <v>14171.07</v>
      </c>
      <c r="AB51" s="92">
        <f t="shared" si="21"/>
        <v>16928.73</v>
      </c>
      <c r="AC51" s="234">
        <f t="shared" si="22"/>
        <v>6.3120696964504997E-3</v>
      </c>
      <c r="AD51" s="92">
        <f t="shared" si="23"/>
        <v>1729.8000000000002</v>
      </c>
      <c r="AE51" s="93">
        <v>5271.8799999999992</v>
      </c>
      <c r="AF51" s="234">
        <f t="shared" si="24"/>
        <v>0.37201707422234165</v>
      </c>
      <c r="AG51" s="93">
        <v>3122.0900000000006</v>
      </c>
      <c r="AH51" s="93">
        <v>3000</v>
      </c>
      <c r="AI51" s="93">
        <v>12527</v>
      </c>
      <c r="AJ51" s="93"/>
      <c r="AK51" s="93"/>
      <c r="AL51" s="122">
        <f t="shared" si="25"/>
        <v>102.71052757221294</v>
      </c>
      <c r="AM51" s="93">
        <v>0</v>
      </c>
      <c r="AN51" s="325">
        <f t="shared" si="45"/>
        <v>589.56813246374725</v>
      </c>
      <c r="AO51" s="95">
        <f t="shared" si="26"/>
        <v>-12171.97866003596</v>
      </c>
      <c r="AP51" s="96"/>
      <c r="AQ51" s="97">
        <f t="shared" si="9"/>
        <v>1180.9224999999999</v>
      </c>
      <c r="AR51" s="98">
        <f t="shared" si="37"/>
        <v>144.15</v>
      </c>
      <c r="AS51" s="98">
        <f t="shared" si="11"/>
        <v>439.32333333333327</v>
      </c>
      <c r="AT51" s="98">
        <f t="shared" si="12"/>
        <v>260.17416666666674</v>
      </c>
      <c r="AU51" s="98">
        <f t="shared" si="27"/>
        <v>1293.9166666666667</v>
      </c>
      <c r="AV51" s="98">
        <f t="array" ref="AV51">_xlfn.IFS(U51=0,AO51,U51&lt;0,AO51/-U51,U51&gt;0,AO51/U51)</f>
        <v>-1014.3315550029967</v>
      </c>
      <c r="AW51" s="234">
        <f t="shared" si="46"/>
        <v>-0.85893151752379748</v>
      </c>
      <c r="AX51" s="234">
        <f t="shared" si="47"/>
        <v>-7.0366392993617524</v>
      </c>
      <c r="AY51" s="99"/>
      <c r="AZ51" s="94">
        <f t="shared" si="15"/>
        <v>-32458.609760095893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3"/>
        <v>49</v>
      </c>
      <c r="F52" s="93"/>
      <c r="G52" s="93"/>
      <c r="H52" s="272">
        <v>49</v>
      </c>
      <c r="I52" s="93"/>
      <c r="J52" s="93"/>
      <c r="K52" s="92">
        <v>96.18</v>
      </c>
      <c r="L52" s="92">
        <f t="shared" si="44"/>
        <v>4712.8200000000006</v>
      </c>
      <c r="M52" s="89"/>
      <c r="N52" s="89">
        <v>1</v>
      </c>
      <c r="O52" s="89">
        <v>1106</v>
      </c>
      <c r="P52" s="89">
        <v>0</v>
      </c>
      <c r="Q52" s="233">
        <f t="shared" si="16"/>
        <v>3.125E-2</v>
      </c>
      <c r="R52" s="92">
        <f t="shared" si="17"/>
        <v>0</v>
      </c>
      <c r="S52" s="93">
        <v>0</v>
      </c>
      <c r="T52" s="93">
        <v>0</v>
      </c>
      <c r="U52" s="92">
        <f t="shared" si="18"/>
        <v>0</v>
      </c>
      <c r="V52" s="93">
        <v>0</v>
      </c>
      <c r="W52" s="93">
        <v>0</v>
      </c>
      <c r="X52" s="92">
        <f t="shared" si="19"/>
        <v>0</v>
      </c>
      <c r="Y52" s="93">
        <v>0</v>
      </c>
      <c r="Z52" s="93">
        <v>0</v>
      </c>
      <c r="AA52" s="92">
        <f t="shared" si="20"/>
        <v>0</v>
      </c>
      <c r="AB52" s="92">
        <f t="shared" si="21"/>
        <v>0</v>
      </c>
      <c r="AC52" s="234">
        <f t="shared" si="22"/>
        <v>0</v>
      </c>
      <c r="AD52" s="92">
        <f t="shared" si="23"/>
        <v>0</v>
      </c>
      <c r="AE52" s="93">
        <v>0</v>
      </c>
      <c r="AF52" s="234">
        <f t="shared" si="24"/>
        <v>0</v>
      </c>
      <c r="AG52" s="93">
        <v>108.58</v>
      </c>
      <c r="AH52" s="93"/>
      <c r="AI52" s="93"/>
      <c r="AJ52" s="93"/>
      <c r="AK52" s="93"/>
      <c r="AL52" s="122">
        <f t="shared" si="25"/>
        <v>157.27549534495105</v>
      </c>
      <c r="AM52" s="93">
        <v>0</v>
      </c>
      <c r="AN52" s="325">
        <f t="shared" si="45"/>
        <v>0</v>
      </c>
      <c r="AO52" s="95">
        <f t="shared" si="26"/>
        <v>-265.85549534495107</v>
      </c>
      <c r="AP52" s="96"/>
      <c r="AQ52" s="97">
        <f t="shared" si="9"/>
        <v>0</v>
      </c>
      <c r="AR52" s="98">
        <f t="shared" si="37"/>
        <v>96.18</v>
      </c>
      <c r="AS52" s="98">
        <f t="shared" si="11"/>
        <v>0</v>
      </c>
      <c r="AT52" s="98">
        <f t="shared" si="12"/>
        <v>108.58</v>
      </c>
      <c r="AU52" s="98">
        <f t="shared" si="27"/>
        <v>0</v>
      </c>
      <c r="AV52" s="98">
        <f t="array" ref="AV52">_xlfn.IFS(U52=0,AO52,U52&lt;0,AO52/-U52,U52&gt;0,AO52/U52)</f>
        <v>-265.85549534495107</v>
      </c>
      <c r="AW52" s="234">
        <f t="shared" si="46"/>
        <v>0</v>
      </c>
      <c r="AX52" s="234">
        <f t="shared" si="47"/>
        <v>-2.7641453040647854</v>
      </c>
      <c r="AY52" s="99"/>
      <c r="AZ52" s="94">
        <f t="shared" si="15"/>
        <v>-13026.919271902601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3"/>
        <v>49</v>
      </c>
      <c r="F53" s="93"/>
      <c r="G53" s="93"/>
      <c r="H53" s="272">
        <v>49</v>
      </c>
      <c r="I53" s="93"/>
      <c r="J53" s="93"/>
      <c r="K53" s="92">
        <v>96.18</v>
      </c>
      <c r="L53" s="92">
        <f t="shared" si="44"/>
        <v>4712.8200000000006</v>
      </c>
      <c r="M53" s="89"/>
      <c r="N53" s="89">
        <v>4</v>
      </c>
      <c r="O53" s="89">
        <v>1166</v>
      </c>
      <c r="P53" s="89">
        <v>25</v>
      </c>
      <c r="Q53" s="233">
        <f t="shared" si="16"/>
        <v>0.125</v>
      </c>
      <c r="R53" s="92">
        <f t="shared" si="17"/>
        <v>3.125E-2</v>
      </c>
      <c r="S53" s="93">
        <v>1</v>
      </c>
      <c r="T53" s="93">
        <v>0</v>
      </c>
      <c r="U53" s="92">
        <f t="shared" si="18"/>
        <v>1</v>
      </c>
      <c r="V53" s="93">
        <v>1059</v>
      </c>
      <c r="W53" s="93">
        <v>0</v>
      </c>
      <c r="X53" s="92">
        <f t="shared" si="19"/>
        <v>1059</v>
      </c>
      <c r="Y53" s="93">
        <v>1225</v>
      </c>
      <c r="Z53" s="93">
        <v>0</v>
      </c>
      <c r="AA53" s="92">
        <f t="shared" si="20"/>
        <v>1225</v>
      </c>
      <c r="AB53" s="92">
        <f t="shared" si="21"/>
        <v>1166</v>
      </c>
      <c r="AC53" s="234">
        <f t="shared" si="22"/>
        <v>5.4563878226216247E-4</v>
      </c>
      <c r="AD53" s="92">
        <f t="shared" si="23"/>
        <v>96.18</v>
      </c>
      <c r="AE53" s="93">
        <v>459.75</v>
      </c>
      <c r="AF53" s="234">
        <f t="shared" si="24"/>
        <v>0.3753061224489796</v>
      </c>
      <c r="AG53" s="93">
        <v>380.16</v>
      </c>
      <c r="AH53" s="93"/>
      <c r="AI53" s="93"/>
      <c r="AJ53" s="93"/>
      <c r="AK53" s="93"/>
      <c r="AL53" s="122">
        <f t="shared" si="25"/>
        <v>157.27549534495105</v>
      </c>
      <c r="AM53" s="93">
        <v>0</v>
      </c>
      <c r="AN53" s="325">
        <f t="shared" si="45"/>
        <v>50.964462264888283</v>
      </c>
      <c r="AO53" s="95">
        <f t="shared" si="26"/>
        <v>80.670042390160575</v>
      </c>
      <c r="AP53" s="96"/>
      <c r="AQ53" s="97">
        <f t="shared" si="9"/>
        <v>1225</v>
      </c>
      <c r="AR53" s="98">
        <f t="shared" si="37"/>
        <v>96.18</v>
      </c>
      <c r="AS53" s="98">
        <f t="shared" si="11"/>
        <v>459.75</v>
      </c>
      <c r="AT53" s="98">
        <f t="shared" si="12"/>
        <v>380.16</v>
      </c>
      <c r="AU53" s="98">
        <f t="shared" si="27"/>
        <v>0</v>
      </c>
      <c r="AV53" s="98">
        <f t="array" ref="AV53">_xlfn.IFS(U53=0,AO53,U53&lt;0,AO53/-U53,U53&gt;0,AO53/U53)</f>
        <v>80.670042390160575</v>
      </c>
      <c r="AW53" s="234">
        <f t="shared" si="46"/>
        <v>6.585309582870251E-2</v>
      </c>
      <c r="AX53" s="234">
        <f t="shared" si="47"/>
        <v>0.83874030349511919</v>
      </c>
      <c r="AY53" s="99"/>
      <c r="AZ53" s="94">
        <f t="shared" si="15"/>
        <v>3952.8320771178683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8">SUM(F54:J54)</f>
        <v>55</v>
      </c>
      <c r="F54" s="93"/>
      <c r="G54" s="93"/>
      <c r="H54" s="272">
        <v>55</v>
      </c>
      <c r="I54" s="93"/>
      <c r="J54" s="93"/>
      <c r="K54" s="93">
        <v>123.09</v>
      </c>
      <c r="L54" s="92">
        <f t="shared" si="44"/>
        <v>6769.95</v>
      </c>
      <c r="M54" s="89"/>
      <c r="N54" s="89">
        <v>5</v>
      </c>
      <c r="O54" s="89">
        <v>998</v>
      </c>
      <c r="P54" s="89">
        <v>60</v>
      </c>
      <c r="Q54" s="233">
        <f t="shared" si="16"/>
        <v>0.15625</v>
      </c>
      <c r="R54" s="92">
        <f t="shared" si="17"/>
        <v>3.125E-2</v>
      </c>
      <c r="S54" s="93">
        <v>1</v>
      </c>
      <c r="T54" s="93">
        <v>0</v>
      </c>
      <c r="U54" s="92">
        <f t="shared" si="18"/>
        <v>1</v>
      </c>
      <c r="V54" s="93">
        <v>709</v>
      </c>
      <c r="W54" s="93">
        <v>0</v>
      </c>
      <c r="X54" s="92">
        <f t="shared" si="19"/>
        <v>709</v>
      </c>
      <c r="Y54" s="93">
        <v>968.06</v>
      </c>
      <c r="Z54" s="93">
        <v>0</v>
      </c>
      <c r="AA54" s="92">
        <f t="shared" si="20"/>
        <v>968.06</v>
      </c>
      <c r="AB54" s="92">
        <f t="shared" si="21"/>
        <v>2994</v>
      </c>
      <c r="AC54" s="234">
        <f t="shared" si="22"/>
        <v>4.3119271800547669E-4</v>
      </c>
      <c r="AD54" s="92">
        <f t="shared" si="23"/>
        <v>123.09</v>
      </c>
      <c r="AE54" s="93">
        <v>364.28</v>
      </c>
      <c r="AF54" s="234">
        <f t="shared" si="24"/>
        <v>0.3762989897320414</v>
      </c>
      <c r="AG54" s="93">
        <v>158.75</v>
      </c>
      <c r="AH54" s="93"/>
      <c r="AI54" s="93"/>
      <c r="AJ54" s="93"/>
      <c r="AK54" s="93"/>
      <c r="AL54" s="122">
        <f t="shared" si="25"/>
        <v>176.53371926474099</v>
      </c>
      <c r="AM54" s="93">
        <v>0</v>
      </c>
      <c r="AN54" s="325">
        <f t="shared" si="45"/>
        <v>40.274822318487956</v>
      </c>
      <c r="AO54" s="95">
        <f t="shared" si="26"/>
        <v>105.13145841677098</v>
      </c>
      <c r="AP54" s="96"/>
      <c r="AQ54" s="97">
        <f t="shared" si="9"/>
        <v>968.06</v>
      </c>
      <c r="AR54" s="98">
        <f t="shared" si="37"/>
        <v>123.09</v>
      </c>
      <c r="AS54" s="98">
        <f t="shared" si="11"/>
        <v>364.28</v>
      </c>
      <c r="AT54" s="98">
        <f t="shared" si="12"/>
        <v>158.75</v>
      </c>
      <c r="AU54" s="98">
        <f t="shared" si="27"/>
        <v>0</v>
      </c>
      <c r="AV54" s="98">
        <f t="array" ref="AV54">_xlfn.IFS(U54=0,AO54,U54&lt;0,AO54/-U54,U54&gt;0,AO54/U54)</f>
        <v>105.13145841677098</v>
      </c>
      <c r="AW54" s="234">
        <f t="shared" si="46"/>
        <v>0.10860014711564468</v>
      </c>
      <c r="AX54" s="234">
        <f t="shared" si="47"/>
        <v>0.85410235126144263</v>
      </c>
      <c r="AY54" s="99"/>
      <c r="AZ54" s="94">
        <f t="shared" si="15"/>
        <v>5782.2302129224045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8"/>
        <v>1</v>
      </c>
      <c r="F55" s="93"/>
      <c r="G55" s="93"/>
      <c r="H55" s="272">
        <v>1</v>
      </c>
      <c r="I55" s="93"/>
      <c r="J55" s="93"/>
      <c r="K55" s="93">
        <v>158.19</v>
      </c>
      <c r="L55" s="92">
        <f t="shared" si="44"/>
        <v>158.19</v>
      </c>
      <c r="M55" s="89"/>
      <c r="N55" s="89">
        <v>1</v>
      </c>
      <c r="O55" s="89">
        <v>1049</v>
      </c>
      <c r="P55" s="89">
        <v>0</v>
      </c>
      <c r="Q55" s="233">
        <f t="shared" si="16"/>
        <v>3.125E-2</v>
      </c>
      <c r="R55" s="92">
        <f t="shared" si="17"/>
        <v>0</v>
      </c>
      <c r="S55" s="93">
        <v>0</v>
      </c>
      <c r="T55" s="93">
        <v>0</v>
      </c>
      <c r="U55" s="92">
        <f t="shared" si="18"/>
        <v>0</v>
      </c>
      <c r="V55" s="93">
        <v>0</v>
      </c>
      <c r="W55" s="93">
        <v>0</v>
      </c>
      <c r="X55" s="92">
        <f t="shared" si="19"/>
        <v>0</v>
      </c>
      <c r="Y55" s="93">
        <v>0</v>
      </c>
      <c r="Z55" s="93">
        <v>0</v>
      </c>
      <c r="AA55" s="92">
        <f t="shared" si="20"/>
        <v>0</v>
      </c>
      <c r="AB55" s="92">
        <f t="shared" si="21"/>
        <v>0</v>
      </c>
      <c r="AC55" s="234">
        <f t="shared" si="22"/>
        <v>0</v>
      </c>
      <c r="AD55" s="92">
        <f t="shared" si="23"/>
        <v>0</v>
      </c>
      <c r="AE55" s="93">
        <v>0</v>
      </c>
      <c r="AF55" s="234">
        <f t="shared" si="24"/>
        <v>0</v>
      </c>
      <c r="AG55" s="93">
        <v>93.93</v>
      </c>
      <c r="AH55" s="93"/>
      <c r="AI55" s="93"/>
      <c r="AJ55" s="93"/>
      <c r="AK55" s="93"/>
      <c r="AL55" s="122">
        <f t="shared" si="25"/>
        <v>3.2097039866316543</v>
      </c>
      <c r="AM55" s="93">
        <v>0</v>
      </c>
      <c r="AN55" s="325">
        <f t="shared" si="45"/>
        <v>0</v>
      </c>
      <c r="AO55" s="95">
        <f t="shared" si="26"/>
        <v>-97.139703986631659</v>
      </c>
      <c r="AP55" s="96"/>
      <c r="AQ55" s="97">
        <f t="shared" si="9"/>
        <v>0</v>
      </c>
      <c r="AR55" s="98">
        <f t="shared" si="37"/>
        <v>158.19</v>
      </c>
      <c r="AS55" s="98">
        <f t="shared" si="11"/>
        <v>0</v>
      </c>
      <c r="AT55" s="98">
        <f t="shared" si="12"/>
        <v>93.93</v>
      </c>
      <c r="AU55" s="98">
        <f t="shared" si="27"/>
        <v>0</v>
      </c>
      <c r="AV55" s="98">
        <f t="array" ref="AV55">_xlfn.IFS(U55=0,AO55,U55&lt;0,AO55/-U55,U55&gt;0,AO55/U55)</f>
        <v>-97.139703986631659</v>
      </c>
      <c r="AW55" s="234">
        <f t="shared" si="46"/>
        <v>0</v>
      </c>
      <c r="AX55" s="234">
        <f t="shared" si="47"/>
        <v>-0.61406981469518718</v>
      </c>
      <c r="AY55" s="99"/>
      <c r="AZ55" s="94">
        <f t="shared" si="15"/>
        <v>-97.139703986631659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8"/>
        <v>2</v>
      </c>
      <c r="F56" s="93"/>
      <c r="G56" s="93"/>
      <c r="H56" s="272">
        <v>2</v>
      </c>
      <c r="I56" s="93"/>
      <c r="J56" s="93"/>
      <c r="K56" s="93">
        <v>152.34</v>
      </c>
      <c r="L56" s="92">
        <f t="shared" si="44"/>
        <v>304.68</v>
      </c>
      <c r="M56" s="89"/>
      <c r="N56" s="89">
        <v>6</v>
      </c>
      <c r="O56" s="89">
        <v>1049</v>
      </c>
      <c r="P56" s="89">
        <v>0</v>
      </c>
      <c r="Q56" s="233">
        <f t="shared" si="16"/>
        <v>0.1875</v>
      </c>
      <c r="R56" s="92">
        <f t="shared" si="17"/>
        <v>0</v>
      </c>
      <c r="S56" s="93">
        <v>0</v>
      </c>
      <c r="T56" s="93">
        <v>0</v>
      </c>
      <c r="U56" s="92">
        <f t="shared" si="18"/>
        <v>0</v>
      </c>
      <c r="V56" s="93">
        <v>0</v>
      </c>
      <c r="W56" s="93">
        <v>0</v>
      </c>
      <c r="X56" s="92">
        <f t="shared" si="19"/>
        <v>0</v>
      </c>
      <c r="Y56" s="93">
        <v>0</v>
      </c>
      <c r="Z56" s="93">
        <v>0</v>
      </c>
      <c r="AA56" s="92">
        <f t="shared" si="20"/>
        <v>0</v>
      </c>
      <c r="AB56" s="92">
        <f t="shared" si="21"/>
        <v>0</v>
      </c>
      <c r="AC56" s="234">
        <f t="shared" si="22"/>
        <v>0</v>
      </c>
      <c r="AD56" s="92">
        <f t="shared" si="23"/>
        <v>0</v>
      </c>
      <c r="AE56" s="93">
        <v>0</v>
      </c>
      <c r="AF56" s="234">
        <f t="shared" si="24"/>
        <v>0</v>
      </c>
      <c r="AG56" s="93">
        <v>402.44</v>
      </c>
      <c r="AH56" s="93"/>
      <c r="AI56" s="93"/>
      <c r="AJ56" s="93"/>
      <c r="AK56" s="93"/>
      <c r="AL56" s="122">
        <f t="shared" si="25"/>
        <v>6.4194079732633087</v>
      </c>
      <c r="AM56" s="93">
        <v>0</v>
      </c>
      <c r="AN56" s="325">
        <f t="shared" si="45"/>
        <v>0</v>
      </c>
      <c r="AO56" s="95">
        <f t="shared" si="26"/>
        <v>-408.85940797326333</v>
      </c>
      <c r="AP56" s="96"/>
      <c r="AQ56" s="97">
        <f t="shared" si="9"/>
        <v>0</v>
      </c>
      <c r="AR56" s="98">
        <f t="shared" si="37"/>
        <v>152.34</v>
      </c>
      <c r="AS56" s="98">
        <f t="shared" si="11"/>
        <v>0</v>
      </c>
      <c r="AT56" s="98">
        <f t="shared" si="12"/>
        <v>402.44</v>
      </c>
      <c r="AU56" s="98">
        <f t="shared" si="27"/>
        <v>0</v>
      </c>
      <c r="AV56" s="98">
        <f t="array" ref="AV56">_xlfn.IFS(U56=0,AO56,U56&lt;0,AO56/-U56,U56&gt;0,AO56/U56)</f>
        <v>-408.85940797326333</v>
      </c>
      <c r="AW56" s="234">
        <f t="shared" si="46"/>
        <v>0</v>
      </c>
      <c r="AX56" s="234">
        <f t="shared" si="47"/>
        <v>-2.6838611525092775</v>
      </c>
      <c r="AY56" s="99"/>
      <c r="AZ56" s="94">
        <f t="shared" si="15"/>
        <v>-817.71881594652666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8"/>
        <v>0</v>
      </c>
      <c r="F57" s="93"/>
      <c r="G57" s="93"/>
      <c r="H57" s="272">
        <v>0</v>
      </c>
      <c r="I57" s="93"/>
      <c r="J57" s="93"/>
      <c r="K57" s="93">
        <v>93.84</v>
      </c>
      <c r="L57" s="92">
        <f t="shared" si="44"/>
        <v>0</v>
      </c>
      <c r="M57" s="89"/>
      <c r="N57" s="89"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v>0</v>
      </c>
      <c r="T57" s="93">
        <v>0</v>
      </c>
      <c r="U57" s="92">
        <f t="shared" si="18"/>
        <v>0</v>
      </c>
      <c r="V57" s="93">
        <v>0</v>
      </c>
      <c r="W57" s="93">
        <v>0</v>
      </c>
      <c r="X57" s="92">
        <f t="shared" si="19"/>
        <v>0</v>
      </c>
      <c r="Y57" s="93">
        <v>0</v>
      </c>
      <c r="Z57" s="93">
        <v>0</v>
      </c>
      <c r="AA57" s="92">
        <f t="shared" si="20"/>
        <v>0</v>
      </c>
      <c r="AB57" s="92">
        <f t="shared" si="21"/>
        <v>0</v>
      </c>
      <c r="AC57" s="234">
        <f t="shared" si="22"/>
        <v>0</v>
      </c>
      <c r="AD57" s="92">
        <f t="shared" si="23"/>
        <v>0</v>
      </c>
      <c r="AE57" s="93">
        <v>0</v>
      </c>
      <c r="AF57" s="234">
        <f t="shared" si="24"/>
        <v>0</v>
      </c>
      <c r="AG57" s="93">
        <v>0</v>
      </c>
      <c r="AH57" s="93"/>
      <c r="AI57" s="93"/>
      <c r="AJ57" s="93"/>
      <c r="AK57" s="93"/>
      <c r="AL57" s="122">
        <f t="shared" si="25"/>
        <v>0</v>
      </c>
      <c r="AM57" s="93">
        <v>0</v>
      </c>
      <c r="AN57" s="325">
        <f t="shared" si="45"/>
        <v>0</v>
      </c>
      <c r="AO57" s="95">
        <f t="shared" si="26"/>
        <v>0</v>
      </c>
      <c r="AP57" s="96"/>
      <c r="AQ57" s="97">
        <f t="shared" si="9"/>
        <v>0</v>
      </c>
      <c r="AR57" s="98">
        <f t="shared" si="37"/>
        <v>93.84</v>
      </c>
      <c r="AS57" s="98">
        <f t="shared" si="11"/>
        <v>0</v>
      </c>
      <c r="AT57" s="98">
        <f t="shared" si="12"/>
        <v>0</v>
      </c>
      <c r="AU57" s="98">
        <f t="shared" si="27"/>
        <v>0</v>
      </c>
      <c r="AV57" s="98">
        <f t="array" ref="AV57">_xlfn.IFS(U57=0,AO57,U57&lt;0,AO57/-U57,U57&gt;0,AO57/U57)</f>
        <v>0</v>
      </c>
      <c r="AW57" s="234">
        <f t="shared" si="46"/>
        <v>0</v>
      </c>
      <c r="AX57" s="234">
        <f t="shared" si="47"/>
        <v>0</v>
      </c>
      <c r="AY57" s="99"/>
      <c r="AZ57" s="94">
        <f t="shared" si="15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8"/>
        <v>50</v>
      </c>
      <c r="F58" s="93"/>
      <c r="G58" s="93"/>
      <c r="H58" s="272">
        <v>50</v>
      </c>
      <c r="I58" s="93"/>
      <c r="J58" s="93"/>
      <c r="K58" s="93">
        <v>169.89</v>
      </c>
      <c r="L58" s="92">
        <f t="shared" si="44"/>
        <v>8494.5</v>
      </c>
      <c r="M58" s="89"/>
      <c r="N58" s="89">
        <v>2</v>
      </c>
      <c r="O58" s="89">
        <v>1039</v>
      </c>
      <c r="P58" s="89">
        <v>100</v>
      </c>
      <c r="Q58" s="233">
        <f t="shared" si="16"/>
        <v>6.25E-2</v>
      </c>
      <c r="R58" s="92">
        <f t="shared" si="17"/>
        <v>3.125E-2</v>
      </c>
      <c r="S58" s="93">
        <v>1</v>
      </c>
      <c r="T58" s="93">
        <v>0</v>
      </c>
      <c r="U58" s="92">
        <f t="shared" si="18"/>
        <v>1</v>
      </c>
      <c r="V58" s="93">
        <v>704</v>
      </c>
      <c r="W58" s="93">
        <v>0</v>
      </c>
      <c r="X58" s="92">
        <f t="shared" si="19"/>
        <v>704</v>
      </c>
      <c r="Y58" s="93">
        <v>1039</v>
      </c>
      <c r="Z58" s="93">
        <v>0</v>
      </c>
      <c r="AA58" s="92">
        <f t="shared" si="20"/>
        <v>1039</v>
      </c>
      <c r="AB58" s="92">
        <f t="shared" si="21"/>
        <v>2078</v>
      </c>
      <c r="AC58" s="234">
        <f t="shared" si="22"/>
        <v>4.6279077124113208E-4</v>
      </c>
      <c r="AD58" s="92">
        <f t="shared" si="23"/>
        <v>169.89</v>
      </c>
      <c r="AE58" s="93">
        <v>369.05999999999995</v>
      </c>
      <c r="AF58" s="234">
        <f t="shared" si="24"/>
        <v>0.35520692974013468</v>
      </c>
      <c r="AG58" s="93">
        <v>46.4</v>
      </c>
      <c r="AH58" s="93"/>
      <c r="AI58" s="93"/>
      <c r="AJ58" s="93"/>
      <c r="AK58" s="93"/>
      <c r="AL58" s="122">
        <f t="shared" si="25"/>
        <v>160.48519933158272</v>
      </c>
      <c r="AM58" s="93">
        <v>0</v>
      </c>
      <c r="AN58" s="325">
        <f t="shared" si="45"/>
        <v>43.226184729158305</v>
      </c>
      <c r="AO58" s="95">
        <f t="shared" si="26"/>
        <v>249.93861593925902</v>
      </c>
      <c r="AP58" s="96"/>
      <c r="AQ58" s="97">
        <f t="shared" si="9"/>
        <v>1039</v>
      </c>
      <c r="AR58" s="98">
        <f t="shared" si="37"/>
        <v>169.89</v>
      </c>
      <c r="AS58" s="98">
        <f t="shared" si="11"/>
        <v>369.05999999999995</v>
      </c>
      <c r="AT58" s="98">
        <f t="shared" si="12"/>
        <v>46.4</v>
      </c>
      <c r="AU58" s="98">
        <f t="shared" si="27"/>
        <v>0</v>
      </c>
      <c r="AV58" s="98">
        <f t="array" ref="AV58">_xlfn.IFS(U58=0,AO58,U58&lt;0,AO58/-U58,U58&gt;0,AO58/U58)</f>
        <v>249.93861593925902</v>
      </c>
      <c r="AW58" s="234">
        <f t="shared" si="46"/>
        <v>0.24055689695790089</v>
      </c>
      <c r="AX58" s="234">
        <f t="shared" si="47"/>
        <v>1.471179091996345</v>
      </c>
      <c r="AY58" s="99"/>
      <c r="AZ58" s="94">
        <f t="shared" si="15"/>
        <v>12496.930796962952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8"/>
        <v>0</v>
      </c>
      <c r="F59" s="93"/>
      <c r="G59" s="93"/>
      <c r="H59" s="272">
        <v>0</v>
      </c>
      <c r="I59" s="93"/>
      <c r="J59" s="93"/>
      <c r="K59" s="93">
        <v>158.19</v>
      </c>
      <c r="L59" s="92">
        <f t="shared" si="44"/>
        <v>0</v>
      </c>
      <c r="M59" s="89"/>
      <c r="N59" s="89"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v>0</v>
      </c>
      <c r="T59" s="93">
        <v>0</v>
      </c>
      <c r="U59" s="92">
        <f t="shared" si="18"/>
        <v>0</v>
      </c>
      <c r="V59" s="93">
        <v>0</v>
      </c>
      <c r="W59" s="93">
        <v>0</v>
      </c>
      <c r="X59" s="92">
        <f t="shared" si="19"/>
        <v>0</v>
      </c>
      <c r="Y59" s="93">
        <v>0</v>
      </c>
      <c r="Z59" s="93">
        <v>0</v>
      </c>
      <c r="AA59" s="92">
        <f t="shared" si="20"/>
        <v>0</v>
      </c>
      <c r="AB59" s="92">
        <f t="shared" si="21"/>
        <v>0</v>
      </c>
      <c r="AC59" s="234">
        <f t="shared" si="22"/>
        <v>0</v>
      </c>
      <c r="AD59" s="92">
        <f t="shared" si="23"/>
        <v>0</v>
      </c>
      <c r="AE59" s="93">
        <v>0</v>
      </c>
      <c r="AF59" s="234">
        <f t="shared" si="24"/>
        <v>0</v>
      </c>
      <c r="AG59" s="93">
        <v>0</v>
      </c>
      <c r="AH59" s="93"/>
      <c r="AI59" s="93"/>
      <c r="AJ59" s="93"/>
      <c r="AK59" s="93"/>
      <c r="AL59" s="122">
        <f t="shared" si="25"/>
        <v>0</v>
      </c>
      <c r="AM59" s="93">
        <v>0</v>
      </c>
      <c r="AN59" s="325">
        <f t="shared" si="45"/>
        <v>0</v>
      </c>
      <c r="AO59" s="95">
        <f t="shared" si="26"/>
        <v>0</v>
      </c>
      <c r="AP59" s="96"/>
      <c r="AQ59" s="97">
        <f t="shared" si="9"/>
        <v>0</v>
      </c>
      <c r="AR59" s="98">
        <f t="shared" si="37"/>
        <v>158.19</v>
      </c>
      <c r="AS59" s="98">
        <f t="shared" si="11"/>
        <v>0</v>
      </c>
      <c r="AT59" s="98">
        <f t="shared" si="12"/>
        <v>0</v>
      </c>
      <c r="AU59" s="98">
        <f t="shared" si="27"/>
        <v>0</v>
      </c>
      <c r="AV59" s="98">
        <f t="array" ref="AV59">_xlfn.IFS(U59=0,AO59,U59&lt;0,AO59/-U59,U59&gt;0,AO59/U59)</f>
        <v>0</v>
      </c>
      <c r="AW59" s="234">
        <f t="shared" si="46"/>
        <v>0</v>
      </c>
      <c r="AX59" s="234">
        <f t="shared" si="47"/>
        <v>0</v>
      </c>
      <c r="AY59" s="99"/>
      <c r="AZ59" s="94">
        <f t="shared" si="15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8"/>
        <v>28</v>
      </c>
      <c r="F60" s="93"/>
      <c r="G60" s="93"/>
      <c r="H60" s="272">
        <v>28</v>
      </c>
      <c r="I60" s="93"/>
      <c r="J60" s="93"/>
      <c r="K60" s="93">
        <v>158.19</v>
      </c>
      <c r="L60" s="92">
        <f t="shared" si="44"/>
        <v>4429.32</v>
      </c>
      <c r="M60" s="89"/>
      <c r="N60" s="89">
        <v>4</v>
      </c>
      <c r="O60" s="89">
        <v>1048</v>
      </c>
      <c r="P60" s="89">
        <v>0</v>
      </c>
      <c r="Q60" s="233">
        <f t="shared" si="16"/>
        <v>0.125</v>
      </c>
      <c r="R60" s="92">
        <f t="shared" si="17"/>
        <v>0</v>
      </c>
      <c r="S60" s="93">
        <v>0</v>
      </c>
      <c r="T60" s="93">
        <v>0</v>
      </c>
      <c r="U60" s="92">
        <f t="shared" si="18"/>
        <v>0</v>
      </c>
      <c r="V60" s="93">
        <v>0</v>
      </c>
      <c r="W60" s="93">
        <v>0</v>
      </c>
      <c r="X60" s="92">
        <f t="shared" si="19"/>
        <v>0</v>
      </c>
      <c r="Y60" s="93">
        <v>0</v>
      </c>
      <c r="Z60" s="93">
        <v>0</v>
      </c>
      <c r="AA60" s="92">
        <f t="shared" si="20"/>
        <v>0</v>
      </c>
      <c r="AB60" s="92">
        <f t="shared" si="21"/>
        <v>0</v>
      </c>
      <c r="AC60" s="234">
        <f t="shared" si="22"/>
        <v>0</v>
      </c>
      <c r="AD60" s="92">
        <f t="shared" si="23"/>
        <v>0</v>
      </c>
      <c r="AE60" s="93">
        <v>0</v>
      </c>
      <c r="AF60" s="234">
        <f t="shared" si="24"/>
        <v>0</v>
      </c>
      <c r="AG60" s="93">
        <v>187.4</v>
      </c>
      <c r="AH60" s="93"/>
      <c r="AI60" s="93"/>
      <c r="AJ60" s="93"/>
      <c r="AK60" s="93"/>
      <c r="AL60" s="122">
        <f t="shared" si="25"/>
        <v>89.871711625686331</v>
      </c>
      <c r="AM60" s="93">
        <v>0</v>
      </c>
      <c r="AN60" s="325">
        <f t="shared" si="45"/>
        <v>0</v>
      </c>
      <c r="AO60" s="95">
        <f t="shared" si="26"/>
        <v>-277.27171162568635</v>
      </c>
      <c r="AP60" s="96"/>
      <c r="AQ60" s="97">
        <f t="shared" si="9"/>
        <v>0</v>
      </c>
      <c r="AR60" s="98">
        <f t="shared" si="37"/>
        <v>158.19</v>
      </c>
      <c r="AS60" s="98">
        <f t="shared" si="11"/>
        <v>0</v>
      </c>
      <c r="AT60" s="98">
        <f t="shared" si="12"/>
        <v>187.4</v>
      </c>
      <c r="AU60" s="98">
        <f t="shared" si="27"/>
        <v>0</v>
      </c>
      <c r="AV60" s="98">
        <f t="array" ref="AV60">_xlfn.IFS(U60=0,AO60,U60&lt;0,AO60/-U60,U60&gt;0,AO60/U60)</f>
        <v>-277.27171162568635</v>
      </c>
      <c r="AW60" s="234">
        <f t="shared" si="46"/>
        <v>0</v>
      </c>
      <c r="AX60" s="234">
        <f t="shared" si="47"/>
        <v>-1.7527764816087386</v>
      </c>
      <c r="AY60" s="99"/>
      <c r="AZ60" s="94">
        <f t="shared" si="15"/>
        <v>-7763.607925519218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8"/>
        <v>163</v>
      </c>
      <c r="F61" s="93"/>
      <c r="G61" s="93"/>
      <c r="H61" s="272">
        <v>163</v>
      </c>
      <c r="I61" s="93"/>
      <c r="J61" s="93"/>
      <c r="K61" s="93">
        <v>128.94</v>
      </c>
      <c r="L61" s="92">
        <f t="shared" si="44"/>
        <v>21017.22</v>
      </c>
      <c r="M61" s="89"/>
      <c r="N61" s="89">
        <v>1</v>
      </c>
      <c r="O61" s="89">
        <v>948</v>
      </c>
      <c r="P61" s="89">
        <v>0</v>
      </c>
      <c r="Q61" s="233">
        <f t="shared" si="16"/>
        <v>3.125E-2</v>
      </c>
      <c r="R61" s="92">
        <f t="shared" si="17"/>
        <v>0</v>
      </c>
      <c r="S61" s="93">
        <v>0</v>
      </c>
      <c r="T61" s="93">
        <v>0</v>
      </c>
      <c r="U61" s="92">
        <f t="shared" si="18"/>
        <v>0</v>
      </c>
      <c r="V61" s="93">
        <v>0</v>
      </c>
      <c r="W61" s="93">
        <v>0</v>
      </c>
      <c r="X61" s="92">
        <f t="shared" si="19"/>
        <v>0</v>
      </c>
      <c r="Y61" s="93">
        <v>0</v>
      </c>
      <c r="Z61" s="93">
        <v>0</v>
      </c>
      <c r="AA61" s="92">
        <f t="shared" si="20"/>
        <v>0</v>
      </c>
      <c r="AB61" s="92">
        <f t="shared" si="21"/>
        <v>0</v>
      </c>
      <c r="AC61" s="234">
        <f t="shared" si="22"/>
        <v>0</v>
      </c>
      <c r="AD61" s="92">
        <f t="shared" si="23"/>
        <v>0</v>
      </c>
      <c r="AE61" s="93">
        <v>0</v>
      </c>
      <c r="AF61" s="234">
        <f t="shared" si="24"/>
        <v>0</v>
      </c>
      <c r="AG61" s="93">
        <v>0</v>
      </c>
      <c r="AH61" s="93"/>
      <c r="AI61" s="93"/>
      <c r="AJ61" s="93"/>
      <c r="AK61" s="93"/>
      <c r="AL61" s="122">
        <f t="shared" si="25"/>
        <v>523.18174982095968</v>
      </c>
      <c r="AM61" s="93">
        <v>0</v>
      </c>
      <c r="AN61" s="325">
        <f t="shared" si="45"/>
        <v>0</v>
      </c>
      <c r="AO61" s="95">
        <f t="shared" si="26"/>
        <v>-523.18174982095968</v>
      </c>
      <c r="AP61" s="96"/>
      <c r="AQ61" s="97">
        <f t="shared" si="9"/>
        <v>0</v>
      </c>
      <c r="AR61" s="98">
        <f t="shared" si="37"/>
        <v>128.94</v>
      </c>
      <c r="AS61" s="98">
        <f t="shared" si="11"/>
        <v>0</v>
      </c>
      <c r="AT61" s="98">
        <f t="shared" si="12"/>
        <v>0</v>
      </c>
      <c r="AU61" s="98">
        <f t="shared" si="27"/>
        <v>0</v>
      </c>
      <c r="AV61" s="98">
        <f t="array" ref="AV61">_xlfn.IFS(U61=0,AO61,U61&lt;0,AO61/-U61,U61&gt;0,AO61/U61)</f>
        <v>-523.18174982095968</v>
      </c>
      <c r="AW61" s="234">
        <f t="shared" si="46"/>
        <v>0</v>
      </c>
      <c r="AX61" s="234">
        <f t="shared" si="47"/>
        <v>-4.0575597163095987</v>
      </c>
      <c r="AY61" s="99"/>
      <c r="AZ61" s="94">
        <f t="shared" si="15"/>
        <v>-85278.625220816422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8"/>
        <v>0</v>
      </c>
      <c r="F62" s="93"/>
      <c r="G62" s="93"/>
      <c r="H62" s="272">
        <v>0</v>
      </c>
      <c r="I62" s="93"/>
      <c r="J62" s="93"/>
      <c r="K62" s="93">
        <v>175.74</v>
      </c>
      <c r="L62" s="92">
        <f t="shared" si="44"/>
        <v>0</v>
      </c>
      <c r="M62" s="89"/>
      <c r="N62" s="89"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v>0</v>
      </c>
      <c r="T62" s="93">
        <v>0</v>
      </c>
      <c r="U62" s="92">
        <f t="shared" si="18"/>
        <v>0</v>
      </c>
      <c r="V62" s="93">
        <v>0</v>
      </c>
      <c r="W62" s="93">
        <v>0</v>
      </c>
      <c r="X62" s="92">
        <f t="shared" si="19"/>
        <v>0</v>
      </c>
      <c r="Y62" s="93">
        <v>0</v>
      </c>
      <c r="Z62" s="93">
        <v>0</v>
      </c>
      <c r="AA62" s="92">
        <f t="shared" si="20"/>
        <v>0</v>
      </c>
      <c r="AB62" s="92">
        <f t="shared" si="21"/>
        <v>0</v>
      </c>
      <c r="AC62" s="234">
        <f t="shared" si="22"/>
        <v>0</v>
      </c>
      <c r="AD62" s="92">
        <f t="shared" si="23"/>
        <v>0</v>
      </c>
      <c r="AE62" s="93">
        <v>0</v>
      </c>
      <c r="AF62" s="234">
        <f t="shared" si="24"/>
        <v>0</v>
      </c>
      <c r="AG62" s="93">
        <v>0</v>
      </c>
      <c r="AH62" s="93"/>
      <c r="AI62" s="93"/>
      <c r="AJ62" s="93"/>
      <c r="AK62" s="93"/>
      <c r="AL62" s="122">
        <f t="shared" si="25"/>
        <v>0</v>
      </c>
      <c r="AM62" s="93">
        <v>0</v>
      </c>
      <c r="AN62" s="325">
        <f t="shared" si="45"/>
        <v>0</v>
      </c>
      <c r="AO62" s="95">
        <f t="shared" si="26"/>
        <v>0</v>
      </c>
      <c r="AP62" s="96"/>
      <c r="AQ62" s="97">
        <f t="shared" si="9"/>
        <v>0</v>
      </c>
      <c r="AR62" s="98">
        <f t="shared" si="37"/>
        <v>175.74</v>
      </c>
      <c r="AS62" s="98">
        <f t="shared" si="11"/>
        <v>0</v>
      </c>
      <c r="AT62" s="98">
        <f t="shared" si="12"/>
        <v>0</v>
      </c>
      <c r="AU62" s="98">
        <f t="shared" si="27"/>
        <v>0</v>
      </c>
      <c r="AV62" s="98">
        <f t="array" ref="AV62">_xlfn.IFS(U62=0,AO62,U62&lt;0,AO62/-U62,U62&gt;0,AO62/U62)</f>
        <v>0</v>
      </c>
      <c r="AW62" s="234">
        <f t="shared" si="46"/>
        <v>0</v>
      </c>
      <c r="AX62" s="234">
        <f t="shared" si="47"/>
        <v>0</v>
      </c>
      <c r="AY62" s="99"/>
      <c r="AZ62" s="94">
        <f t="shared" si="15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8"/>
        <v>0</v>
      </c>
      <c r="F63" s="93"/>
      <c r="G63" s="93"/>
      <c r="H63" s="272">
        <v>0</v>
      </c>
      <c r="I63" s="93"/>
      <c r="J63" s="93"/>
      <c r="K63" s="93">
        <v>140.63999999999999</v>
      </c>
      <c r="L63" s="92">
        <f t="shared" si="44"/>
        <v>0</v>
      </c>
      <c r="M63" s="89"/>
      <c r="N63" s="89"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v>0</v>
      </c>
      <c r="T63" s="93">
        <v>0</v>
      </c>
      <c r="U63" s="92">
        <f t="shared" si="18"/>
        <v>0</v>
      </c>
      <c r="V63" s="93">
        <v>0</v>
      </c>
      <c r="W63" s="93">
        <v>0</v>
      </c>
      <c r="X63" s="92">
        <f t="shared" si="19"/>
        <v>0</v>
      </c>
      <c r="Y63" s="93">
        <v>0</v>
      </c>
      <c r="Z63" s="93">
        <v>0</v>
      </c>
      <c r="AA63" s="92">
        <f t="shared" si="20"/>
        <v>0</v>
      </c>
      <c r="AB63" s="92">
        <f t="shared" si="21"/>
        <v>0</v>
      </c>
      <c r="AC63" s="234">
        <f t="shared" si="22"/>
        <v>0</v>
      </c>
      <c r="AD63" s="92">
        <f t="shared" si="23"/>
        <v>0</v>
      </c>
      <c r="AE63" s="93">
        <v>0</v>
      </c>
      <c r="AF63" s="234">
        <f t="shared" si="24"/>
        <v>0</v>
      </c>
      <c r="AG63" s="93">
        <v>0</v>
      </c>
      <c r="AH63" s="93"/>
      <c r="AI63" s="93"/>
      <c r="AJ63" s="93"/>
      <c r="AK63" s="93"/>
      <c r="AL63" s="122">
        <f t="shared" si="25"/>
        <v>0</v>
      </c>
      <c r="AM63" s="93">
        <v>0</v>
      </c>
      <c r="AN63" s="325">
        <f t="shared" si="45"/>
        <v>0</v>
      </c>
      <c r="AO63" s="95">
        <f t="shared" si="26"/>
        <v>0</v>
      </c>
      <c r="AP63" s="96"/>
      <c r="AQ63" s="97">
        <f t="shared" si="9"/>
        <v>0</v>
      </c>
      <c r="AR63" s="98">
        <f t="shared" si="37"/>
        <v>140.63999999999999</v>
      </c>
      <c r="AS63" s="98">
        <f t="shared" si="11"/>
        <v>0</v>
      </c>
      <c r="AT63" s="98">
        <f t="shared" si="12"/>
        <v>0</v>
      </c>
      <c r="AU63" s="98">
        <f t="shared" si="27"/>
        <v>0</v>
      </c>
      <c r="AV63" s="98">
        <f t="array" ref="AV63">_xlfn.IFS(U63=0,AO63,U63&lt;0,AO63/-U63,U63&gt;0,AO63/U63)</f>
        <v>0</v>
      </c>
      <c r="AW63" s="234">
        <f t="shared" si="46"/>
        <v>0</v>
      </c>
      <c r="AX63" s="234">
        <f t="shared" si="47"/>
        <v>0</v>
      </c>
      <c r="AY63" s="99"/>
      <c r="AZ63" s="94">
        <f t="shared" si="15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8"/>
        <v>0</v>
      </c>
      <c r="F64" s="93"/>
      <c r="G64" s="93"/>
      <c r="H64" s="272">
        <v>0</v>
      </c>
      <c r="I64" s="93"/>
      <c r="J64" s="93"/>
      <c r="K64" s="93">
        <v>99.69</v>
      </c>
      <c r="L64" s="92">
        <f t="shared" si="44"/>
        <v>0</v>
      </c>
      <c r="M64" s="89"/>
      <c r="N64" s="89"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v>0</v>
      </c>
      <c r="T64" s="93">
        <v>0</v>
      </c>
      <c r="U64" s="92">
        <f t="shared" si="18"/>
        <v>0</v>
      </c>
      <c r="V64" s="93">
        <v>0</v>
      </c>
      <c r="W64" s="93">
        <v>0</v>
      </c>
      <c r="X64" s="92">
        <f t="shared" si="19"/>
        <v>0</v>
      </c>
      <c r="Y64" s="93">
        <v>0</v>
      </c>
      <c r="Z64" s="93">
        <v>0</v>
      </c>
      <c r="AA64" s="92">
        <f t="shared" si="20"/>
        <v>0</v>
      </c>
      <c r="AB64" s="92">
        <f t="shared" si="21"/>
        <v>0</v>
      </c>
      <c r="AC64" s="234">
        <f t="shared" si="22"/>
        <v>0</v>
      </c>
      <c r="AD64" s="92">
        <f t="shared" si="23"/>
        <v>0</v>
      </c>
      <c r="AE64" s="93">
        <v>0</v>
      </c>
      <c r="AF64" s="234">
        <f t="shared" si="24"/>
        <v>0</v>
      </c>
      <c r="AG64" s="93">
        <v>0</v>
      </c>
      <c r="AH64" s="93"/>
      <c r="AI64" s="93"/>
      <c r="AJ64" s="93"/>
      <c r="AK64" s="93"/>
      <c r="AL64" s="122">
        <f t="shared" si="25"/>
        <v>0</v>
      </c>
      <c r="AM64" s="93">
        <v>0</v>
      </c>
      <c r="AN64" s="325">
        <f t="shared" si="45"/>
        <v>0</v>
      </c>
      <c r="AO64" s="95">
        <f t="shared" si="26"/>
        <v>0</v>
      </c>
      <c r="AP64" s="96"/>
      <c r="AQ64" s="97">
        <f t="shared" si="9"/>
        <v>0</v>
      </c>
      <c r="AR64" s="98">
        <f t="shared" si="37"/>
        <v>99.69</v>
      </c>
      <c r="AS64" s="98">
        <f t="shared" si="11"/>
        <v>0</v>
      </c>
      <c r="AT64" s="98">
        <f t="shared" si="12"/>
        <v>0</v>
      </c>
      <c r="AU64" s="98">
        <f t="shared" si="27"/>
        <v>0</v>
      </c>
      <c r="AV64" s="98">
        <f t="array" ref="AV64">_xlfn.IFS(U64=0,AO64,U64&lt;0,AO64/-U64,U64&gt;0,AO64/U64)</f>
        <v>0</v>
      </c>
      <c r="AW64" s="234">
        <f t="shared" si="46"/>
        <v>0</v>
      </c>
      <c r="AX64" s="234">
        <f t="shared" si="47"/>
        <v>0</v>
      </c>
      <c r="AY64" s="99"/>
      <c r="AZ64" s="94">
        <f t="shared" si="15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8"/>
        <v>0</v>
      </c>
      <c r="F65" s="93"/>
      <c r="G65" s="93"/>
      <c r="H65" s="272" t="s">
        <v>100</v>
      </c>
      <c r="I65" s="93"/>
      <c r="J65" s="93"/>
      <c r="K65" s="93">
        <v>99.69</v>
      </c>
      <c r="L65" s="92">
        <f t="shared" si="44"/>
        <v>0</v>
      </c>
      <c r="M65" s="89"/>
      <c r="N65" s="89">
        <v>1</v>
      </c>
      <c r="O65" s="89">
        <v>998</v>
      </c>
      <c r="P65" s="89">
        <v>0</v>
      </c>
      <c r="Q65" s="233">
        <f t="shared" si="16"/>
        <v>3.125E-2</v>
      </c>
      <c r="R65" s="92">
        <f t="shared" si="17"/>
        <v>0</v>
      </c>
      <c r="S65" s="93">
        <v>0</v>
      </c>
      <c r="T65" s="93">
        <v>0</v>
      </c>
      <c r="U65" s="92">
        <f t="shared" si="18"/>
        <v>0</v>
      </c>
      <c r="V65" s="93">
        <v>0</v>
      </c>
      <c r="W65" s="93">
        <v>0</v>
      </c>
      <c r="X65" s="92">
        <f t="shared" si="19"/>
        <v>0</v>
      </c>
      <c r="Y65" s="93">
        <v>0</v>
      </c>
      <c r="Z65" s="93">
        <v>0</v>
      </c>
      <c r="AA65" s="92">
        <f t="shared" si="20"/>
        <v>0</v>
      </c>
      <c r="AB65" s="92">
        <f t="shared" si="21"/>
        <v>0</v>
      </c>
      <c r="AC65" s="234">
        <f t="shared" si="22"/>
        <v>0</v>
      </c>
      <c r="AD65" s="92">
        <f t="shared" si="23"/>
        <v>0</v>
      </c>
      <c r="AE65" s="93">
        <v>0</v>
      </c>
      <c r="AF65" s="234">
        <f t="shared" si="24"/>
        <v>0</v>
      </c>
      <c r="AG65" s="93">
        <v>96.86</v>
      </c>
      <c r="AH65" s="93"/>
      <c r="AI65" s="93"/>
      <c r="AJ65" s="93"/>
      <c r="AK65" s="93"/>
      <c r="AL65" s="122">
        <f t="shared" si="25"/>
        <v>0</v>
      </c>
      <c r="AM65" s="93">
        <v>0</v>
      </c>
      <c r="AN65" s="325">
        <f t="shared" si="45"/>
        <v>0</v>
      </c>
      <c r="AO65" s="95">
        <f t="shared" si="26"/>
        <v>-96.86</v>
      </c>
      <c r="AP65" s="96"/>
      <c r="AQ65" s="97">
        <f t="shared" si="9"/>
        <v>0</v>
      </c>
      <c r="AR65" s="98">
        <f t="shared" si="37"/>
        <v>99.69</v>
      </c>
      <c r="AS65" s="98">
        <f t="shared" si="11"/>
        <v>0</v>
      </c>
      <c r="AT65" s="98">
        <f t="shared" si="12"/>
        <v>96.86</v>
      </c>
      <c r="AU65" s="98">
        <f t="shared" si="27"/>
        <v>0</v>
      </c>
      <c r="AV65" s="98">
        <f t="array" ref="AV65">_xlfn.IFS(U65=0,AO65,U65&lt;0,AO65/-U65,U65&gt;0,AO65/U65)</f>
        <v>-96.86</v>
      </c>
      <c r="AW65" s="234">
        <f t="shared" si="46"/>
        <v>0</v>
      </c>
      <c r="AX65" s="234">
        <f t="shared" si="47"/>
        <v>-0.97161199719129299</v>
      </c>
      <c r="AY65" s="99"/>
      <c r="AZ65" s="94">
        <f t="shared" si="15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8"/>
        <v>2</v>
      </c>
      <c r="F66" s="93"/>
      <c r="G66" s="93"/>
      <c r="H66" s="272">
        <v>2</v>
      </c>
      <c r="I66" s="93"/>
      <c r="J66" s="93"/>
      <c r="K66" s="93">
        <v>97.35</v>
      </c>
      <c r="L66" s="92">
        <f t="shared" si="44"/>
        <v>194.7</v>
      </c>
      <c r="M66" s="89"/>
      <c r="N66" s="89">
        <v>1</v>
      </c>
      <c r="O66" s="89">
        <v>998</v>
      </c>
      <c r="P66" s="89">
        <v>0</v>
      </c>
      <c r="Q66" s="233">
        <f t="shared" si="16"/>
        <v>3.125E-2</v>
      </c>
      <c r="R66" s="92">
        <f t="shared" si="17"/>
        <v>0</v>
      </c>
      <c r="S66" s="93">
        <v>0</v>
      </c>
      <c r="T66" s="93">
        <v>0</v>
      </c>
      <c r="U66" s="92">
        <f t="shared" si="18"/>
        <v>0</v>
      </c>
      <c r="V66" s="93">
        <v>0</v>
      </c>
      <c r="W66" s="93">
        <v>0</v>
      </c>
      <c r="X66" s="92">
        <f t="shared" si="19"/>
        <v>0</v>
      </c>
      <c r="Y66" s="93">
        <v>0</v>
      </c>
      <c r="Z66" s="93">
        <v>0</v>
      </c>
      <c r="AA66" s="92">
        <f t="shared" si="20"/>
        <v>0</v>
      </c>
      <c r="AB66" s="92">
        <f t="shared" si="21"/>
        <v>0</v>
      </c>
      <c r="AC66" s="234">
        <f t="shared" si="22"/>
        <v>0</v>
      </c>
      <c r="AD66" s="92">
        <f t="shared" si="23"/>
        <v>0</v>
      </c>
      <c r="AE66" s="93">
        <v>0</v>
      </c>
      <c r="AF66" s="234">
        <f t="shared" si="24"/>
        <v>0</v>
      </c>
      <c r="AG66" s="93">
        <v>195.75</v>
      </c>
      <c r="AH66" s="93"/>
      <c r="AI66" s="93"/>
      <c r="AJ66" s="93"/>
      <c r="AK66" s="93"/>
      <c r="AL66" s="122">
        <f t="shared" si="25"/>
        <v>6.4194079732633087</v>
      </c>
      <c r="AM66" s="93">
        <v>0</v>
      </c>
      <c r="AN66" s="325">
        <f t="shared" si="45"/>
        <v>0</v>
      </c>
      <c r="AO66" s="95">
        <f t="shared" si="26"/>
        <v>-202.1694079732633</v>
      </c>
      <c r="AP66" s="96"/>
      <c r="AQ66" s="97">
        <f t="shared" si="9"/>
        <v>0</v>
      </c>
      <c r="AR66" s="98">
        <f t="shared" si="37"/>
        <v>97.35</v>
      </c>
      <c r="AS66" s="98">
        <f t="shared" si="11"/>
        <v>0</v>
      </c>
      <c r="AT66" s="98">
        <f t="shared" si="12"/>
        <v>195.75</v>
      </c>
      <c r="AU66" s="98">
        <f t="shared" si="27"/>
        <v>0</v>
      </c>
      <c r="AV66" s="98">
        <f t="array" ref="AV66">_xlfn.IFS(U66=0,AO66,U66&lt;0,AO66/-U66,U66&gt;0,AO66/U66)</f>
        <v>-202.1694079732633</v>
      </c>
      <c r="AW66" s="234">
        <f t="shared" si="46"/>
        <v>0</v>
      </c>
      <c r="AX66" s="234">
        <f t="shared" si="47"/>
        <v>-2.0767273546303371</v>
      </c>
      <c r="AY66" s="99"/>
      <c r="AZ66" s="94">
        <f t="shared" si="15"/>
        <v>-404.33881594652661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8"/>
        <v>10</v>
      </c>
      <c r="F67" s="93"/>
      <c r="G67" s="93"/>
      <c r="H67" s="272">
        <v>10</v>
      </c>
      <c r="I67" s="93"/>
      <c r="J67" s="93"/>
      <c r="K67" s="93">
        <v>161.69999999999999</v>
      </c>
      <c r="L67" s="92">
        <f t="shared" si="44"/>
        <v>1617</v>
      </c>
      <c r="M67" s="89"/>
      <c r="N67" s="89">
        <v>10</v>
      </c>
      <c r="O67" s="89">
        <v>1049</v>
      </c>
      <c r="P67" s="89">
        <v>40</v>
      </c>
      <c r="Q67" s="233">
        <f t="shared" si="16"/>
        <v>0.3125</v>
      </c>
      <c r="R67" s="92">
        <f t="shared" si="17"/>
        <v>9.375E-2</v>
      </c>
      <c r="S67" s="93">
        <v>4</v>
      </c>
      <c r="T67" s="93">
        <v>-1</v>
      </c>
      <c r="U67" s="92">
        <f t="shared" si="18"/>
        <v>3</v>
      </c>
      <c r="V67" s="93">
        <v>2820</v>
      </c>
      <c r="W67" s="93">
        <v>-729</v>
      </c>
      <c r="X67" s="92">
        <f t="shared" si="19"/>
        <v>2091</v>
      </c>
      <c r="Y67" s="93">
        <v>4196</v>
      </c>
      <c r="Z67" s="93">
        <v>-1049</v>
      </c>
      <c r="AA67" s="92">
        <f t="shared" si="20"/>
        <v>3147</v>
      </c>
      <c r="AB67" s="92">
        <f t="shared" si="21"/>
        <v>4196</v>
      </c>
      <c r="AC67" s="234">
        <f t="shared" si="22"/>
        <v>1.4017348961461429E-3</v>
      </c>
      <c r="AD67" s="92">
        <f t="shared" si="23"/>
        <v>485.09999999999997</v>
      </c>
      <c r="AE67" s="93">
        <v>1177.2700000000004</v>
      </c>
      <c r="AF67" s="234">
        <f t="shared" si="24"/>
        <v>0.37409278678106145</v>
      </c>
      <c r="AG67" s="93">
        <v>417.26</v>
      </c>
      <c r="AH67" s="93"/>
      <c r="AI67" s="93"/>
      <c r="AJ67" s="93"/>
      <c r="AK67" s="93"/>
      <c r="AL67" s="122">
        <f t="shared" si="25"/>
        <v>32.097039866316543</v>
      </c>
      <c r="AM67" s="93">
        <v>0</v>
      </c>
      <c r="AN67" s="325">
        <f t="shared" ref="AN67:AN98" si="49">95827.42*Y67/Y$121</f>
        <v>174.56888462324181</v>
      </c>
      <c r="AO67" s="95">
        <f t="shared" si="26"/>
        <v>860.70407551044138</v>
      </c>
      <c r="AP67" s="96"/>
      <c r="AQ67" s="97">
        <f t="shared" si="9"/>
        <v>1049</v>
      </c>
      <c r="AR67" s="98">
        <f t="shared" si="37"/>
        <v>161.69999999999999</v>
      </c>
      <c r="AS67" s="98">
        <f t="shared" si="11"/>
        <v>392.42333333333346</v>
      </c>
      <c r="AT67" s="98">
        <f t="shared" si="12"/>
        <v>104.315</v>
      </c>
      <c r="AU67" s="98">
        <f t="shared" si="27"/>
        <v>0</v>
      </c>
      <c r="AV67" s="98">
        <f t="array" ref="AV67">_xlfn.IFS(U67=0,AO67,U67&lt;0,AO67/-U67,U67&gt;0,AO67/U67)</f>
        <v>286.90135850348048</v>
      </c>
      <c r="AW67" s="234">
        <f t="shared" si="46"/>
        <v>0.27349986511294611</v>
      </c>
      <c r="AX67" s="234">
        <f t="shared" si="47"/>
        <v>1.7742817470839858</v>
      </c>
      <c r="AY67" s="99"/>
      <c r="AZ67" s="94">
        <f t="shared" si="15"/>
        <v>2869.0135850348047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8"/>
        <v>0</v>
      </c>
      <c r="F68" s="93"/>
      <c r="G68" s="93"/>
      <c r="H68" s="272">
        <v>0</v>
      </c>
      <c r="I68" s="93"/>
      <c r="J68" s="93"/>
      <c r="K68" s="93">
        <v>161.69999999999999</v>
      </c>
      <c r="L68" s="92">
        <f t="shared" si="44"/>
        <v>0</v>
      </c>
      <c r="M68" s="89"/>
      <c r="N68" s="89">
        <v>0</v>
      </c>
      <c r="O68" s="89">
        <v>0</v>
      </c>
      <c r="P68" s="89">
        <v>0</v>
      </c>
      <c r="Q68" s="233">
        <f t="shared" ref="Q68:Q98" si="50">N68/32</f>
        <v>0</v>
      </c>
      <c r="R68" s="92">
        <f t="shared" ref="R68:R98" si="51">U68/32</f>
        <v>0</v>
      </c>
      <c r="S68" s="93">
        <v>0</v>
      </c>
      <c r="T68" s="93">
        <v>0</v>
      </c>
      <c r="U68" s="92">
        <f t="shared" ref="U68:U98" si="52">S68+T68</f>
        <v>0</v>
      </c>
      <c r="V68" s="93">
        <v>0</v>
      </c>
      <c r="W68" s="93">
        <v>0</v>
      </c>
      <c r="X68" s="92">
        <f t="shared" ref="X68:X98" si="53">V68+W68</f>
        <v>0</v>
      </c>
      <c r="Y68" s="93">
        <v>0</v>
      </c>
      <c r="Z68" s="93">
        <v>0</v>
      </c>
      <c r="AA68" s="92">
        <f t="shared" ref="AA68:AA98" si="54">Y68+Z68</f>
        <v>0</v>
      </c>
      <c r="AB68" s="92">
        <f t="shared" ref="AB68:AB98" si="55">N68*O68*P68/100</f>
        <v>0</v>
      </c>
      <c r="AC68" s="234">
        <f t="shared" ref="AC68:AC98" si="56">AA68/$AA$121</f>
        <v>0</v>
      </c>
      <c r="AD68" s="92">
        <f t="shared" ref="AD68:AD98" si="57">U68*K68</f>
        <v>0</v>
      </c>
      <c r="AE68" s="93">
        <v>0</v>
      </c>
      <c r="AF68" s="234">
        <f t="shared" ref="AF68:AF98" si="58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9">IFERROR($AL$121*H68/$H$121,0)</f>
        <v>0</v>
      </c>
      <c r="AM68" s="93">
        <v>0</v>
      </c>
      <c r="AN68" s="325">
        <f t="shared" si="49"/>
        <v>0</v>
      </c>
      <c r="AO68" s="95">
        <f t="shared" ref="AO68:AO98" si="60">AA68-AD68-AE68-AG68-AH68-AI68-AK68-AL68-AN68-AM68</f>
        <v>0</v>
      </c>
      <c r="AP68" s="96"/>
      <c r="AQ68" s="97">
        <f t="shared" si="9"/>
        <v>0</v>
      </c>
      <c r="AR68" s="98">
        <f t="shared" si="37"/>
        <v>161.69999999999999</v>
      </c>
      <c r="AS68" s="98">
        <f t="shared" si="11"/>
        <v>0</v>
      </c>
      <c r="AT68" s="98">
        <f t="shared" si="12"/>
        <v>0</v>
      </c>
      <c r="AU68" s="98">
        <f t="shared" si="27"/>
        <v>0</v>
      </c>
      <c r="AV68" s="98">
        <f t="array" ref="AV68">_xlfn.IFS(U68=0,AO68,U68&lt;0,AO68/-U68,U68&gt;0,AO68/U68)</f>
        <v>0</v>
      </c>
      <c r="AW68" s="234">
        <f t="shared" si="46"/>
        <v>0</v>
      </c>
      <c r="AX68" s="234">
        <f t="shared" si="47"/>
        <v>0</v>
      </c>
      <c r="AY68" s="99"/>
      <c r="AZ68" s="94">
        <f t="shared" si="15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8"/>
        <v>12</v>
      </c>
      <c r="F69" s="93"/>
      <c r="G69" s="93"/>
      <c r="H69" s="272">
        <v>12</v>
      </c>
      <c r="I69" s="93"/>
      <c r="J69" s="93"/>
      <c r="K69" s="93">
        <v>140.63999999999999</v>
      </c>
      <c r="L69" s="92">
        <f t="shared" si="44"/>
        <v>1687.6799999999998</v>
      </c>
      <c r="M69" s="89"/>
      <c r="N69" s="89">
        <v>0</v>
      </c>
      <c r="O69" s="89">
        <v>0</v>
      </c>
      <c r="P69" s="89">
        <v>0</v>
      </c>
      <c r="Q69" s="233">
        <f t="shared" si="50"/>
        <v>0</v>
      </c>
      <c r="R69" s="92">
        <f t="shared" si="51"/>
        <v>0</v>
      </c>
      <c r="S69" s="93">
        <v>0</v>
      </c>
      <c r="T69" s="93">
        <v>0</v>
      </c>
      <c r="U69" s="92">
        <f t="shared" si="52"/>
        <v>0</v>
      </c>
      <c r="V69" s="93">
        <v>0</v>
      </c>
      <c r="W69" s="93">
        <v>0</v>
      </c>
      <c r="X69" s="92">
        <f t="shared" si="53"/>
        <v>0</v>
      </c>
      <c r="Y69" s="93">
        <v>0</v>
      </c>
      <c r="Z69" s="93">
        <v>0</v>
      </c>
      <c r="AA69" s="92">
        <f t="shared" si="54"/>
        <v>0</v>
      </c>
      <c r="AB69" s="92">
        <f t="shared" si="55"/>
        <v>0</v>
      </c>
      <c r="AC69" s="234">
        <f t="shared" si="56"/>
        <v>0</v>
      </c>
      <c r="AD69" s="92">
        <f t="shared" si="57"/>
        <v>0</v>
      </c>
      <c r="AE69" s="93">
        <v>0</v>
      </c>
      <c r="AF69" s="234">
        <f t="shared" si="58"/>
        <v>0</v>
      </c>
      <c r="AG69" s="93">
        <v>0</v>
      </c>
      <c r="AH69" s="93"/>
      <c r="AI69" s="93"/>
      <c r="AJ69" s="93"/>
      <c r="AK69" s="93"/>
      <c r="AL69" s="122">
        <f t="shared" si="59"/>
        <v>38.516447839579847</v>
      </c>
      <c r="AM69" s="93">
        <v>0</v>
      </c>
      <c r="AN69" s="325">
        <f t="shared" si="49"/>
        <v>0</v>
      </c>
      <c r="AO69" s="95">
        <f t="shared" si="60"/>
        <v>-38.516447839579847</v>
      </c>
      <c r="AP69" s="96"/>
      <c r="AQ69" s="97">
        <f t="shared" si="9"/>
        <v>0</v>
      </c>
      <c r="AR69" s="98">
        <f t="shared" si="37"/>
        <v>140.63999999999999</v>
      </c>
      <c r="AS69" s="98">
        <f t="shared" si="11"/>
        <v>0</v>
      </c>
      <c r="AT69" s="98">
        <f t="shared" si="12"/>
        <v>0</v>
      </c>
      <c r="AU69" s="98">
        <f t="shared" si="27"/>
        <v>0</v>
      </c>
      <c r="AV69" s="98">
        <f t="array" ref="AV69">_xlfn.IFS(U69=0,AO69,U69&lt;0,AO69/-U69,U69&gt;0,AO69/U69)</f>
        <v>-38.516447839579847</v>
      </c>
      <c r="AW69" s="234">
        <f t="shared" si="46"/>
        <v>0</v>
      </c>
      <c r="AX69" s="234">
        <f t="shared" si="47"/>
        <v>-0.27386552786959506</v>
      </c>
      <c r="AY69" s="99"/>
      <c r="AZ69" s="94">
        <f t="shared" si="15"/>
        <v>-462.19737407495813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8"/>
        <v>9</v>
      </c>
      <c r="F70" s="93"/>
      <c r="G70" s="93"/>
      <c r="H70" s="272">
        <v>9</v>
      </c>
      <c r="I70" s="93"/>
      <c r="J70" s="93"/>
      <c r="K70" s="93">
        <v>117.24</v>
      </c>
      <c r="L70" s="92">
        <f t="shared" si="44"/>
        <v>1055.1599999999999</v>
      </c>
      <c r="M70" s="89"/>
      <c r="N70" s="89">
        <v>2</v>
      </c>
      <c r="O70" s="89">
        <v>1073</v>
      </c>
      <c r="P70" s="89">
        <v>100</v>
      </c>
      <c r="Q70" s="233">
        <f t="shared" si="50"/>
        <v>6.25E-2</v>
      </c>
      <c r="R70" s="92">
        <f t="shared" si="51"/>
        <v>6.25E-2</v>
      </c>
      <c r="S70" s="93">
        <v>2</v>
      </c>
      <c r="T70" s="93">
        <v>0</v>
      </c>
      <c r="U70" s="92">
        <f t="shared" si="52"/>
        <v>2</v>
      </c>
      <c r="V70" s="93">
        <v>1570</v>
      </c>
      <c r="W70" s="93">
        <v>0</v>
      </c>
      <c r="X70" s="92">
        <f t="shared" si="53"/>
        <v>1570</v>
      </c>
      <c r="Y70" s="93">
        <v>2146</v>
      </c>
      <c r="Z70" s="93">
        <v>0</v>
      </c>
      <c r="AA70" s="92">
        <f t="shared" si="54"/>
        <v>2146</v>
      </c>
      <c r="AB70" s="92">
        <f t="shared" si="55"/>
        <v>2146</v>
      </c>
      <c r="AC70" s="234">
        <f t="shared" si="56"/>
        <v>9.5587006264049028E-4</v>
      </c>
      <c r="AD70" s="92">
        <f t="shared" si="57"/>
        <v>234.48</v>
      </c>
      <c r="AE70" s="93">
        <v>797.76</v>
      </c>
      <c r="AF70" s="234">
        <f t="shared" si="58"/>
        <v>0.37174277726001864</v>
      </c>
      <c r="AG70" s="93">
        <v>90.33</v>
      </c>
      <c r="AH70" s="93"/>
      <c r="AI70" s="93"/>
      <c r="AJ70" s="93"/>
      <c r="AK70" s="93"/>
      <c r="AL70" s="122">
        <f t="shared" si="59"/>
        <v>28.887335879684887</v>
      </c>
      <c r="AM70" s="93">
        <v>0</v>
      </c>
      <c r="AN70" s="325">
        <f t="shared" si="49"/>
        <v>89.281417159551225</v>
      </c>
      <c r="AO70" s="95">
        <f t="shared" si="60"/>
        <v>905.26124696076386</v>
      </c>
      <c r="AP70" s="96"/>
      <c r="AQ70" s="97">
        <f t="shared" si="9"/>
        <v>1073</v>
      </c>
      <c r="AR70" s="98">
        <f t="shared" si="37"/>
        <v>117.24</v>
      </c>
      <c r="AS70" s="98">
        <f t="shared" si="11"/>
        <v>398.88</v>
      </c>
      <c r="AT70" s="98">
        <f t="shared" si="12"/>
        <v>45.164999999999999</v>
      </c>
      <c r="AU70" s="98">
        <f t="shared" si="27"/>
        <v>0</v>
      </c>
      <c r="AV70" s="98">
        <f t="array" ref="AV70">_xlfn.IFS(U70=0,AO70,U70&lt;0,AO70/-U70,U70&gt;0,AO70/U70)</f>
        <v>452.63062348038193</v>
      </c>
      <c r="AW70" s="234">
        <f t="shared" si="46"/>
        <v>0.42183655496773714</v>
      </c>
      <c r="AX70" s="234">
        <f t="shared" si="47"/>
        <v>3.8607183851960247</v>
      </c>
      <c r="AY70" s="99"/>
      <c r="AZ70" s="94">
        <f t="shared" si="15"/>
        <v>4073.6756113234374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8"/>
        <v>21</v>
      </c>
      <c r="F71" s="93"/>
      <c r="G71" s="93"/>
      <c r="H71" s="272">
        <v>21</v>
      </c>
      <c r="I71" s="93"/>
      <c r="J71" s="93"/>
      <c r="K71" s="93">
        <v>123.09</v>
      </c>
      <c r="L71" s="92">
        <f t="shared" si="44"/>
        <v>2584.89</v>
      </c>
      <c r="M71" s="89"/>
      <c r="N71" s="89">
        <v>8</v>
      </c>
      <c r="O71" s="89">
        <v>807</v>
      </c>
      <c r="P71" s="89">
        <v>13</v>
      </c>
      <c r="Q71" s="233">
        <f t="shared" si="50"/>
        <v>0.25</v>
      </c>
      <c r="R71" s="92">
        <f t="shared" si="51"/>
        <v>3.125E-2</v>
      </c>
      <c r="S71" s="93">
        <v>1</v>
      </c>
      <c r="T71" s="93">
        <v>0</v>
      </c>
      <c r="U71" s="92">
        <f t="shared" si="52"/>
        <v>1</v>
      </c>
      <c r="V71" s="93">
        <v>571</v>
      </c>
      <c r="W71" s="93">
        <v>0</v>
      </c>
      <c r="X71" s="92">
        <f t="shared" si="53"/>
        <v>571</v>
      </c>
      <c r="Y71" s="93">
        <v>807</v>
      </c>
      <c r="Z71" s="93">
        <v>0</v>
      </c>
      <c r="AA71" s="92">
        <f t="shared" si="54"/>
        <v>807</v>
      </c>
      <c r="AB71" s="92">
        <f t="shared" si="55"/>
        <v>839.28</v>
      </c>
      <c r="AC71" s="234">
        <f t="shared" si="56"/>
        <v>3.5945346717188985E-4</v>
      </c>
      <c r="AD71" s="92">
        <f t="shared" si="57"/>
        <v>123.09</v>
      </c>
      <c r="AE71" s="93">
        <v>286.74</v>
      </c>
      <c r="AF71" s="234">
        <f t="shared" si="58"/>
        <v>0.35531598513011153</v>
      </c>
      <c r="AG71" s="93">
        <v>543.36</v>
      </c>
      <c r="AH71" s="93"/>
      <c r="AI71" s="93"/>
      <c r="AJ71" s="93"/>
      <c r="AK71" s="93"/>
      <c r="AL71" s="122">
        <f t="shared" si="59"/>
        <v>67.403783719264737</v>
      </c>
      <c r="AM71" s="93">
        <v>0</v>
      </c>
      <c r="AN71" s="325">
        <f t="shared" si="49"/>
        <v>33.574139630828441</v>
      </c>
      <c r="AO71" s="95">
        <f t="shared" si="60"/>
        <v>-247.16792335009325</v>
      </c>
      <c r="AP71" s="96"/>
      <c r="AQ71" s="97">
        <f t="shared" si="9"/>
        <v>807</v>
      </c>
      <c r="AR71" s="98">
        <f t="shared" si="37"/>
        <v>123.09</v>
      </c>
      <c r="AS71" s="98">
        <f t="shared" si="11"/>
        <v>286.74</v>
      </c>
      <c r="AT71" s="98">
        <f t="shared" si="12"/>
        <v>543.36</v>
      </c>
      <c r="AU71" s="98">
        <f t="shared" ref="AU71:AU98" si="61">IF(S71=0,0,(AH71+AI71+AJ71)/S71)</f>
        <v>0</v>
      </c>
      <c r="AV71" s="98">
        <f t="array" ref="AV71">_xlfn.IFS(U71=0,AO71,U71&lt;0,AO71/-U71,U71&gt;0,AO71/U71)</f>
        <v>-247.16792335009325</v>
      </c>
      <c r="AW71" s="234">
        <f t="shared" si="46"/>
        <v>-0.30627995458499785</v>
      </c>
      <c r="AX71" s="234">
        <f t="shared" si="47"/>
        <v>-2.0080260244544093</v>
      </c>
      <c r="AY71" s="99"/>
      <c r="AZ71" s="94">
        <f t="shared" si="15"/>
        <v>-5190.5263903519581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8"/>
        <v>13</v>
      </c>
      <c r="F72" s="93"/>
      <c r="G72" s="93"/>
      <c r="H72" s="272">
        <v>13</v>
      </c>
      <c r="I72" s="93"/>
      <c r="J72" s="93"/>
      <c r="K72" s="93">
        <v>123.09</v>
      </c>
      <c r="L72" s="92">
        <f t="shared" si="44"/>
        <v>1600.17</v>
      </c>
      <c r="M72" s="89"/>
      <c r="N72" s="89">
        <v>10</v>
      </c>
      <c r="O72" s="89">
        <v>849</v>
      </c>
      <c r="P72" s="89">
        <v>30</v>
      </c>
      <c r="Q72" s="233">
        <f t="shared" si="50"/>
        <v>0.3125</v>
      </c>
      <c r="R72" s="92">
        <f t="shared" si="51"/>
        <v>6.25E-2</v>
      </c>
      <c r="S72" s="93">
        <v>2</v>
      </c>
      <c r="T72" s="93">
        <v>0</v>
      </c>
      <c r="U72" s="92">
        <f t="shared" si="52"/>
        <v>2</v>
      </c>
      <c r="V72" s="93">
        <v>1447</v>
      </c>
      <c r="W72" s="93">
        <v>0</v>
      </c>
      <c r="X72" s="92">
        <f t="shared" si="53"/>
        <v>1447</v>
      </c>
      <c r="Y72" s="93">
        <v>1734</v>
      </c>
      <c r="Z72" s="93">
        <v>0</v>
      </c>
      <c r="AA72" s="92">
        <f t="shared" si="54"/>
        <v>1734</v>
      </c>
      <c r="AB72" s="92">
        <f t="shared" si="55"/>
        <v>2547</v>
      </c>
      <c r="AC72" s="234">
        <f t="shared" si="56"/>
        <v>7.7235726403476713E-4</v>
      </c>
      <c r="AD72" s="92">
        <f t="shared" si="57"/>
        <v>246.18</v>
      </c>
      <c r="AE72" s="93">
        <v>646.09000000000015</v>
      </c>
      <c r="AF72" s="234">
        <f t="shared" si="58"/>
        <v>0.37260092272203005</v>
      </c>
      <c r="AG72" s="93">
        <v>614.20000000000005</v>
      </c>
      <c r="AH72" s="93"/>
      <c r="AI72" s="93"/>
      <c r="AJ72" s="93"/>
      <c r="AK72" s="93"/>
      <c r="AL72" s="122">
        <f t="shared" si="59"/>
        <v>41.726151826211499</v>
      </c>
      <c r="AM72" s="93">
        <v>0</v>
      </c>
      <c r="AN72" s="325">
        <f t="shared" si="49"/>
        <v>72.140716381482676</v>
      </c>
      <c r="AO72" s="95">
        <f t="shared" si="60"/>
        <v>113.66313179230558</v>
      </c>
      <c r="AP72" s="96"/>
      <c r="AQ72" s="97">
        <f t="shared" si="9"/>
        <v>867</v>
      </c>
      <c r="AR72" s="98">
        <f t="shared" si="37"/>
        <v>123.09</v>
      </c>
      <c r="AS72" s="98">
        <f t="shared" si="11"/>
        <v>323.04500000000007</v>
      </c>
      <c r="AT72" s="98">
        <f t="shared" si="12"/>
        <v>307.10000000000002</v>
      </c>
      <c r="AU72" s="98">
        <f t="shared" si="61"/>
        <v>0</v>
      </c>
      <c r="AV72" s="98">
        <f t="array" ref="AV72">_xlfn.IFS(U72=0,AO72,U72&lt;0,AO72/-U72,U72&gt;0,AO72/U72)</f>
        <v>56.831565896152789</v>
      </c>
      <c r="AW72" s="234">
        <f t="shared" si="46"/>
        <v>6.5549672313901713E-2</v>
      </c>
      <c r="AX72" s="234">
        <f t="shared" si="47"/>
        <v>0.46170741649323899</v>
      </c>
      <c r="AY72" s="99"/>
      <c r="AZ72" s="94">
        <f t="shared" si="15"/>
        <v>738.81035664998626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8"/>
        <v>16</v>
      </c>
      <c r="F73" s="93"/>
      <c r="G73" s="93"/>
      <c r="H73" s="272">
        <v>16</v>
      </c>
      <c r="I73" s="93"/>
      <c r="J73" s="93"/>
      <c r="K73" s="93">
        <v>123.09</v>
      </c>
      <c r="L73" s="92">
        <f t="shared" si="44"/>
        <v>1969.44</v>
      </c>
      <c r="M73" s="89"/>
      <c r="N73" s="89">
        <v>4</v>
      </c>
      <c r="O73" s="89">
        <v>807</v>
      </c>
      <c r="P73" s="89">
        <v>50</v>
      </c>
      <c r="Q73" s="233">
        <f t="shared" si="50"/>
        <v>0.125</v>
      </c>
      <c r="R73" s="92">
        <f t="shared" si="51"/>
        <v>3.125E-2</v>
      </c>
      <c r="S73" s="93">
        <v>1</v>
      </c>
      <c r="T73" s="93">
        <v>0</v>
      </c>
      <c r="U73" s="92">
        <f t="shared" si="52"/>
        <v>1</v>
      </c>
      <c r="V73" s="93">
        <v>594</v>
      </c>
      <c r="W73" s="93">
        <v>0</v>
      </c>
      <c r="X73" s="92">
        <f t="shared" si="53"/>
        <v>594</v>
      </c>
      <c r="Y73" s="93">
        <v>807</v>
      </c>
      <c r="Z73" s="93">
        <v>0</v>
      </c>
      <c r="AA73" s="92">
        <f t="shared" si="54"/>
        <v>807</v>
      </c>
      <c r="AB73" s="92">
        <f t="shared" si="55"/>
        <v>1614</v>
      </c>
      <c r="AC73" s="234">
        <f t="shared" si="56"/>
        <v>3.5945346717188985E-4</v>
      </c>
      <c r="AD73" s="92">
        <f t="shared" si="57"/>
        <v>123.09</v>
      </c>
      <c r="AE73" s="93">
        <v>303.76</v>
      </c>
      <c r="AF73" s="234">
        <f t="shared" si="58"/>
        <v>0.37640644361833953</v>
      </c>
      <c r="AG73" s="93">
        <v>153.51</v>
      </c>
      <c r="AH73" s="93"/>
      <c r="AI73" s="93"/>
      <c r="AJ73" s="93"/>
      <c r="AK73" s="93"/>
      <c r="AL73" s="122">
        <f t="shared" si="59"/>
        <v>51.35526378610647</v>
      </c>
      <c r="AM73" s="93">
        <v>0</v>
      </c>
      <c r="AN73" s="325">
        <f t="shared" si="49"/>
        <v>33.574139630828441</v>
      </c>
      <c r="AO73" s="95">
        <f t="shared" si="60"/>
        <v>141.71059658306507</v>
      </c>
      <c r="AP73" s="96"/>
      <c r="AQ73" s="97">
        <f t="shared" si="9"/>
        <v>807</v>
      </c>
      <c r="AR73" s="98">
        <f t="shared" si="37"/>
        <v>123.09</v>
      </c>
      <c r="AS73" s="98">
        <f t="shared" si="11"/>
        <v>303.76</v>
      </c>
      <c r="AT73" s="98">
        <f t="shared" si="12"/>
        <v>153.51</v>
      </c>
      <c r="AU73" s="98">
        <f t="shared" si="61"/>
        <v>0</v>
      </c>
      <c r="AV73" s="98">
        <f t="array" ref="AV73">_xlfn.IFS(U73=0,AO73,U73&lt;0,AO73/-U73,U73&gt;0,AO73/U73)</f>
        <v>141.71059658306507</v>
      </c>
      <c r="AW73" s="234">
        <f t="shared" si="46"/>
        <v>0.17560173058620207</v>
      </c>
      <c r="AX73" s="234">
        <f t="shared" si="47"/>
        <v>1.1512762741332769</v>
      </c>
      <c r="AY73" s="99"/>
      <c r="AZ73" s="94">
        <f t="shared" si="15"/>
        <v>2267.3695453290411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8"/>
        <v>2</v>
      </c>
      <c r="F74" s="93"/>
      <c r="G74" s="93"/>
      <c r="H74" s="272">
        <v>2</v>
      </c>
      <c r="I74" s="93"/>
      <c r="J74" s="93"/>
      <c r="K74" s="93">
        <v>134.79</v>
      </c>
      <c r="L74" s="92">
        <f t="shared" si="44"/>
        <v>269.58</v>
      </c>
      <c r="M74" s="89"/>
      <c r="N74" s="89">
        <v>10</v>
      </c>
      <c r="O74" s="89">
        <v>798</v>
      </c>
      <c r="P74" s="89">
        <v>67</v>
      </c>
      <c r="Q74" s="233">
        <f t="shared" si="50"/>
        <v>0.3125</v>
      </c>
      <c r="R74" s="92">
        <f t="shared" si="51"/>
        <v>0.1875</v>
      </c>
      <c r="S74" s="93">
        <v>6</v>
      </c>
      <c r="T74" s="93">
        <v>0</v>
      </c>
      <c r="U74" s="92">
        <f t="shared" si="52"/>
        <v>6</v>
      </c>
      <c r="V74" s="93">
        <v>3791.89</v>
      </c>
      <c r="W74" s="93">
        <v>0</v>
      </c>
      <c r="X74" s="92">
        <f t="shared" si="53"/>
        <v>3791.89</v>
      </c>
      <c r="Y74" s="93">
        <v>4830.6200000000008</v>
      </c>
      <c r="Z74" s="93">
        <v>0</v>
      </c>
      <c r="AA74" s="92">
        <f t="shared" si="54"/>
        <v>4830.6200000000008</v>
      </c>
      <c r="AB74" s="92">
        <f t="shared" si="55"/>
        <v>5346.6</v>
      </c>
      <c r="AC74" s="234">
        <f t="shared" si="56"/>
        <v>2.1516519300989775E-3</v>
      </c>
      <c r="AD74" s="92">
        <f t="shared" si="57"/>
        <v>808.74</v>
      </c>
      <c r="AE74" s="93">
        <v>1815.1200000000008</v>
      </c>
      <c r="AF74" s="234">
        <f t="shared" si="58"/>
        <v>0.37575300893053076</v>
      </c>
      <c r="AG74" s="93">
        <v>619.94000000000005</v>
      </c>
      <c r="AH74" s="93"/>
      <c r="AI74" s="93"/>
      <c r="AJ74" s="93"/>
      <c r="AK74" s="93"/>
      <c r="AL74" s="122">
        <f t="shared" si="59"/>
        <v>6.4194079732633087</v>
      </c>
      <c r="AM74" s="93">
        <v>0</v>
      </c>
      <c r="AN74" s="325">
        <f t="shared" si="49"/>
        <v>200.97138833144055</v>
      </c>
      <c r="AO74" s="95">
        <f t="shared" si="60"/>
        <v>1379.4292036952963</v>
      </c>
      <c r="AP74" s="96"/>
      <c r="AQ74" s="97">
        <f t="shared" si="9"/>
        <v>805.10333333333347</v>
      </c>
      <c r="AR74" s="98">
        <f t="shared" si="37"/>
        <v>134.79</v>
      </c>
      <c r="AS74" s="98">
        <f t="shared" si="11"/>
        <v>302.52000000000015</v>
      </c>
      <c r="AT74" s="98">
        <f t="shared" si="12"/>
        <v>103.32333333333334</v>
      </c>
      <c r="AU74" s="98">
        <f t="shared" si="61"/>
        <v>0</v>
      </c>
      <c r="AV74" s="98">
        <f t="array" ref="AV74">_xlfn.IFS(U74=0,AO74,U74&lt;0,AO74/-U74,U74&gt;0,AO74/U74)</f>
        <v>229.90486728254939</v>
      </c>
      <c r="AW74" s="234">
        <f t="shared" si="46"/>
        <v>0.28555945276078354</v>
      </c>
      <c r="AX74" s="234">
        <f t="shared" si="47"/>
        <v>1.7056522537469352</v>
      </c>
      <c r="AY74" s="99"/>
      <c r="AZ74" s="94">
        <f t="shared" si="15"/>
        <v>459.80973456509878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8"/>
        <v>0</v>
      </c>
      <c r="F75" s="93"/>
      <c r="G75" s="93"/>
      <c r="H75" s="272" t="s">
        <v>100</v>
      </c>
      <c r="I75" s="93"/>
      <c r="J75" s="93"/>
      <c r="K75" s="93">
        <v>134.79</v>
      </c>
      <c r="L75" s="92">
        <f t="shared" si="44"/>
        <v>0</v>
      </c>
      <c r="M75" s="89"/>
      <c r="N75" s="89">
        <v>46</v>
      </c>
      <c r="O75" s="89">
        <v>890</v>
      </c>
      <c r="P75" s="89">
        <v>52</v>
      </c>
      <c r="Q75" s="233">
        <f t="shared" si="50"/>
        <v>1.4375</v>
      </c>
      <c r="R75" s="92">
        <f t="shared" si="51"/>
        <v>0.71875</v>
      </c>
      <c r="S75" s="93">
        <v>25</v>
      </c>
      <c r="T75" s="93">
        <v>-2</v>
      </c>
      <c r="U75" s="92">
        <f t="shared" si="52"/>
        <v>23</v>
      </c>
      <c r="V75" s="93">
        <v>16548</v>
      </c>
      <c r="W75" s="93">
        <v>-1187</v>
      </c>
      <c r="X75" s="92">
        <f t="shared" si="53"/>
        <v>15361</v>
      </c>
      <c r="Y75" s="93">
        <v>21553.310000000005</v>
      </c>
      <c r="Z75" s="93">
        <v>-1503.1100000000001</v>
      </c>
      <c r="AA75" s="92">
        <f t="shared" si="54"/>
        <v>20050.200000000004</v>
      </c>
      <c r="AB75" s="92">
        <f t="shared" si="55"/>
        <v>21288.799999999999</v>
      </c>
      <c r="AC75" s="234">
        <f t="shared" si="56"/>
        <v>8.9307483364186226E-3</v>
      </c>
      <c r="AD75" s="92">
        <f t="shared" si="57"/>
        <v>3100.1699999999996</v>
      </c>
      <c r="AE75" s="93">
        <v>7496.8800000000028</v>
      </c>
      <c r="AF75" s="234">
        <f t="shared" si="58"/>
        <v>0.37390549720202299</v>
      </c>
      <c r="AG75" s="93">
        <v>3364.4500000000003</v>
      </c>
      <c r="AH75" s="93"/>
      <c r="AI75" s="93">
        <v>4124</v>
      </c>
      <c r="AJ75" s="93"/>
      <c r="AK75" s="93"/>
      <c r="AL75" s="122">
        <f t="shared" si="59"/>
        <v>0</v>
      </c>
      <c r="AM75" s="93">
        <v>0</v>
      </c>
      <c r="AN75" s="325">
        <f t="shared" si="49"/>
        <v>896.69620749260378</v>
      </c>
      <c r="AO75" s="95">
        <f t="shared" si="60"/>
        <v>1068.0037925073989</v>
      </c>
      <c r="AP75" s="96"/>
      <c r="AQ75" s="97">
        <f t="shared" si="9"/>
        <v>871.74782608695671</v>
      </c>
      <c r="AR75" s="98">
        <f t="shared" si="37"/>
        <v>134.79</v>
      </c>
      <c r="AS75" s="98">
        <f t="shared" si="11"/>
        <v>325.95130434782624</v>
      </c>
      <c r="AT75" s="98">
        <f t="shared" si="12"/>
        <v>134.578</v>
      </c>
      <c r="AU75" s="98">
        <f t="shared" si="61"/>
        <v>164.96</v>
      </c>
      <c r="AV75" s="98">
        <f t="array" ref="AV75">_xlfn.IFS(U75=0,AO75,U75&lt;0,AO75/-U75,U75&gt;0,AO75/U75)</f>
        <v>46.434947500321691</v>
      </c>
      <c r="AW75" s="234">
        <f t="shared" si="46"/>
        <v>5.3266490733628526E-2</v>
      </c>
      <c r="AX75" s="234">
        <f t="shared" si="47"/>
        <v>0.34449846057067807</v>
      </c>
      <c r="AY75" s="99"/>
      <c r="AZ75" s="94">
        <f t="shared" si="15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8"/>
        <v>50</v>
      </c>
      <c r="F76" s="93"/>
      <c r="G76" s="93"/>
      <c r="H76" s="272">
        <v>50</v>
      </c>
      <c r="I76" s="93"/>
      <c r="J76" s="93"/>
      <c r="K76" s="93">
        <v>123.09</v>
      </c>
      <c r="L76" s="92">
        <f t="shared" si="44"/>
        <v>6154.5</v>
      </c>
      <c r="M76" s="89"/>
      <c r="N76" s="89">
        <v>0</v>
      </c>
      <c r="O76" s="89">
        <v>0</v>
      </c>
      <c r="P76" s="89">
        <v>0</v>
      </c>
      <c r="Q76" s="233">
        <f t="shared" si="50"/>
        <v>0</v>
      </c>
      <c r="R76" s="92">
        <f t="shared" si="51"/>
        <v>0</v>
      </c>
      <c r="S76" s="93">
        <v>0</v>
      </c>
      <c r="T76" s="93">
        <v>0</v>
      </c>
      <c r="U76" s="92">
        <f t="shared" si="52"/>
        <v>0</v>
      </c>
      <c r="V76" s="93">
        <v>0</v>
      </c>
      <c r="W76" s="93">
        <v>0</v>
      </c>
      <c r="X76" s="92">
        <f t="shared" si="53"/>
        <v>0</v>
      </c>
      <c r="Y76" s="93">
        <v>0</v>
      </c>
      <c r="Z76" s="93">
        <v>0</v>
      </c>
      <c r="AA76" s="92">
        <f t="shared" si="54"/>
        <v>0</v>
      </c>
      <c r="AB76" s="92">
        <f t="shared" si="55"/>
        <v>0</v>
      </c>
      <c r="AC76" s="234">
        <f t="shared" si="56"/>
        <v>0</v>
      </c>
      <c r="AD76" s="92">
        <f t="shared" si="57"/>
        <v>0</v>
      </c>
      <c r="AE76" s="93">
        <v>0</v>
      </c>
      <c r="AF76" s="234">
        <f t="shared" si="58"/>
        <v>0</v>
      </c>
      <c r="AG76" s="93">
        <v>0</v>
      </c>
      <c r="AH76" s="93"/>
      <c r="AI76" s="93"/>
      <c r="AJ76" s="93"/>
      <c r="AK76" s="93"/>
      <c r="AL76" s="122">
        <f t="shared" si="59"/>
        <v>160.48519933158272</v>
      </c>
      <c r="AM76" s="93">
        <v>0</v>
      </c>
      <c r="AN76" s="325">
        <f t="shared" si="49"/>
        <v>0</v>
      </c>
      <c r="AO76" s="95">
        <f t="shared" si="60"/>
        <v>-160.48519933158272</v>
      </c>
      <c r="AP76" s="96"/>
      <c r="AQ76" s="97">
        <f t="shared" si="9"/>
        <v>0</v>
      </c>
      <c r="AR76" s="98">
        <f t="shared" si="37"/>
        <v>123.09</v>
      </c>
      <c r="AS76" s="98">
        <f t="shared" si="11"/>
        <v>0</v>
      </c>
      <c r="AT76" s="98">
        <f t="shared" si="12"/>
        <v>0</v>
      </c>
      <c r="AU76" s="98">
        <f t="shared" si="61"/>
        <v>0</v>
      </c>
      <c r="AV76" s="98">
        <f t="array" ref="AV76">_xlfn.IFS(U76=0,AO76,U76&lt;0,AO76/-U76,U76&gt;0,AO76/U76)</f>
        <v>-160.48519933158272</v>
      </c>
      <c r="AW76" s="234">
        <f t="shared" si="46"/>
        <v>0</v>
      </c>
      <c r="AX76" s="234">
        <f t="shared" si="47"/>
        <v>-1.3038037154243458</v>
      </c>
      <c r="AY76" s="99"/>
      <c r="AZ76" s="94">
        <f t="shared" si="15"/>
        <v>-8024.2599665791358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8"/>
        <v>39</v>
      </c>
      <c r="F77" s="93"/>
      <c r="G77" s="93"/>
      <c r="H77" s="272">
        <v>39</v>
      </c>
      <c r="I77" s="93"/>
      <c r="J77" s="93"/>
      <c r="K77" s="93">
        <v>123.09</v>
      </c>
      <c r="L77" s="92">
        <f t="shared" si="44"/>
        <v>4800.51</v>
      </c>
      <c r="M77" s="89"/>
      <c r="N77" s="89">
        <v>0</v>
      </c>
      <c r="O77" s="89">
        <v>0</v>
      </c>
      <c r="P77" s="89">
        <v>0</v>
      </c>
      <c r="Q77" s="233">
        <f t="shared" si="50"/>
        <v>0</v>
      </c>
      <c r="R77" s="92">
        <f t="shared" si="51"/>
        <v>0</v>
      </c>
      <c r="S77" s="93">
        <v>0</v>
      </c>
      <c r="T77" s="93">
        <v>0</v>
      </c>
      <c r="U77" s="92">
        <f t="shared" si="52"/>
        <v>0</v>
      </c>
      <c r="V77" s="93">
        <v>0</v>
      </c>
      <c r="W77" s="93">
        <v>0</v>
      </c>
      <c r="X77" s="92">
        <f t="shared" si="53"/>
        <v>0</v>
      </c>
      <c r="Y77" s="93">
        <v>0</v>
      </c>
      <c r="Z77" s="93">
        <v>0</v>
      </c>
      <c r="AA77" s="92">
        <f t="shared" si="54"/>
        <v>0</v>
      </c>
      <c r="AB77" s="92">
        <f t="shared" si="55"/>
        <v>0</v>
      </c>
      <c r="AC77" s="234">
        <f t="shared" si="56"/>
        <v>0</v>
      </c>
      <c r="AD77" s="92">
        <f t="shared" si="57"/>
        <v>0</v>
      </c>
      <c r="AE77" s="93">
        <v>0</v>
      </c>
      <c r="AF77" s="234">
        <f t="shared" si="58"/>
        <v>0</v>
      </c>
      <c r="AG77" s="93">
        <v>0</v>
      </c>
      <c r="AH77" s="93"/>
      <c r="AI77" s="93"/>
      <c r="AJ77" s="93"/>
      <c r="AK77" s="93"/>
      <c r="AL77" s="122">
        <f t="shared" si="59"/>
        <v>125.17845547863452</v>
      </c>
      <c r="AM77" s="93">
        <v>0</v>
      </c>
      <c r="AN77" s="325">
        <f t="shared" si="49"/>
        <v>0</v>
      </c>
      <c r="AO77" s="95">
        <f t="shared" si="60"/>
        <v>-125.17845547863452</v>
      </c>
      <c r="AP77" s="96"/>
      <c r="AQ77" s="97">
        <f t="shared" si="9"/>
        <v>0</v>
      </c>
      <c r="AR77" s="98">
        <f t="shared" si="37"/>
        <v>123.09</v>
      </c>
      <c r="AS77" s="98">
        <f t="shared" si="11"/>
        <v>0</v>
      </c>
      <c r="AT77" s="98">
        <f t="shared" si="12"/>
        <v>0</v>
      </c>
      <c r="AU77" s="98">
        <f t="shared" si="61"/>
        <v>0</v>
      </c>
      <c r="AV77" s="98">
        <f t="array" ref="AV77">_xlfn.IFS(U77=0,AO77,U77&lt;0,AO77/-U77,U77&gt;0,AO77/U77)</f>
        <v>-125.17845547863452</v>
      </c>
      <c r="AW77" s="234">
        <f t="shared" si="46"/>
        <v>0</v>
      </c>
      <c r="AX77" s="234">
        <f t="shared" si="47"/>
        <v>-1.0169668980309896</v>
      </c>
      <c r="AY77" s="99"/>
      <c r="AZ77" s="94">
        <f t="shared" si="15"/>
        <v>-4881.9597636667459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8"/>
        <v>30</v>
      </c>
      <c r="F78" s="93"/>
      <c r="G78" s="93"/>
      <c r="H78" s="272">
        <v>30</v>
      </c>
      <c r="I78" s="93"/>
      <c r="J78" s="93"/>
      <c r="K78" s="93">
        <v>123.09</v>
      </c>
      <c r="L78" s="92">
        <f t="shared" si="44"/>
        <v>3692.7000000000003</v>
      </c>
      <c r="M78" s="89"/>
      <c r="N78" s="89">
        <v>5</v>
      </c>
      <c r="O78" s="89">
        <v>1150</v>
      </c>
      <c r="P78" s="89">
        <v>40</v>
      </c>
      <c r="Q78" s="233">
        <f t="shared" si="50"/>
        <v>0.15625</v>
      </c>
      <c r="R78" s="92">
        <f t="shared" si="51"/>
        <v>3.125E-2</v>
      </c>
      <c r="S78" s="93">
        <v>1</v>
      </c>
      <c r="T78" s="93">
        <v>0</v>
      </c>
      <c r="U78" s="92">
        <f t="shared" si="52"/>
        <v>1</v>
      </c>
      <c r="V78" s="93">
        <v>867</v>
      </c>
      <c r="W78" s="93">
        <v>0</v>
      </c>
      <c r="X78" s="92">
        <f t="shared" si="53"/>
        <v>867</v>
      </c>
      <c r="Y78" s="93">
        <v>1150</v>
      </c>
      <c r="Z78" s="93">
        <v>0</v>
      </c>
      <c r="AA78" s="92">
        <f t="shared" si="54"/>
        <v>1150</v>
      </c>
      <c r="AB78" s="92">
        <f t="shared" si="55"/>
        <v>2300</v>
      </c>
      <c r="AC78" s="234">
        <f t="shared" si="56"/>
        <v>5.1223232620529536E-4</v>
      </c>
      <c r="AD78" s="92">
        <f t="shared" si="57"/>
        <v>123.09</v>
      </c>
      <c r="AE78" s="93">
        <v>424.02</v>
      </c>
      <c r="AF78" s="234">
        <f t="shared" si="58"/>
        <v>0.36871304347826084</v>
      </c>
      <c r="AG78" s="93">
        <v>154.86000000000001</v>
      </c>
      <c r="AH78" s="93"/>
      <c r="AI78" s="93"/>
      <c r="AJ78" s="93"/>
      <c r="AK78" s="93"/>
      <c r="AL78" s="122">
        <f t="shared" si="59"/>
        <v>96.291119598949635</v>
      </c>
      <c r="AM78" s="93">
        <v>0</v>
      </c>
      <c r="AN78" s="325">
        <f t="shared" si="49"/>
        <v>47.844189064997167</v>
      </c>
      <c r="AO78" s="95">
        <f t="shared" si="60"/>
        <v>303.89469133605326</v>
      </c>
      <c r="AP78" s="96"/>
      <c r="AQ78" s="97">
        <f t="shared" si="9"/>
        <v>1150</v>
      </c>
      <c r="AR78" s="98">
        <f t="shared" si="37"/>
        <v>123.09</v>
      </c>
      <c r="AS78" s="98">
        <f t="shared" si="11"/>
        <v>424.02</v>
      </c>
      <c r="AT78" s="98">
        <f t="shared" si="12"/>
        <v>154.86000000000001</v>
      </c>
      <c r="AU78" s="98">
        <f t="shared" si="61"/>
        <v>0</v>
      </c>
      <c r="AV78" s="98">
        <f t="array" ref="AV78">_xlfn.IFS(U78=0,AO78,U78&lt;0,AO78/-U78,U78&gt;0,AO78/U78)</f>
        <v>303.89469133605326</v>
      </c>
      <c r="AW78" s="234">
        <f t="shared" si="46"/>
        <v>0.26425625333569847</v>
      </c>
      <c r="AX78" s="234">
        <f t="shared" si="47"/>
        <v>2.4688820483877914</v>
      </c>
      <c r="AY78" s="99"/>
      <c r="AZ78" s="94">
        <f t="shared" si="15"/>
        <v>9116.8407400815977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8"/>
        <v>49</v>
      </c>
      <c r="F79" s="93"/>
      <c r="G79" s="93"/>
      <c r="H79" s="272">
        <v>49</v>
      </c>
      <c r="I79" s="93"/>
      <c r="J79" s="93"/>
      <c r="K79" s="93">
        <v>164.04</v>
      </c>
      <c r="L79" s="92">
        <f t="shared" si="44"/>
        <v>8037.96</v>
      </c>
      <c r="M79" s="89"/>
      <c r="N79" s="89">
        <v>3</v>
      </c>
      <c r="O79" s="89">
        <v>1500</v>
      </c>
      <c r="P79" s="89">
        <v>0</v>
      </c>
      <c r="Q79" s="233">
        <f t="shared" si="50"/>
        <v>9.375E-2</v>
      </c>
      <c r="R79" s="92">
        <f t="shared" si="51"/>
        <v>0</v>
      </c>
      <c r="S79" s="93">
        <v>0</v>
      </c>
      <c r="T79" s="93">
        <v>0</v>
      </c>
      <c r="U79" s="92">
        <f t="shared" si="52"/>
        <v>0</v>
      </c>
      <c r="V79" s="93">
        <v>0</v>
      </c>
      <c r="W79" s="93">
        <v>0</v>
      </c>
      <c r="X79" s="92">
        <f t="shared" si="53"/>
        <v>0</v>
      </c>
      <c r="Y79" s="93">
        <v>0</v>
      </c>
      <c r="Z79" s="93">
        <v>0</v>
      </c>
      <c r="AA79" s="92">
        <f t="shared" si="54"/>
        <v>0</v>
      </c>
      <c r="AB79" s="92">
        <f t="shared" si="55"/>
        <v>0</v>
      </c>
      <c r="AC79" s="234">
        <f t="shared" si="56"/>
        <v>0</v>
      </c>
      <c r="AD79" s="92">
        <f t="shared" si="57"/>
        <v>0</v>
      </c>
      <c r="AE79" s="93">
        <v>0</v>
      </c>
      <c r="AF79" s="234">
        <f t="shared" si="58"/>
        <v>0</v>
      </c>
      <c r="AG79" s="93">
        <v>85.14</v>
      </c>
      <c r="AH79" s="93"/>
      <c r="AI79" s="93"/>
      <c r="AJ79" s="93"/>
      <c r="AK79" s="93"/>
      <c r="AL79" s="122">
        <f t="shared" si="59"/>
        <v>157.27549534495105</v>
      </c>
      <c r="AM79" s="93">
        <v>0</v>
      </c>
      <c r="AN79" s="325">
        <f t="shared" si="49"/>
        <v>0</v>
      </c>
      <c r="AO79" s="95">
        <f t="shared" si="60"/>
        <v>-242.41549534495107</v>
      </c>
      <c r="AP79" s="96"/>
      <c r="AQ79" s="97">
        <f t="shared" si="9"/>
        <v>0</v>
      </c>
      <c r="AR79" s="98">
        <f t="shared" si="37"/>
        <v>164.04</v>
      </c>
      <c r="AS79" s="98">
        <f t="shared" si="11"/>
        <v>0</v>
      </c>
      <c r="AT79" s="98">
        <f t="shared" si="12"/>
        <v>85.14</v>
      </c>
      <c r="AU79" s="98">
        <f t="shared" si="61"/>
        <v>0</v>
      </c>
      <c r="AV79" s="98">
        <f t="array" ref="AV79">_xlfn.IFS(U79=0,AO79,U79&lt;0,AO79/-U79,U79&gt;0,AO79/U79)</f>
        <v>-242.41549534495107</v>
      </c>
      <c r="AW79" s="234">
        <f t="shared" si="46"/>
        <v>0</v>
      </c>
      <c r="AX79" s="234">
        <f t="shared" si="47"/>
        <v>-1.4777828294620281</v>
      </c>
      <c r="AY79" s="99"/>
      <c r="AZ79" s="94">
        <f t="shared" si="15"/>
        <v>-11878.359271902602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8"/>
        <v>49</v>
      </c>
      <c r="F80" s="93"/>
      <c r="G80" s="93"/>
      <c r="H80" s="272">
        <v>49</v>
      </c>
      <c r="I80" s="93"/>
      <c r="J80" s="93"/>
      <c r="K80" s="93">
        <v>164.04</v>
      </c>
      <c r="L80" s="92">
        <f t="shared" si="44"/>
        <v>8037.96</v>
      </c>
      <c r="M80" s="89"/>
      <c r="N80" s="89">
        <v>0</v>
      </c>
      <c r="O80" s="89">
        <v>0</v>
      </c>
      <c r="P80" s="89">
        <v>0</v>
      </c>
      <c r="Q80" s="233">
        <f t="shared" si="50"/>
        <v>0</v>
      </c>
      <c r="R80" s="92">
        <f t="shared" si="51"/>
        <v>0</v>
      </c>
      <c r="S80" s="93">
        <v>0</v>
      </c>
      <c r="T80" s="93">
        <v>0</v>
      </c>
      <c r="U80" s="92">
        <f t="shared" si="52"/>
        <v>0</v>
      </c>
      <c r="V80" s="93">
        <v>0</v>
      </c>
      <c r="W80" s="93">
        <v>0</v>
      </c>
      <c r="X80" s="92">
        <f t="shared" si="53"/>
        <v>0</v>
      </c>
      <c r="Y80" s="93">
        <v>0</v>
      </c>
      <c r="Z80" s="93">
        <v>0</v>
      </c>
      <c r="AA80" s="92">
        <f t="shared" si="54"/>
        <v>0</v>
      </c>
      <c r="AB80" s="92">
        <f t="shared" si="55"/>
        <v>0</v>
      </c>
      <c r="AC80" s="234">
        <f t="shared" si="56"/>
        <v>0</v>
      </c>
      <c r="AD80" s="92">
        <f t="shared" si="57"/>
        <v>0</v>
      </c>
      <c r="AE80" s="93">
        <v>0</v>
      </c>
      <c r="AF80" s="234">
        <f t="shared" si="58"/>
        <v>0</v>
      </c>
      <c r="AG80" s="93">
        <v>0</v>
      </c>
      <c r="AH80" s="93"/>
      <c r="AI80" s="93"/>
      <c r="AJ80" s="93"/>
      <c r="AK80" s="93"/>
      <c r="AL80" s="122">
        <f t="shared" si="59"/>
        <v>157.27549534495105</v>
      </c>
      <c r="AM80" s="93">
        <v>0</v>
      </c>
      <c r="AN80" s="325">
        <f t="shared" si="49"/>
        <v>0</v>
      </c>
      <c r="AO80" s="95">
        <f t="shared" si="60"/>
        <v>-157.27549534495105</v>
      </c>
      <c r="AP80" s="96"/>
      <c r="AQ80" s="97">
        <f t="shared" si="9"/>
        <v>0</v>
      </c>
      <c r="AR80" s="98">
        <f t="shared" si="37"/>
        <v>164.04</v>
      </c>
      <c r="AS80" s="98">
        <f t="shared" si="11"/>
        <v>0</v>
      </c>
      <c r="AT80" s="98">
        <f t="shared" si="12"/>
        <v>0</v>
      </c>
      <c r="AU80" s="98">
        <f t="shared" si="61"/>
        <v>0</v>
      </c>
      <c r="AV80" s="98">
        <f t="array" ref="AV80">_xlfn.IFS(U80=0,AO80,U80&lt;0,AO80/-U80,U80&gt;0,AO80/U80)</f>
        <v>-157.27549534495105</v>
      </c>
      <c r="AW80" s="234">
        <f t="shared" si="46"/>
        <v>0</v>
      </c>
      <c r="AX80" s="234">
        <f t="shared" si="47"/>
        <v>-0.95876307818185236</v>
      </c>
      <c r="AY80" s="99"/>
      <c r="AZ80" s="94">
        <f t="shared" si="15"/>
        <v>-7706.4992719026013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8"/>
        <v>49</v>
      </c>
      <c r="F81" s="93"/>
      <c r="G81" s="93"/>
      <c r="H81" s="272">
        <v>49</v>
      </c>
      <c r="I81" s="93"/>
      <c r="J81" s="93"/>
      <c r="K81" s="93">
        <v>128.94</v>
      </c>
      <c r="L81" s="92">
        <f t="shared" si="44"/>
        <v>6318.0599999999995</v>
      </c>
      <c r="M81" s="89"/>
      <c r="N81" s="89">
        <v>2</v>
      </c>
      <c r="O81" s="89">
        <v>1345</v>
      </c>
      <c r="P81" s="89">
        <v>0</v>
      </c>
      <c r="Q81" s="233">
        <f t="shared" si="50"/>
        <v>6.25E-2</v>
      </c>
      <c r="R81" s="92">
        <f t="shared" si="51"/>
        <v>0</v>
      </c>
      <c r="S81" s="93">
        <v>0</v>
      </c>
      <c r="T81" s="93">
        <v>0</v>
      </c>
      <c r="U81" s="92">
        <f t="shared" si="52"/>
        <v>0</v>
      </c>
      <c r="V81" s="93">
        <v>0</v>
      </c>
      <c r="W81" s="93">
        <v>0</v>
      </c>
      <c r="X81" s="92">
        <f t="shared" si="53"/>
        <v>0</v>
      </c>
      <c r="Y81" s="93">
        <v>0</v>
      </c>
      <c r="Z81" s="93">
        <v>0</v>
      </c>
      <c r="AA81" s="92">
        <f t="shared" si="54"/>
        <v>0</v>
      </c>
      <c r="AB81" s="92">
        <f t="shared" si="55"/>
        <v>0</v>
      </c>
      <c r="AC81" s="234">
        <f t="shared" si="56"/>
        <v>0</v>
      </c>
      <c r="AD81" s="92">
        <f t="shared" si="57"/>
        <v>0</v>
      </c>
      <c r="AE81" s="93">
        <v>0</v>
      </c>
      <c r="AF81" s="234">
        <f t="shared" si="58"/>
        <v>0</v>
      </c>
      <c r="AG81" s="93">
        <v>108</v>
      </c>
      <c r="AH81" s="93"/>
      <c r="AI81" s="93"/>
      <c r="AJ81" s="93"/>
      <c r="AK81" s="93"/>
      <c r="AL81" s="122">
        <f t="shared" si="59"/>
        <v>157.27549534495105</v>
      </c>
      <c r="AM81" s="93">
        <v>0</v>
      </c>
      <c r="AN81" s="325">
        <f t="shared" si="49"/>
        <v>0</v>
      </c>
      <c r="AO81" s="95">
        <f t="shared" si="60"/>
        <v>-265.27549534495108</v>
      </c>
      <c r="AP81" s="96"/>
      <c r="AQ81" s="97">
        <f t="shared" si="9"/>
        <v>0</v>
      </c>
      <c r="AR81" s="98">
        <f t="shared" si="37"/>
        <v>128.94</v>
      </c>
      <c r="AS81" s="98">
        <f t="shared" si="11"/>
        <v>0</v>
      </c>
      <c r="AT81" s="98">
        <f t="shared" si="12"/>
        <v>108</v>
      </c>
      <c r="AU81" s="98">
        <f t="shared" si="61"/>
        <v>0</v>
      </c>
      <c r="AV81" s="98">
        <f t="array" ref="AV81">_xlfn.IFS(U81=0,AO81,U81&lt;0,AO81/-U81,U81&gt;0,AO81/U81)</f>
        <v>-265.27549534495108</v>
      </c>
      <c r="AW81" s="234">
        <f t="shared" si="46"/>
        <v>0</v>
      </c>
      <c r="AX81" s="234">
        <f t="shared" si="47"/>
        <v>-2.0573560985338224</v>
      </c>
      <c r="AY81" s="99"/>
      <c r="AZ81" s="94">
        <f t="shared" si="15"/>
        <v>-12998.499271902603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8"/>
        <v>49</v>
      </c>
      <c r="F82" s="93"/>
      <c r="G82" s="93"/>
      <c r="H82" s="272">
        <v>49</v>
      </c>
      <c r="I82" s="93"/>
      <c r="J82" s="93"/>
      <c r="K82" s="93">
        <v>128.94</v>
      </c>
      <c r="L82" s="92">
        <f t="shared" si="44"/>
        <v>6318.0599999999995</v>
      </c>
      <c r="M82" s="89"/>
      <c r="N82" s="89">
        <v>0</v>
      </c>
      <c r="O82" s="89">
        <v>0</v>
      </c>
      <c r="P82" s="89">
        <v>0</v>
      </c>
      <c r="Q82" s="233">
        <f t="shared" si="50"/>
        <v>0</v>
      </c>
      <c r="R82" s="92">
        <f t="shared" si="51"/>
        <v>0</v>
      </c>
      <c r="S82" s="93">
        <v>0</v>
      </c>
      <c r="T82" s="93">
        <v>0</v>
      </c>
      <c r="U82" s="92">
        <f t="shared" si="52"/>
        <v>0</v>
      </c>
      <c r="V82" s="93">
        <v>0</v>
      </c>
      <c r="W82" s="93">
        <v>0</v>
      </c>
      <c r="X82" s="92">
        <f t="shared" si="53"/>
        <v>0</v>
      </c>
      <c r="Y82" s="93">
        <v>0</v>
      </c>
      <c r="Z82" s="93">
        <v>0</v>
      </c>
      <c r="AA82" s="92">
        <f t="shared" si="54"/>
        <v>0</v>
      </c>
      <c r="AB82" s="92">
        <f t="shared" si="55"/>
        <v>0</v>
      </c>
      <c r="AC82" s="234">
        <f t="shared" si="56"/>
        <v>0</v>
      </c>
      <c r="AD82" s="92">
        <f t="shared" si="57"/>
        <v>0</v>
      </c>
      <c r="AE82" s="93">
        <v>0</v>
      </c>
      <c r="AF82" s="234">
        <f t="shared" si="58"/>
        <v>0</v>
      </c>
      <c r="AG82" s="93">
        <v>0</v>
      </c>
      <c r="AH82" s="93"/>
      <c r="AI82" s="93"/>
      <c r="AJ82" s="93"/>
      <c r="AK82" s="93"/>
      <c r="AL82" s="122">
        <f t="shared" si="59"/>
        <v>157.27549534495105</v>
      </c>
      <c r="AM82" s="93">
        <v>0</v>
      </c>
      <c r="AN82" s="325">
        <f t="shared" si="49"/>
        <v>0</v>
      </c>
      <c r="AO82" s="95">
        <f t="shared" si="60"/>
        <v>-157.27549534495105</v>
      </c>
      <c r="AP82" s="96"/>
      <c r="AQ82" s="97">
        <f t="shared" si="9"/>
        <v>0</v>
      </c>
      <c r="AR82" s="98">
        <f t="shared" si="37"/>
        <v>128.94</v>
      </c>
      <c r="AS82" s="98">
        <f t="shared" si="11"/>
        <v>0</v>
      </c>
      <c r="AT82" s="98">
        <f t="shared" si="12"/>
        <v>0</v>
      </c>
      <c r="AU82" s="98">
        <f t="shared" si="61"/>
        <v>0</v>
      </c>
      <c r="AV82" s="98">
        <f t="array" ref="AV82">_xlfn.IFS(U82=0,AO82,U82&lt;0,AO82/-U82,U82&gt;0,AO82/U82)</f>
        <v>-157.27549534495105</v>
      </c>
      <c r="AW82" s="234">
        <f t="shared" si="46"/>
        <v>0</v>
      </c>
      <c r="AX82" s="234">
        <f t="shared" si="47"/>
        <v>-1.2197572153323333</v>
      </c>
      <c r="AY82" s="99"/>
      <c r="AZ82" s="94">
        <f t="shared" si="15"/>
        <v>-7706.4992719026013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8"/>
        <v>48</v>
      </c>
      <c r="F83" s="93"/>
      <c r="G83" s="93"/>
      <c r="H83" s="272">
        <v>48</v>
      </c>
      <c r="I83" s="93"/>
      <c r="J83" s="93"/>
      <c r="K83" s="93">
        <v>123.09</v>
      </c>
      <c r="L83" s="92">
        <f t="shared" si="44"/>
        <v>5908.32</v>
      </c>
      <c r="M83" s="89"/>
      <c r="N83" s="89">
        <v>1</v>
      </c>
      <c r="O83" s="89">
        <v>1375</v>
      </c>
      <c r="P83" s="89">
        <v>0</v>
      </c>
      <c r="Q83" s="233">
        <f t="shared" si="50"/>
        <v>3.125E-2</v>
      </c>
      <c r="R83" s="92">
        <f t="shared" si="51"/>
        <v>0</v>
      </c>
      <c r="S83" s="93">
        <v>0</v>
      </c>
      <c r="T83" s="93">
        <v>0</v>
      </c>
      <c r="U83" s="92">
        <f t="shared" si="52"/>
        <v>0</v>
      </c>
      <c r="V83" s="93">
        <v>0</v>
      </c>
      <c r="W83" s="93">
        <v>0</v>
      </c>
      <c r="X83" s="92">
        <f t="shared" si="53"/>
        <v>0</v>
      </c>
      <c r="Y83" s="93">
        <v>0</v>
      </c>
      <c r="Z83" s="93">
        <v>0</v>
      </c>
      <c r="AA83" s="92">
        <f t="shared" si="54"/>
        <v>0</v>
      </c>
      <c r="AB83" s="92">
        <f t="shared" si="55"/>
        <v>0</v>
      </c>
      <c r="AC83" s="234">
        <f t="shared" si="56"/>
        <v>0</v>
      </c>
      <c r="AD83" s="92">
        <f t="shared" si="57"/>
        <v>0</v>
      </c>
      <c r="AE83" s="93">
        <v>0</v>
      </c>
      <c r="AF83" s="234">
        <f t="shared" si="58"/>
        <v>0</v>
      </c>
      <c r="AG83" s="93">
        <v>85.14</v>
      </c>
      <c r="AH83" s="93"/>
      <c r="AI83" s="93"/>
      <c r="AJ83" s="93"/>
      <c r="AK83" s="93"/>
      <c r="AL83" s="122">
        <f t="shared" si="59"/>
        <v>154.06579135831939</v>
      </c>
      <c r="AM83" s="93">
        <v>0</v>
      </c>
      <c r="AN83" s="325">
        <f t="shared" si="49"/>
        <v>0</v>
      </c>
      <c r="AO83" s="95">
        <f t="shared" si="60"/>
        <v>-239.2057913583194</v>
      </c>
      <c r="AP83" s="96"/>
      <c r="AQ83" s="97">
        <f t="shared" si="9"/>
        <v>0</v>
      </c>
      <c r="AR83" s="98">
        <f t="shared" si="37"/>
        <v>123.09</v>
      </c>
      <c r="AS83" s="98">
        <f t="shared" si="11"/>
        <v>0</v>
      </c>
      <c r="AT83" s="98">
        <f t="shared" si="12"/>
        <v>85.14</v>
      </c>
      <c r="AU83" s="98">
        <f t="shared" si="61"/>
        <v>0</v>
      </c>
      <c r="AV83" s="98">
        <f t="array" ref="AV83">_xlfn.IFS(U83=0,AO83,U83&lt;0,AO83/-U83,U83&gt;0,AO83/U83)</f>
        <v>-239.2057913583194</v>
      </c>
      <c r="AW83" s="234">
        <f t="shared" si="46"/>
        <v>0</v>
      </c>
      <c r="AX83" s="234">
        <f t="shared" si="47"/>
        <v>-1.9433405748502672</v>
      </c>
      <c r="AY83" s="99"/>
      <c r="AZ83" s="94">
        <f t="shared" si="15"/>
        <v>-11481.877985199331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8"/>
        <v>46</v>
      </c>
      <c r="F84" s="93"/>
      <c r="G84" s="93"/>
      <c r="H84" s="272">
        <v>46</v>
      </c>
      <c r="I84" s="93"/>
      <c r="J84" s="93"/>
      <c r="K84" s="93">
        <v>146.49</v>
      </c>
      <c r="L84" s="92">
        <f t="shared" si="44"/>
        <v>6738.5400000000009</v>
      </c>
      <c r="M84" s="89"/>
      <c r="N84" s="89">
        <v>3</v>
      </c>
      <c r="O84" s="89">
        <v>1459</v>
      </c>
      <c r="P84" s="89">
        <v>0</v>
      </c>
      <c r="Q84" s="233">
        <f t="shared" si="50"/>
        <v>9.375E-2</v>
      </c>
      <c r="R84" s="92">
        <f t="shared" si="51"/>
        <v>0</v>
      </c>
      <c r="S84" s="93">
        <v>0</v>
      </c>
      <c r="T84" s="93">
        <v>0</v>
      </c>
      <c r="U84" s="92">
        <f t="shared" si="52"/>
        <v>0</v>
      </c>
      <c r="V84" s="93">
        <v>0</v>
      </c>
      <c r="W84" s="93">
        <v>0</v>
      </c>
      <c r="X84" s="92">
        <f t="shared" si="53"/>
        <v>0</v>
      </c>
      <c r="Y84" s="93">
        <v>0</v>
      </c>
      <c r="Z84" s="93">
        <v>0</v>
      </c>
      <c r="AA84" s="92">
        <f t="shared" si="54"/>
        <v>0</v>
      </c>
      <c r="AB84" s="92">
        <f t="shared" si="55"/>
        <v>0</v>
      </c>
      <c r="AC84" s="234">
        <f t="shared" si="56"/>
        <v>0</v>
      </c>
      <c r="AD84" s="92">
        <f t="shared" si="57"/>
        <v>0</v>
      </c>
      <c r="AE84" s="93">
        <v>0</v>
      </c>
      <c r="AF84" s="234">
        <f t="shared" si="58"/>
        <v>0</v>
      </c>
      <c r="AG84" s="93">
        <v>310.65999999999997</v>
      </c>
      <c r="AH84" s="93"/>
      <c r="AI84" s="93"/>
      <c r="AJ84" s="93"/>
      <c r="AK84" s="93"/>
      <c r="AL84" s="122">
        <f t="shared" si="59"/>
        <v>147.64638338505608</v>
      </c>
      <c r="AM84" s="93">
        <v>0</v>
      </c>
      <c r="AN84" s="325">
        <f t="shared" si="49"/>
        <v>0</v>
      </c>
      <c r="AO84" s="95">
        <f t="shared" si="60"/>
        <v>-458.30638338505605</v>
      </c>
      <c r="AP84" s="96"/>
      <c r="AQ84" s="97">
        <f t="shared" si="9"/>
        <v>0</v>
      </c>
      <c r="AR84" s="98">
        <f t="shared" si="37"/>
        <v>146.49</v>
      </c>
      <c r="AS84" s="98">
        <f t="shared" si="11"/>
        <v>0</v>
      </c>
      <c r="AT84" s="98">
        <f t="shared" si="12"/>
        <v>310.65999999999997</v>
      </c>
      <c r="AU84" s="98">
        <f t="shared" si="61"/>
        <v>0</v>
      </c>
      <c r="AV84" s="98">
        <f t="array" ref="AV84">_xlfn.IFS(U84=0,AO84,U84&lt;0,AO84/-U84,U84&gt;0,AO84/U84)</f>
        <v>-458.30638338505605</v>
      </c>
      <c r="AW84" s="234">
        <f t="shared" si="46"/>
        <v>0</v>
      </c>
      <c r="AX84" s="234">
        <f t="shared" si="47"/>
        <v>-3.1285847729200356</v>
      </c>
      <c r="AY84" s="99"/>
      <c r="AZ84" s="94">
        <f t="shared" si="15"/>
        <v>-21082.093635712579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8"/>
        <v>42</v>
      </c>
      <c r="F85" s="93"/>
      <c r="G85" s="93"/>
      <c r="H85" s="272">
        <v>42</v>
      </c>
      <c r="I85" s="93"/>
      <c r="J85" s="93"/>
      <c r="K85" s="93">
        <v>103.2</v>
      </c>
      <c r="L85" s="92">
        <f t="shared" si="44"/>
        <v>4334.4000000000005</v>
      </c>
      <c r="M85" s="89"/>
      <c r="N85" s="89">
        <v>35</v>
      </c>
      <c r="O85" s="89">
        <v>1018</v>
      </c>
      <c r="P85" s="89">
        <v>12</v>
      </c>
      <c r="Q85" s="233">
        <f t="shared" si="50"/>
        <v>1.09375</v>
      </c>
      <c r="R85" s="92">
        <f t="shared" si="51"/>
        <v>0.1875</v>
      </c>
      <c r="S85" s="93">
        <v>6</v>
      </c>
      <c r="T85" s="93">
        <v>0</v>
      </c>
      <c r="U85" s="92">
        <f t="shared" si="52"/>
        <v>6</v>
      </c>
      <c r="V85" s="93">
        <v>4330</v>
      </c>
      <c r="W85" s="93">
        <v>0</v>
      </c>
      <c r="X85" s="92">
        <f t="shared" si="53"/>
        <v>4330</v>
      </c>
      <c r="Y85" s="93">
        <v>6017.76</v>
      </c>
      <c r="Z85" s="93">
        <v>0</v>
      </c>
      <c r="AA85" s="92">
        <f t="shared" si="54"/>
        <v>6017.76</v>
      </c>
      <c r="AB85" s="92">
        <f t="shared" si="55"/>
        <v>4275.6000000000004</v>
      </c>
      <c r="AC85" s="234">
        <f t="shared" si="56"/>
        <v>2.6804271333436334E-3</v>
      </c>
      <c r="AD85" s="92">
        <f t="shared" si="57"/>
        <v>619.20000000000005</v>
      </c>
      <c r="AE85" s="93">
        <v>2271.9499999999998</v>
      </c>
      <c r="AF85" s="234">
        <f t="shared" si="58"/>
        <v>0.37754081252824967</v>
      </c>
      <c r="AG85" s="93">
        <v>2549.4800000000005</v>
      </c>
      <c r="AH85" s="93">
        <v>2308</v>
      </c>
      <c r="AI85" s="93">
        <v>5861</v>
      </c>
      <c r="AJ85" s="93"/>
      <c r="AK85" s="93"/>
      <c r="AL85" s="122">
        <f t="shared" si="59"/>
        <v>134.80756743852947</v>
      </c>
      <c r="AM85" s="93">
        <v>0</v>
      </c>
      <c r="AN85" s="325">
        <f t="shared" si="49"/>
        <v>250.36073668502377</v>
      </c>
      <c r="AO85" s="95">
        <f t="shared" si="60"/>
        <v>-7977.0383041235527</v>
      </c>
      <c r="AP85" s="96"/>
      <c r="AQ85" s="97">
        <f t="shared" si="9"/>
        <v>1002.96</v>
      </c>
      <c r="AR85" s="98">
        <f t="shared" si="37"/>
        <v>103.2</v>
      </c>
      <c r="AS85" s="98">
        <f t="shared" si="11"/>
        <v>378.6583333333333</v>
      </c>
      <c r="AT85" s="98">
        <f t="shared" si="12"/>
        <v>424.91333333333341</v>
      </c>
      <c r="AU85" s="98">
        <f t="shared" si="61"/>
        <v>1361.5</v>
      </c>
      <c r="AV85" s="98">
        <f t="array" ref="AV85">_xlfn.IFS(U85=0,AO85,U85&lt;0,AO85/-U85,U85&gt;0,AO85/U85)</f>
        <v>-1329.5063840205921</v>
      </c>
      <c r="AW85" s="234">
        <f t="shared" si="46"/>
        <v>-1.3255826593489193</v>
      </c>
      <c r="AX85" s="234">
        <f t="shared" si="47"/>
        <v>-12.882813798649147</v>
      </c>
      <c r="AY85" s="99"/>
      <c r="AZ85" s="94">
        <f t="shared" si="15"/>
        <v>-55839.268128864867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8"/>
        <v>49</v>
      </c>
      <c r="F86" s="93"/>
      <c r="G86" s="93"/>
      <c r="H86" s="272">
        <v>49</v>
      </c>
      <c r="I86" s="93"/>
      <c r="J86" s="93"/>
      <c r="K86" s="93">
        <v>150</v>
      </c>
      <c r="L86" s="92">
        <f t="shared" si="44"/>
        <v>7350</v>
      </c>
      <c r="M86" s="89"/>
      <c r="N86" s="89">
        <v>2</v>
      </c>
      <c r="O86" s="89">
        <v>1460</v>
      </c>
      <c r="P86" s="89">
        <v>100</v>
      </c>
      <c r="Q86" s="233">
        <f t="shared" si="50"/>
        <v>6.25E-2</v>
      </c>
      <c r="R86" s="92">
        <f t="shared" si="51"/>
        <v>6.25E-2</v>
      </c>
      <c r="S86" s="93">
        <v>2</v>
      </c>
      <c r="T86" s="93">
        <v>0</v>
      </c>
      <c r="U86" s="92">
        <f t="shared" si="52"/>
        <v>2</v>
      </c>
      <c r="V86" s="93">
        <v>2225</v>
      </c>
      <c r="W86" s="93">
        <v>0</v>
      </c>
      <c r="X86" s="92">
        <f t="shared" si="53"/>
        <v>2225</v>
      </c>
      <c r="Y86" s="93">
        <v>2873.19</v>
      </c>
      <c r="Z86" s="93">
        <v>0</v>
      </c>
      <c r="AA86" s="92">
        <f t="shared" si="54"/>
        <v>2873.19</v>
      </c>
      <c r="AB86" s="92">
        <f t="shared" si="55"/>
        <v>2920</v>
      </c>
      <c r="AC86" s="234">
        <f t="shared" si="56"/>
        <v>1.2797746063737327E-3</v>
      </c>
      <c r="AD86" s="92">
        <f t="shared" si="57"/>
        <v>300</v>
      </c>
      <c r="AE86" s="93">
        <v>1049.23</v>
      </c>
      <c r="AF86" s="234">
        <f t="shared" si="58"/>
        <v>0.36517946950949987</v>
      </c>
      <c r="AG86" s="93">
        <v>115.68</v>
      </c>
      <c r="AH86" s="93"/>
      <c r="AI86" s="93"/>
      <c r="AJ86" s="93"/>
      <c r="AK86" s="93"/>
      <c r="AL86" s="122">
        <f t="shared" si="59"/>
        <v>157.27549534495105</v>
      </c>
      <c r="AM86" s="93">
        <v>0</v>
      </c>
      <c r="AN86" s="325">
        <f t="shared" si="49"/>
        <v>119.53517006926886</v>
      </c>
      <c r="AO86" s="95">
        <f t="shared" si="60"/>
        <v>1131.4693345857802</v>
      </c>
      <c r="AP86" s="96"/>
      <c r="AQ86" s="97">
        <f t="shared" si="9"/>
        <v>1436.595</v>
      </c>
      <c r="AR86" s="98">
        <f t="shared" si="37"/>
        <v>150</v>
      </c>
      <c r="AS86" s="98">
        <f t="shared" si="11"/>
        <v>524.61500000000001</v>
      </c>
      <c r="AT86" s="98">
        <f t="shared" si="12"/>
        <v>57.84</v>
      </c>
      <c r="AU86" s="98">
        <f t="shared" si="61"/>
        <v>0</v>
      </c>
      <c r="AV86" s="98">
        <f t="array" ref="AV86">_xlfn.IFS(U86=0,AO86,U86&lt;0,AO86/-U86,U86&gt;0,AO86/U86)</f>
        <v>565.73466729289009</v>
      </c>
      <c r="AW86" s="234">
        <f t="shared" si="46"/>
        <v>0.3938024755013696</v>
      </c>
      <c r="AX86" s="234">
        <f t="shared" si="47"/>
        <v>3.7715644486192672</v>
      </c>
      <c r="AY86" s="99"/>
      <c r="AZ86" s="94">
        <f t="shared" si="15"/>
        <v>27720.998697351613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8"/>
        <v>46</v>
      </c>
      <c r="F87" s="93"/>
      <c r="G87" s="93"/>
      <c r="H87" s="272">
        <v>46</v>
      </c>
      <c r="I87" s="93"/>
      <c r="J87" s="93"/>
      <c r="K87" s="93">
        <v>150</v>
      </c>
      <c r="L87" s="92">
        <f t="shared" si="44"/>
        <v>6900</v>
      </c>
      <c r="M87" s="89"/>
      <c r="N87" s="89">
        <v>4</v>
      </c>
      <c r="O87" s="89">
        <v>1505</v>
      </c>
      <c r="P87" s="89">
        <v>50</v>
      </c>
      <c r="Q87" s="233">
        <f t="shared" si="50"/>
        <v>0.125</v>
      </c>
      <c r="R87" s="92">
        <f t="shared" si="51"/>
        <v>6.25E-2</v>
      </c>
      <c r="S87" s="93">
        <v>2</v>
      </c>
      <c r="T87" s="93">
        <v>0</v>
      </c>
      <c r="U87" s="92">
        <f t="shared" si="52"/>
        <v>2</v>
      </c>
      <c r="V87" s="93">
        <v>2591</v>
      </c>
      <c r="W87" s="93">
        <v>0</v>
      </c>
      <c r="X87" s="92">
        <f t="shared" si="53"/>
        <v>2591</v>
      </c>
      <c r="Y87" s="93">
        <v>3054</v>
      </c>
      <c r="Z87" s="93">
        <v>0</v>
      </c>
      <c r="AA87" s="92">
        <f t="shared" si="54"/>
        <v>3054</v>
      </c>
      <c r="AB87" s="92">
        <f t="shared" si="55"/>
        <v>3010</v>
      </c>
      <c r="AC87" s="234">
        <f t="shared" si="56"/>
        <v>1.3603108906356277E-3</v>
      </c>
      <c r="AD87" s="92">
        <f t="shared" si="57"/>
        <v>300</v>
      </c>
      <c r="AE87" s="93">
        <v>1138.8800000000001</v>
      </c>
      <c r="AF87" s="234">
        <f t="shared" si="58"/>
        <v>0.37291421087098892</v>
      </c>
      <c r="AG87" s="93">
        <v>325.14999999999998</v>
      </c>
      <c r="AH87" s="93"/>
      <c r="AI87" s="93"/>
      <c r="AJ87" s="93"/>
      <c r="AK87" s="93"/>
      <c r="AL87" s="122">
        <f t="shared" si="59"/>
        <v>147.64638338505608</v>
      </c>
      <c r="AM87" s="93">
        <v>0</v>
      </c>
      <c r="AN87" s="325">
        <f t="shared" si="49"/>
        <v>127.05752469956639</v>
      </c>
      <c r="AO87" s="95">
        <f t="shared" si="60"/>
        <v>1015.2660919153773</v>
      </c>
      <c r="AP87" s="96"/>
      <c r="AQ87" s="97">
        <f t="shared" si="9"/>
        <v>1527</v>
      </c>
      <c r="AR87" s="98">
        <f t="shared" si="37"/>
        <v>150</v>
      </c>
      <c r="AS87" s="98">
        <f t="shared" si="11"/>
        <v>569.44000000000005</v>
      </c>
      <c r="AT87" s="98">
        <f t="shared" si="12"/>
        <v>162.57499999999999</v>
      </c>
      <c r="AU87" s="98">
        <f t="shared" si="61"/>
        <v>0</v>
      </c>
      <c r="AV87" s="98">
        <f t="array" ref="AV87">_xlfn.IFS(U87=0,AO87,U87&lt;0,AO87/-U87,U87&gt;0,AO87/U87)</f>
        <v>507.63304595768864</v>
      </c>
      <c r="AW87" s="234">
        <f t="shared" si="46"/>
        <v>0.3324381440456376</v>
      </c>
      <c r="AX87" s="234">
        <f t="shared" si="47"/>
        <v>3.384220306384591</v>
      </c>
      <c r="AY87" s="99"/>
      <c r="AZ87" s="94">
        <f t="shared" si="15"/>
        <v>23351.120114053676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8"/>
        <v>31</v>
      </c>
      <c r="F88" s="93"/>
      <c r="G88" s="93"/>
      <c r="H88" s="272">
        <v>31</v>
      </c>
      <c r="I88" s="93"/>
      <c r="J88" s="93"/>
      <c r="K88" s="93">
        <v>150</v>
      </c>
      <c r="L88" s="92">
        <f t="shared" si="44"/>
        <v>4650</v>
      </c>
      <c r="M88" s="89"/>
      <c r="N88" s="89">
        <v>49</v>
      </c>
      <c r="O88" s="89">
        <v>1287</v>
      </c>
      <c r="P88" s="89">
        <v>35</v>
      </c>
      <c r="Q88" s="233">
        <f t="shared" si="50"/>
        <v>1.53125</v>
      </c>
      <c r="R88" s="92">
        <f t="shared" si="51"/>
        <v>0.53125</v>
      </c>
      <c r="S88" s="93">
        <v>19</v>
      </c>
      <c r="T88" s="93">
        <v>-2</v>
      </c>
      <c r="U88" s="92">
        <f t="shared" si="52"/>
        <v>17</v>
      </c>
      <c r="V88" s="93">
        <v>18653</v>
      </c>
      <c r="W88" s="93">
        <v>-1762</v>
      </c>
      <c r="X88" s="92">
        <f t="shared" si="53"/>
        <v>16891</v>
      </c>
      <c r="Y88" s="93">
        <v>24244.160000000003</v>
      </c>
      <c r="Z88" s="93">
        <v>-2476.29</v>
      </c>
      <c r="AA88" s="92">
        <f t="shared" si="54"/>
        <v>21767.870000000003</v>
      </c>
      <c r="AB88" s="92">
        <f t="shared" si="55"/>
        <v>22072.05</v>
      </c>
      <c r="AC88" s="234">
        <f t="shared" si="56"/>
        <v>9.6958319014212729E-3</v>
      </c>
      <c r="AD88" s="92">
        <f t="shared" si="57"/>
        <v>2550</v>
      </c>
      <c r="AE88" s="93">
        <v>8054.9400000000041</v>
      </c>
      <c r="AF88" s="234">
        <f t="shared" si="58"/>
        <v>0.37003804230730902</v>
      </c>
      <c r="AG88" s="93">
        <v>3659.1500000000005</v>
      </c>
      <c r="AH88" s="93"/>
      <c r="AI88" s="93">
        <v>9791</v>
      </c>
      <c r="AJ88" s="93"/>
      <c r="AK88" s="93"/>
      <c r="AL88" s="122">
        <f t="shared" si="59"/>
        <v>99.500823585581273</v>
      </c>
      <c r="AM88" s="93">
        <v>0</v>
      </c>
      <c r="AN88" s="325">
        <f t="shared" si="49"/>
        <v>1008.6453693582972</v>
      </c>
      <c r="AO88" s="95">
        <f t="shared" si="60"/>
        <v>-3395.3661929438804</v>
      </c>
      <c r="AP88" s="96"/>
      <c r="AQ88" s="97">
        <f t="shared" si="9"/>
        <v>1280.4629411764708</v>
      </c>
      <c r="AR88" s="98">
        <f t="shared" si="37"/>
        <v>150</v>
      </c>
      <c r="AS88" s="98">
        <f t="shared" si="11"/>
        <v>473.82000000000022</v>
      </c>
      <c r="AT88" s="98">
        <f t="shared" si="12"/>
        <v>192.58684210526317</v>
      </c>
      <c r="AU88" s="98">
        <f t="shared" si="61"/>
        <v>515.31578947368416</v>
      </c>
      <c r="AV88" s="98">
        <f t="array" ref="AV88">_xlfn.IFS(U88=0,AO88,U88&lt;0,AO88/-U88,U88&gt;0,AO88/U88)</f>
        <v>-199.7274231143459</v>
      </c>
      <c r="AW88" s="234">
        <f t="shared" si="46"/>
        <v>-0.15598063535586529</v>
      </c>
      <c r="AX88" s="234">
        <f t="shared" si="47"/>
        <v>-1.3315161540956393</v>
      </c>
      <c r="AY88" s="99"/>
      <c r="AZ88" s="94">
        <f t="shared" si="15"/>
        <v>-6191.5501165447231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8"/>
        <v>46</v>
      </c>
      <c r="F89" s="93"/>
      <c r="G89" s="93"/>
      <c r="H89" s="272">
        <v>46</v>
      </c>
      <c r="I89" s="93"/>
      <c r="J89" s="93"/>
      <c r="K89" s="93">
        <v>169.89</v>
      </c>
      <c r="L89" s="92">
        <f t="shared" si="44"/>
        <v>7814.94</v>
      </c>
      <c r="M89" s="89"/>
      <c r="N89" s="89">
        <v>1</v>
      </c>
      <c r="O89" s="89">
        <v>1504</v>
      </c>
      <c r="P89" s="89">
        <v>0</v>
      </c>
      <c r="Q89" s="233">
        <f t="shared" si="50"/>
        <v>3.125E-2</v>
      </c>
      <c r="R89" s="92">
        <f t="shared" si="51"/>
        <v>0</v>
      </c>
      <c r="S89" s="93">
        <v>0</v>
      </c>
      <c r="T89" s="93">
        <v>0</v>
      </c>
      <c r="U89" s="92">
        <f t="shared" si="52"/>
        <v>0</v>
      </c>
      <c r="V89" s="93">
        <v>0</v>
      </c>
      <c r="W89" s="93">
        <v>0</v>
      </c>
      <c r="X89" s="92">
        <f t="shared" si="53"/>
        <v>0</v>
      </c>
      <c r="Y89" s="93">
        <v>0</v>
      </c>
      <c r="Z89" s="93">
        <v>0</v>
      </c>
      <c r="AA89" s="92">
        <f t="shared" si="54"/>
        <v>0</v>
      </c>
      <c r="AB89" s="92">
        <f t="shared" si="55"/>
        <v>0</v>
      </c>
      <c r="AC89" s="234">
        <f t="shared" si="56"/>
        <v>0</v>
      </c>
      <c r="AD89" s="92">
        <f t="shared" si="57"/>
        <v>0</v>
      </c>
      <c r="AE89" s="93">
        <v>0</v>
      </c>
      <c r="AF89" s="234">
        <f t="shared" si="58"/>
        <v>0</v>
      </c>
      <c r="AG89" s="93">
        <v>108</v>
      </c>
      <c r="AH89" s="93"/>
      <c r="AI89" s="93"/>
      <c r="AJ89" s="93"/>
      <c r="AK89" s="93"/>
      <c r="AL89" s="122">
        <f t="shared" si="59"/>
        <v>147.64638338505608</v>
      </c>
      <c r="AM89" s="93">
        <v>0</v>
      </c>
      <c r="AN89" s="325">
        <f t="shared" si="49"/>
        <v>0</v>
      </c>
      <c r="AO89" s="95">
        <f t="shared" si="60"/>
        <v>-255.64638338505608</v>
      </c>
      <c r="AP89" s="96"/>
      <c r="AQ89" s="97">
        <f t="shared" si="9"/>
        <v>0</v>
      </c>
      <c r="AR89" s="98">
        <f t="shared" si="37"/>
        <v>169.89</v>
      </c>
      <c r="AS89" s="98">
        <f t="shared" si="11"/>
        <v>0</v>
      </c>
      <c r="AT89" s="98">
        <f t="shared" si="12"/>
        <v>108</v>
      </c>
      <c r="AU89" s="98">
        <f t="shared" si="61"/>
        <v>0</v>
      </c>
      <c r="AV89" s="98">
        <f t="array" ref="AV89">_xlfn.IFS(U89=0,AO89,U89&lt;0,AO89/-U89,U89&gt;0,AO89/U89)</f>
        <v>-255.64638338505608</v>
      </c>
      <c r="AW89" s="234">
        <f t="shared" si="46"/>
        <v>0</v>
      </c>
      <c r="AX89" s="234">
        <f t="shared" si="47"/>
        <v>-1.5047759337515811</v>
      </c>
      <c r="AY89" s="99"/>
      <c r="AZ89" s="94">
        <f t="shared" si="15"/>
        <v>-11759.733635712581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8"/>
        <v>50</v>
      </c>
      <c r="F90" s="93"/>
      <c r="G90" s="93"/>
      <c r="H90" s="272">
        <v>50</v>
      </c>
      <c r="I90" s="93"/>
      <c r="J90" s="93"/>
      <c r="K90" s="93">
        <v>107.88</v>
      </c>
      <c r="L90" s="92">
        <f t="shared" si="44"/>
        <v>5394</v>
      </c>
      <c r="M90" s="89"/>
      <c r="N90" s="89">
        <v>0</v>
      </c>
      <c r="O90" s="89">
        <v>0</v>
      </c>
      <c r="P90" s="89">
        <v>0</v>
      </c>
      <c r="Q90" s="233">
        <f t="shared" si="50"/>
        <v>0</v>
      </c>
      <c r="R90" s="92">
        <f t="shared" si="51"/>
        <v>0</v>
      </c>
      <c r="S90" s="93">
        <v>0</v>
      </c>
      <c r="T90" s="93">
        <v>0</v>
      </c>
      <c r="U90" s="92">
        <f t="shared" si="52"/>
        <v>0</v>
      </c>
      <c r="V90" s="93">
        <v>0</v>
      </c>
      <c r="W90" s="93">
        <v>0</v>
      </c>
      <c r="X90" s="92">
        <f t="shared" si="53"/>
        <v>0</v>
      </c>
      <c r="Y90" s="93">
        <v>0</v>
      </c>
      <c r="Z90" s="93">
        <v>0</v>
      </c>
      <c r="AA90" s="92">
        <f t="shared" si="54"/>
        <v>0</v>
      </c>
      <c r="AB90" s="92">
        <f t="shared" si="55"/>
        <v>0</v>
      </c>
      <c r="AC90" s="234">
        <f t="shared" si="56"/>
        <v>0</v>
      </c>
      <c r="AD90" s="92">
        <f t="shared" si="57"/>
        <v>0</v>
      </c>
      <c r="AE90" s="93">
        <v>0</v>
      </c>
      <c r="AF90" s="234">
        <f t="shared" si="58"/>
        <v>0</v>
      </c>
      <c r="AG90" s="93">
        <v>0</v>
      </c>
      <c r="AH90" s="93"/>
      <c r="AI90" s="93"/>
      <c r="AJ90" s="93"/>
      <c r="AK90" s="93"/>
      <c r="AL90" s="122">
        <f t="shared" si="59"/>
        <v>160.48519933158272</v>
      </c>
      <c r="AM90" s="93">
        <v>0</v>
      </c>
      <c r="AN90" s="325">
        <f t="shared" si="49"/>
        <v>0</v>
      </c>
      <c r="AO90" s="95">
        <f t="shared" si="60"/>
        <v>-160.48519933158272</v>
      </c>
      <c r="AP90" s="96"/>
      <c r="AQ90" s="97">
        <f t="shared" si="9"/>
        <v>0</v>
      </c>
      <c r="AR90" s="98">
        <f t="shared" si="37"/>
        <v>107.88</v>
      </c>
      <c r="AS90" s="98">
        <f t="shared" si="11"/>
        <v>0</v>
      </c>
      <c r="AT90" s="98">
        <f t="shared" si="12"/>
        <v>0</v>
      </c>
      <c r="AU90" s="98">
        <f t="shared" si="61"/>
        <v>0</v>
      </c>
      <c r="AV90" s="98">
        <f t="array" ref="AV90">_xlfn.IFS(U90=0,AO90,U90&lt;0,AO90/-U90,U90&gt;0,AO90/U90)</f>
        <v>-160.48519933158272</v>
      </c>
      <c r="AW90" s="234">
        <f t="shared" si="46"/>
        <v>0</v>
      </c>
      <c r="AX90" s="234">
        <f t="shared" si="47"/>
        <v>-1.4876269867592022</v>
      </c>
      <c r="AY90" s="99"/>
      <c r="AZ90" s="94">
        <f t="shared" si="15"/>
        <v>-8024.2599665791358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8"/>
        <v>37</v>
      </c>
      <c r="F91" s="93"/>
      <c r="G91" s="93"/>
      <c r="H91" s="272">
        <v>37</v>
      </c>
      <c r="I91" s="93"/>
      <c r="J91" s="93"/>
      <c r="K91" s="93">
        <v>93.84</v>
      </c>
      <c r="L91" s="92">
        <f t="shared" si="44"/>
        <v>3472.08</v>
      </c>
      <c r="M91" s="89"/>
      <c r="N91" s="89">
        <v>1</v>
      </c>
      <c r="O91" s="89">
        <v>1075</v>
      </c>
      <c r="P91" s="89">
        <v>0</v>
      </c>
      <c r="Q91" s="233">
        <f t="shared" si="50"/>
        <v>3.125E-2</v>
      </c>
      <c r="R91" s="92">
        <f t="shared" si="51"/>
        <v>0</v>
      </c>
      <c r="S91" s="93">
        <v>0</v>
      </c>
      <c r="T91" s="93">
        <v>0</v>
      </c>
      <c r="U91" s="92">
        <f t="shared" si="52"/>
        <v>0</v>
      </c>
      <c r="V91" s="93">
        <v>0</v>
      </c>
      <c r="W91" s="93">
        <v>0</v>
      </c>
      <c r="X91" s="92">
        <f t="shared" si="53"/>
        <v>0</v>
      </c>
      <c r="Y91" s="93">
        <v>0</v>
      </c>
      <c r="Z91" s="93">
        <v>0</v>
      </c>
      <c r="AA91" s="92">
        <f t="shared" si="54"/>
        <v>0</v>
      </c>
      <c r="AB91" s="92">
        <f t="shared" si="55"/>
        <v>0</v>
      </c>
      <c r="AC91" s="234">
        <f t="shared" si="56"/>
        <v>0</v>
      </c>
      <c r="AD91" s="92">
        <f t="shared" si="57"/>
        <v>0</v>
      </c>
      <c r="AE91" s="93">
        <v>0</v>
      </c>
      <c r="AF91" s="234">
        <f t="shared" si="58"/>
        <v>0</v>
      </c>
      <c r="AG91" s="93">
        <v>0</v>
      </c>
      <c r="AH91" s="93"/>
      <c r="AI91" s="93"/>
      <c r="AJ91" s="93"/>
      <c r="AK91" s="93"/>
      <c r="AL91" s="122">
        <f t="shared" si="59"/>
        <v>118.7590475053712</v>
      </c>
      <c r="AM91" s="93">
        <v>0</v>
      </c>
      <c r="AN91" s="325">
        <f t="shared" si="49"/>
        <v>0</v>
      </c>
      <c r="AO91" s="95">
        <f t="shared" si="60"/>
        <v>-118.7590475053712</v>
      </c>
      <c r="AP91" s="96"/>
      <c r="AQ91" s="97">
        <f t="shared" si="9"/>
        <v>0</v>
      </c>
      <c r="AR91" s="98">
        <f t="shared" si="37"/>
        <v>93.84</v>
      </c>
      <c r="AS91" s="98">
        <f t="shared" si="11"/>
        <v>0</v>
      </c>
      <c r="AT91" s="98">
        <f t="shared" si="12"/>
        <v>0</v>
      </c>
      <c r="AU91" s="98">
        <f t="shared" si="61"/>
        <v>0</v>
      </c>
      <c r="AV91" s="98">
        <f t="array" ref="AV91">_xlfn.IFS(U91=0,AO91,U91&lt;0,AO91/-U91,U91&gt;0,AO91/U91)</f>
        <v>-118.7590475053712</v>
      </c>
      <c r="AW91" s="234">
        <f t="shared" si="46"/>
        <v>0</v>
      </c>
      <c r="AX91" s="234">
        <f t="shared" si="47"/>
        <v>-1.2655482470734356</v>
      </c>
      <c r="AY91" s="99"/>
      <c r="AZ91" s="94">
        <f t="shared" si="15"/>
        <v>-4394.0847576987344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8"/>
        <v>49</v>
      </c>
      <c r="F92" s="93"/>
      <c r="G92" s="93"/>
      <c r="H92" s="272">
        <v>49</v>
      </c>
      <c r="I92" s="93"/>
      <c r="J92" s="93"/>
      <c r="K92" s="93">
        <v>139.47</v>
      </c>
      <c r="L92" s="92">
        <f t="shared" si="44"/>
        <v>6834.03</v>
      </c>
      <c r="M92" s="89"/>
      <c r="N92" s="89">
        <v>1</v>
      </c>
      <c r="O92" s="89">
        <v>1403</v>
      </c>
      <c r="P92" s="89">
        <v>0</v>
      </c>
      <c r="Q92" s="233">
        <f t="shared" si="50"/>
        <v>3.125E-2</v>
      </c>
      <c r="R92" s="92">
        <f t="shared" si="51"/>
        <v>0</v>
      </c>
      <c r="S92" s="93">
        <v>1</v>
      </c>
      <c r="T92" s="93">
        <v>-1</v>
      </c>
      <c r="U92" s="92">
        <f t="shared" si="52"/>
        <v>0</v>
      </c>
      <c r="V92" s="93">
        <v>1072.01</v>
      </c>
      <c r="W92" s="93">
        <v>-1072.01</v>
      </c>
      <c r="X92" s="92">
        <f t="shared" si="53"/>
        <v>0</v>
      </c>
      <c r="Y92" s="93">
        <v>1403.38</v>
      </c>
      <c r="Z92" s="93">
        <v>-1403.38</v>
      </c>
      <c r="AA92" s="92">
        <f t="shared" si="54"/>
        <v>0</v>
      </c>
      <c r="AB92" s="92">
        <f t="shared" si="55"/>
        <v>0</v>
      </c>
      <c r="AC92" s="234">
        <f t="shared" si="56"/>
        <v>0</v>
      </c>
      <c r="AD92" s="92">
        <f t="shared" si="57"/>
        <v>0</v>
      </c>
      <c r="AE92" s="93">
        <v>0</v>
      </c>
      <c r="AF92" s="234">
        <f t="shared" si="58"/>
        <v>0</v>
      </c>
      <c r="AG92" s="93">
        <v>96.4</v>
      </c>
      <c r="AH92" s="93"/>
      <c r="AI92" s="93"/>
      <c r="AJ92" s="93"/>
      <c r="AK92" s="93"/>
      <c r="AL92" s="122">
        <f t="shared" si="59"/>
        <v>157.27549534495105</v>
      </c>
      <c r="AM92" s="93">
        <v>0</v>
      </c>
      <c r="AN92" s="325">
        <f t="shared" si="49"/>
        <v>58.385720043509323</v>
      </c>
      <c r="AO92" s="95">
        <f t="shared" si="60"/>
        <v>-312.06121538846037</v>
      </c>
      <c r="AP92" s="96"/>
      <c r="AQ92" s="97">
        <f t="shared" si="9"/>
        <v>0</v>
      </c>
      <c r="AR92" s="98">
        <f t="shared" si="37"/>
        <v>139.47</v>
      </c>
      <c r="AS92" s="98">
        <f t="shared" si="11"/>
        <v>0</v>
      </c>
      <c r="AT92" s="98">
        <f t="shared" si="12"/>
        <v>96.4</v>
      </c>
      <c r="AU92" s="98">
        <f t="shared" si="61"/>
        <v>0</v>
      </c>
      <c r="AV92" s="98">
        <f t="array" ref="AV92">_xlfn.IFS(U92=0,AO92,U92&lt;0,AO92/-U92,U92&gt;0,AO92/U92)</f>
        <v>-312.06121538846037</v>
      </c>
      <c r="AW92" s="234">
        <f t="shared" si="46"/>
        <v>0</v>
      </c>
      <c r="AX92" s="234">
        <f t="shared" si="47"/>
        <v>-2.2374791380831747</v>
      </c>
      <c r="AY92" s="99"/>
      <c r="AZ92" s="94">
        <f t="shared" si="15"/>
        <v>-15290.999554034559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8"/>
        <v>47</v>
      </c>
      <c r="F93" s="93"/>
      <c r="G93" s="93"/>
      <c r="H93" s="272">
        <v>47</v>
      </c>
      <c r="I93" s="93"/>
      <c r="J93" s="93"/>
      <c r="K93" s="93">
        <v>139.47</v>
      </c>
      <c r="L93" s="92">
        <f t="shared" si="44"/>
        <v>6555.09</v>
      </c>
      <c r="M93" s="89"/>
      <c r="N93" s="89">
        <v>1</v>
      </c>
      <c r="O93" s="89">
        <v>1296</v>
      </c>
      <c r="P93" s="89">
        <v>0</v>
      </c>
      <c r="Q93" s="233">
        <f t="shared" si="50"/>
        <v>3.125E-2</v>
      </c>
      <c r="R93" s="92">
        <f t="shared" si="51"/>
        <v>0</v>
      </c>
      <c r="S93" s="93">
        <v>1</v>
      </c>
      <c r="T93" s="93">
        <v>-1</v>
      </c>
      <c r="U93" s="92">
        <f t="shared" si="52"/>
        <v>0</v>
      </c>
      <c r="V93" s="93">
        <v>1040</v>
      </c>
      <c r="W93" s="93">
        <v>-1040</v>
      </c>
      <c r="X93" s="92">
        <f t="shared" si="53"/>
        <v>0</v>
      </c>
      <c r="Y93" s="93">
        <v>1296</v>
      </c>
      <c r="Z93" s="93">
        <v>-1296</v>
      </c>
      <c r="AA93" s="92">
        <f t="shared" si="54"/>
        <v>0</v>
      </c>
      <c r="AB93" s="92">
        <f t="shared" si="55"/>
        <v>0</v>
      </c>
      <c r="AC93" s="234">
        <f t="shared" si="56"/>
        <v>0</v>
      </c>
      <c r="AD93" s="92">
        <f t="shared" si="57"/>
        <v>0</v>
      </c>
      <c r="AE93" s="93">
        <v>0</v>
      </c>
      <c r="AF93" s="234">
        <f t="shared" si="58"/>
        <v>0</v>
      </c>
      <c r="AG93" s="93">
        <v>107.11</v>
      </c>
      <c r="AH93" s="93"/>
      <c r="AI93" s="93"/>
      <c r="AJ93" s="93"/>
      <c r="AK93" s="93"/>
      <c r="AL93" s="122">
        <f t="shared" si="59"/>
        <v>150.85608737168775</v>
      </c>
      <c r="AM93" s="93">
        <v>0</v>
      </c>
      <c r="AN93" s="325">
        <f t="shared" si="49"/>
        <v>53.918320894118537</v>
      </c>
      <c r="AO93" s="95">
        <f t="shared" si="60"/>
        <v>-311.88440826580631</v>
      </c>
      <c r="AP93" s="96"/>
      <c r="AQ93" s="97">
        <f t="shared" si="9"/>
        <v>0</v>
      </c>
      <c r="AR93" s="98">
        <f t="shared" si="37"/>
        <v>139.47</v>
      </c>
      <c r="AS93" s="98">
        <f t="shared" si="11"/>
        <v>0</v>
      </c>
      <c r="AT93" s="98">
        <f t="shared" si="12"/>
        <v>107.11</v>
      </c>
      <c r="AU93" s="98">
        <f t="shared" si="61"/>
        <v>0</v>
      </c>
      <c r="AV93" s="98">
        <f t="array" ref="AV93">_xlfn.IFS(U93=0,AO93,U93&lt;0,AO93/-U93,U93&gt;0,AO93/U93)</f>
        <v>-311.88440826580631</v>
      </c>
      <c r="AW93" s="234">
        <f t="shared" si="46"/>
        <v>0</v>
      </c>
      <c r="AX93" s="234">
        <f t="shared" si="47"/>
        <v>-2.2362114308869745</v>
      </c>
      <c r="AY93" s="99"/>
      <c r="AZ93" s="94">
        <f t="shared" si="15"/>
        <v>-14658.567188492896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8"/>
        <v>2</v>
      </c>
      <c r="F94" s="93"/>
      <c r="G94" s="93"/>
      <c r="H94" s="272">
        <v>2</v>
      </c>
      <c r="I94" s="93"/>
      <c r="J94" s="93"/>
      <c r="K94" s="93">
        <v>400.08</v>
      </c>
      <c r="L94" s="92">
        <f t="shared" si="44"/>
        <v>800.16</v>
      </c>
      <c r="M94" s="89"/>
      <c r="N94" s="89">
        <v>0</v>
      </c>
      <c r="O94" s="89">
        <v>0</v>
      </c>
      <c r="P94" s="89">
        <v>0</v>
      </c>
      <c r="Q94" s="233">
        <f t="shared" si="50"/>
        <v>0</v>
      </c>
      <c r="R94" s="92">
        <f t="shared" si="51"/>
        <v>0</v>
      </c>
      <c r="S94" s="93">
        <v>0</v>
      </c>
      <c r="T94" s="93">
        <v>0</v>
      </c>
      <c r="U94" s="92">
        <f t="shared" si="52"/>
        <v>0</v>
      </c>
      <c r="V94" s="93">
        <v>0</v>
      </c>
      <c r="W94" s="93">
        <v>0</v>
      </c>
      <c r="X94" s="92">
        <f t="shared" si="53"/>
        <v>0</v>
      </c>
      <c r="Y94" s="93">
        <v>0</v>
      </c>
      <c r="Z94" s="93">
        <v>0</v>
      </c>
      <c r="AA94" s="92">
        <f t="shared" si="54"/>
        <v>0</v>
      </c>
      <c r="AB94" s="92">
        <f t="shared" si="55"/>
        <v>0</v>
      </c>
      <c r="AC94" s="234">
        <f t="shared" si="56"/>
        <v>0</v>
      </c>
      <c r="AD94" s="92">
        <f t="shared" si="57"/>
        <v>0</v>
      </c>
      <c r="AE94" s="93">
        <v>0</v>
      </c>
      <c r="AF94" s="234">
        <f t="shared" si="58"/>
        <v>0</v>
      </c>
      <c r="AG94" s="93">
        <v>0</v>
      </c>
      <c r="AH94" s="93"/>
      <c r="AI94" s="93"/>
      <c r="AJ94" s="93"/>
      <c r="AK94" s="93"/>
      <c r="AL94" s="122">
        <f t="shared" si="59"/>
        <v>6.4194079732633087</v>
      </c>
      <c r="AM94" s="93">
        <v>0</v>
      </c>
      <c r="AN94" s="325">
        <f t="shared" si="49"/>
        <v>0</v>
      </c>
      <c r="AO94" s="95">
        <f t="shared" si="60"/>
        <v>-6.4194079732633087</v>
      </c>
      <c r="AP94" s="96"/>
      <c r="AQ94" s="97">
        <f t="shared" si="9"/>
        <v>0</v>
      </c>
      <c r="AR94" s="98">
        <f t="shared" si="37"/>
        <v>400.08</v>
      </c>
      <c r="AS94" s="98">
        <f t="shared" si="11"/>
        <v>0</v>
      </c>
      <c r="AT94" s="98">
        <f t="shared" si="12"/>
        <v>0</v>
      </c>
      <c r="AU94" s="98">
        <f t="shared" si="61"/>
        <v>0</v>
      </c>
      <c r="AV94" s="98">
        <f t="array" ref="AV94">_xlfn.IFS(U94=0,AO94,U94&lt;0,AO94/-U94,U94&gt;0,AO94/U94)</f>
        <v>-6.4194079732633087</v>
      </c>
      <c r="AW94" s="234">
        <f t="shared" si="46"/>
        <v>0</v>
      </c>
      <c r="AX94" s="234">
        <f t="shared" si="47"/>
        <v>-1.6045310870984077E-2</v>
      </c>
      <c r="AY94" s="99"/>
      <c r="AZ94" s="94">
        <f t="shared" si="15"/>
        <v>-12.838815946526617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8"/>
        <v>1</v>
      </c>
      <c r="F95" s="93"/>
      <c r="G95" s="93"/>
      <c r="H95" s="272">
        <v>1</v>
      </c>
      <c r="I95" s="93"/>
      <c r="J95" s="93"/>
      <c r="K95" s="93">
        <v>400.08</v>
      </c>
      <c r="L95" s="92">
        <f t="shared" si="44"/>
        <v>400.08</v>
      </c>
      <c r="M95" s="89"/>
      <c r="N95" s="89">
        <v>1</v>
      </c>
      <c r="O95" s="89">
        <v>1647</v>
      </c>
      <c r="P95" s="89">
        <v>100</v>
      </c>
      <c r="Q95" s="233">
        <f t="shared" si="50"/>
        <v>3.125E-2</v>
      </c>
      <c r="R95" s="92">
        <f t="shared" si="51"/>
        <v>0</v>
      </c>
      <c r="S95" s="93">
        <v>0</v>
      </c>
      <c r="T95" s="93">
        <v>0</v>
      </c>
      <c r="U95" s="92">
        <f t="shared" si="52"/>
        <v>0</v>
      </c>
      <c r="V95" s="93">
        <v>0</v>
      </c>
      <c r="W95" s="93">
        <v>0</v>
      </c>
      <c r="X95" s="92">
        <f t="shared" si="53"/>
        <v>0</v>
      </c>
      <c r="Y95" s="93">
        <v>0</v>
      </c>
      <c r="Z95" s="93">
        <v>0</v>
      </c>
      <c r="AA95" s="92">
        <f t="shared" si="54"/>
        <v>0</v>
      </c>
      <c r="AB95" s="92">
        <f t="shared" si="55"/>
        <v>1647</v>
      </c>
      <c r="AC95" s="234">
        <f t="shared" si="56"/>
        <v>0</v>
      </c>
      <c r="AD95" s="92">
        <f t="shared" si="57"/>
        <v>0</v>
      </c>
      <c r="AE95" s="93">
        <v>0</v>
      </c>
      <c r="AF95" s="234">
        <f t="shared" si="58"/>
        <v>0</v>
      </c>
      <c r="AG95" s="93">
        <v>0</v>
      </c>
      <c r="AH95" s="93"/>
      <c r="AI95" s="93"/>
      <c r="AJ95" s="93"/>
      <c r="AK95" s="93"/>
      <c r="AL95" s="122">
        <f t="shared" si="59"/>
        <v>3.2097039866316543</v>
      </c>
      <c r="AM95" s="93">
        <v>0</v>
      </c>
      <c r="AN95" s="325">
        <f t="shared" si="49"/>
        <v>0</v>
      </c>
      <c r="AO95" s="95">
        <f t="shared" si="60"/>
        <v>-3.2097039866316543</v>
      </c>
      <c r="AP95" s="96"/>
      <c r="AQ95" s="97">
        <f t="shared" si="9"/>
        <v>0</v>
      </c>
      <c r="AR95" s="98">
        <f t="shared" si="37"/>
        <v>400.08</v>
      </c>
      <c r="AS95" s="98">
        <f t="shared" si="11"/>
        <v>0</v>
      </c>
      <c r="AT95" s="98">
        <f t="shared" si="12"/>
        <v>0</v>
      </c>
      <c r="AU95" s="98">
        <f t="shared" si="61"/>
        <v>0</v>
      </c>
      <c r="AV95" s="98">
        <f t="array" ref="AV95">_xlfn.IFS(U95=0,AO95,U95&lt;0,AO95/-U95,U95&gt;0,AO95/U95)</f>
        <v>-3.2097039866316543</v>
      </c>
      <c r="AW95" s="234">
        <f t="shared" si="46"/>
        <v>0</v>
      </c>
      <c r="AX95" s="234">
        <f t="shared" si="47"/>
        <v>-8.0226554354920383E-3</v>
      </c>
      <c r="AY95" s="99"/>
      <c r="AZ95" s="94">
        <f t="shared" si="15"/>
        <v>-3.2097039866316543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8"/>
        <v>1</v>
      </c>
      <c r="F96" s="93"/>
      <c r="G96" s="93"/>
      <c r="H96" s="272">
        <v>1</v>
      </c>
      <c r="I96" s="93"/>
      <c r="J96" s="93"/>
      <c r="K96" s="93">
        <v>300.08</v>
      </c>
      <c r="L96" s="92">
        <f t="shared" si="44"/>
        <v>300.08</v>
      </c>
      <c r="M96" s="89"/>
      <c r="N96" s="89">
        <v>1</v>
      </c>
      <c r="O96" s="89">
        <v>998</v>
      </c>
      <c r="P96" s="89">
        <v>100</v>
      </c>
      <c r="Q96" s="233">
        <f t="shared" si="50"/>
        <v>3.125E-2</v>
      </c>
      <c r="R96" s="92">
        <f t="shared" si="51"/>
        <v>3.125E-2</v>
      </c>
      <c r="S96" s="93">
        <v>1</v>
      </c>
      <c r="T96" s="93">
        <v>0</v>
      </c>
      <c r="U96" s="92">
        <f t="shared" si="52"/>
        <v>1</v>
      </c>
      <c r="V96" s="93">
        <v>684</v>
      </c>
      <c r="W96" s="93">
        <v>0</v>
      </c>
      <c r="X96" s="92">
        <f t="shared" si="53"/>
        <v>684</v>
      </c>
      <c r="Y96" s="93">
        <v>998</v>
      </c>
      <c r="Z96" s="93">
        <v>0</v>
      </c>
      <c r="AA96" s="92">
        <f t="shared" si="54"/>
        <v>998</v>
      </c>
      <c r="AB96" s="92">
        <f t="shared" si="55"/>
        <v>998</v>
      </c>
      <c r="AC96" s="234">
        <f t="shared" si="56"/>
        <v>4.4452857526337808E-4</v>
      </c>
      <c r="AD96" s="92">
        <f t="shared" si="57"/>
        <v>300.08</v>
      </c>
      <c r="AE96" s="93">
        <v>378.91999999999996</v>
      </c>
      <c r="AF96" s="234">
        <f t="shared" si="58"/>
        <v>0.37967935871743486</v>
      </c>
      <c r="AG96" s="93">
        <v>163.6</v>
      </c>
      <c r="AH96" s="93"/>
      <c r="AI96" s="93"/>
      <c r="AJ96" s="93"/>
      <c r="AK96" s="93"/>
      <c r="AL96" s="122">
        <f t="shared" si="59"/>
        <v>3.2097039866316543</v>
      </c>
      <c r="AM96" s="93">
        <v>0</v>
      </c>
      <c r="AN96" s="325">
        <f t="shared" si="49"/>
        <v>41.520435379884496</v>
      </c>
      <c r="AO96" s="95">
        <f t="shared" si="60"/>
        <v>110.66986063348395</v>
      </c>
      <c r="AP96" s="96"/>
      <c r="AQ96" s="97">
        <f t="shared" si="9"/>
        <v>998</v>
      </c>
      <c r="AR96" s="98">
        <f t="shared" si="37"/>
        <v>300.08</v>
      </c>
      <c r="AS96" s="98">
        <f t="shared" si="11"/>
        <v>378.91999999999996</v>
      </c>
      <c r="AT96" s="98">
        <f t="shared" si="12"/>
        <v>163.6</v>
      </c>
      <c r="AU96" s="98">
        <f t="shared" si="61"/>
        <v>0</v>
      </c>
      <c r="AV96" s="98">
        <f t="array" ref="AV96">_xlfn.IFS(U96=0,AO96,U96&lt;0,AO96/-U96,U96&gt;0,AO96/U96)</f>
        <v>110.66986063348395</v>
      </c>
      <c r="AW96" s="234">
        <f t="shared" si="46"/>
        <v>0.1108916439213266</v>
      </c>
      <c r="AX96" s="234">
        <f t="shared" si="47"/>
        <v>0.36880118846135684</v>
      </c>
      <c r="AY96" s="99"/>
      <c r="AZ96" s="94">
        <f t="shared" si="15"/>
        <v>110.66986063348395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8"/>
        <v>4</v>
      </c>
      <c r="F97" s="93"/>
      <c r="G97" s="93"/>
      <c r="H97" s="272">
        <v>4</v>
      </c>
      <c r="I97" s="93"/>
      <c r="J97" s="93"/>
      <c r="K97" s="93">
        <v>400.08</v>
      </c>
      <c r="L97" s="92">
        <f t="shared" si="44"/>
        <v>1600.32</v>
      </c>
      <c r="M97" s="89"/>
      <c r="N97" s="89">
        <v>0</v>
      </c>
      <c r="O97" s="89">
        <v>0</v>
      </c>
      <c r="P97" s="89">
        <v>0</v>
      </c>
      <c r="Q97" s="233">
        <f t="shared" si="50"/>
        <v>0</v>
      </c>
      <c r="R97" s="92">
        <f t="shared" si="51"/>
        <v>0</v>
      </c>
      <c r="S97" s="93">
        <v>0</v>
      </c>
      <c r="T97" s="93">
        <v>0</v>
      </c>
      <c r="U97" s="92">
        <f t="shared" si="52"/>
        <v>0</v>
      </c>
      <c r="V97" s="93">
        <v>0</v>
      </c>
      <c r="W97" s="93">
        <v>0</v>
      </c>
      <c r="X97" s="92">
        <f t="shared" si="53"/>
        <v>0</v>
      </c>
      <c r="Y97" s="93">
        <v>0</v>
      </c>
      <c r="Z97" s="93">
        <v>0</v>
      </c>
      <c r="AA97" s="92">
        <f t="shared" si="54"/>
        <v>0</v>
      </c>
      <c r="AB97" s="92">
        <f t="shared" si="55"/>
        <v>0</v>
      </c>
      <c r="AC97" s="234">
        <f t="shared" si="56"/>
        <v>0</v>
      </c>
      <c r="AD97" s="92">
        <f t="shared" si="57"/>
        <v>0</v>
      </c>
      <c r="AE97" s="93">
        <v>0</v>
      </c>
      <c r="AF97" s="234">
        <f t="shared" si="58"/>
        <v>0</v>
      </c>
      <c r="AG97" s="93">
        <v>0</v>
      </c>
      <c r="AH97" s="93"/>
      <c r="AI97" s="93"/>
      <c r="AJ97" s="93"/>
      <c r="AK97" s="93"/>
      <c r="AL97" s="122">
        <f t="shared" si="59"/>
        <v>12.838815946526617</v>
      </c>
      <c r="AM97" s="93">
        <v>0</v>
      </c>
      <c r="AN97" s="325">
        <f t="shared" si="49"/>
        <v>0</v>
      </c>
      <c r="AO97" s="95">
        <f t="shared" si="60"/>
        <v>-12.838815946526617</v>
      </c>
      <c r="AP97" s="96"/>
      <c r="AQ97" s="97">
        <f t="shared" si="9"/>
        <v>0</v>
      </c>
      <c r="AR97" s="98">
        <f t="shared" si="37"/>
        <v>400.08</v>
      </c>
      <c r="AS97" s="98">
        <f t="shared" si="11"/>
        <v>0</v>
      </c>
      <c r="AT97" s="98">
        <f t="shared" si="12"/>
        <v>0</v>
      </c>
      <c r="AU97" s="98">
        <f t="shared" si="61"/>
        <v>0</v>
      </c>
      <c r="AV97" s="98">
        <f t="array" ref="AV97">_xlfn.IFS(U97=0,AO97,U97&lt;0,AO97/-U97,U97&gt;0,AO97/U97)</f>
        <v>-12.838815946526617</v>
      </c>
      <c r="AW97" s="234">
        <f t="shared" si="46"/>
        <v>0</v>
      </c>
      <c r="AX97" s="234">
        <f t="shared" si="47"/>
        <v>-3.2090621741968153E-2</v>
      </c>
      <c r="AY97" s="99"/>
      <c r="AZ97" s="94">
        <f t="shared" si="15"/>
        <v>-51.35526378610647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8"/>
        <v>16</v>
      </c>
      <c r="F98" s="93"/>
      <c r="G98" s="93"/>
      <c r="H98" s="272">
        <v>16</v>
      </c>
      <c r="I98" s="93"/>
      <c r="J98" s="93"/>
      <c r="K98" s="93">
        <v>300.08</v>
      </c>
      <c r="L98" s="92">
        <f t="shared" si="44"/>
        <v>4801.28</v>
      </c>
      <c r="M98" s="89"/>
      <c r="N98" s="89">
        <v>0</v>
      </c>
      <c r="O98" s="89">
        <v>0</v>
      </c>
      <c r="P98" s="89">
        <v>0</v>
      </c>
      <c r="Q98" s="233">
        <f t="shared" si="50"/>
        <v>0</v>
      </c>
      <c r="R98" s="92">
        <f t="shared" si="51"/>
        <v>0</v>
      </c>
      <c r="S98" s="93">
        <v>0</v>
      </c>
      <c r="T98" s="93">
        <v>0</v>
      </c>
      <c r="U98" s="92">
        <f t="shared" si="52"/>
        <v>0</v>
      </c>
      <c r="V98" s="93">
        <v>0</v>
      </c>
      <c r="W98" s="93">
        <v>0</v>
      </c>
      <c r="X98" s="92">
        <f t="shared" si="53"/>
        <v>0</v>
      </c>
      <c r="Y98" s="93">
        <v>0</v>
      </c>
      <c r="Z98" s="93">
        <v>0</v>
      </c>
      <c r="AA98" s="92">
        <f t="shared" si="54"/>
        <v>0</v>
      </c>
      <c r="AB98" s="92">
        <f t="shared" si="55"/>
        <v>0</v>
      </c>
      <c r="AC98" s="234">
        <f t="shared" si="56"/>
        <v>0</v>
      </c>
      <c r="AD98" s="92">
        <f t="shared" si="57"/>
        <v>0</v>
      </c>
      <c r="AE98" s="93">
        <v>0</v>
      </c>
      <c r="AF98" s="234">
        <f t="shared" si="58"/>
        <v>0</v>
      </c>
      <c r="AG98" s="93">
        <v>0</v>
      </c>
      <c r="AH98" s="93"/>
      <c r="AI98" s="93"/>
      <c r="AJ98" s="93"/>
      <c r="AK98" s="93"/>
      <c r="AL98" s="122">
        <f t="shared" si="59"/>
        <v>51.35526378610647</v>
      </c>
      <c r="AM98" s="93">
        <v>0</v>
      </c>
      <c r="AN98" s="325">
        <f t="shared" si="49"/>
        <v>0</v>
      </c>
      <c r="AO98" s="95">
        <f t="shared" si="60"/>
        <v>-51.35526378610647</v>
      </c>
      <c r="AP98" s="96"/>
      <c r="AQ98" s="97">
        <f t="shared" ref="AQ98" si="62">IF(U98=0,0,AA98/U98)</f>
        <v>0</v>
      </c>
      <c r="AR98" s="98">
        <f t="shared" si="37"/>
        <v>300.08</v>
      </c>
      <c r="AS98" s="98">
        <f t="shared" ref="AS98" si="63">IF(U98=0,0,AE98/U98)</f>
        <v>0</v>
      </c>
      <c r="AT98" s="98">
        <f t="shared" ref="AT98" si="64">IF(S98=0,AG98/1,AG98/S98)</f>
        <v>0</v>
      </c>
      <c r="AU98" s="98">
        <f t="shared" si="61"/>
        <v>0</v>
      </c>
      <c r="AV98" s="98">
        <f t="array" ref="AV98">_xlfn.IFS(U98=0,AO98,U98&lt;0,AO98/-U98,U98&gt;0,AO98/U98)</f>
        <v>-51.35526378610647</v>
      </c>
      <c r="AW98" s="234">
        <f t="shared" si="46"/>
        <v>0</v>
      </c>
      <c r="AX98" s="234">
        <f t="shared" si="47"/>
        <v>-0.17113857566684376</v>
      </c>
      <c r="AY98" s="99"/>
      <c r="AZ98" s="94">
        <f t="shared" ref="AZ98" si="65">AV98*E98</f>
        <v>-821.68422057770351</v>
      </c>
    </row>
    <row r="99" spans="1:52" s="113" customFormat="1" outlineLevel="1">
      <c r="A99" s="101"/>
      <c r="B99" s="102"/>
      <c r="C99" s="103" t="s">
        <v>218</v>
      </c>
      <c r="D99" s="104"/>
      <c r="E99" s="235"/>
      <c r="F99" s="105"/>
      <c r="G99" s="105"/>
      <c r="H99" s="106"/>
      <c r="I99" s="106"/>
      <c r="J99" s="106"/>
      <c r="K99" s="105"/>
      <c r="L99" s="105"/>
      <c r="M99" s="103"/>
      <c r="N99" s="103"/>
      <c r="O99" s="103"/>
      <c r="P99" s="103"/>
      <c r="Q99" s="236"/>
      <c r="R99" s="105"/>
      <c r="S99" s="106"/>
      <c r="T99" s="106"/>
      <c r="U99" s="105"/>
      <c r="V99" s="106"/>
      <c r="W99" s="106"/>
      <c r="X99" s="105"/>
      <c r="Y99" s="106"/>
      <c r="Z99" s="106"/>
      <c r="AA99" s="105"/>
      <c r="AB99" s="105"/>
      <c r="AC99" s="237"/>
      <c r="AD99" s="105"/>
      <c r="AE99" s="106"/>
      <c r="AF99" s="237"/>
      <c r="AG99" s="106"/>
      <c r="AH99" s="106"/>
      <c r="AI99" s="106"/>
      <c r="AJ99" s="106"/>
      <c r="AK99" s="106"/>
      <c r="AL99" s="107"/>
      <c r="AM99" s="106"/>
      <c r="AN99" s="108"/>
      <c r="AO99" s="109"/>
      <c r="AP99" s="110"/>
      <c r="AQ99" s="111">
        <f t="shared" ref="AQ99:AX99" si="66">AVERAGE(AQ7:AQ98)</f>
        <v>525.68763795174016</v>
      </c>
      <c r="AR99" s="111">
        <f t="shared" si="66"/>
        <v>141.22217391304349</v>
      </c>
      <c r="AS99" s="111">
        <f t="shared" si="66"/>
        <v>194.94664698038267</v>
      </c>
      <c r="AT99" s="111">
        <f t="shared" si="66"/>
        <v>125.43023823461296</v>
      </c>
      <c r="AU99" s="111">
        <f t="shared" si="66"/>
        <v>106.69528959877279</v>
      </c>
      <c r="AV99" s="111">
        <f t="shared" si="66"/>
        <v>-71.88990817421076</v>
      </c>
      <c r="AW99" s="112">
        <f t="shared" si="66"/>
        <v>-2.8168433767308817E-2</v>
      </c>
      <c r="AX99" s="112">
        <f t="shared" si="66"/>
        <v>-0.58539957289451816</v>
      </c>
      <c r="AY99" s="99"/>
      <c r="AZ99" s="108"/>
    </row>
    <row r="100" spans="1:52" s="120" customFormat="1">
      <c r="A100" s="114" t="s">
        <v>85</v>
      </c>
      <c r="B100" s="115"/>
      <c r="C100" s="116"/>
      <c r="D100" s="116"/>
      <c r="E100" s="238">
        <f t="shared" ref="E100:J100" si="67">SUM(E3:E98)</f>
        <v>12566</v>
      </c>
      <c r="F100" s="116">
        <f t="shared" si="67"/>
        <v>0</v>
      </c>
      <c r="G100" s="116">
        <f t="shared" si="67"/>
        <v>0</v>
      </c>
      <c r="H100" s="116">
        <f t="shared" si="67"/>
        <v>12566</v>
      </c>
      <c r="I100" s="116">
        <f t="shared" si="67"/>
        <v>0</v>
      </c>
      <c r="J100" s="116">
        <f t="shared" si="67"/>
        <v>0</v>
      </c>
      <c r="K100" s="116"/>
      <c r="L100" s="116">
        <f>SUM(L3:L98)</f>
        <v>1597964.3499999996</v>
      </c>
      <c r="M100" s="116"/>
      <c r="N100" s="116">
        <f>SUM(N3:N98)</f>
        <v>4961</v>
      </c>
      <c r="O100" s="116"/>
      <c r="P100" s="116"/>
      <c r="Q100" s="212"/>
      <c r="R100" s="116"/>
      <c r="S100" s="116">
        <f t="shared" ref="S100:AE100" si="68">SUM(S3:S98)</f>
        <v>2362</v>
      </c>
      <c r="T100" s="116">
        <f t="shared" si="68"/>
        <v>-53</v>
      </c>
      <c r="U100" s="116">
        <f t="shared" si="68"/>
        <v>2309</v>
      </c>
      <c r="V100" s="116">
        <f t="shared" si="68"/>
        <v>1728382.78</v>
      </c>
      <c r="W100" s="116">
        <f t="shared" si="68"/>
        <v>-44657.88</v>
      </c>
      <c r="X100" s="116">
        <f t="shared" si="68"/>
        <v>1683724.9</v>
      </c>
      <c r="Y100" s="116">
        <f t="shared" si="68"/>
        <v>2303342.0599999991</v>
      </c>
      <c r="Z100" s="116">
        <f t="shared" si="68"/>
        <v>-58267.040000000001</v>
      </c>
      <c r="AA100" s="116">
        <f t="shared" si="68"/>
        <v>2245075.02</v>
      </c>
      <c r="AB100" s="116">
        <f t="shared" si="68"/>
        <v>2920148.8499999992</v>
      </c>
      <c r="AC100" s="239">
        <f t="shared" si="68"/>
        <v>1.0000000000000002</v>
      </c>
      <c r="AD100" s="117">
        <f t="shared" si="68"/>
        <v>292876.64000000007</v>
      </c>
      <c r="AE100" s="116">
        <f t="shared" si="68"/>
        <v>833669.77000000118</v>
      </c>
      <c r="AF100" s="239">
        <f>AE100/AA100</f>
        <v>0.3713327004992471</v>
      </c>
      <c r="AG100" s="116">
        <f t="shared" ref="AG100:AO100" si="69">SUM(AG3:AG98)</f>
        <v>276475.65000000008</v>
      </c>
      <c r="AH100" s="117">
        <f t="shared" si="69"/>
        <v>113446</v>
      </c>
      <c r="AI100" s="117">
        <f t="shared" si="69"/>
        <v>404487</v>
      </c>
      <c r="AJ100" s="117">
        <f>SUM(AJ3:AJ98)</f>
        <v>1873</v>
      </c>
      <c r="AK100" s="117">
        <f t="shared" si="69"/>
        <v>0</v>
      </c>
      <c r="AL100" s="117">
        <f t="shared" si="69"/>
        <v>40333.140296013356</v>
      </c>
      <c r="AM100" s="116">
        <f t="shared" si="69"/>
        <v>0</v>
      </c>
      <c r="AN100" s="117">
        <f t="shared" si="69"/>
        <v>95827.420000000071</v>
      </c>
      <c r="AO100" s="117">
        <f t="shared" si="69"/>
        <v>187959.3997039856</v>
      </c>
      <c r="AP100" s="118"/>
      <c r="AQ100" s="116"/>
      <c r="AR100" s="116"/>
      <c r="AS100" s="116"/>
      <c r="AT100" s="116"/>
      <c r="AU100" s="240">
        <f>(AH100+AI100+AJ100)/S100</f>
        <v>220.07027942421678</v>
      </c>
      <c r="AV100" s="116"/>
      <c r="AW100" s="116"/>
      <c r="AX100" s="116"/>
      <c r="AY100" s="119"/>
      <c r="AZ100" s="116">
        <f>SUM(AZ3:AZ98)</f>
        <v>-424794.45884326432</v>
      </c>
    </row>
    <row r="101" spans="1:52">
      <c r="A101" s="89"/>
      <c r="B101" s="90"/>
      <c r="C101" s="90"/>
      <c r="D101" s="121"/>
      <c r="E101" s="241"/>
      <c r="F101" s="93"/>
      <c r="G101" s="93"/>
      <c r="H101" s="93"/>
      <c r="I101" s="93"/>
      <c r="J101" s="93"/>
      <c r="K101" s="93"/>
      <c r="L101" s="93"/>
      <c r="M101" s="89"/>
      <c r="N101" s="89"/>
      <c r="O101" s="89"/>
      <c r="P101" s="89"/>
      <c r="Q101" s="242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243"/>
      <c r="AD101" s="93"/>
      <c r="AE101" s="93"/>
      <c r="AF101" s="243"/>
      <c r="AG101" s="93"/>
      <c r="AH101" s="545"/>
      <c r="AI101" s="545"/>
      <c r="AJ101" s="216"/>
      <c r="AK101" s="216"/>
      <c r="AL101" s="122"/>
      <c r="AM101" s="93"/>
      <c r="AN101" s="123"/>
      <c r="AO101" s="124"/>
      <c r="AP101" s="96"/>
      <c r="AQ101" s="125"/>
      <c r="AR101" s="126"/>
      <c r="AS101" s="126"/>
      <c r="AT101" s="126"/>
      <c r="AU101" s="126"/>
      <c r="AV101" s="126"/>
      <c r="AW101" s="244"/>
      <c r="AX101" s="244"/>
      <c r="AY101" s="99"/>
      <c r="AZ101" s="123"/>
    </row>
    <row r="102" spans="1:52">
      <c r="A102" s="89" t="s">
        <v>219</v>
      </c>
      <c r="B102" s="90">
        <v>437023601</v>
      </c>
      <c r="C102" s="90" t="s">
        <v>220</v>
      </c>
      <c r="D102" s="121" t="s">
        <v>221</v>
      </c>
      <c r="E102" s="232">
        <f t="shared" ref="E102:E106" si="70">SUM(F102:J102)</f>
        <v>1</v>
      </c>
      <c r="F102" s="93"/>
      <c r="G102" s="93"/>
      <c r="H102" s="272">
        <v>0</v>
      </c>
      <c r="I102" s="93">
        <v>0</v>
      </c>
      <c r="J102" s="93">
        <v>1</v>
      </c>
      <c r="K102" s="93">
        <v>579.17999999999995</v>
      </c>
      <c r="L102" s="92">
        <f>E102*K102</f>
        <v>579.17999999999995</v>
      </c>
      <c r="M102" s="89"/>
      <c r="N102" s="89">
        <v>0</v>
      </c>
      <c r="O102" s="89">
        <v>0</v>
      </c>
      <c r="P102" s="89">
        <v>0</v>
      </c>
      <c r="Q102" s="233">
        <f t="shared" ref="Q102:Q106" si="71">N102/32</f>
        <v>0</v>
      </c>
      <c r="R102" s="92">
        <f t="shared" ref="R102:R106" si="72">U102/32</f>
        <v>0</v>
      </c>
      <c r="S102" s="93">
        <v>0</v>
      </c>
      <c r="T102" s="93">
        <v>0</v>
      </c>
      <c r="U102" s="92">
        <f t="shared" ref="U102" si="73">S102+T102</f>
        <v>0</v>
      </c>
      <c r="V102" s="93">
        <v>0</v>
      </c>
      <c r="W102" s="93">
        <v>0</v>
      </c>
      <c r="X102" s="92">
        <f t="shared" ref="X102" si="74">V102+W102</f>
        <v>0</v>
      </c>
      <c r="Y102" s="93">
        <v>0</v>
      </c>
      <c r="Z102" s="93">
        <v>0</v>
      </c>
      <c r="AA102" s="92">
        <f t="shared" ref="AA102" si="75">Y102+Z102</f>
        <v>0</v>
      </c>
      <c r="AB102" s="92">
        <f t="shared" ref="AB102" si="76">N102*O102*P102/100</f>
        <v>0</v>
      </c>
      <c r="AC102" s="234">
        <f t="shared" ref="AC102" si="77">AA102/$AA$121</f>
        <v>0</v>
      </c>
      <c r="AD102" s="92">
        <f t="shared" ref="AD102" si="78">U102*K102</f>
        <v>0</v>
      </c>
      <c r="AE102" s="93">
        <v>0</v>
      </c>
      <c r="AF102" s="234">
        <f t="shared" ref="AF102" si="79">IF(AA102=0,0,AE102/AA102)</f>
        <v>0</v>
      </c>
      <c r="AG102" s="93">
        <v>0</v>
      </c>
      <c r="AH102" s="93"/>
      <c r="AI102" s="93"/>
      <c r="AJ102" s="93"/>
      <c r="AK102" s="93"/>
      <c r="AL102" s="122">
        <f t="shared" ref="AL102" si="80">IFERROR($AL$121*H102/$H$121,0)</f>
        <v>0</v>
      </c>
      <c r="AM102" s="93">
        <v>0</v>
      </c>
      <c r="AN102" s="325">
        <f>95827.42*Y102/Y$121</f>
        <v>0</v>
      </c>
      <c r="AO102" s="95">
        <f t="shared" ref="AO102:AO106" si="81">AA102-AD102-AE102-AG102-AH102-AI102-AK102-AL102-AN102-AM102</f>
        <v>0</v>
      </c>
      <c r="AP102" s="96"/>
      <c r="AQ102" s="97">
        <f t="shared" ref="AQ102:AQ106" si="82">IF(U102=0,0,AA102/U102)</f>
        <v>0</v>
      </c>
      <c r="AR102" s="98">
        <f t="shared" ref="AR102:AR106" si="83">K102</f>
        <v>579.17999999999995</v>
      </c>
      <c r="AS102" s="98">
        <f t="shared" ref="AS102:AS106" si="84">IF(U102=0,0,AE102/U102)</f>
        <v>0</v>
      </c>
      <c r="AT102" s="98">
        <f t="shared" ref="AT102:AT106" si="85">IF(S102=0,AG102/1,AG102/S102)</f>
        <v>0</v>
      </c>
      <c r="AU102" s="98">
        <f t="shared" ref="AU102:AU106" si="86">IF(S102=0,0,(AH102+AI102+AJ102)/S102)</f>
        <v>0</v>
      </c>
      <c r="AV102" s="98">
        <f t="array" ref="AV102">_xlfn.IFS(U102=0,AO102,U102&lt;0,AO102/-U102,U102&gt;0,AO102/U102)</f>
        <v>0</v>
      </c>
      <c r="AW102" s="234">
        <f t="shared" ref="AW102:AW106" si="87">IF(AQ102=0,0,AV102/AQ102)</f>
        <v>0</v>
      </c>
      <c r="AX102" s="234">
        <f t="shared" ref="AX102:AX106" si="88">IF(AR102=0,0,AV102/AR102)</f>
        <v>0</v>
      </c>
      <c r="AY102" s="99"/>
      <c r="AZ102" s="94">
        <f t="shared" ref="AZ102:AZ106" si="89">AV102*E102</f>
        <v>0</v>
      </c>
    </row>
    <row r="103" spans="1:52">
      <c r="A103" s="89" t="s">
        <v>219</v>
      </c>
      <c r="B103" s="90">
        <v>437027509</v>
      </c>
      <c r="C103" s="90" t="s">
        <v>222</v>
      </c>
      <c r="D103" s="121" t="s">
        <v>221</v>
      </c>
      <c r="E103" s="232">
        <f t="shared" si="70"/>
        <v>2</v>
      </c>
      <c r="F103" s="93"/>
      <c r="G103" s="93"/>
      <c r="H103" s="272">
        <v>1</v>
      </c>
      <c r="I103" s="93">
        <v>0</v>
      </c>
      <c r="J103" s="93">
        <v>1</v>
      </c>
      <c r="K103" s="93">
        <v>579.17999999999995</v>
      </c>
      <c r="L103" s="92">
        <f t="shared" ref="L103:L106" si="90">E103*K103</f>
        <v>1158.3599999999999</v>
      </c>
      <c r="M103" s="89"/>
      <c r="N103" s="89">
        <v>1</v>
      </c>
      <c r="O103" s="89">
        <v>2277</v>
      </c>
      <c r="P103" s="89">
        <v>0</v>
      </c>
      <c r="Q103" s="233">
        <f t="shared" si="71"/>
        <v>3.125E-2</v>
      </c>
      <c r="R103" s="92">
        <f t="shared" si="72"/>
        <v>0</v>
      </c>
      <c r="S103" s="93">
        <v>0</v>
      </c>
      <c r="T103" s="93">
        <v>0</v>
      </c>
      <c r="U103" s="92">
        <f t="shared" ref="U103:U106" si="91">S103+T103</f>
        <v>0</v>
      </c>
      <c r="V103" s="93">
        <v>0</v>
      </c>
      <c r="W103" s="93">
        <v>0</v>
      </c>
      <c r="X103" s="92">
        <f t="shared" ref="X103:X106" si="92">V103+W103</f>
        <v>0</v>
      </c>
      <c r="Y103" s="93">
        <v>0</v>
      </c>
      <c r="Z103" s="93">
        <v>0</v>
      </c>
      <c r="AA103" s="92">
        <f t="shared" ref="AA103:AA106" si="93">Y103+Z103</f>
        <v>0</v>
      </c>
      <c r="AB103" s="92">
        <f t="shared" ref="AB103:AB106" si="94">N103*O103*P103/100</f>
        <v>0</v>
      </c>
      <c r="AC103" s="234">
        <f t="shared" ref="AC103:AC106" si="95">AA103/$AA$121</f>
        <v>0</v>
      </c>
      <c r="AD103" s="92">
        <f t="shared" ref="AD103:AD106" si="96">U103*K103</f>
        <v>0</v>
      </c>
      <c r="AE103" s="93">
        <v>0</v>
      </c>
      <c r="AF103" s="234">
        <f t="shared" ref="AF103:AF106" si="97">IF(AA103=0,0,AE103/AA103)</f>
        <v>0</v>
      </c>
      <c r="AG103" s="93">
        <v>183.22</v>
      </c>
      <c r="AH103" s="93"/>
      <c r="AI103" s="93"/>
      <c r="AJ103" s="93"/>
      <c r="AK103" s="93"/>
      <c r="AL103" s="122">
        <f t="shared" ref="AL103:AL106" si="98">IFERROR($AL$121*H103/$H$121,0)</f>
        <v>3.2097039866316543</v>
      </c>
      <c r="AM103" s="93">
        <v>0</v>
      </c>
      <c r="AN103" s="325">
        <f>95827.42*Y103/Y$121</f>
        <v>0</v>
      </c>
      <c r="AO103" s="95">
        <f t="shared" si="81"/>
        <v>-186.42970398663167</v>
      </c>
      <c r="AP103" s="96"/>
      <c r="AQ103" s="97">
        <f t="shared" si="82"/>
        <v>0</v>
      </c>
      <c r="AR103" s="98">
        <f t="shared" si="83"/>
        <v>579.17999999999995</v>
      </c>
      <c r="AS103" s="98">
        <f t="shared" si="84"/>
        <v>0</v>
      </c>
      <c r="AT103" s="98">
        <f t="shared" si="85"/>
        <v>183.22</v>
      </c>
      <c r="AU103" s="98">
        <f t="shared" si="86"/>
        <v>0</v>
      </c>
      <c r="AV103" s="98">
        <f t="array" ref="AV103">_xlfn.IFS(U103=0,AO103,U103&lt;0,AO103/-U103,U103&gt;0,AO103/U103)</f>
        <v>-186.42970398663167</v>
      </c>
      <c r="AW103" s="234">
        <f t="shared" si="87"/>
        <v>0</v>
      </c>
      <c r="AX103" s="234">
        <f t="shared" si="88"/>
        <v>-0.3218856037615796</v>
      </c>
      <c r="AY103" s="99"/>
      <c r="AZ103" s="94">
        <f t="shared" si="89"/>
        <v>-372.85940797326333</v>
      </c>
    </row>
    <row r="104" spans="1:52">
      <c r="A104" s="89" t="s">
        <v>219</v>
      </c>
      <c r="B104" s="90">
        <v>437097997</v>
      </c>
      <c r="C104" s="90" t="s">
        <v>223</v>
      </c>
      <c r="D104" s="121" t="s">
        <v>221</v>
      </c>
      <c r="E104" s="232">
        <f t="shared" si="70"/>
        <v>2</v>
      </c>
      <c r="F104" s="93"/>
      <c r="G104" s="93"/>
      <c r="H104" s="272">
        <v>0</v>
      </c>
      <c r="I104" s="93">
        <v>0</v>
      </c>
      <c r="J104" s="93">
        <v>2</v>
      </c>
      <c r="K104" s="93">
        <v>541.67999999999995</v>
      </c>
      <c r="L104" s="92">
        <f t="shared" si="90"/>
        <v>1083.3599999999999</v>
      </c>
      <c r="M104" s="89"/>
      <c r="N104" s="89">
        <v>0</v>
      </c>
      <c r="O104" s="89">
        <v>0</v>
      </c>
      <c r="P104" s="89">
        <v>0</v>
      </c>
      <c r="Q104" s="233">
        <f t="shared" si="71"/>
        <v>0</v>
      </c>
      <c r="R104" s="92">
        <f t="shared" si="72"/>
        <v>0</v>
      </c>
      <c r="S104" s="93">
        <v>0</v>
      </c>
      <c r="T104" s="93">
        <v>0</v>
      </c>
      <c r="U104" s="92">
        <f t="shared" si="91"/>
        <v>0</v>
      </c>
      <c r="V104" s="93">
        <v>0</v>
      </c>
      <c r="W104" s="93">
        <v>0</v>
      </c>
      <c r="X104" s="92">
        <f t="shared" si="92"/>
        <v>0</v>
      </c>
      <c r="Y104" s="93">
        <v>0</v>
      </c>
      <c r="Z104" s="93">
        <v>0</v>
      </c>
      <c r="AA104" s="92">
        <f t="shared" si="93"/>
        <v>0</v>
      </c>
      <c r="AB104" s="92">
        <f t="shared" si="94"/>
        <v>0</v>
      </c>
      <c r="AC104" s="234">
        <f t="shared" si="95"/>
        <v>0</v>
      </c>
      <c r="AD104" s="92">
        <f t="shared" si="96"/>
        <v>0</v>
      </c>
      <c r="AE104" s="93">
        <v>0</v>
      </c>
      <c r="AF104" s="234">
        <f t="shared" si="97"/>
        <v>0</v>
      </c>
      <c r="AG104" s="93">
        <v>0</v>
      </c>
      <c r="AH104" s="93"/>
      <c r="AI104" s="93"/>
      <c r="AJ104" s="93"/>
      <c r="AK104" s="93"/>
      <c r="AL104" s="122">
        <f t="shared" si="98"/>
        <v>0</v>
      </c>
      <c r="AM104" s="93">
        <v>0</v>
      </c>
      <c r="AN104" s="325">
        <f>95827.42*Y104/Y$121</f>
        <v>0</v>
      </c>
      <c r="AO104" s="95">
        <f>AA104-AD104-AE104-AG104-AH104-AI104-AK104-AL104-AN104-AM104</f>
        <v>0</v>
      </c>
      <c r="AP104" s="96"/>
      <c r="AQ104" s="97">
        <f t="shared" si="82"/>
        <v>0</v>
      </c>
      <c r="AR104" s="98">
        <f t="shared" si="83"/>
        <v>541.67999999999995</v>
      </c>
      <c r="AS104" s="98">
        <f t="shared" si="84"/>
        <v>0</v>
      </c>
      <c r="AT104" s="98">
        <f t="shared" si="85"/>
        <v>0</v>
      </c>
      <c r="AU104" s="98">
        <f t="shared" si="86"/>
        <v>0</v>
      </c>
      <c r="AV104" s="98">
        <f t="array" ref="AV104">_xlfn.IFS(U104=0,AO104,U104&lt;0,AO104/-U104,U104&gt;0,AO104/U104)</f>
        <v>0</v>
      </c>
      <c r="AW104" s="234">
        <f t="shared" si="87"/>
        <v>0</v>
      </c>
      <c r="AX104" s="234">
        <f t="shared" si="88"/>
        <v>0</v>
      </c>
      <c r="AY104" s="99"/>
      <c r="AZ104" s="94">
        <f t="shared" si="89"/>
        <v>0</v>
      </c>
    </row>
    <row r="105" spans="1:52">
      <c r="A105" s="89" t="s">
        <v>219</v>
      </c>
      <c r="B105" s="90">
        <v>437061068</v>
      </c>
      <c r="C105" s="90" t="s">
        <v>224</v>
      </c>
      <c r="D105" s="121" t="s">
        <v>221</v>
      </c>
      <c r="E105" s="232">
        <f t="shared" si="70"/>
        <v>1</v>
      </c>
      <c r="F105" s="93"/>
      <c r="G105" s="93"/>
      <c r="H105" s="272">
        <v>0</v>
      </c>
      <c r="I105" s="93">
        <v>0</v>
      </c>
      <c r="J105" s="93">
        <v>1</v>
      </c>
      <c r="K105" s="93">
        <v>541.67999999999995</v>
      </c>
      <c r="L105" s="92">
        <f t="shared" si="90"/>
        <v>541.67999999999995</v>
      </c>
      <c r="M105" s="89"/>
      <c r="N105" s="89">
        <v>0</v>
      </c>
      <c r="O105" s="89">
        <v>0</v>
      </c>
      <c r="P105" s="89">
        <v>0</v>
      </c>
      <c r="Q105" s="233">
        <f t="shared" si="71"/>
        <v>0</v>
      </c>
      <c r="R105" s="92">
        <f t="shared" si="72"/>
        <v>0</v>
      </c>
      <c r="S105" s="93">
        <v>0</v>
      </c>
      <c r="T105" s="93">
        <v>0</v>
      </c>
      <c r="U105" s="92">
        <f t="shared" si="91"/>
        <v>0</v>
      </c>
      <c r="V105" s="93">
        <v>0</v>
      </c>
      <c r="W105" s="93">
        <v>0</v>
      </c>
      <c r="X105" s="92">
        <f t="shared" si="92"/>
        <v>0</v>
      </c>
      <c r="Y105" s="93">
        <v>0</v>
      </c>
      <c r="Z105" s="93">
        <v>0</v>
      </c>
      <c r="AA105" s="92">
        <f t="shared" si="93"/>
        <v>0</v>
      </c>
      <c r="AB105" s="92">
        <f t="shared" si="94"/>
        <v>0</v>
      </c>
      <c r="AC105" s="234">
        <f t="shared" si="95"/>
        <v>0</v>
      </c>
      <c r="AD105" s="92">
        <f t="shared" si="96"/>
        <v>0</v>
      </c>
      <c r="AE105" s="93">
        <v>0</v>
      </c>
      <c r="AF105" s="234">
        <f t="shared" si="97"/>
        <v>0</v>
      </c>
      <c r="AG105" s="93">
        <v>0</v>
      </c>
      <c r="AH105" s="93"/>
      <c r="AI105" s="93"/>
      <c r="AJ105" s="93"/>
      <c r="AK105" s="93"/>
      <c r="AL105" s="122">
        <f t="shared" si="98"/>
        <v>0</v>
      </c>
      <c r="AM105" s="93">
        <v>0</v>
      </c>
      <c r="AN105" s="325">
        <f>95827.42*Y105/Y$121</f>
        <v>0</v>
      </c>
      <c r="AO105" s="95">
        <f t="shared" si="81"/>
        <v>0</v>
      </c>
      <c r="AP105" s="96"/>
      <c r="AQ105" s="97">
        <f t="shared" si="82"/>
        <v>0</v>
      </c>
      <c r="AR105" s="98">
        <f t="shared" si="83"/>
        <v>541.67999999999995</v>
      </c>
      <c r="AS105" s="98">
        <f t="shared" si="84"/>
        <v>0</v>
      </c>
      <c r="AT105" s="98">
        <f t="shared" si="85"/>
        <v>0</v>
      </c>
      <c r="AU105" s="98">
        <f t="shared" si="86"/>
        <v>0</v>
      </c>
      <c r="AV105" s="98">
        <f t="array" ref="AV105">_xlfn.IFS(U105=0,AO105,U105&lt;0,AO105/-U105,U105&gt;0,AO105/U105)</f>
        <v>0</v>
      </c>
      <c r="AW105" s="234">
        <f t="shared" si="87"/>
        <v>0</v>
      </c>
      <c r="AX105" s="234">
        <f t="shared" si="88"/>
        <v>0</v>
      </c>
      <c r="AY105" s="99"/>
      <c r="AZ105" s="94">
        <f t="shared" si="89"/>
        <v>0</v>
      </c>
    </row>
    <row r="106" spans="1:52">
      <c r="A106" s="89" t="s">
        <v>219</v>
      </c>
      <c r="B106" s="90">
        <v>437095304</v>
      </c>
      <c r="C106" s="90" t="s">
        <v>225</v>
      </c>
      <c r="D106" s="121" t="s">
        <v>221</v>
      </c>
      <c r="E106" s="232">
        <f t="shared" si="70"/>
        <v>1</v>
      </c>
      <c r="F106" s="93"/>
      <c r="G106" s="93"/>
      <c r="H106" s="272">
        <v>0</v>
      </c>
      <c r="I106" s="93">
        <v>0</v>
      </c>
      <c r="J106" s="93">
        <v>1</v>
      </c>
      <c r="K106" s="93">
        <v>541.67999999999995</v>
      </c>
      <c r="L106" s="92">
        <f t="shared" si="90"/>
        <v>541.67999999999995</v>
      </c>
      <c r="M106" s="89"/>
      <c r="N106" s="89">
        <v>0</v>
      </c>
      <c r="O106" s="89">
        <v>0</v>
      </c>
      <c r="P106" s="89">
        <v>0</v>
      </c>
      <c r="Q106" s="233">
        <f t="shared" si="71"/>
        <v>0</v>
      </c>
      <c r="R106" s="92">
        <f t="shared" si="72"/>
        <v>0</v>
      </c>
      <c r="S106" s="93">
        <v>0</v>
      </c>
      <c r="T106" s="93">
        <v>0</v>
      </c>
      <c r="U106" s="92">
        <f t="shared" si="91"/>
        <v>0</v>
      </c>
      <c r="V106" s="93">
        <v>0</v>
      </c>
      <c r="W106" s="93">
        <v>0</v>
      </c>
      <c r="X106" s="92">
        <f t="shared" si="92"/>
        <v>0</v>
      </c>
      <c r="Y106" s="93">
        <v>0</v>
      </c>
      <c r="Z106" s="93">
        <v>0</v>
      </c>
      <c r="AA106" s="92">
        <f t="shared" si="93"/>
        <v>0</v>
      </c>
      <c r="AB106" s="92">
        <f t="shared" si="94"/>
        <v>0</v>
      </c>
      <c r="AC106" s="234">
        <f t="shared" si="95"/>
        <v>0</v>
      </c>
      <c r="AD106" s="92">
        <f t="shared" si="96"/>
        <v>0</v>
      </c>
      <c r="AE106" s="93">
        <v>0</v>
      </c>
      <c r="AF106" s="234">
        <f t="shared" si="97"/>
        <v>0</v>
      </c>
      <c r="AG106" s="93">
        <v>0</v>
      </c>
      <c r="AH106" s="93"/>
      <c r="AI106" s="93"/>
      <c r="AJ106" s="93"/>
      <c r="AK106" s="93"/>
      <c r="AL106" s="122">
        <f t="shared" si="98"/>
        <v>0</v>
      </c>
      <c r="AM106" s="93">
        <v>0</v>
      </c>
      <c r="AN106" s="325">
        <f>95827.42*Y106/Y$121</f>
        <v>0</v>
      </c>
      <c r="AO106" s="95">
        <f t="shared" si="81"/>
        <v>0</v>
      </c>
      <c r="AP106" s="96"/>
      <c r="AQ106" s="97">
        <f t="shared" si="82"/>
        <v>0</v>
      </c>
      <c r="AR106" s="98">
        <f t="shared" si="83"/>
        <v>541.67999999999995</v>
      </c>
      <c r="AS106" s="98">
        <f t="shared" si="84"/>
        <v>0</v>
      </c>
      <c r="AT106" s="98">
        <f t="shared" si="85"/>
        <v>0</v>
      </c>
      <c r="AU106" s="98">
        <f t="shared" si="86"/>
        <v>0</v>
      </c>
      <c r="AV106" s="98">
        <f t="array" ref="AV106">_xlfn.IFS(U106=0,AO106,U106&lt;0,AO106/-U106,U106&gt;0,AO106/U106)</f>
        <v>0</v>
      </c>
      <c r="AW106" s="234">
        <f t="shared" si="87"/>
        <v>0</v>
      </c>
      <c r="AX106" s="234">
        <f t="shared" si="88"/>
        <v>0</v>
      </c>
      <c r="AY106" s="99"/>
      <c r="AZ106" s="94">
        <f t="shared" si="89"/>
        <v>0</v>
      </c>
    </row>
    <row r="107" spans="1:52">
      <c r="A107" s="89"/>
      <c r="B107" s="100"/>
      <c r="C107" s="100"/>
      <c r="D107" s="100"/>
      <c r="E107" s="100"/>
      <c r="H107" s="270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216"/>
      <c r="AI107" s="216"/>
      <c r="AJ107" s="216"/>
      <c r="AK107" s="216"/>
      <c r="AL107" s="122"/>
      <c r="AM107" s="93"/>
      <c r="AN107" s="123"/>
      <c r="AO107" s="124"/>
      <c r="AP107" s="96"/>
      <c r="AQ107" s="245">
        <f>AVERAGE(AQ102:AQ106)</f>
        <v>0</v>
      </c>
      <c r="AR107" s="245">
        <f>AVERAGE(AR102:AR106)</f>
        <v>556.67999999999995</v>
      </c>
      <c r="AS107" s="245">
        <f t="shared" ref="AS107:AX107" si="99">AVERAGE(AS102:AS106)</f>
        <v>0</v>
      </c>
      <c r="AT107" s="245">
        <f t="shared" si="99"/>
        <v>36.643999999999998</v>
      </c>
      <c r="AU107" s="245">
        <f t="shared" si="99"/>
        <v>0</v>
      </c>
      <c r="AV107" s="245">
        <f t="shared" si="99"/>
        <v>-37.285940797326333</v>
      </c>
      <c r="AW107" s="246">
        <f t="shared" si="99"/>
        <v>0</v>
      </c>
      <c r="AX107" s="246">
        <f t="shared" si="99"/>
        <v>-6.4377120752315914E-2</v>
      </c>
      <c r="AY107" s="99"/>
      <c r="AZ107" s="123"/>
    </row>
    <row r="108" spans="1:52" s="120" customFormat="1">
      <c r="A108" s="247" t="s">
        <v>226</v>
      </c>
      <c r="B108" s="248"/>
      <c r="C108" s="249"/>
      <c r="D108" s="249"/>
      <c r="E108" s="250">
        <f t="shared" ref="E108:J108" si="100">SUM(E102:E106)</f>
        <v>7</v>
      </c>
      <c r="F108" s="249">
        <f t="shared" si="100"/>
        <v>0</v>
      </c>
      <c r="G108" s="249">
        <f t="shared" si="100"/>
        <v>0</v>
      </c>
      <c r="H108" s="249">
        <f t="shared" si="100"/>
        <v>1</v>
      </c>
      <c r="I108" s="249">
        <f t="shared" si="100"/>
        <v>0</v>
      </c>
      <c r="J108" s="249">
        <f t="shared" si="100"/>
        <v>6</v>
      </c>
      <c r="K108" s="249"/>
      <c r="L108" s="249">
        <f>SUM(L102:L106)</f>
        <v>3904.2599999999993</v>
      </c>
      <c r="M108" s="249"/>
      <c r="N108" s="249">
        <f>SUM(N102:N106)</f>
        <v>1</v>
      </c>
      <c r="O108" s="249"/>
      <c r="P108" s="249"/>
      <c r="Q108" s="251"/>
      <c r="R108" s="249"/>
      <c r="S108" s="249">
        <f t="shared" ref="S108:AE108" si="101">SUM(S102:S106)</f>
        <v>0</v>
      </c>
      <c r="T108" s="249">
        <f t="shared" si="101"/>
        <v>0</v>
      </c>
      <c r="U108" s="249">
        <f t="shared" si="101"/>
        <v>0</v>
      </c>
      <c r="V108" s="249">
        <f t="shared" si="101"/>
        <v>0</v>
      </c>
      <c r="W108" s="249">
        <f t="shared" si="101"/>
        <v>0</v>
      </c>
      <c r="X108" s="249">
        <f t="shared" si="101"/>
        <v>0</v>
      </c>
      <c r="Y108" s="249">
        <f t="shared" si="101"/>
        <v>0</v>
      </c>
      <c r="Z108" s="249">
        <f t="shared" si="101"/>
        <v>0</v>
      </c>
      <c r="AA108" s="249">
        <f t="shared" si="101"/>
        <v>0</v>
      </c>
      <c r="AB108" s="249">
        <f t="shared" si="101"/>
        <v>0</v>
      </c>
      <c r="AC108" s="252">
        <f t="shared" si="101"/>
        <v>0</v>
      </c>
      <c r="AD108" s="253">
        <f t="shared" si="101"/>
        <v>0</v>
      </c>
      <c r="AE108" s="249">
        <f t="shared" si="101"/>
        <v>0</v>
      </c>
      <c r="AF108" s="252" t="e">
        <f>AE108/AA108</f>
        <v>#DIV/0!</v>
      </c>
      <c r="AG108" s="249">
        <f t="shared" ref="AG108:AO108" si="102">SUM(AG102:AG106)</f>
        <v>183.22</v>
      </c>
      <c r="AH108" s="253">
        <f t="shared" si="102"/>
        <v>0</v>
      </c>
      <c r="AI108" s="253">
        <f t="shared" si="102"/>
        <v>0</v>
      </c>
      <c r="AJ108" s="253">
        <f t="shared" si="102"/>
        <v>0</v>
      </c>
      <c r="AK108" s="253">
        <f t="shared" si="102"/>
        <v>0</v>
      </c>
      <c r="AL108" s="253">
        <f t="shared" si="102"/>
        <v>3.2097039866316543</v>
      </c>
      <c r="AM108" s="249">
        <f t="shared" si="102"/>
        <v>0</v>
      </c>
      <c r="AN108" s="253">
        <f t="shared" si="102"/>
        <v>0</v>
      </c>
      <c r="AO108" s="253">
        <f t="shared" si="102"/>
        <v>-186.42970398663167</v>
      </c>
      <c r="AP108" s="254"/>
      <c r="AQ108" s="249"/>
      <c r="AR108" s="249"/>
      <c r="AS108" s="249"/>
      <c r="AT108" s="249"/>
      <c r="AU108" s="255" t="e">
        <f>(AH108+AI108+AJ108)/S108</f>
        <v>#DIV/0!</v>
      </c>
      <c r="AV108" s="249"/>
      <c r="AW108" s="249"/>
      <c r="AX108" s="249"/>
      <c r="AY108" s="256"/>
      <c r="AZ108" s="249">
        <f>SUM(AZ102:AZ106)</f>
        <v>-372.85940797326333</v>
      </c>
    </row>
    <row r="109" spans="1:52" s="120" customFormat="1">
      <c r="A109" s="257"/>
      <c r="B109" s="258"/>
      <c r="C109" s="139"/>
      <c r="D109" s="139"/>
      <c r="E109" s="25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260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261"/>
      <c r="AD109" s="262"/>
      <c r="AE109" s="139"/>
      <c r="AF109" s="261"/>
      <c r="AG109" s="139"/>
      <c r="AH109" s="546"/>
      <c r="AI109" s="547"/>
      <c r="AJ109" s="263"/>
      <c r="AK109" s="262"/>
      <c r="AL109" s="262"/>
      <c r="AM109" s="139"/>
      <c r="AN109" s="262"/>
      <c r="AO109" s="262"/>
      <c r="AP109" s="96"/>
      <c r="AQ109" s="139"/>
      <c r="AR109" s="139"/>
      <c r="AS109" s="139"/>
      <c r="AT109" s="139"/>
      <c r="AU109" s="139"/>
      <c r="AV109" s="139"/>
      <c r="AW109" s="139"/>
      <c r="AX109" s="139"/>
      <c r="AY109" s="96"/>
      <c r="AZ109" s="139"/>
    </row>
    <row r="110" spans="1:52" outlineLevel="1">
      <c r="A110" s="89" t="s">
        <v>219</v>
      </c>
      <c r="B110" s="90">
        <v>260411674</v>
      </c>
      <c r="C110" s="90" t="s">
        <v>227</v>
      </c>
      <c r="D110" s="91"/>
      <c r="E110" s="232">
        <f>SUM(F110:J110)</f>
        <v>2</v>
      </c>
      <c r="F110" s="93"/>
      <c r="G110" s="93"/>
      <c r="H110" s="272">
        <v>0</v>
      </c>
      <c r="I110" s="93">
        <v>1</v>
      </c>
      <c r="J110" s="93">
        <v>1</v>
      </c>
      <c r="K110" s="92">
        <v>140</v>
      </c>
      <c r="L110" s="92">
        <f t="shared" ref="L110:L117" si="103">E110*K110</f>
        <v>280</v>
      </c>
      <c r="M110" s="89"/>
      <c r="N110" s="89">
        <v>0</v>
      </c>
      <c r="O110" s="89">
        <v>0</v>
      </c>
      <c r="P110" s="89">
        <v>0</v>
      </c>
      <c r="Q110" s="233">
        <f t="shared" ref="Q110:Q117" si="104">N110/32</f>
        <v>0</v>
      </c>
      <c r="R110" s="92">
        <f t="shared" ref="R110:R117" si="105">U110/32</f>
        <v>0</v>
      </c>
      <c r="S110" s="93">
        <v>0</v>
      </c>
      <c r="T110" s="93">
        <v>0</v>
      </c>
      <c r="U110" s="92">
        <f t="shared" ref="U110" si="106">S110+T110</f>
        <v>0</v>
      </c>
      <c r="V110" s="93">
        <v>0</v>
      </c>
      <c r="W110" s="93">
        <v>0</v>
      </c>
      <c r="X110" s="92">
        <f t="shared" ref="X110" si="107">V110+W110</f>
        <v>0</v>
      </c>
      <c r="Y110" s="93">
        <v>0</v>
      </c>
      <c r="Z110" s="93">
        <v>0</v>
      </c>
      <c r="AA110" s="92">
        <f t="shared" ref="AA110" si="108">Y110+Z110</f>
        <v>0</v>
      </c>
      <c r="AB110" s="92">
        <f t="shared" ref="AB110" si="109">N110*O110*P110/100</f>
        <v>0</v>
      </c>
      <c r="AC110" s="234">
        <f t="shared" ref="AC110" si="110">AA110/$AA$121</f>
        <v>0</v>
      </c>
      <c r="AD110" s="92">
        <f t="shared" ref="AD110" si="111">U110*K110</f>
        <v>0</v>
      </c>
      <c r="AE110" s="93">
        <v>0</v>
      </c>
      <c r="AF110" s="234">
        <f t="shared" ref="AF110" si="112">IF(AA110=0,0,AE110/AA110)</f>
        <v>0</v>
      </c>
      <c r="AG110" s="93">
        <v>0</v>
      </c>
      <c r="AH110" s="93"/>
      <c r="AI110" s="93"/>
      <c r="AJ110" s="93"/>
      <c r="AK110" s="93"/>
      <c r="AL110" s="122">
        <f t="shared" ref="AL110" si="113">IFERROR($AL$121*H110/$H$121,0)</f>
        <v>0</v>
      </c>
      <c r="AM110" s="93">
        <v>0</v>
      </c>
      <c r="AN110" s="325">
        <f t="shared" ref="AN110:AN117" si="114">95827.42*Y110/Y$121</f>
        <v>0</v>
      </c>
      <c r="AO110" s="95">
        <f t="shared" ref="AO110:AO117" si="115">AA110-AD110-AE110-AG110-AH110-AI110-AK110-AL110-AN110-AM110</f>
        <v>0</v>
      </c>
      <c r="AP110" s="96"/>
      <c r="AQ110" s="97">
        <f t="shared" ref="AQ110:AQ117" si="116">IF(U110=0,0,AA110/U110)</f>
        <v>0</v>
      </c>
      <c r="AR110" s="98">
        <f t="shared" ref="AR110:AR117" si="117">K110</f>
        <v>140</v>
      </c>
      <c r="AS110" s="98">
        <f t="shared" ref="AS110:AS117" si="118">IF(U110=0,0,AE110/U110)</f>
        <v>0</v>
      </c>
      <c r="AT110" s="98">
        <f t="shared" ref="AT110:AT117" si="119">IF(S110=0,AG110/1,AG110/S110)</f>
        <v>0</v>
      </c>
      <c r="AU110" s="98">
        <f t="shared" ref="AU110:AU117" si="120"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ref="AW110:AW117" si="121">IF(AQ110=0,0,AV110/AQ110)</f>
        <v>0</v>
      </c>
      <c r="AX110" s="234">
        <f t="shared" ref="AX110:AX117" si="122">IF(AR110=0,0,AV110/AR110)</f>
        <v>0</v>
      </c>
      <c r="AY110" s="99"/>
      <c r="AZ110" s="94">
        <f t="shared" ref="AZ110:AZ117" si="123">AV110*E110</f>
        <v>0</v>
      </c>
    </row>
    <row r="111" spans="1:52" outlineLevel="1">
      <c r="A111" s="89" t="s">
        <v>219</v>
      </c>
      <c r="B111" s="90">
        <v>260945325</v>
      </c>
      <c r="C111" s="90" t="s">
        <v>228</v>
      </c>
      <c r="D111" s="91"/>
      <c r="E111" s="232">
        <f t="shared" ref="E111:E117" si="124">SUM(F111:J111)</f>
        <v>1</v>
      </c>
      <c r="F111" s="93"/>
      <c r="G111" s="93"/>
      <c r="H111" s="272">
        <v>0</v>
      </c>
      <c r="I111" s="93">
        <v>1</v>
      </c>
      <c r="J111" s="93"/>
      <c r="K111" s="92">
        <v>154</v>
      </c>
      <c r="L111" s="92">
        <f t="shared" si="103"/>
        <v>154</v>
      </c>
      <c r="M111" s="89"/>
      <c r="N111" s="89">
        <v>0</v>
      </c>
      <c r="O111" s="89">
        <v>0</v>
      </c>
      <c r="P111" s="89">
        <v>0</v>
      </c>
      <c r="Q111" s="233">
        <f t="shared" si="104"/>
        <v>0</v>
      </c>
      <c r="R111" s="92">
        <f t="shared" si="105"/>
        <v>0</v>
      </c>
      <c r="S111" s="93">
        <v>0</v>
      </c>
      <c r="T111" s="93">
        <v>0</v>
      </c>
      <c r="U111" s="92">
        <f t="shared" ref="U111:U117" si="125">S111+T111</f>
        <v>0</v>
      </c>
      <c r="V111" s="93">
        <v>0</v>
      </c>
      <c r="W111" s="93">
        <v>0</v>
      </c>
      <c r="X111" s="92">
        <f t="shared" ref="X111:X117" si="126">V111+W111</f>
        <v>0</v>
      </c>
      <c r="Y111" s="93">
        <v>0</v>
      </c>
      <c r="Z111" s="93">
        <v>0</v>
      </c>
      <c r="AA111" s="92">
        <f t="shared" ref="AA111:AA117" si="127">Y111+Z111</f>
        <v>0</v>
      </c>
      <c r="AB111" s="92">
        <f t="shared" ref="AB111:AB117" si="128">N111*O111*P111/100</f>
        <v>0</v>
      </c>
      <c r="AC111" s="234">
        <f t="shared" ref="AC111:AC117" si="129">AA111/$AA$121</f>
        <v>0</v>
      </c>
      <c r="AD111" s="92">
        <f t="shared" ref="AD111:AD117" si="130">U111*K111</f>
        <v>0</v>
      </c>
      <c r="AE111" s="93">
        <v>0</v>
      </c>
      <c r="AF111" s="234">
        <f t="shared" ref="AF111:AF117" si="131">IF(AA111=0,0,AE111/AA111)</f>
        <v>0</v>
      </c>
      <c r="AG111" s="93">
        <v>0</v>
      </c>
      <c r="AH111" s="93"/>
      <c r="AI111" s="93"/>
      <c r="AJ111" s="93"/>
      <c r="AK111" s="93"/>
      <c r="AL111" s="122">
        <f t="shared" ref="AL111:AL117" si="132">IFERROR($AL$121*H111/$H$121,0)</f>
        <v>0</v>
      </c>
      <c r="AM111" s="93">
        <v>0</v>
      </c>
      <c r="AN111" s="325">
        <f t="shared" si="114"/>
        <v>0</v>
      </c>
      <c r="AO111" s="95">
        <f t="shared" si="115"/>
        <v>0</v>
      </c>
      <c r="AP111" s="96"/>
      <c r="AQ111" s="97">
        <f t="shared" si="116"/>
        <v>0</v>
      </c>
      <c r="AR111" s="98">
        <f t="shared" si="117"/>
        <v>154</v>
      </c>
      <c r="AS111" s="98">
        <f t="shared" si="118"/>
        <v>0</v>
      </c>
      <c r="AT111" s="98">
        <f t="shared" si="119"/>
        <v>0</v>
      </c>
      <c r="AU111" s="98">
        <f t="shared" si="120"/>
        <v>0</v>
      </c>
      <c r="AV111" s="98">
        <f t="array" ref="AV111">_xlfn.IFS(U111=0,AO111,U111&lt;0,AO111/-U111,U111&gt;0,AO111/U111)</f>
        <v>0</v>
      </c>
      <c r="AW111" s="234">
        <f t="shared" si="121"/>
        <v>0</v>
      </c>
      <c r="AX111" s="234">
        <f t="shared" si="122"/>
        <v>0</v>
      </c>
      <c r="AY111" s="99"/>
      <c r="AZ111" s="94">
        <f t="shared" si="123"/>
        <v>0</v>
      </c>
    </row>
    <row r="112" spans="1:52" outlineLevel="1">
      <c r="A112" s="89" t="s">
        <v>219</v>
      </c>
      <c r="B112" s="90">
        <v>261545954</v>
      </c>
      <c r="C112" s="90" t="s">
        <v>229</v>
      </c>
      <c r="D112" s="91"/>
      <c r="E112" s="232">
        <f t="shared" si="124"/>
        <v>1</v>
      </c>
      <c r="F112" s="93"/>
      <c r="G112" s="93"/>
      <c r="H112" s="272">
        <v>0</v>
      </c>
      <c r="I112" s="93">
        <v>1</v>
      </c>
      <c r="J112" s="93"/>
      <c r="K112" s="92">
        <v>220</v>
      </c>
      <c r="L112" s="92">
        <f t="shared" si="103"/>
        <v>220</v>
      </c>
      <c r="M112" s="89"/>
      <c r="N112" s="89">
        <v>0</v>
      </c>
      <c r="O112" s="89">
        <v>0</v>
      </c>
      <c r="P112" s="89">
        <v>0</v>
      </c>
      <c r="Q112" s="233">
        <f t="shared" si="104"/>
        <v>0</v>
      </c>
      <c r="R112" s="92">
        <f t="shared" si="105"/>
        <v>0</v>
      </c>
      <c r="S112" s="93">
        <v>0</v>
      </c>
      <c r="T112" s="93">
        <v>0</v>
      </c>
      <c r="U112" s="92">
        <f t="shared" si="125"/>
        <v>0</v>
      </c>
      <c r="V112" s="93">
        <v>0</v>
      </c>
      <c r="W112" s="93">
        <v>0</v>
      </c>
      <c r="X112" s="92">
        <f t="shared" si="126"/>
        <v>0</v>
      </c>
      <c r="Y112" s="93">
        <v>0</v>
      </c>
      <c r="Z112" s="93">
        <v>0</v>
      </c>
      <c r="AA112" s="92">
        <f t="shared" si="127"/>
        <v>0</v>
      </c>
      <c r="AB112" s="92">
        <f t="shared" si="128"/>
        <v>0</v>
      </c>
      <c r="AC112" s="234">
        <f t="shared" si="129"/>
        <v>0</v>
      </c>
      <c r="AD112" s="92">
        <f t="shared" si="130"/>
        <v>0</v>
      </c>
      <c r="AE112" s="93">
        <v>0</v>
      </c>
      <c r="AF112" s="234">
        <f t="shared" si="131"/>
        <v>0</v>
      </c>
      <c r="AG112" s="93">
        <v>0</v>
      </c>
      <c r="AH112" s="93"/>
      <c r="AI112" s="93"/>
      <c r="AJ112" s="93"/>
      <c r="AK112" s="93"/>
      <c r="AL112" s="122">
        <f t="shared" si="132"/>
        <v>0</v>
      </c>
      <c r="AM112" s="93">
        <v>0</v>
      </c>
      <c r="AN112" s="325">
        <f t="shared" si="114"/>
        <v>0</v>
      </c>
      <c r="AO112" s="95">
        <f t="shared" si="115"/>
        <v>0</v>
      </c>
      <c r="AP112" s="96"/>
      <c r="AQ112" s="97">
        <f t="shared" si="116"/>
        <v>0</v>
      </c>
      <c r="AR112" s="98">
        <f t="shared" si="117"/>
        <v>220</v>
      </c>
      <c r="AS112" s="98">
        <f t="shared" si="118"/>
        <v>0</v>
      </c>
      <c r="AT112" s="98">
        <f t="shared" si="119"/>
        <v>0</v>
      </c>
      <c r="AU112" s="98">
        <f t="shared" si="120"/>
        <v>0</v>
      </c>
      <c r="AV112" s="98">
        <f t="array" ref="AV112">_xlfn.IFS(U112=0,AO112,U112&lt;0,AO112/-U112,U112&gt;0,AO112/U112)</f>
        <v>0</v>
      </c>
      <c r="AW112" s="234">
        <f t="shared" si="121"/>
        <v>0</v>
      </c>
      <c r="AX112" s="234">
        <f t="shared" si="122"/>
        <v>0</v>
      </c>
      <c r="AY112" s="99"/>
      <c r="AZ112" s="94">
        <f t="shared" si="123"/>
        <v>0</v>
      </c>
    </row>
    <row r="113" spans="1:52" outlineLevel="1">
      <c r="A113" s="89" t="s">
        <v>219</v>
      </c>
      <c r="B113" s="90">
        <v>261546082</v>
      </c>
      <c r="C113" s="90" t="s">
        <v>230</v>
      </c>
      <c r="D113" s="91"/>
      <c r="E113" s="232">
        <f t="shared" si="124"/>
        <v>1</v>
      </c>
      <c r="F113" s="93"/>
      <c r="G113" s="93"/>
      <c r="H113" s="272">
        <v>0</v>
      </c>
      <c r="I113" s="93">
        <v>1</v>
      </c>
      <c r="J113" s="93"/>
      <c r="K113" s="92">
        <v>220</v>
      </c>
      <c r="L113" s="92">
        <f t="shared" si="103"/>
        <v>220</v>
      </c>
      <c r="M113" s="89"/>
      <c r="N113" s="89">
        <v>0</v>
      </c>
      <c r="O113" s="89">
        <v>0</v>
      </c>
      <c r="P113" s="89">
        <v>0</v>
      </c>
      <c r="Q113" s="233">
        <f t="shared" si="104"/>
        <v>0</v>
      </c>
      <c r="R113" s="92">
        <f t="shared" si="105"/>
        <v>0</v>
      </c>
      <c r="S113" s="93">
        <v>0</v>
      </c>
      <c r="T113" s="93">
        <v>0</v>
      </c>
      <c r="U113" s="92">
        <f t="shared" si="125"/>
        <v>0</v>
      </c>
      <c r="V113" s="93">
        <v>0</v>
      </c>
      <c r="W113" s="93">
        <v>0</v>
      </c>
      <c r="X113" s="92">
        <f t="shared" si="126"/>
        <v>0</v>
      </c>
      <c r="Y113" s="93">
        <v>0</v>
      </c>
      <c r="Z113" s="93">
        <v>0</v>
      </c>
      <c r="AA113" s="92">
        <f t="shared" si="127"/>
        <v>0</v>
      </c>
      <c r="AB113" s="92">
        <f t="shared" si="128"/>
        <v>0</v>
      </c>
      <c r="AC113" s="234">
        <f t="shared" si="129"/>
        <v>0</v>
      </c>
      <c r="AD113" s="92">
        <f t="shared" si="130"/>
        <v>0</v>
      </c>
      <c r="AE113" s="93">
        <v>0</v>
      </c>
      <c r="AF113" s="234">
        <f t="shared" si="131"/>
        <v>0</v>
      </c>
      <c r="AG113" s="93">
        <v>0</v>
      </c>
      <c r="AH113" s="93"/>
      <c r="AI113" s="93"/>
      <c r="AJ113" s="93"/>
      <c r="AK113" s="93"/>
      <c r="AL113" s="122">
        <f t="shared" si="132"/>
        <v>0</v>
      </c>
      <c r="AM113" s="93">
        <v>0</v>
      </c>
      <c r="AN113" s="325">
        <f t="shared" si="114"/>
        <v>0</v>
      </c>
      <c r="AO113" s="95">
        <f t="shared" si="115"/>
        <v>0</v>
      </c>
      <c r="AP113" s="96"/>
      <c r="AQ113" s="97">
        <f t="shared" si="116"/>
        <v>0</v>
      </c>
      <c r="AR113" s="98">
        <f t="shared" si="117"/>
        <v>220</v>
      </c>
      <c r="AS113" s="98">
        <f t="shared" si="118"/>
        <v>0</v>
      </c>
      <c r="AT113" s="98">
        <f t="shared" si="119"/>
        <v>0</v>
      </c>
      <c r="AU113" s="98">
        <f t="shared" si="120"/>
        <v>0</v>
      </c>
      <c r="AV113" s="98">
        <f t="array" ref="AV113">_xlfn.IFS(U113=0,AO113,U113&lt;0,AO113/-U113,U113&gt;0,AO113/U113)</f>
        <v>0</v>
      </c>
      <c r="AW113" s="234">
        <f t="shared" si="121"/>
        <v>0</v>
      </c>
      <c r="AX113" s="234">
        <f t="shared" si="122"/>
        <v>0</v>
      </c>
      <c r="AY113" s="99"/>
      <c r="AZ113" s="94">
        <f t="shared" si="123"/>
        <v>0</v>
      </c>
    </row>
    <row r="114" spans="1:52" outlineLevel="1">
      <c r="A114" s="89" t="s">
        <v>219</v>
      </c>
      <c r="B114" s="90">
        <v>261546175</v>
      </c>
      <c r="C114" s="90" t="s">
        <v>231</v>
      </c>
      <c r="D114" s="91"/>
      <c r="E114" s="232">
        <f t="shared" si="124"/>
        <v>6</v>
      </c>
      <c r="F114" s="93"/>
      <c r="G114" s="93"/>
      <c r="H114" s="272">
        <v>0</v>
      </c>
      <c r="I114" s="93">
        <v>1</v>
      </c>
      <c r="J114" s="93">
        <v>5</v>
      </c>
      <c r="K114" s="92">
        <v>220</v>
      </c>
      <c r="L114" s="92">
        <f t="shared" si="103"/>
        <v>1320</v>
      </c>
      <c r="M114" s="89"/>
      <c r="N114" s="89">
        <v>0</v>
      </c>
      <c r="O114" s="89">
        <v>0</v>
      </c>
      <c r="P114" s="89">
        <v>0</v>
      </c>
      <c r="Q114" s="233">
        <f t="shared" si="104"/>
        <v>0</v>
      </c>
      <c r="R114" s="92">
        <f t="shared" si="105"/>
        <v>0</v>
      </c>
      <c r="S114" s="93">
        <v>0</v>
      </c>
      <c r="T114" s="93">
        <v>0</v>
      </c>
      <c r="U114" s="92">
        <f t="shared" si="125"/>
        <v>0</v>
      </c>
      <c r="V114" s="93">
        <v>0</v>
      </c>
      <c r="W114" s="93">
        <v>0</v>
      </c>
      <c r="X114" s="92">
        <f t="shared" si="126"/>
        <v>0</v>
      </c>
      <c r="Y114" s="93">
        <v>0</v>
      </c>
      <c r="Z114" s="93">
        <v>0</v>
      </c>
      <c r="AA114" s="92">
        <f t="shared" si="127"/>
        <v>0</v>
      </c>
      <c r="AB114" s="92">
        <f t="shared" si="128"/>
        <v>0</v>
      </c>
      <c r="AC114" s="234">
        <f t="shared" si="129"/>
        <v>0</v>
      </c>
      <c r="AD114" s="92">
        <f t="shared" si="130"/>
        <v>0</v>
      </c>
      <c r="AE114" s="93">
        <v>0</v>
      </c>
      <c r="AF114" s="234">
        <f t="shared" si="131"/>
        <v>0</v>
      </c>
      <c r="AG114" s="93">
        <v>0</v>
      </c>
      <c r="AH114" s="93"/>
      <c r="AI114" s="93"/>
      <c r="AJ114" s="93"/>
      <c r="AK114" s="93"/>
      <c r="AL114" s="122">
        <f t="shared" si="132"/>
        <v>0</v>
      </c>
      <c r="AM114" s="93">
        <v>0</v>
      </c>
      <c r="AN114" s="325">
        <f t="shared" si="114"/>
        <v>0</v>
      </c>
      <c r="AO114" s="95">
        <f t="shared" si="115"/>
        <v>0</v>
      </c>
      <c r="AP114" s="96"/>
      <c r="AQ114" s="97">
        <f t="shared" si="116"/>
        <v>0</v>
      </c>
      <c r="AR114" s="98">
        <f t="shared" si="117"/>
        <v>220</v>
      </c>
      <c r="AS114" s="98">
        <f t="shared" si="118"/>
        <v>0</v>
      </c>
      <c r="AT114" s="98">
        <f t="shared" si="119"/>
        <v>0</v>
      </c>
      <c r="AU114" s="98">
        <f t="shared" si="120"/>
        <v>0</v>
      </c>
      <c r="AV114" s="98">
        <f t="array" ref="AV114">_xlfn.IFS(U114=0,AO114,U114&lt;0,AO114/-U114,U114&gt;0,AO114/U114)</f>
        <v>0</v>
      </c>
      <c r="AW114" s="234">
        <f t="shared" si="121"/>
        <v>0</v>
      </c>
      <c r="AX114" s="234">
        <f t="shared" si="122"/>
        <v>0</v>
      </c>
      <c r="AY114" s="99"/>
      <c r="AZ114" s="94">
        <f t="shared" si="123"/>
        <v>0</v>
      </c>
    </row>
    <row r="115" spans="1:52" outlineLevel="1">
      <c r="A115" s="89" t="s">
        <v>219</v>
      </c>
      <c r="B115" s="90">
        <v>261548725</v>
      </c>
      <c r="C115" s="90" t="s">
        <v>232</v>
      </c>
      <c r="D115" s="91"/>
      <c r="E115" s="232">
        <f t="shared" si="124"/>
        <v>1</v>
      </c>
      <c r="F115" s="93"/>
      <c r="G115" s="93"/>
      <c r="H115" s="272">
        <v>0</v>
      </c>
      <c r="I115" s="93">
        <v>1</v>
      </c>
      <c r="J115" s="93"/>
      <c r="K115" s="92">
        <v>205</v>
      </c>
      <c r="L115" s="92">
        <f t="shared" si="103"/>
        <v>205</v>
      </c>
      <c r="M115" s="89"/>
      <c r="N115" s="89">
        <v>0</v>
      </c>
      <c r="O115" s="89">
        <v>0</v>
      </c>
      <c r="P115" s="89">
        <v>0</v>
      </c>
      <c r="Q115" s="233">
        <f t="shared" si="104"/>
        <v>0</v>
      </c>
      <c r="R115" s="92">
        <f t="shared" si="105"/>
        <v>0</v>
      </c>
      <c r="S115" s="93">
        <v>0</v>
      </c>
      <c r="T115" s="93">
        <v>0</v>
      </c>
      <c r="U115" s="92">
        <f t="shared" si="125"/>
        <v>0</v>
      </c>
      <c r="V115" s="93">
        <v>0</v>
      </c>
      <c r="W115" s="93">
        <v>0</v>
      </c>
      <c r="X115" s="92">
        <f t="shared" si="126"/>
        <v>0</v>
      </c>
      <c r="Y115" s="93">
        <v>0</v>
      </c>
      <c r="Z115" s="93">
        <v>0</v>
      </c>
      <c r="AA115" s="92">
        <f t="shared" si="127"/>
        <v>0</v>
      </c>
      <c r="AB115" s="92">
        <f t="shared" si="128"/>
        <v>0</v>
      </c>
      <c r="AC115" s="234">
        <f t="shared" si="129"/>
        <v>0</v>
      </c>
      <c r="AD115" s="92">
        <f t="shared" si="130"/>
        <v>0</v>
      </c>
      <c r="AE115" s="93">
        <v>0</v>
      </c>
      <c r="AF115" s="234">
        <f t="shared" si="131"/>
        <v>0</v>
      </c>
      <c r="AG115" s="93">
        <v>0</v>
      </c>
      <c r="AH115" s="93"/>
      <c r="AI115" s="93"/>
      <c r="AJ115" s="93"/>
      <c r="AK115" s="93"/>
      <c r="AL115" s="122">
        <f t="shared" si="132"/>
        <v>0</v>
      </c>
      <c r="AM115" s="93">
        <v>0</v>
      </c>
      <c r="AN115" s="325">
        <f t="shared" si="114"/>
        <v>0</v>
      </c>
      <c r="AO115" s="95">
        <f t="shared" si="115"/>
        <v>0</v>
      </c>
      <c r="AP115" s="96"/>
      <c r="AQ115" s="97">
        <f t="shared" si="116"/>
        <v>0</v>
      </c>
      <c r="AR115" s="98">
        <f t="shared" si="117"/>
        <v>205</v>
      </c>
      <c r="AS115" s="98">
        <f t="shared" si="118"/>
        <v>0</v>
      </c>
      <c r="AT115" s="98">
        <f t="shared" si="119"/>
        <v>0</v>
      </c>
      <c r="AU115" s="98">
        <f t="shared" si="120"/>
        <v>0</v>
      </c>
      <c r="AV115" s="98">
        <f t="array" ref="AV115">_xlfn.IFS(U115=0,AO115,U115&lt;0,AO115/-U115,U115&gt;0,AO115/U115)</f>
        <v>0</v>
      </c>
      <c r="AW115" s="234">
        <f t="shared" si="121"/>
        <v>0</v>
      </c>
      <c r="AX115" s="234">
        <f t="shared" si="122"/>
        <v>0</v>
      </c>
      <c r="AY115" s="99"/>
      <c r="AZ115" s="94">
        <f t="shared" si="123"/>
        <v>0</v>
      </c>
    </row>
    <row r="116" spans="1:52" outlineLevel="1">
      <c r="A116" s="89" t="s">
        <v>219</v>
      </c>
      <c r="B116" s="90">
        <v>261549082</v>
      </c>
      <c r="C116" s="90" t="s">
        <v>233</v>
      </c>
      <c r="D116" s="91"/>
      <c r="E116" s="232">
        <f t="shared" si="124"/>
        <v>1</v>
      </c>
      <c r="F116" s="93"/>
      <c r="G116" s="93"/>
      <c r="H116" s="272">
        <v>0</v>
      </c>
      <c r="I116" s="93">
        <v>1</v>
      </c>
      <c r="J116" s="93"/>
      <c r="K116" s="92">
        <v>205</v>
      </c>
      <c r="L116" s="92">
        <f t="shared" si="103"/>
        <v>205</v>
      </c>
      <c r="M116" s="89"/>
      <c r="N116" s="89">
        <v>0</v>
      </c>
      <c r="O116" s="89">
        <v>0</v>
      </c>
      <c r="P116" s="89">
        <v>0</v>
      </c>
      <c r="Q116" s="233">
        <f t="shared" si="104"/>
        <v>0</v>
      </c>
      <c r="R116" s="92">
        <f t="shared" si="105"/>
        <v>0</v>
      </c>
      <c r="S116" s="93">
        <v>0</v>
      </c>
      <c r="T116" s="93">
        <v>0</v>
      </c>
      <c r="U116" s="92">
        <f t="shared" si="125"/>
        <v>0</v>
      </c>
      <c r="V116" s="93">
        <v>0</v>
      </c>
      <c r="W116" s="93">
        <v>0</v>
      </c>
      <c r="X116" s="92">
        <f t="shared" si="126"/>
        <v>0</v>
      </c>
      <c r="Y116" s="93">
        <v>0</v>
      </c>
      <c r="Z116" s="93">
        <v>0</v>
      </c>
      <c r="AA116" s="92">
        <f t="shared" si="127"/>
        <v>0</v>
      </c>
      <c r="AB116" s="92">
        <f t="shared" si="128"/>
        <v>0</v>
      </c>
      <c r="AC116" s="234">
        <f t="shared" si="129"/>
        <v>0</v>
      </c>
      <c r="AD116" s="92">
        <f t="shared" si="130"/>
        <v>0</v>
      </c>
      <c r="AE116" s="93">
        <v>0</v>
      </c>
      <c r="AF116" s="234">
        <f t="shared" si="131"/>
        <v>0</v>
      </c>
      <c r="AG116" s="93">
        <v>0</v>
      </c>
      <c r="AH116" s="93"/>
      <c r="AI116" s="93"/>
      <c r="AJ116" s="93"/>
      <c r="AK116" s="93"/>
      <c r="AL116" s="122">
        <f t="shared" si="132"/>
        <v>0</v>
      </c>
      <c r="AM116" s="93">
        <v>0</v>
      </c>
      <c r="AN116" s="325">
        <f t="shared" si="114"/>
        <v>0</v>
      </c>
      <c r="AO116" s="95">
        <f t="shared" si="115"/>
        <v>0</v>
      </c>
      <c r="AP116" s="96"/>
      <c r="AQ116" s="97">
        <f t="shared" si="116"/>
        <v>0</v>
      </c>
      <c r="AR116" s="98">
        <f t="shared" si="117"/>
        <v>205</v>
      </c>
      <c r="AS116" s="98">
        <f t="shared" si="118"/>
        <v>0</v>
      </c>
      <c r="AT116" s="98">
        <f t="shared" si="119"/>
        <v>0</v>
      </c>
      <c r="AU116" s="98">
        <f t="shared" si="120"/>
        <v>0</v>
      </c>
      <c r="AV116" s="98">
        <f t="array" ref="AV116">_xlfn.IFS(U116=0,AO116,U116&lt;0,AO116/-U116,U116&gt;0,AO116/U116)</f>
        <v>0</v>
      </c>
      <c r="AW116" s="234">
        <f t="shared" si="121"/>
        <v>0</v>
      </c>
      <c r="AX116" s="234">
        <f t="shared" si="122"/>
        <v>0</v>
      </c>
      <c r="AY116" s="99"/>
      <c r="AZ116" s="94">
        <f t="shared" si="123"/>
        <v>0</v>
      </c>
    </row>
    <row r="117" spans="1:52" outlineLevel="1">
      <c r="A117" s="89" t="s">
        <v>219</v>
      </c>
      <c r="B117" s="90">
        <v>261561322</v>
      </c>
      <c r="C117" s="90" t="s">
        <v>234</v>
      </c>
      <c r="D117" s="121"/>
      <c r="E117" s="241">
        <f t="shared" si="124"/>
        <v>1</v>
      </c>
      <c r="F117" s="93"/>
      <c r="G117" s="93"/>
      <c r="H117" s="272">
        <v>0</v>
      </c>
      <c r="I117" s="93">
        <v>1</v>
      </c>
      <c r="J117" s="93"/>
      <c r="K117" s="92">
        <v>453</v>
      </c>
      <c r="L117" s="92">
        <f t="shared" si="103"/>
        <v>453</v>
      </c>
      <c r="M117" s="89"/>
      <c r="N117" s="89">
        <v>0</v>
      </c>
      <c r="O117" s="89">
        <v>0</v>
      </c>
      <c r="P117" s="89">
        <v>0</v>
      </c>
      <c r="Q117" s="233">
        <f t="shared" si="104"/>
        <v>0</v>
      </c>
      <c r="R117" s="92">
        <f t="shared" si="105"/>
        <v>0</v>
      </c>
      <c r="S117" s="93">
        <v>0</v>
      </c>
      <c r="T117" s="93">
        <v>0</v>
      </c>
      <c r="U117" s="92">
        <f t="shared" si="125"/>
        <v>0</v>
      </c>
      <c r="V117" s="93">
        <v>0</v>
      </c>
      <c r="W117" s="93">
        <v>0</v>
      </c>
      <c r="X117" s="92">
        <f t="shared" si="126"/>
        <v>0</v>
      </c>
      <c r="Y117" s="93">
        <v>0</v>
      </c>
      <c r="Z117" s="93">
        <v>0</v>
      </c>
      <c r="AA117" s="92">
        <f t="shared" si="127"/>
        <v>0</v>
      </c>
      <c r="AB117" s="92">
        <f t="shared" si="128"/>
        <v>0</v>
      </c>
      <c r="AC117" s="234">
        <f t="shared" si="129"/>
        <v>0</v>
      </c>
      <c r="AD117" s="92">
        <f t="shared" si="130"/>
        <v>0</v>
      </c>
      <c r="AE117" s="93">
        <v>0</v>
      </c>
      <c r="AF117" s="234">
        <f t="shared" si="131"/>
        <v>0</v>
      </c>
      <c r="AG117" s="93">
        <v>0</v>
      </c>
      <c r="AH117" s="93"/>
      <c r="AI117" s="93"/>
      <c r="AJ117" s="93"/>
      <c r="AK117" s="93"/>
      <c r="AL117" s="122">
        <f t="shared" si="132"/>
        <v>0</v>
      </c>
      <c r="AM117" s="93">
        <v>0</v>
      </c>
      <c r="AN117" s="325">
        <f t="shared" si="114"/>
        <v>0</v>
      </c>
      <c r="AO117" s="95">
        <f t="shared" si="115"/>
        <v>0</v>
      </c>
      <c r="AP117" s="96"/>
      <c r="AQ117" s="97">
        <f t="shared" si="116"/>
        <v>0</v>
      </c>
      <c r="AR117" s="98">
        <f t="shared" si="117"/>
        <v>453</v>
      </c>
      <c r="AS117" s="98">
        <f t="shared" si="118"/>
        <v>0</v>
      </c>
      <c r="AT117" s="98">
        <f t="shared" si="119"/>
        <v>0</v>
      </c>
      <c r="AU117" s="98">
        <f t="shared" si="120"/>
        <v>0</v>
      </c>
      <c r="AV117" s="98">
        <f t="array" ref="AV117">_xlfn.IFS(U117=0,AO117,U117&lt;0,AO117/-U117,U117&gt;0,AO117/U117)</f>
        <v>0</v>
      </c>
      <c r="AW117" s="234">
        <f t="shared" si="121"/>
        <v>0</v>
      </c>
      <c r="AX117" s="234">
        <f t="shared" si="122"/>
        <v>0</v>
      </c>
      <c r="AY117" s="99"/>
      <c r="AZ117" s="94">
        <f t="shared" si="123"/>
        <v>0</v>
      </c>
    </row>
    <row r="118" spans="1:52">
      <c r="A118" s="127"/>
      <c r="B118" s="100"/>
      <c r="C118" s="103" t="s">
        <v>249</v>
      </c>
      <c r="D118" s="127"/>
      <c r="E118" s="232"/>
      <c r="F118" s="92"/>
      <c r="G118" s="92"/>
      <c r="H118" s="93"/>
      <c r="I118" s="92"/>
      <c r="J118" s="93"/>
      <c r="K118" s="92"/>
      <c r="L118" s="92"/>
      <c r="M118" s="89"/>
      <c r="N118" s="129"/>
      <c r="O118" s="129"/>
      <c r="P118" s="129"/>
      <c r="Q118" s="233"/>
      <c r="R118" s="128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234"/>
      <c r="AD118" s="92"/>
      <c r="AE118" s="92"/>
      <c r="AF118" s="234"/>
      <c r="AG118" s="105">
        <v>172.96</v>
      </c>
      <c r="AH118" s="93"/>
      <c r="AI118" s="93"/>
      <c r="AJ118" s="93"/>
      <c r="AK118" s="93"/>
      <c r="AL118" s="122"/>
      <c r="AN118" s="94"/>
      <c r="AO118" s="95"/>
      <c r="AP118" s="96"/>
      <c r="AQ118" s="130">
        <f t="shared" ref="AQ118:AX118" si="133">AVERAGE(AQ110:AQ117)</f>
        <v>0</v>
      </c>
      <c r="AR118" s="130">
        <f t="shared" si="133"/>
        <v>227.125</v>
      </c>
      <c r="AS118" s="130">
        <f t="shared" si="133"/>
        <v>0</v>
      </c>
      <c r="AT118" s="130">
        <f t="shared" si="133"/>
        <v>0</v>
      </c>
      <c r="AU118" s="130">
        <f t="shared" si="133"/>
        <v>0</v>
      </c>
      <c r="AV118" s="130">
        <f t="shared" si="133"/>
        <v>0</v>
      </c>
      <c r="AW118" s="131">
        <f t="shared" si="133"/>
        <v>0</v>
      </c>
      <c r="AX118" s="131">
        <f t="shared" si="133"/>
        <v>0</v>
      </c>
      <c r="AY118" s="99"/>
      <c r="AZ118" s="94"/>
    </row>
    <row r="119" spans="1:52" s="139" customFormat="1" ht="15" customHeight="1">
      <c r="A119" s="132" t="s">
        <v>235</v>
      </c>
      <c r="B119" s="133"/>
      <c r="C119" s="134"/>
      <c r="D119" s="134"/>
      <c r="E119" s="264">
        <f t="shared" ref="E119:J119" si="134">SUM(E110:E117)</f>
        <v>14</v>
      </c>
      <c r="F119" s="134">
        <f t="shared" si="134"/>
        <v>0</v>
      </c>
      <c r="G119" s="134">
        <f t="shared" si="134"/>
        <v>0</v>
      </c>
      <c r="H119" s="134">
        <f t="shared" si="134"/>
        <v>0</v>
      </c>
      <c r="I119" s="134">
        <f t="shared" si="134"/>
        <v>8</v>
      </c>
      <c r="J119" s="134">
        <f t="shared" si="134"/>
        <v>6</v>
      </c>
      <c r="K119" s="134"/>
      <c r="L119" s="134">
        <f>SUM(L110:L117)</f>
        <v>3057</v>
      </c>
      <c r="M119" s="134"/>
      <c r="N119" s="134">
        <f>SUM(N110:N117)</f>
        <v>0</v>
      </c>
      <c r="O119" s="134"/>
      <c r="P119" s="134"/>
      <c r="Q119" s="213"/>
      <c r="R119" s="134"/>
      <c r="S119" s="134">
        <f t="shared" ref="S119:AE119" si="135">SUM(S110:S117)</f>
        <v>0</v>
      </c>
      <c r="T119" s="134">
        <f t="shared" si="135"/>
        <v>0</v>
      </c>
      <c r="U119" s="134">
        <f t="shared" si="135"/>
        <v>0</v>
      </c>
      <c r="V119" s="134">
        <f t="shared" si="135"/>
        <v>0</v>
      </c>
      <c r="W119" s="134">
        <f t="shared" si="135"/>
        <v>0</v>
      </c>
      <c r="X119" s="134">
        <f t="shared" si="135"/>
        <v>0</v>
      </c>
      <c r="Y119" s="134">
        <f t="shared" si="135"/>
        <v>0</v>
      </c>
      <c r="Z119" s="134">
        <f t="shared" si="135"/>
        <v>0</v>
      </c>
      <c r="AA119" s="134">
        <f t="shared" si="135"/>
        <v>0</v>
      </c>
      <c r="AB119" s="134">
        <f t="shared" si="135"/>
        <v>0</v>
      </c>
      <c r="AC119" s="265">
        <f t="shared" si="135"/>
        <v>0</v>
      </c>
      <c r="AD119" s="135">
        <f t="shared" si="135"/>
        <v>0</v>
      </c>
      <c r="AE119" s="134">
        <f t="shared" si="135"/>
        <v>0</v>
      </c>
      <c r="AF119" s="265" t="e">
        <f>AE119/AA119</f>
        <v>#DIV/0!</v>
      </c>
      <c r="AG119" s="134">
        <f>SUM(AG110:AG117)+AG118</f>
        <v>172.96</v>
      </c>
      <c r="AH119" s="134">
        <f t="shared" ref="AH119:AO119" si="136">SUM(AH110:AH117)</f>
        <v>0</v>
      </c>
      <c r="AI119" s="134">
        <f t="shared" si="136"/>
        <v>0</v>
      </c>
      <c r="AJ119" s="134">
        <f t="shared" si="136"/>
        <v>0</v>
      </c>
      <c r="AK119" s="134">
        <f t="shared" si="136"/>
        <v>0</v>
      </c>
      <c r="AL119" s="136">
        <f t="shared" si="136"/>
        <v>0</v>
      </c>
      <c r="AM119" s="134">
        <f t="shared" si="136"/>
        <v>0</v>
      </c>
      <c r="AN119" s="134">
        <f t="shared" si="136"/>
        <v>0</v>
      </c>
      <c r="AO119" s="134">
        <f t="shared" si="136"/>
        <v>0</v>
      </c>
      <c r="AP119" s="137"/>
      <c r="AQ119" s="134"/>
      <c r="AR119" s="134"/>
      <c r="AS119" s="134"/>
      <c r="AT119" s="134"/>
      <c r="AU119" s="134" t="e">
        <f>(AH119+AI119+AJ119)/S119</f>
        <v>#DIV/0!</v>
      </c>
      <c r="AV119" s="134"/>
      <c r="AW119" s="134"/>
      <c r="AX119" s="134"/>
      <c r="AY119" s="138"/>
      <c r="AZ119" s="134">
        <f>SUM(AZ110:AZ117)</f>
        <v>0</v>
      </c>
    </row>
    <row r="120" spans="1:52" s="143" customFormat="1">
      <c r="A120" s="140"/>
      <c r="B120" s="141"/>
      <c r="C120" s="142"/>
      <c r="D120" s="142"/>
      <c r="E120" s="266"/>
      <c r="H120" s="144"/>
      <c r="N120" s="144"/>
      <c r="O120" s="144"/>
      <c r="P120" s="144"/>
      <c r="Q120" s="214"/>
      <c r="R120" s="145"/>
      <c r="S120" s="146"/>
      <c r="T120" s="146"/>
      <c r="U120" s="147"/>
      <c r="V120" s="147"/>
      <c r="W120" s="147"/>
      <c r="X120" s="147"/>
      <c r="Y120" s="146"/>
      <c r="Z120" s="147"/>
      <c r="AA120" s="147"/>
      <c r="AB120" s="147"/>
      <c r="AE120" s="148"/>
      <c r="AG120" s="146"/>
      <c r="AH120" s="548"/>
      <c r="AI120" s="548"/>
      <c r="AJ120" s="217"/>
      <c r="AK120" s="217"/>
      <c r="AL120" s="149"/>
      <c r="AM120" s="150"/>
      <c r="AP120" s="151"/>
      <c r="AQ120" s="144"/>
      <c r="AR120" s="144"/>
      <c r="AS120" s="144"/>
      <c r="AT120" s="144"/>
      <c r="AU120" s="144"/>
      <c r="AV120" s="144"/>
      <c r="AW120" s="144"/>
      <c r="AX120" s="144"/>
      <c r="AY120" s="152"/>
    </row>
    <row r="121" spans="1:52" s="158" customFormat="1">
      <c r="A121" s="153" t="s">
        <v>6</v>
      </c>
      <c r="B121" s="154"/>
      <c r="C121" s="155"/>
      <c r="D121" s="155"/>
      <c r="E121" s="267">
        <f t="shared" ref="E121:AE121" si="137">E100+E108+E119</f>
        <v>12587</v>
      </c>
      <c r="F121" s="267">
        <f t="shared" si="137"/>
        <v>0</v>
      </c>
      <c r="G121" s="267">
        <f t="shared" si="137"/>
        <v>0</v>
      </c>
      <c r="H121" s="267">
        <f t="shared" si="137"/>
        <v>12567</v>
      </c>
      <c r="I121" s="267">
        <f t="shared" si="137"/>
        <v>8</v>
      </c>
      <c r="J121" s="267">
        <f t="shared" si="137"/>
        <v>12</v>
      </c>
      <c r="K121" s="267">
        <f t="shared" si="137"/>
        <v>0</v>
      </c>
      <c r="L121" s="267">
        <f t="shared" si="137"/>
        <v>1604925.6099999996</v>
      </c>
      <c r="M121" s="267">
        <f t="shared" si="137"/>
        <v>0</v>
      </c>
      <c r="N121" s="267">
        <f t="shared" si="137"/>
        <v>4962</v>
      </c>
      <c r="O121" s="267">
        <f t="shared" si="137"/>
        <v>0</v>
      </c>
      <c r="P121" s="267">
        <f t="shared" si="137"/>
        <v>0</v>
      </c>
      <c r="Q121" s="215">
        <f t="shared" si="137"/>
        <v>0</v>
      </c>
      <c r="R121" s="267">
        <f t="shared" si="137"/>
        <v>0</v>
      </c>
      <c r="S121" s="267">
        <f t="shared" si="137"/>
        <v>2362</v>
      </c>
      <c r="T121" s="267">
        <f t="shared" si="137"/>
        <v>-53</v>
      </c>
      <c r="U121" s="267">
        <f t="shared" si="137"/>
        <v>2309</v>
      </c>
      <c r="V121" s="267">
        <f t="shared" si="137"/>
        <v>1728382.78</v>
      </c>
      <c r="W121" s="267">
        <f t="shared" si="137"/>
        <v>-44657.88</v>
      </c>
      <c r="X121" s="267">
        <f t="shared" si="137"/>
        <v>1683724.9</v>
      </c>
      <c r="Y121" s="267">
        <f t="shared" si="137"/>
        <v>2303342.0599999991</v>
      </c>
      <c r="Z121" s="267">
        <f t="shared" si="137"/>
        <v>-58267.040000000001</v>
      </c>
      <c r="AA121" s="267">
        <f t="shared" si="137"/>
        <v>2245075.02</v>
      </c>
      <c r="AB121" s="267">
        <f t="shared" si="137"/>
        <v>2920148.8499999992</v>
      </c>
      <c r="AC121" s="267">
        <f t="shared" si="137"/>
        <v>1.0000000000000002</v>
      </c>
      <c r="AD121" s="267">
        <f t="shared" si="137"/>
        <v>292876.64000000007</v>
      </c>
      <c r="AE121" s="267">
        <f t="shared" si="137"/>
        <v>833669.77000000118</v>
      </c>
      <c r="AF121" s="268">
        <f>AE121/AA121</f>
        <v>0.3713327004992471</v>
      </c>
      <c r="AG121" s="267">
        <f>AG100+AG108+AG119</f>
        <v>276831.83000000007</v>
      </c>
      <c r="AH121" s="267">
        <f>AH100+AH108+AH119</f>
        <v>113446</v>
      </c>
      <c r="AI121" s="267">
        <f>AI100+AI108+AI119</f>
        <v>404487</v>
      </c>
      <c r="AJ121" s="267">
        <f>AJ100+AJ108+AJ119</f>
        <v>1873</v>
      </c>
      <c r="AK121" s="267">
        <f>AK100+AK108+AK119</f>
        <v>0</v>
      </c>
      <c r="AL121" s="156">
        <v>40336.35</v>
      </c>
      <c r="AM121" s="267">
        <f>AM100+AM108+AM119</f>
        <v>0</v>
      </c>
      <c r="AN121" s="267">
        <f>AN100+AN108+AN119</f>
        <v>95827.420000000071</v>
      </c>
      <c r="AO121" s="267">
        <f>AO100+AO108+AO119</f>
        <v>187772.96999999898</v>
      </c>
      <c r="AP121" s="155"/>
      <c r="AQ121" s="155"/>
      <c r="AR121" s="155"/>
      <c r="AS121" s="155"/>
      <c r="AT121" s="155"/>
      <c r="AU121" s="155">
        <f>(AH121+AI121)/S121</f>
        <v>219.27730736663844</v>
      </c>
      <c r="AV121" s="155"/>
      <c r="AW121" s="155"/>
      <c r="AX121" s="155"/>
      <c r="AY121" s="157"/>
      <c r="AZ121" s="155">
        <f>AZ100+AZ119</f>
        <v>-424794.45884326432</v>
      </c>
    </row>
    <row r="122" spans="1:52" s="143" customFormat="1">
      <c r="A122" s="142"/>
      <c r="B122" s="141"/>
      <c r="C122" s="159"/>
      <c r="D122" s="142"/>
      <c r="E122" s="266"/>
      <c r="N122" s="144"/>
      <c r="O122" s="144"/>
      <c r="P122" s="144"/>
      <c r="R122" s="145"/>
      <c r="S122" s="146"/>
      <c r="T122" s="146"/>
      <c r="U122" s="147"/>
      <c r="V122" s="147"/>
      <c r="W122" s="147"/>
      <c r="X122" s="147"/>
      <c r="Y122" s="146"/>
      <c r="Z122" s="147"/>
      <c r="AA122" s="147"/>
      <c r="AB122" s="147"/>
      <c r="AE122" s="148"/>
      <c r="AG122" s="160"/>
      <c r="AH122" s="548">
        <f>AH101+AH109+AH120</f>
        <v>0</v>
      </c>
      <c r="AI122" s="548"/>
      <c r="AJ122" s="217"/>
      <c r="AK122" s="217"/>
      <c r="AL122" s="149"/>
      <c r="AM122" s="150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2"/>
    </row>
    <row r="123" spans="1:52">
      <c r="C123" s="162"/>
      <c r="D123" s="162"/>
    </row>
    <row r="124" spans="1:52">
      <c r="C124" s="162"/>
      <c r="D124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1:AI101"/>
    <mergeCell ref="AH109:AI109"/>
    <mergeCell ref="AH120:AI120"/>
    <mergeCell ref="AH122:AI122"/>
  </mergeCells>
  <conditionalFormatting sqref="AC123:AC1048576">
    <cfRule type="cellIs" dxfId="11" priority="12" operator="greaterThan">
      <formula>0.23</formula>
    </cfRule>
  </conditionalFormatting>
  <conditionalFormatting sqref="M118:O118 M3:M99 M101:M107">
    <cfRule type="cellIs" dxfId="10" priority="27" operator="greaterThan">
      <formula>120</formula>
    </cfRule>
  </conditionalFormatting>
  <conditionalFormatting sqref="AC120 AC122">
    <cfRule type="cellIs" dxfId="9" priority="28" operator="greaterThan">
      <formula>0.23</formula>
    </cfRule>
  </conditionalFormatting>
  <conditionalFormatting sqref="AA118:AC118 AA101:AC101 AA107:AC107 AA3:AC9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{5247B70F-FE33-4F96-9FF7-4BB862991362}</x14:id>
        </ext>
      </extLst>
    </cfRule>
  </conditionalFormatting>
  <conditionalFormatting sqref="AC101 AC107 AC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{23610F0C-078C-41DB-BE79-11BB2DC316FC}</x14:id>
        </ext>
      </extLst>
    </cfRule>
  </conditionalFormatting>
  <conditionalFormatting sqref="AO101 AO118 AO107 AO3:AO9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{D31F4CCC-03F6-4976-9CA8-203D4F0FCC07}</x14:id>
        </ext>
      </extLst>
    </cfRule>
  </conditionalFormatting>
  <conditionalFormatting sqref="AO101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{8164B145-8922-49C0-8EDC-C161D538192E}</x14:id>
        </ext>
      </extLst>
    </cfRule>
  </conditionalFormatting>
  <conditionalFormatting sqref="AC1">
    <cfRule type="cellIs" dxfId="8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{9089614B-722D-43C1-B8B6-7F7124A3CCE2}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{768679E4-79A0-4095-8275-AA124AF17ACA}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{4A90D5AF-BBE1-43AA-9BEA-B76AD94D6DBA}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{97558F27-8FE2-48B0-B4A3-FA5345EBD3B7}</x14:id>
        </ext>
      </extLst>
    </cfRule>
  </conditionalFormatting>
  <conditionalFormatting sqref="Q118">
    <cfRule type="cellIs" dxfId="7" priority="21" operator="between">
      <formula>0.000001</formula>
      <formula>25</formula>
    </cfRule>
  </conditionalFormatting>
  <conditionalFormatting sqref="AV44:AV93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{C28A56F6-48C6-4970-9606-6F51E91EA307}</x14:id>
        </ext>
      </extLst>
    </cfRule>
  </conditionalFormatting>
  <conditionalFormatting sqref="AW44:AX93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{B4FE72BE-9042-4371-8311-C9BDFC4C3245}</x14:id>
        </ext>
      </extLst>
    </cfRule>
  </conditionalFormatting>
  <conditionalFormatting sqref="AZ44:AZ9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{0956B8A3-2241-44A7-AF15-CFB77C9830A0}</x14:id>
        </ext>
      </extLst>
    </cfRule>
  </conditionalFormatting>
  <conditionalFormatting sqref="AV17:AV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{D68682B5-7621-47AA-8CC8-6FD0073CD1ED}</x14:id>
        </ext>
      </extLst>
    </cfRule>
  </conditionalFormatting>
  <conditionalFormatting sqref="AW17:AX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{E87656DB-4D2D-4A2B-83F3-2A56EFDBCCAD}</x14:id>
        </ext>
      </extLst>
    </cfRule>
  </conditionalFormatting>
  <conditionalFormatting sqref="AZ17:AZ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{1D1A3E98-7B89-4E4E-9A8A-9A30C61CC761}</x14:id>
        </ext>
      </extLst>
    </cfRule>
  </conditionalFormatting>
  <conditionalFormatting sqref="AZ3:AZ16 AZ101 AZ118 AZ107 AZ94:AZ99 AZ26:AZ4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{E1C4EDD2-7B1B-4F32-A379-45F5DA8FC76E}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{3CFBDA72-49AE-4AFC-BAC9-21EF0C8C1F47}</x14:id>
        </ext>
      </extLst>
    </cfRule>
  </conditionalFormatting>
  <conditionalFormatting sqref="AV3:AV16 AV101 AV94:AV98 AV26:AV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{3C3AAB5C-86E7-4098-9F13-EB8CCC84EACF}</x14:id>
        </ext>
      </extLst>
    </cfRule>
  </conditionalFormatting>
  <conditionalFormatting sqref="AW101:AX101 AW3:AX16 AW94:AX98 AW26:AX4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{606B6330-CDAA-4E00-808E-5A71F4856F31}</x14:id>
        </ext>
      </extLst>
    </cfRule>
  </conditionalFormatting>
  <conditionalFormatting sqref="AZ3:AZ16 AZ101 AZ107 AZ94:AZ99 AZ26:AZ4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{C44E251C-FDB0-46A9-868F-951D28FCA02D}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{FB19AD9C-411C-4E81-8E5A-CDE7E5244D1C}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{40CEBE74-FACC-4FDF-9408-6E51ED6AF912}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{6A25D7BE-8A1A-4B5E-8EAD-BEA7ECCFFDC4}</x14:id>
        </ext>
      </extLst>
    </cfRule>
  </conditionalFormatting>
  <conditionalFormatting sqref="M110:M117">
    <cfRule type="cellIs" dxfId="6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{C5110395-DEE4-48C0-B978-65A963071D7C}</x14:id>
        </ext>
      </extLst>
    </cfRule>
  </conditionalFormatting>
  <conditionalFormatting sqref="AC102:AC10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{4CCDC842-AE54-4BFF-AE3A-927FFAF1A0B1}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{E9341EED-2793-4415-A766-FCFB9B4081EA}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{94F3CB1B-A603-42BC-86CE-2A101D664CB4}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{CF1397B3-B2F7-48A3-A6C9-4A9E98AF168E}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{1DE72247-77BB-42DA-ACE3-087E46ECAF5E}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{423FDF53-E7E7-48DF-88FB-C95466A03410}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{ECC71B6E-F6DB-48D1-B8AF-1BA8D8105DD5}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47B70F-FE33-4F96-9FF7-4BB86299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23610F0C-078C-41DB-BE79-11BB2DC31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31F4CCC-03F6-4976-9CA8-203D4F0FC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8164B145-8922-49C0-8EDC-C161D53819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9089614B-722D-43C1-B8B6-7F7124A3CC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768679E4-79A0-4095-8275-AA124AF17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4A90D5AF-BBE1-43AA-9BEA-B76AD94D6D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97558F27-8FE2-48B0-B4A3-FA5345EBD3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C28A56F6-48C6-4970-9606-6F51E91EA3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B4FE72BE-9042-4371-8311-C9BDFC4C3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0956B8A3-2241-44A7-AF15-CFB77C983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D68682B5-7621-47AA-8CC8-6FD0073CD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87656DB-4D2D-4A2B-83F3-2A56EFDBCC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D1A3E98-7B89-4E4E-9A8A-9A30C61CC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1C4EDD2-7B1B-4F32-A379-45F5DA8FC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3CFBDA72-49AE-4AFC-BAC9-21EF0C8C1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3C3AAB5C-86E7-4098-9F13-EB8CCC84E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606B6330-CDAA-4E00-808E-5A71F4856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C44E251C-FDB0-46A9-868F-951D28FCA0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FB19AD9C-411C-4E81-8E5A-CDE7E5244D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40CEBE74-FACC-4FDF-9408-6E51ED6AF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6A25D7BE-8A1A-4B5E-8EAD-BEA7ECCFF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C5110395-DEE4-48C0-B978-65A963071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4CCDC842-AE54-4BFF-AE3A-927FFAF1A0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E9341EED-2793-4415-A766-FCFB9B4081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94F3CB1B-A603-42BC-86CE-2A101D664C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CF1397B3-B2F7-48A3-A6C9-4A9E98AF1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1DE72247-77BB-42DA-ACE3-087E46ECA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423FDF53-E7E7-48DF-88FB-C95466A034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ECC71B6E-F6DB-48D1-B8AF-1BA8D8105D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D112-6599-4FA4-B66A-43E03EAC0E83}">
  <dimension ref="A1:AZ124"/>
  <sheetViews>
    <sheetView zoomScale="70" zoomScaleNormal="70" workbookViewId="0">
      <pane xSplit="3" ySplit="2" topLeftCell="AF3" activePane="bottomRight" state="frozen"/>
      <selection pane="topRight" activeCell="D1" sqref="D1"/>
      <selection pane="bottomLeft" activeCell="A3" sqref="A3"/>
      <selection pane="bottomRight" activeCell="AL20" sqref="AL2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114</v>
      </c>
      <c r="B1" s="73"/>
      <c r="C1" s="72"/>
      <c r="D1" s="72"/>
      <c r="E1" s="222"/>
      <c r="F1" s="539" t="s">
        <v>42</v>
      </c>
      <c r="G1" s="539"/>
      <c r="H1" s="539"/>
      <c r="I1" s="540" t="s">
        <v>115</v>
      </c>
      <c r="J1" s="541"/>
      <c r="M1" s="223" t="s">
        <v>43</v>
      </c>
      <c r="N1" s="539" t="s">
        <v>116</v>
      </c>
      <c r="O1" s="539"/>
      <c r="P1" s="539"/>
      <c r="R1" s="224"/>
      <c r="S1" s="542"/>
      <c r="T1" s="542"/>
      <c r="U1" s="224"/>
      <c r="V1" s="543"/>
      <c r="W1" s="544"/>
      <c r="X1" s="224"/>
      <c r="Y1" s="542"/>
      <c r="Z1" s="542"/>
      <c r="AA1" s="224"/>
      <c r="AB1" s="224"/>
      <c r="AC1" s="224"/>
      <c r="AD1" s="224"/>
      <c r="AE1" s="225"/>
      <c r="AF1" s="224"/>
      <c r="AG1" s="225"/>
      <c r="AH1" s="535"/>
      <c r="AI1" s="535"/>
      <c r="AJ1" s="283" t="s">
        <v>248</v>
      </c>
      <c r="AK1" s="218"/>
      <c r="AL1" s="226" t="s">
        <v>44</v>
      </c>
      <c r="AM1" s="225"/>
      <c r="AQ1" s="536" t="s">
        <v>45</v>
      </c>
      <c r="AR1" s="537"/>
      <c r="AS1" s="537"/>
      <c r="AT1" s="537"/>
      <c r="AU1" s="537"/>
      <c r="AV1" s="537"/>
      <c r="AW1" s="537"/>
      <c r="AX1" s="538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238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887</v>
      </c>
      <c r="F3" s="93"/>
      <c r="G3" s="93"/>
      <c r="H3" s="272">
        <v>887</v>
      </c>
      <c r="I3" s="93"/>
      <c r="J3" s="93"/>
      <c r="K3" s="92">
        <v>142.97999999999999</v>
      </c>
      <c r="L3" s="92">
        <f t="shared" ref="L3" si="0">E3*K3</f>
        <v>126823.26</v>
      </c>
      <c r="M3" s="89"/>
      <c r="N3" s="89">
        <v>7</v>
      </c>
      <c r="O3" s="89">
        <v>1618</v>
      </c>
      <c r="P3" s="89">
        <v>43</v>
      </c>
      <c r="Q3" s="233">
        <f>N3/3</f>
        <v>2.3333333333333335</v>
      </c>
      <c r="R3" s="92">
        <f>U3/3</f>
        <v>2.6666666666666665</v>
      </c>
      <c r="S3" s="93">
        <v>8</v>
      </c>
      <c r="T3" s="93">
        <v>0</v>
      </c>
      <c r="U3" s="92">
        <f t="shared" ref="U3" si="1">S3+T3</f>
        <v>8</v>
      </c>
      <c r="V3" s="93">
        <v>10721</v>
      </c>
      <c r="W3" s="93">
        <v>0</v>
      </c>
      <c r="X3" s="92">
        <f t="shared" ref="X3" si="2">V3+W3</f>
        <v>10721</v>
      </c>
      <c r="Y3" s="93">
        <v>12895.46</v>
      </c>
      <c r="Z3" s="93">
        <v>0</v>
      </c>
      <c r="AA3" s="92">
        <f t="shared" ref="AA3" si="3">Y3+Z3</f>
        <v>12895.46</v>
      </c>
      <c r="AB3" s="92">
        <f>N3*O3*P3/100</f>
        <v>4870.18</v>
      </c>
      <c r="AC3" s="234">
        <f t="shared" ref="AC3" si="4">AA3/$AA$121</f>
        <v>9.8110166597217233E-2</v>
      </c>
      <c r="AD3" s="92">
        <f t="shared" ref="AD3" si="5">U3*K3</f>
        <v>1143.8399999999999</v>
      </c>
      <c r="AE3" s="93">
        <v>4749.3999999999996</v>
      </c>
      <c r="AF3" s="234">
        <f t="shared" ref="AF3" si="6">IF(AA3=0,0,AE3/AA3)</f>
        <v>0.36830016145216998</v>
      </c>
      <c r="AG3" s="93">
        <v>1962.74</v>
      </c>
      <c r="AH3" s="93"/>
      <c r="AI3" s="93"/>
      <c r="AJ3" s="93"/>
      <c r="AK3" s="93"/>
      <c r="AL3" s="122">
        <f t="shared" ref="AL3" si="7">IFERROR($AL$121*H3/$H$121,0)</f>
        <v>255.23889074560353</v>
      </c>
      <c r="AM3" s="93">
        <v>0</v>
      </c>
      <c r="AN3" s="325">
        <f t="shared" ref="AN3:AN34" si="8">6067.24*Y3/Y$121</f>
        <v>563.02013333614457</v>
      </c>
      <c r="AO3" s="95">
        <f>AA3-AD3-AE3-AG3-AH3-AI3-AK3-AL3-AN3-AM3</f>
        <v>4221.2209759182515</v>
      </c>
      <c r="AP3" s="96"/>
      <c r="AQ3" s="97">
        <f t="shared" ref="AQ3:AQ97" si="9">IF(U3=0,0,AA3/U3)</f>
        <v>1611.9324999999999</v>
      </c>
      <c r="AR3" s="98">
        <f t="shared" ref="AR3:AR19" si="10">K3</f>
        <v>142.97999999999999</v>
      </c>
      <c r="AS3" s="98">
        <f t="shared" ref="AS3:AS97" si="11">IF(U3=0,0,AE3/U3)</f>
        <v>593.67499999999995</v>
      </c>
      <c r="AT3" s="98">
        <f t="shared" ref="AT3:AT97" si="12">IF(S3=0,AG3/1,AG3/S3)</f>
        <v>245.3425</v>
      </c>
      <c r="AU3" s="98">
        <f>IF(S3=0,0,(AH3+AI3+AJ3)/S3)</f>
        <v>0</v>
      </c>
      <c r="AV3" s="98">
        <f>_xlfn.IFS(U3=0,AO3,U3&lt;0,AO3/-U3,U3&gt;0,AO3/U3)</f>
        <v>527.65262198978144</v>
      </c>
      <c r="AW3" s="234">
        <f t="shared" ref="AW3" si="13">IF(AQ3=0,0,AV3/AQ3)</f>
        <v>0.32734163619740991</v>
      </c>
      <c r="AX3" s="234">
        <f t="shared" ref="AX3" si="14">IF(AR3=0,0,AV3/AR3)</f>
        <v>3.6903946145599487</v>
      </c>
      <c r="AY3" s="99"/>
      <c r="AZ3" s="94">
        <f t="shared" ref="AZ3:AZ97" si="15">AV3*E3</f>
        <v>468027.87570493616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349</v>
      </c>
      <c r="F4" s="93"/>
      <c r="G4" s="93"/>
      <c r="H4" s="272">
        <v>349</v>
      </c>
      <c r="I4" s="93"/>
      <c r="J4" s="93"/>
      <c r="K4" s="92">
        <v>123.09</v>
      </c>
      <c r="L4" s="92">
        <f>E4*K4</f>
        <v>42958.41</v>
      </c>
      <c r="M4" s="89"/>
      <c r="N4" s="89">
        <v>28</v>
      </c>
      <c r="O4" s="89">
        <v>659</v>
      </c>
      <c r="P4" s="89">
        <v>89</v>
      </c>
      <c r="Q4" s="233">
        <f t="shared" ref="Q4:Q67" si="16">N4/3</f>
        <v>9.3333333333333339</v>
      </c>
      <c r="R4" s="92">
        <f t="shared" ref="R4:R67" si="17">U4/3</f>
        <v>13.333333333333334</v>
      </c>
      <c r="S4" s="93">
        <v>40</v>
      </c>
      <c r="T4" s="93">
        <v>0</v>
      </c>
      <c r="U4" s="92">
        <f t="shared" ref="U4:U67" si="18">S4+T4</f>
        <v>40</v>
      </c>
      <c r="V4" s="93">
        <v>22339.91</v>
      </c>
      <c r="W4" s="93">
        <v>0</v>
      </c>
      <c r="X4" s="92">
        <f t="shared" ref="X4:X67" si="19">V4+W4</f>
        <v>22339.91</v>
      </c>
      <c r="Y4" s="93">
        <v>26338.76</v>
      </c>
      <c r="Z4" s="93">
        <v>0</v>
      </c>
      <c r="AA4" s="92">
        <f t="shared" ref="AA4:AA67" si="20">Y4+Z4</f>
        <v>26338.76</v>
      </c>
      <c r="AB4" s="92">
        <f t="shared" ref="AB4:AB67" si="21">N4*O4*P4/100</f>
        <v>16422.28</v>
      </c>
      <c r="AC4" s="234">
        <f t="shared" ref="AC4:AC67" si="22">AA4/$AA$121</f>
        <v>0.20038836393305251</v>
      </c>
      <c r="AD4" s="92">
        <f t="shared" ref="AD4:AD67" si="23">U4*K4</f>
        <v>4923.6000000000004</v>
      </c>
      <c r="AE4" s="93">
        <v>9873.8299999999981</v>
      </c>
      <c r="AF4" s="234">
        <f t="shared" ref="AF4:AF67" si="24">IF(AA4=0,0,AE4/AA4)</f>
        <v>0.3748783162153419</v>
      </c>
      <c r="AG4" s="93">
        <v>3262.7500000000005</v>
      </c>
      <c r="AH4" s="93"/>
      <c r="AI4" s="93"/>
      <c r="AJ4" s="93"/>
      <c r="AK4" s="93"/>
      <c r="AL4" s="122">
        <f t="shared" ref="AL4:AL67" si="25">IFERROR($AL$121*H4/$H$121,0)</f>
        <v>100.42657595289249</v>
      </c>
      <c r="AM4" s="93">
        <v>0</v>
      </c>
      <c r="AN4" s="325">
        <f t="shared" si="8"/>
        <v>1149.9591458628624</v>
      </c>
      <c r="AO4" s="95">
        <f t="shared" ref="AO4:AO67" si="26">AA4-AD4-AE4-AG4-AH4-AI4-AK4-AL4-AN4-AM4</f>
        <v>7028.1942781842426</v>
      </c>
      <c r="AP4" s="96"/>
      <c r="AQ4" s="97">
        <f t="shared" si="9"/>
        <v>658.46899999999994</v>
      </c>
      <c r="AR4" s="98">
        <f t="shared" si="10"/>
        <v>123.09</v>
      </c>
      <c r="AS4" s="98">
        <f t="shared" si="11"/>
        <v>246.84574999999995</v>
      </c>
      <c r="AT4" s="98">
        <f t="shared" si="12"/>
        <v>81.568750000000009</v>
      </c>
      <c r="AU4" s="98">
        <f t="shared" ref="AU4:AU70" si="27">IF(S4=0,0,(AH4+AI4+AJ4)/S4)</f>
        <v>0</v>
      </c>
      <c r="AV4" s="98">
        <f t="array" ref="AV4">_xlfn.IFS(U4=0,AO4,U4&lt;0,AO4/-U4,U4&gt;0,AO4/U4)</f>
        <v>175.70485695460607</v>
      </c>
      <c r="AW4" s="234">
        <f>IF(AQ4=0,0,AV4/AQ4)</f>
        <v>0.26683846461201072</v>
      </c>
      <c r="AX4" s="234">
        <f>IF(AR4=0,0,AV4/AR4)</f>
        <v>1.4274502961622071</v>
      </c>
      <c r="AY4" s="99"/>
      <c r="AZ4" s="94">
        <f t="shared" si="15"/>
        <v>61320.995077157517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728</v>
      </c>
      <c r="F5" s="93"/>
      <c r="G5" s="93"/>
      <c r="H5" s="272">
        <v>728</v>
      </c>
      <c r="I5" s="93"/>
      <c r="J5" s="93"/>
      <c r="K5" s="92">
        <v>123.09</v>
      </c>
      <c r="L5" s="92">
        <f>E5*K5</f>
        <v>89609.52</v>
      </c>
      <c r="M5" s="89"/>
      <c r="N5" s="89">
        <v>14</v>
      </c>
      <c r="O5" s="89">
        <v>1323</v>
      </c>
      <c r="P5" s="89">
        <v>46</v>
      </c>
      <c r="Q5" s="233">
        <f t="shared" si="16"/>
        <v>4.666666666666667</v>
      </c>
      <c r="R5" s="92">
        <f t="shared" si="17"/>
        <v>1.3333333333333333</v>
      </c>
      <c r="S5" s="93">
        <v>4</v>
      </c>
      <c r="T5" s="93">
        <v>0</v>
      </c>
      <c r="U5" s="92">
        <f t="shared" si="18"/>
        <v>4</v>
      </c>
      <c r="V5" s="93">
        <v>4437.1000000000004</v>
      </c>
      <c r="W5" s="93">
        <v>0</v>
      </c>
      <c r="X5" s="92">
        <f t="shared" si="19"/>
        <v>4437.1000000000004</v>
      </c>
      <c r="Y5" s="93">
        <v>5292.7800000000007</v>
      </c>
      <c r="Z5" s="93">
        <v>0</v>
      </c>
      <c r="AA5" s="92">
        <f t="shared" si="20"/>
        <v>5292.7800000000007</v>
      </c>
      <c r="AB5" s="92">
        <f t="shared" si="21"/>
        <v>8520.1200000000008</v>
      </c>
      <c r="AC5" s="234">
        <f t="shared" si="22"/>
        <v>4.0268088735292848E-2</v>
      </c>
      <c r="AD5" s="92">
        <f t="shared" si="23"/>
        <v>492.36</v>
      </c>
      <c r="AE5" s="93">
        <v>1957.9800000000005</v>
      </c>
      <c r="AF5" s="234">
        <f t="shared" si="24"/>
        <v>0.36993413669187086</v>
      </c>
      <c r="AG5" s="93">
        <v>746.67</v>
      </c>
      <c r="AH5" s="93"/>
      <c r="AI5" s="93"/>
      <c r="AJ5" s="93"/>
      <c r="AK5" s="93"/>
      <c r="AL5" s="122">
        <f t="shared" si="25"/>
        <v>209.48580886448633</v>
      </c>
      <c r="AM5" s="93">
        <v>0</v>
      </c>
      <c r="AN5" s="325">
        <f t="shared" si="8"/>
        <v>231.08456009470615</v>
      </c>
      <c r="AO5" s="95">
        <f t="shared" si="26"/>
        <v>1655.1996310408078</v>
      </c>
      <c r="AP5" s="96"/>
      <c r="AQ5" s="97">
        <f t="shared" si="9"/>
        <v>1323.1950000000002</v>
      </c>
      <c r="AR5" s="98">
        <f t="shared" si="10"/>
        <v>123.09</v>
      </c>
      <c r="AS5" s="98">
        <f t="shared" si="11"/>
        <v>489.49500000000012</v>
      </c>
      <c r="AT5" s="98">
        <f t="shared" si="12"/>
        <v>186.66749999999999</v>
      </c>
      <c r="AU5" s="98">
        <f t="shared" si="27"/>
        <v>0</v>
      </c>
      <c r="AV5" s="98">
        <f t="array" ref="AV5">_xlfn.IFS(U5=0,AO5,U5&lt;0,AO5/-U5,U5&gt;0,AO5/U5)</f>
        <v>413.79990776020196</v>
      </c>
      <c r="AW5" s="234">
        <f>IF(AQ5=0,0,AV5/AQ5)</f>
        <v>0.31272783509626467</v>
      </c>
      <c r="AX5" s="234">
        <f>IF(AR5=0,0,AV5/AR5)</f>
        <v>3.3617670628012184</v>
      </c>
      <c r="AY5" s="99"/>
      <c r="AZ5" s="94">
        <f t="shared" si="15"/>
        <v>301246.33284942701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8">SUM(F6:J6)</f>
        <v>523</v>
      </c>
      <c r="F6" s="93"/>
      <c r="G6" s="93"/>
      <c r="H6" s="272">
        <v>523</v>
      </c>
      <c r="I6" s="93"/>
      <c r="J6" s="93"/>
      <c r="K6" s="92">
        <v>123.09</v>
      </c>
      <c r="L6" s="92">
        <f t="shared" ref="L6" si="29">E6*K6</f>
        <v>64376.07</v>
      </c>
      <c r="M6" s="89"/>
      <c r="N6" s="89">
        <v>8</v>
      </c>
      <c r="O6" s="89">
        <v>1357</v>
      </c>
      <c r="P6" s="89">
        <v>50</v>
      </c>
      <c r="Q6" s="233">
        <f t="shared" si="16"/>
        <v>2.6666666666666665</v>
      </c>
      <c r="R6" s="92">
        <f t="shared" si="17"/>
        <v>3.3333333333333335</v>
      </c>
      <c r="S6" s="93">
        <v>10</v>
      </c>
      <c r="T6" s="93">
        <v>0</v>
      </c>
      <c r="U6" s="92">
        <f t="shared" si="18"/>
        <v>10</v>
      </c>
      <c r="V6" s="93">
        <v>11415</v>
      </c>
      <c r="W6" s="93">
        <v>0</v>
      </c>
      <c r="X6" s="92">
        <f t="shared" si="19"/>
        <v>11415</v>
      </c>
      <c r="Y6" s="93">
        <v>13393</v>
      </c>
      <c r="Z6" s="93">
        <v>0</v>
      </c>
      <c r="AA6" s="92">
        <f t="shared" si="20"/>
        <v>13393</v>
      </c>
      <c r="AB6" s="92">
        <f t="shared" si="21"/>
        <v>5428</v>
      </c>
      <c r="AC6" s="234">
        <f t="shared" si="22"/>
        <v>0.10189550905795763</v>
      </c>
      <c r="AD6" s="92">
        <f t="shared" si="23"/>
        <v>1230.9000000000001</v>
      </c>
      <c r="AE6" s="93">
        <v>4937.93</v>
      </c>
      <c r="AF6" s="234">
        <f t="shared" si="24"/>
        <v>0.3686948405883671</v>
      </c>
      <c r="AG6" s="93">
        <v>1188.1600000000001</v>
      </c>
      <c r="AH6" s="93"/>
      <c r="AI6" s="93"/>
      <c r="AJ6" s="93"/>
      <c r="AK6" s="93"/>
      <c r="AL6" s="122">
        <f t="shared" si="25"/>
        <v>150.49598631336036</v>
      </c>
      <c r="AM6" s="93">
        <v>0</v>
      </c>
      <c r="AN6" s="325">
        <f t="shared" si="8"/>
        <v>584.74289756014775</v>
      </c>
      <c r="AO6" s="95">
        <f t="shared" si="26"/>
        <v>5300.7711161264924</v>
      </c>
      <c r="AP6" s="96"/>
      <c r="AQ6" s="97">
        <f t="shared" si="9"/>
        <v>1339.3</v>
      </c>
      <c r="AR6" s="98">
        <f t="shared" si="10"/>
        <v>123.09</v>
      </c>
      <c r="AS6" s="98">
        <f t="shared" si="11"/>
        <v>493.79300000000001</v>
      </c>
      <c r="AT6" s="98">
        <f t="shared" si="12"/>
        <v>118.816</v>
      </c>
      <c r="AU6" s="98">
        <f t="shared" si="27"/>
        <v>0</v>
      </c>
      <c r="AV6" s="98">
        <f t="array" ref="AV6">_xlfn.IFS(U6=0,AO6,U6&lt;0,AO6/-U6,U6&gt;0,AO6/U6)</f>
        <v>530.07711161264922</v>
      </c>
      <c r="AW6" s="234">
        <f t="shared" ref="AW6" si="30">IF(AQ6=0,0,AV6/AQ6)</f>
        <v>0.39578668827943647</v>
      </c>
      <c r="AX6" s="234">
        <f t="shared" ref="AX6" si="31">IF(AR6=0,0,AV6/AR6)</f>
        <v>4.3064189748366983</v>
      </c>
      <c r="AY6" s="99"/>
      <c r="AZ6" s="94">
        <f t="shared" si="15"/>
        <v>277230.32937341556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441</v>
      </c>
      <c r="F7" s="93"/>
      <c r="G7" s="93"/>
      <c r="H7" s="272">
        <v>441</v>
      </c>
      <c r="I7" s="93"/>
      <c r="J7" s="93"/>
      <c r="K7" s="92">
        <v>117.24</v>
      </c>
      <c r="L7" s="92">
        <f>E7*K7</f>
        <v>51702.84</v>
      </c>
      <c r="M7" s="89"/>
      <c r="N7" s="89">
        <v>4</v>
      </c>
      <c r="O7" s="89">
        <v>1274</v>
      </c>
      <c r="P7" s="89">
        <v>25</v>
      </c>
      <c r="Q7" s="233">
        <f t="shared" si="16"/>
        <v>1.3333333333333333</v>
      </c>
      <c r="R7" s="92">
        <f t="shared" si="17"/>
        <v>0.66666666666666663</v>
      </c>
      <c r="S7" s="93">
        <v>2</v>
      </c>
      <c r="T7" s="93">
        <v>0</v>
      </c>
      <c r="U7" s="92">
        <f t="shared" si="18"/>
        <v>2</v>
      </c>
      <c r="V7" s="93">
        <v>2119</v>
      </c>
      <c r="W7" s="93">
        <v>0</v>
      </c>
      <c r="X7" s="92">
        <f t="shared" si="19"/>
        <v>2119</v>
      </c>
      <c r="Y7" s="93">
        <v>2548</v>
      </c>
      <c r="Z7" s="93">
        <v>0</v>
      </c>
      <c r="AA7" s="92">
        <f t="shared" si="20"/>
        <v>2548</v>
      </c>
      <c r="AB7" s="92">
        <f t="shared" si="21"/>
        <v>1274</v>
      </c>
      <c r="AC7" s="234">
        <f t="shared" si="22"/>
        <v>1.9385481750143811E-2</v>
      </c>
      <c r="AD7" s="92">
        <f t="shared" si="23"/>
        <v>234.48</v>
      </c>
      <c r="AE7" s="93">
        <v>938.44</v>
      </c>
      <c r="AF7" s="234">
        <f t="shared" si="24"/>
        <v>0.3683045525902669</v>
      </c>
      <c r="AG7" s="93">
        <v>478.27</v>
      </c>
      <c r="AH7" s="93"/>
      <c r="AI7" s="93"/>
      <c r="AJ7" s="93"/>
      <c r="AK7" s="93"/>
      <c r="AL7" s="122">
        <f t="shared" si="25"/>
        <v>126.90005729291001</v>
      </c>
      <c r="AM7" s="93">
        <v>0</v>
      </c>
      <c r="AN7" s="325">
        <f t="shared" si="8"/>
        <v>111.24653945966226</v>
      </c>
      <c r="AO7" s="95">
        <f t="shared" si="26"/>
        <v>658.66340324742771</v>
      </c>
      <c r="AP7" s="96"/>
      <c r="AQ7" s="97">
        <f t="shared" si="9"/>
        <v>1274</v>
      </c>
      <c r="AR7" s="98">
        <f t="shared" si="10"/>
        <v>117.24</v>
      </c>
      <c r="AS7" s="98">
        <f t="shared" si="11"/>
        <v>469.22</v>
      </c>
      <c r="AT7" s="98">
        <f t="shared" si="12"/>
        <v>239.13499999999999</v>
      </c>
      <c r="AU7" s="98">
        <f t="shared" si="27"/>
        <v>0</v>
      </c>
      <c r="AV7" s="98">
        <f t="array" ref="AV7">_xlfn.IFS(U7=0,AO7,U7&lt;0,AO7/-U7,U7&gt;0,AO7/U7)</f>
        <v>329.33170162371385</v>
      </c>
      <c r="AW7" s="234">
        <f>IF(AQ7=0,0,AV7/AQ7)</f>
        <v>0.25850212058376282</v>
      </c>
      <c r="AX7" s="234">
        <f>IF(AR7=0,0,AV7/AR7)</f>
        <v>2.809038737834475</v>
      </c>
      <c r="AY7" s="99"/>
      <c r="AZ7" s="94">
        <f t="shared" si="15"/>
        <v>145235.28041605782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497</v>
      </c>
      <c r="F8" s="93"/>
      <c r="G8" s="93"/>
      <c r="H8" s="272">
        <v>497</v>
      </c>
      <c r="I8" s="93"/>
      <c r="J8" s="93"/>
      <c r="K8" s="92">
        <v>169.89</v>
      </c>
      <c r="L8" s="92">
        <f>E8*K8</f>
        <v>84435.329999999987</v>
      </c>
      <c r="M8" s="89"/>
      <c r="N8" s="89">
        <v>8</v>
      </c>
      <c r="O8" s="89">
        <v>1800</v>
      </c>
      <c r="P8" s="89">
        <v>50</v>
      </c>
      <c r="Q8" s="233">
        <f t="shared" si="16"/>
        <v>2.6666666666666665</v>
      </c>
      <c r="R8" s="92">
        <f t="shared" si="17"/>
        <v>0.66666666666666663</v>
      </c>
      <c r="S8" s="93">
        <v>4</v>
      </c>
      <c r="T8" s="93">
        <v>-2</v>
      </c>
      <c r="U8" s="92">
        <f t="shared" si="18"/>
        <v>2</v>
      </c>
      <c r="V8" s="93">
        <v>6147</v>
      </c>
      <c r="W8" s="93">
        <v>-3180</v>
      </c>
      <c r="X8" s="92">
        <f t="shared" si="19"/>
        <v>2967</v>
      </c>
      <c r="Y8" s="93">
        <v>7200</v>
      </c>
      <c r="Z8" s="93">
        <v>-3600</v>
      </c>
      <c r="AA8" s="92">
        <f t="shared" si="20"/>
        <v>3600</v>
      </c>
      <c r="AB8" s="92">
        <f t="shared" si="21"/>
        <v>7200</v>
      </c>
      <c r="AC8" s="234">
        <f t="shared" si="22"/>
        <v>2.7389220683091728E-2</v>
      </c>
      <c r="AD8" s="92">
        <f t="shared" si="23"/>
        <v>339.78</v>
      </c>
      <c r="AE8" s="93">
        <v>1325.38</v>
      </c>
      <c r="AF8" s="234">
        <f t="shared" si="24"/>
        <v>0.36816111111111116</v>
      </c>
      <c r="AG8" s="93">
        <v>632.66999999999996</v>
      </c>
      <c r="AH8" s="93"/>
      <c r="AI8" s="93"/>
      <c r="AJ8" s="93"/>
      <c r="AK8" s="93"/>
      <c r="AL8" s="122">
        <f t="shared" si="25"/>
        <v>143.01435028248585</v>
      </c>
      <c r="AM8" s="93">
        <v>0</v>
      </c>
      <c r="AN8" s="325">
        <f t="shared" si="8"/>
        <v>314.35442861443028</v>
      </c>
      <c r="AO8" s="95">
        <f t="shared" si="26"/>
        <v>844.801221103084</v>
      </c>
      <c r="AP8" s="96"/>
      <c r="AQ8" s="97">
        <f t="shared" si="9"/>
        <v>1800</v>
      </c>
      <c r="AR8" s="98">
        <f t="shared" si="10"/>
        <v>169.89</v>
      </c>
      <c r="AS8" s="98">
        <f t="shared" si="11"/>
        <v>662.69</v>
      </c>
      <c r="AT8" s="98">
        <f t="shared" si="12"/>
        <v>158.16749999999999</v>
      </c>
      <c r="AU8" s="98">
        <f t="shared" si="27"/>
        <v>0</v>
      </c>
      <c r="AV8" s="98">
        <f t="array" ref="AV8">_xlfn.IFS(U8=0,AO8,U8&lt;0,AO8/-U8,U8&gt;0,AO8/U8)</f>
        <v>422.400610551542</v>
      </c>
      <c r="AW8" s="234">
        <f>IF(AQ8=0,0,AV8/AQ8)</f>
        <v>0.23466700586196779</v>
      </c>
      <c r="AX8" s="234">
        <f>IF(AR8=0,0,AV8/AR8)</f>
        <v>2.4863182680060159</v>
      </c>
      <c r="AY8" s="99"/>
      <c r="AZ8" s="94">
        <f t="shared" si="15"/>
        <v>209933.10344411636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411</v>
      </c>
      <c r="F9" s="93"/>
      <c r="G9" s="93"/>
      <c r="H9" s="272">
        <v>411</v>
      </c>
      <c r="I9" s="93"/>
      <c r="J9" s="93"/>
      <c r="K9" s="92">
        <v>123.09</v>
      </c>
      <c r="L9" s="92">
        <f>E9*K9</f>
        <v>50589.99</v>
      </c>
      <c r="M9" s="89"/>
      <c r="N9" s="89">
        <v>15</v>
      </c>
      <c r="O9" s="89">
        <v>1365</v>
      </c>
      <c r="P9" s="89">
        <v>60</v>
      </c>
      <c r="Q9" s="233">
        <f t="shared" si="16"/>
        <v>5</v>
      </c>
      <c r="R9" s="92">
        <f t="shared" si="17"/>
        <v>3.6666666666666665</v>
      </c>
      <c r="S9" s="93">
        <v>11</v>
      </c>
      <c r="T9" s="93">
        <v>0</v>
      </c>
      <c r="U9" s="92">
        <f t="shared" si="18"/>
        <v>11</v>
      </c>
      <c r="V9" s="93">
        <v>12843</v>
      </c>
      <c r="W9" s="93">
        <v>0</v>
      </c>
      <c r="X9" s="92">
        <f t="shared" si="19"/>
        <v>12843</v>
      </c>
      <c r="Y9" s="93">
        <v>15015</v>
      </c>
      <c r="Z9" s="93">
        <v>0</v>
      </c>
      <c r="AA9" s="92">
        <f t="shared" si="20"/>
        <v>15015</v>
      </c>
      <c r="AB9" s="92">
        <f t="shared" si="21"/>
        <v>12285</v>
      </c>
      <c r="AC9" s="234">
        <f t="shared" si="22"/>
        <v>0.11423587459906175</v>
      </c>
      <c r="AD9" s="92">
        <f t="shared" si="23"/>
        <v>1353.99</v>
      </c>
      <c r="AE9" s="93">
        <v>5519.98</v>
      </c>
      <c r="AF9" s="234">
        <f t="shared" si="24"/>
        <v>0.36763103563103561</v>
      </c>
      <c r="AG9" s="93">
        <v>1089.07</v>
      </c>
      <c r="AH9" s="93"/>
      <c r="AI9" s="93"/>
      <c r="AJ9" s="93"/>
      <c r="AK9" s="93"/>
      <c r="AL9" s="122">
        <f t="shared" si="25"/>
        <v>118.26740033420863</v>
      </c>
      <c r="AM9" s="93">
        <v>0</v>
      </c>
      <c r="AN9" s="325">
        <f t="shared" si="8"/>
        <v>655.55996467300974</v>
      </c>
      <c r="AO9" s="95">
        <f t="shared" si="26"/>
        <v>6278.1326349927822</v>
      </c>
      <c r="AP9" s="96"/>
      <c r="AQ9" s="97">
        <f t="shared" si="9"/>
        <v>1365</v>
      </c>
      <c r="AR9" s="98">
        <f t="shared" si="10"/>
        <v>123.09</v>
      </c>
      <c r="AS9" s="98">
        <f t="shared" si="11"/>
        <v>501.81636363636358</v>
      </c>
      <c r="AT9" s="98">
        <f t="shared" si="12"/>
        <v>99.006363636363631</v>
      </c>
      <c r="AU9" s="98">
        <f t="shared" si="27"/>
        <v>0</v>
      </c>
      <c r="AV9" s="98">
        <f t="array" ref="AV9">_xlfn.IFS(U9=0,AO9,U9&lt;0,AO9/-U9,U9&gt;0,AO9/U9)</f>
        <v>570.73933045388924</v>
      </c>
      <c r="AW9" s="234">
        <f>IF(AQ9=0,0,AV9/AQ9)</f>
        <v>0.41812405161457089</v>
      </c>
      <c r="AX9" s="234">
        <f>IF(AR9=0,0,AV9/AR9)</f>
        <v>4.6367644037199547</v>
      </c>
      <c r="AY9" s="99"/>
      <c r="AZ9" s="94">
        <f t="shared" si="15"/>
        <v>234573.86481654848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481</v>
      </c>
      <c r="F10" s="93"/>
      <c r="G10" s="93"/>
      <c r="H10" s="272">
        <v>481</v>
      </c>
      <c r="I10" s="93"/>
      <c r="J10" s="93"/>
      <c r="K10" s="92">
        <v>123.09</v>
      </c>
      <c r="L10" s="92">
        <f>E10*K10</f>
        <v>59206.29</v>
      </c>
      <c r="M10" s="89"/>
      <c r="N10" s="89">
        <v>0</v>
      </c>
      <c r="O10" s="89">
        <v>0</v>
      </c>
      <c r="P10" s="89">
        <v>0</v>
      </c>
      <c r="Q10" s="233">
        <f t="shared" si="16"/>
        <v>0</v>
      </c>
      <c r="R10" s="92">
        <f t="shared" si="17"/>
        <v>0.33333333333333331</v>
      </c>
      <c r="S10" s="93">
        <v>1</v>
      </c>
      <c r="T10" s="93">
        <v>0</v>
      </c>
      <c r="U10" s="92">
        <f t="shared" si="18"/>
        <v>1</v>
      </c>
      <c r="V10" s="93">
        <v>1152.78</v>
      </c>
      <c r="W10" s="93">
        <v>0</v>
      </c>
      <c r="X10" s="92">
        <f t="shared" si="19"/>
        <v>1152.78</v>
      </c>
      <c r="Y10" s="93">
        <v>1339.96</v>
      </c>
      <c r="Z10" s="93">
        <v>0</v>
      </c>
      <c r="AA10" s="92">
        <f t="shared" si="20"/>
        <v>1339.96</v>
      </c>
      <c r="AB10" s="92">
        <f t="shared" si="21"/>
        <v>0</v>
      </c>
      <c r="AC10" s="234">
        <f t="shared" si="22"/>
        <v>1.0194572262920998E-2</v>
      </c>
      <c r="AD10" s="92">
        <f t="shared" si="23"/>
        <v>123.09</v>
      </c>
      <c r="AE10" s="93">
        <v>498.63</v>
      </c>
      <c r="AF10" s="234">
        <f t="shared" si="24"/>
        <v>0.37212304844920741</v>
      </c>
      <c r="AG10" s="93">
        <v>176.94</v>
      </c>
      <c r="AH10" s="93"/>
      <c r="AI10" s="93"/>
      <c r="AJ10" s="93"/>
      <c r="AK10" s="93"/>
      <c r="AL10" s="122">
        <f t="shared" si="25"/>
        <v>138.41026657117848</v>
      </c>
      <c r="AM10" s="93">
        <v>0</v>
      </c>
      <c r="AN10" s="325">
        <f t="shared" si="8"/>
        <v>58.503105578637772</v>
      </c>
      <c r="AO10" s="95">
        <f t="shared" si="26"/>
        <v>344.38662785018397</v>
      </c>
      <c r="AP10" s="96"/>
      <c r="AQ10" s="97">
        <f t="shared" si="9"/>
        <v>1339.96</v>
      </c>
      <c r="AR10" s="98">
        <f t="shared" si="10"/>
        <v>123.09</v>
      </c>
      <c r="AS10" s="98">
        <f t="shared" si="11"/>
        <v>498.63</v>
      </c>
      <c r="AT10" s="98">
        <f t="shared" si="12"/>
        <v>176.94</v>
      </c>
      <c r="AU10" s="98">
        <f t="shared" si="27"/>
        <v>0</v>
      </c>
      <c r="AV10" s="98">
        <f t="array" ref="AV10">_xlfn.IFS(U10=0,AO10,U10&lt;0,AO10/-U10,U10&gt;0,AO10/U10)</f>
        <v>344.38662785018397</v>
      </c>
      <c r="AW10" s="234">
        <f>IF(AQ10=0,0,AV10/AQ10)</f>
        <v>0.25701261817530668</v>
      </c>
      <c r="AX10" s="234">
        <f>IF(AR10=0,0,AV10/AR10)</f>
        <v>2.7978440803492077</v>
      </c>
      <c r="AY10" s="99"/>
      <c r="AZ10" s="94">
        <f t="shared" si="15"/>
        <v>165649.9679959385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2">SUM(F11:J11)</f>
        <v>504</v>
      </c>
      <c r="F11" s="93"/>
      <c r="G11" s="93"/>
      <c r="H11" s="272">
        <v>504</v>
      </c>
      <c r="I11" s="93"/>
      <c r="J11" s="93"/>
      <c r="K11" s="92">
        <v>123.09</v>
      </c>
      <c r="L11" s="92">
        <f t="shared" ref="L11" si="33">E11*K11</f>
        <v>62037.36</v>
      </c>
      <c r="M11" s="89"/>
      <c r="N11" s="89">
        <v>2</v>
      </c>
      <c r="O11" s="89">
        <v>1197</v>
      </c>
      <c r="P11" s="89">
        <v>0</v>
      </c>
      <c r="Q11" s="233">
        <f t="shared" si="16"/>
        <v>0.66666666666666663</v>
      </c>
      <c r="R11" s="92">
        <f t="shared" si="17"/>
        <v>1.3333333333333333</v>
      </c>
      <c r="S11" s="93">
        <v>5</v>
      </c>
      <c r="T11" s="93">
        <v>-1</v>
      </c>
      <c r="U11" s="92">
        <f t="shared" si="18"/>
        <v>4</v>
      </c>
      <c r="V11" s="93">
        <v>5246</v>
      </c>
      <c r="W11" s="93">
        <v>-992</v>
      </c>
      <c r="X11" s="92">
        <f t="shared" si="19"/>
        <v>4254</v>
      </c>
      <c r="Y11" s="93">
        <v>5985</v>
      </c>
      <c r="Z11" s="93">
        <v>-1197</v>
      </c>
      <c r="AA11" s="92">
        <f t="shared" si="20"/>
        <v>4788</v>
      </c>
      <c r="AB11" s="92">
        <f t="shared" si="21"/>
        <v>0</v>
      </c>
      <c r="AC11" s="234">
        <f t="shared" si="22"/>
        <v>3.6427663508511995E-2</v>
      </c>
      <c r="AD11" s="92">
        <f t="shared" si="23"/>
        <v>492.36</v>
      </c>
      <c r="AE11" s="93">
        <v>1752.54</v>
      </c>
      <c r="AF11" s="234">
        <f t="shared" si="24"/>
        <v>0.36602756892230576</v>
      </c>
      <c r="AG11" s="93">
        <v>874.61999999999989</v>
      </c>
      <c r="AH11" s="93"/>
      <c r="AI11" s="93"/>
      <c r="AJ11" s="93"/>
      <c r="AK11" s="93"/>
      <c r="AL11" s="122">
        <f t="shared" si="25"/>
        <v>145.02863690618284</v>
      </c>
      <c r="AM11" s="93">
        <v>0</v>
      </c>
      <c r="AN11" s="325">
        <f t="shared" si="8"/>
        <v>261.30711878574516</v>
      </c>
      <c r="AO11" s="95">
        <f t="shared" si="26"/>
        <v>1262.1442443080725</v>
      </c>
      <c r="AP11" s="96"/>
      <c r="AQ11" s="97">
        <f t="shared" si="9"/>
        <v>1197</v>
      </c>
      <c r="AR11" s="98">
        <f t="shared" si="10"/>
        <v>123.09</v>
      </c>
      <c r="AS11" s="98">
        <f t="shared" si="11"/>
        <v>438.13499999999999</v>
      </c>
      <c r="AT11" s="98">
        <f t="shared" si="12"/>
        <v>174.92399999999998</v>
      </c>
      <c r="AU11" s="98">
        <f t="shared" si="27"/>
        <v>0</v>
      </c>
      <c r="AV11" s="98">
        <f t="array" ref="AV11">_xlfn.IFS(U11=0,AO11,U11&lt;0,AO11/-U11,U11&gt;0,AO11/U11)</f>
        <v>315.53606107701813</v>
      </c>
      <c r="AW11" s="234">
        <f t="shared" ref="AW11:AW28" si="34">IF(AQ11=0,0,AV11/AQ11)</f>
        <v>0.26360573189391656</v>
      </c>
      <c r="AX11" s="234">
        <f t="shared" ref="AX11:AX28" si="35">IF(AR11=0,0,AV11/AR11)</f>
        <v>2.5634581288245846</v>
      </c>
      <c r="AY11" s="99"/>
      <c r="AZ11" s="94">
        <f t="shared" si="15"/>
        <v>159030.17478281714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2"/>
        <v>559</v>
      </c>
      <c r="F12" s="93"/>
      <c r="G12" s="93"/>
      <c r="H12" s="272">
        <v>559</v>
      </c>
      <c r="I12" s="93"/>
      <c r="J12" s="93"/>
      <c r="K12" s="92">
        <v>117.24</v>
      </c>
      <c r="L12" s="92">
        <f>E12*K12</f>
        <v>65537.16</v>
      </c>
      <c r="M12" s="89"/>
      <c r="N12" s="89">
        <v>5</v>
      </c>
      <c r="O12" s="89">
        <v>1142</v>
      </c>
      <c r="P12" s="89">
        <v>60</v>
      </c>
      <c r="Q12" s="233">
        <f t="shared" si="16"/>
        <v>1.6666666666666667</v>
      </c>
      <c r="R12" s="92">
        <f t="shared" si="17"/>
        <v>1.6666666666666667</v>
      </c>
      <c r="S12" s="93">
        <v>5</v>
      </c>
      <c r="T12" s="93">
        <v>0</v>
      </c>
      <c r="U12" s="92">
        <f t="shared" si="18"/>
        <v>5</v>
      </c>
      <c r="V12" s="93">
        <v>4676</v>
      </c>
      <c r="W12" s="93">
        <v>0</v>
      </c>
      <c r="X12" s="92">
        <f t="shared" si="19"/>
        <v>4676</v>
      </c>
      <c r="Y12" s="93">
        <v>5596.66</v>
      </c>
      <c r="Z12" s="93">
        <v>0</v>
      </c>
      <c r="AA12" s="92">
        <f t="shared" si="20"/>
        <v>5596.66</v>
      </c>
      <c r="AB12" s="92">
        <f t="shared" si="21"/>
        <v>3426</v>
      </c>
      <c r="AC12" s="234">
        <f t="shared" si="22"/>
        <v>4.2580043285620039E-2</v>
      </c>
      <c r="AD12" s="92">
        <f t="shared" si="23"/>
        <v>586.19999999999993</v>
      </c>
      <c r="AE12" s="93">
        <v>2061.6499999999996</v>
      </c>
      <c r="AF12" s="234">
        <f t="shared" si="24"/>
        <v>0.36837149299760924</v>
      </c>
      <c r="AG12" s="93">
        <v>805.39999999999986</v>
      </c>
      <c r="AH12" s="93"/>
      <c r="AI12" s="93"/>
      <c r="AJ12" s="93"/>
      <c r="AK12" s="93"/>
      <c r="AL12" s="122">
        <f t="shared" si="25"/>
        <v>160.85517466380202</v>
      </c>
      <c r="AM12" s="93">
        <v>0</v>
      </c>
      <c r="AN12" s="325">
        <f t="shared" si="8"/>
        <v>244.35206339572738</v>
      </c>
      <c r="AO12" s="95">
        <f t="shared" si="26"/>
        <v>1738.2027619404714</v>
      </c>
      <c r="AP12" s="96"/>
      <c r="AQ12" s="97">
        <f t="shared" si="9"/>
        <v>1119.3319999999999</v>
      </c>
      <c r="AR12" s="98">
        <f t="shared" si="10"/>
        <v>117.24</v>
      </c>
      <c r="AS12" s="98">
        <f t="shared" si="11"/>
        <v>412.32999999999993</v>
      </c>
      <c r="AT12" s="98">
        <f t="shared" si="12"/>
        <v>161.07999999999998</v>
      </c>
      <c r="AU12" s="98">
        <f t="shared" si="27"/>
        <v>0</v>
      </c>
      <c r="AV12" s="98">
        <f t="array" ref="AV12">_xlfn.IFS(U12=0,AO12,U12&lt;0,AO12/-U12,U12&gt;0,AO12/U12)</f>
        <v>347.64055238809431</v>
      </c>
      <c r="AW12" s="234">
        <f t="shared" si="34"/>
        <v>0.31057858829024304</v>
      </c>
      <c r="AX12" s="234">
        <f t="shared" si="35"/>
        <v>2.9652043021843597</v>
      </c>
      <c r="AY12" s="99"/>
      <c r="AZ12" s="94">
        <f t="shared" si="15"/>
        <v>194331.06878494471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2"/>
        <v>639</v>
      </c>
      <c r="F13" s="93"/>
      <c r="G13" s="93"/>
      <c r="H13" s="272">
        <v>639</v>
      </c>
      <c r="I13" s="93"/>
      <c r="J13" s="93"/>
      <c r="K13" s="92">
        <v>123.09</v>
      </c>
      <c r="L13" s="92">
        <f t="shared" ref="L13:L28" si="36">E13*K13</f>
        <v>78654.510000000009</v>
      </c>
      <c r="M13" s="89"/>
      <c r="N13" s="89">
        <v>7</v>
      </c>
      <c r="O13" s="89">
        <v>1386</v>
      </c>
      <c r="P13" s="89">
        <v>100</v>
      </c>
      <c r="Q13" s="233">
        <f t="shared" si="16"/>
        <v>2.3333333333333335</v>
      </c>
      <c r="R13" s="92">
        <f t="shared" si="17"/>
        <v>0.66666666666666663</v>
      </c>
      <c r="S13" s="93">
        <v>2</v>
      </c>
      <c r="T13" s="93">
        <v>0</v>
      </c>
      <c r="U13" s="92">
        <f t="shared" si="18"/>
        <v>2</v>
      </c>
      <c r="V13" s="93">
        <v>2447</v>
      </c>
      <c r="W13" s="93">
        <v>0</v>
      </c>
      <c r="X13" s="92">
        <f t="shared" si="19"/>
        <v>2447</v>
      </c>
      <c r="Y13" s="93">
        <v>2772</v>
      </c>
      <c r="Z13" s="93">
        <v>0</v>
      </c>
      <c r="AA13" s="92">
        <f t="shared" si="20"/>
        <v>2772</v>
      </c>
      <c r="AB13" s="92">
        <f t="shared" si="21"/>
        <v>9702</v>
      </c>
      <c r="AC13" s="234">
        <f t="shared" si="22"/>
        <v>2.1089699925980629E-2</v>
      </c>
      <c r="AD13" s="92">
        <f t="shared" si="23"/>
        <v>246.18</v>
      </c>
      <c r="AE13" s="93">
        <v>1023.6199999999999</v>
      </c>
      <c r="AF13" s="234">
        <f t="shared" si="24"/>
        <v>0.36927128427128425</v>
      </c>
      <c r="AG13" s="93">
        <v>376.03999999999996</v>
      </c>
      <c r="AH13" s="93"/>
      <c r="AI13" s="93"/>
      <c r="AJ13" s="93"/>
      <c r="AK13" s="93"/>
      <c r="AL13" s="122">
        <f t="shared" si="25"/>
        <v>183.875593220339</v>
      </c>
      <c r="AM13" s="93">
        <v>0</v>
      </c>
      <c r="AN13" s="325">
        <f t="shared" si="8"/>
        <v>121.02645501655566</v>
      </c>
      <c r="AO13" s="95">
        <f t="shared" si="26"/>
        <v>821.25795176310567</v>
      </c>
      <c r="AP13" s="96"/>
      <c r="AQ13" s="97">
        <f t="shared" si="9"/>
        <v>1386</v>
      </c>
      <c r="AR13" s="98">
        <f t="shared" si="10"/>
        <v>123.09</v>
      </c>
      <c r="AS13" s="98">
        <f t="shared" si="11"/>
        <v>511.80999999999995</v>
      </c>
      <c r="AT13" s="98">
        <f t="shared" si="12"/>
        <v>188.01999999999998</v>
      </c>
      <c r="AU13" s="98">
        <f t="shared" si="27"/>
        <v>0</v>
      </c>
      <c r="AV13" s="98">
        <f t="array" ref="AV13">_xlfn.IFS(U13=0,AO13,U13&lt;0,AO13/-U13,U13&gt;0,AO13/U13)</f>
        <v>410.62897588155283</v>
      </c>
      <c r="AW13" s="234">
        <f t="shared" si="34"/>
        <v>0.29626910236764276</v>
      </c>
      <c r="AX13" s="234">
        <f t="shared" si="35"/>
        <v>3.3360059784024112</v>
      </c>
      <c r="AY13" s="99"/>
      <c r="AZ13" s="94">
        <f t="shared" si="15"/>
        <v>262391.91558831226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2"/>
        <v>517</v>
      </c>
      <c r="F14" s="93"/>
      <c r="G14" s="93"/>
      <c r="H14" s="272">
        <v>517</v>
      </c>
      <c r="I14" s="93"/>
      <c r="J14" s="93"/>
      <c r="K14" s="92">
        <v>123.09</v>
      </c>
      <c r="L14" s="92">
        <f t="shared" si="36"/>
        <v>63637.53</v>
      </c>
      <c r="M14" s="89"/>
      <c r="N14" s="89">
        <v>1</v>
      </c>
      <c r="O14" s="89">
        <v>1309</v>
      </c>
      <c r="P14" s="89">
        <v>0</v>
      </c>
      <c r="Q14" s="233">
        <f t="shared" si="16"/>
        <v>0.33333333333333331</v>
      </c>
      <c r="R14" s="92">
        <f t="shared" si="17"/>
        <v>0.66666666666666663</v>
      </c>
      <c r="S14" s="93">
        <v>2</v>
      </c>
      <c r="T14" s="93">
        <v>0</v>
      </c>
      <c r="U14" s="92">
        <f t="shared" si="18"/>
        <v>2</v>
      </c>
      <c r="V14" s="93">
        <v>2249</v>
      </c>
      <c r="W14" s="93">
        <v>0</v>
      </c>
      <c r="X14" s="92">
        <f t="shared" si="19"/>
        <v>2249</v>
      </c>
      <c r="Y14" s="93">
        <v>2618</v>
      </c>
      <c r="Z14" s="93">
        <v>0</v>
      </c>
      <c r="AA14" s="92">
        <f t="shared" si="20"/>
        <v>2618</v>
      </c>
      <c r="AB14" s="92">
        <f t="shared" si="21"/>
        <v>0</v>
      </c>
      <c r="AC14" s="234">
        <f t="shared" si="22"/>
        <v>1.9918049930092819E-2</v>
      </c>
      <c r="AD14" s="92">
        <f t="shared" si="23"/>
        <v>246.18</v>
      </c>
      <c r="AE14" s="93">
        <v>965.57000000000016</v>
      </c>
      <c r="AF14" s="234">
        <f t="shared" si="24"/>
        <v>0.36881970970206268</v>
      </c>
      <c r="AG14" s="93">
        <v>215.76</v>
      </c>
      <c r="AH14" s="93"/>
      <c r="AI14" s="93"/>
      <c r="AJ14" s="93"/>
      <c r="AK14" s="93"/>
      <c r="AL14" s="122">
        <f t="shared" si="25"/>
        <v>148.76945492162011</v>
      </c>
      <c r="AM14" s="93">
        <v>0</v>
      </c>
      <c r="AN14" s="325">
        <f t="shared" si="8"/>
        <v>114.30276307119145</v>
      </c>
      <c r="AO14" s="95">
        <f t="shared" si="26"/>
        <v>927.41778200718852</v>
      </c>
      <c r="AP14" s="96"/>
      <c r="AQ14" s="97">
        <f t="shared" si="9"/>
        <v>1309</v>
      </c>
      <c r="AR14" s="98">
        <f t="shared" si="10"/>
        <v>123.09</v>
      </c>
      <c r="AS14" s="98">
        <f t="shared" si="11"/>
        <v>482.78500000000008</v>
      </c>
      <c r="AT14" s="98">
        <f t="shared" si="12"/>
        <v>107.88</v>
      </c>
      <c r="AU14" s="98">
        <f t="shared" si="27"/>
        <v>0</v>
      </c>
      <c r="AV14" s="98">
        <f t="array" ref="AV14">_xlfn.IFS(U14=0,AO14,U14&lt;0,AO14/-U14,U14&gt;0,AO14/U14)</f>
        <v>463.70889100359426</v>
      </c>
      <c r="AW14" s="234">
        <f t="shared" si="34"/>
        <v>0.35424666997982757</v>
      </c>
      <c r="AX14" s="234">
        <f t="shared" si="35"/>
        <v>3.7672344707416872</v>
      </c>
      <c r="AY14" s="99"/>
      <c r="AZ14" s="94">
        <f t="shared" si="15"/>
        <v>239737.49664885824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2"/>
        <v>616</v>
      </c>
      <c r="F15" s="93"/>
      <c r="G15" s="93"/>
      <c r="H15" s="272">
        <v>616</v>
      </c>
      <c r="I15" s="93"/>
      <c r="J15" s="93"/>
      <c r="K15" s="92">
        <v>123.09</v>
      </c>
      <c r="L15" s="92">
        <f t="shared" si="36"/>
        <v>75823.44</v>
      </c>
      <c r="M15" s="89"/>
      <c r="N15" s="89">
        <v>0</v>
      </c>
      <c r="O15" s="89">
        <v>0</v>
      </c>
      <c r="P15" s="89">
        <v>0</v>
      </c>
      <c r="Q15" s="233">
        <f t="shared" si="16"/>
        <v>0</v>
      </c>
      <c r="R15" s="92">
        <f t="shared" si="17"/>
        <v>-0.33333333333333331</v>
      </c>
      <c r="S15" s="93">
        <v>0</v>
      </c>
      <c r="T15" s="93">
        <v>-1</v>
      </c>
      <c r="U15" s="92">
        <f t="shared" si="18"/>
        <v>-1</v>
      </c>
      <c r="V15" s="93">
        <v>0</v>
      </c>
      <c r="W15" s="93">
        <v>-1161</v>
      </c>
      <c r="X15" s="92">
        <f t="shared" si="19"/>
        <v>-1161</v>
      </c>
      <c r="Y15" s="93">
        <v>0</v>
      </c>
      <c r="Z15" s="93">
        <v>-1533</v>
      </c>
      <c r="AA15" s="92">
        <f t="shared" si="20"/>
        <v>-1533</v>
      </c>
      <c r="AB15" s="92">
        <f t="shared" si="21"/>
        <v>0</v>
      </c>
      <c r="AC15" s="234">
        <f t="shared" si="22"/>
        <v>-1.1663243140883227E-2</v>
      </c>
      <c r="AD15" s="92">
        <f t="shared" si="23"/>
        <v>-123.09</v>
      </c>
      <c r="AE15" s="93">
        <v>-562.42999999999995</v>
      </c>
      <c r="AF15" s="234">
        <f t="shared" si="24"/>
        <v>0.36688193085453358</v>
      </c>
      <c r="AG15" s="93">
        <v>245.58</v>
      </c>
      <c r="AH15" s="93"/>
      <c r="AI15" s="93"/>
      <c r="AJ15" s="93"/>
      <c r="AK15" s="93"/>
      <c r="AL15" s="122">
        <f t="shared" si="25"/>
        <v>177.25722288533461</v>
      </c>
      <c r="AM15" s="93">
        <v>0</v>
      </c>
      <c r="AN15" s="325">
        <f t="shared" si="8"/>
        <v>0</v>
      </c>
      <c r="AO15" s="95">
        <f t="shared" si="26"/>
        <v>-1270.3172228853348</v>
      </c>
      <c r="AP15" s="96"/>
      <c r="AQ15" s="97">
        <f t="shared" si="9"/>
        <v>1533</v>
      </c>
      <c r="AR15" s="98">
        <f t="shared" si="10"/>
        <v>123.09</v>
      </c>
      <c r="AS15" s="98">
        <f t="shared" si="11"/>
        <v>562.42999999999995</v>
      </c>
      <c r="AT15" s="98">
        <f t="shared" si="12"/>
        <v>245.58</v>
      </c>
      <c r="AU15" s="98">
        <f t="shared" si="27"/>
        <v>0</v>
      </c>
      <c r="AV15" s="98">
        <f t="array" ref="AV15">_xlfn.IFS(U15=0,AO15,U15&lt;0,AO15/-U15,U15&gt;0,AO15/U15)</f>
        <v>-1270.3172228853348</v>
      </c>
      <c r="AW15" s="234">
        <f t="shared" si="34"/>
        <v>-0.82864789490237101</v>
      </c>
      <c r="AX15" s="234">
        <f t="shared" si="35"/>
        <v>-10.320230911409007</v>
      </c>
      <c r="AY15" s="99"/>
      <c r="AZ15" s="94">
        <f t="shared" si="15"/>
        <v>-782515.40929736628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2"/>
        <v>308</v>
      </c>
      <c r="F16" s="93"/>
      <c r="G16" s="93"/>
      <c r="H16" s="272">
        <v>308</v>
      </c>
      <c r="I16" s="93"/>
      <c r="J16" s="93"/>
      <c r="K16" s="92">
        <v>117.24</v>
      </c>
      <c r="L16" s="92">
        <f t="shared" si="36"/>
        <v>36109.919999999998</v>
      </c>
      <c r="M16" s="89"/>
      <c r="N16" s="89">
        <v>2</v>
      </c>
      <c r="O16" s="89">
        <v>1278</v>
      </c>
      <c r="P16" s="89">
        <v>50</v>
      </c>
      <c r="Q16" s="233">
        <f t="shared" si="16"/>
        <v>0.66666666666666663</v>
      </c>
      <c r="R16" s="92">
        <f t="shared" si="17"/>
        <v>1.3333333333333333</v>
      </c>
      <c r="S16" s="93">
        <v>4</v>
      </c>
      <c r="T16" s="93">
        <v>0</v>
      </c>
      <c r="U16" s="92">
        <f t="shared" si="18"/>
        <v>4</v>
      </c>
      <c r="V16" s="93">
        <v>4322.38</v>
      </c>
      <c r="W16" s="93">
        <v>0</v>
      </c>
      <c r="X16" s="92">
        <f t="shared" si="19"/>
        <v>4322.38</v>
      </c>
      <c r="Y16" s="93">
        <v>5112.1099999999997</v>
      </c>
      <c r="Z16" s="93">
        <v>0</v>
      </c>
      <c r="AA16" s="92">
        <f t="shared" si="20"/>
        <v>5112.1099999999997</v>
      </c>
      <c r="AB16" s="92">
        <f t="shared" si="21"/>
        <v>1278</v>
      </c>
      <c r="AC16" s="234">
        <f t="shared" si="22"/>
        <v>3.8893530262844457E-2</v>
      </c>
      <c r="AD16" s="92">
        <f t="shared" si="23"/>
        <v>468.96</v>
      </c>
      <c r="AE16" s="93">
        <v>1881.9199999999996</v>
      </c>
      <c r="AF16" s="234">
        <f t="shared" si="24"/>
        <v>0.36812979376421862</v>
      </c>
      <c r="AG16" s="93">
        <v>668.2700000000001</v>
      </c>
      <c r="AH16" s="93"/>
      <c r="AI16" s="93"/>
      <c r="AJ16" s="93"/>
      <c r="AK16" s="93"/>
      <c r="AL16" s="122">
        <f t="shared" si="25"/>
        <v>88.628611442667307</v>
      </c>
      <c r="AM16" s="93">
        <v>0</v>
      </c>
      <c r="AN16" s="325">
        <f t="shared" si="8"/>
        <v>223.19644695334929</v>
      </c>
      <c r="AO16" s="95">
        <f t="shared" si="26"/>
        <v>1781.1349416039834</v>
      </c>
      <c r="AP16" s="96"/>
      <c r="AQ16" s="97">
        <f t="shared" si="9"/>
        <v>1278.0274999999999</v>
      </c>
      <c r="AR16" s="98">
        <f t="shared" si="10"/>
        <v>117.24</v>
      </c>
      <c r="AS16" s="98">
        <f t="shared" si="11"/>
        <v>470.4799999999999</v>
      </c>
      <c r="AT16" s="98">
        <f t="shared" si="12"/>
        <v>167.06750000000002</v>
      </c>
      <c r="AU16" s="98">
        <f t="shared" si="27"/>
        <v>0</v>
      </c>
      <c r="AV16" s="98">
        <f t="array" ref="AV16">_xlfn.IFS(U16=0,AO16,U16&lt;0,AO16/-U16,U16&gt;0,AO16/U16)</f>
        <v>445.28373540099585</v>
      </c>
      <c r="AW16" s="234">
        <f t="shared" si="34"/>
        <v>0.34841483098055082</v>
      </c>
      <c r="AX16" s="234">
        <f t="shared" si="35"/>
        <v>3.7980530143380746</v>
      </c>
      <c r="AY16" s="99"/>
      <c r="AZ16" s="94">
        <f t="shared" si="15"/>
        <v>137147.39050350673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2"/>
        <v>95</v>
      </c>
      <c r="F17" s="93"/>
      <c r="G17" s="93"/>
      <c r="H17" s="272">
        <v>95</v>
      </c>
      <c r="I17" s="93"/>
      <c r="J17" s="93"/>
      <c r="K17" s="93">
        <v>123.09</v>
      </c>
      <c r="L17" s="92">
        <f t="shared" si="36"/>
        <v>11693.550000000001</v>
      </c>
      <c r="M17" s="89"/>
      <c r="N17" s="89">
        <v>4</v>
      </c>
      <c r="O17" s="89">
        <v>1196</v>
      </c>
      <c r="P17" s="89">
        <v>50</v>
      </c>
      <c r="Q17" s="233">
        <f t="shared" si="16"/>
        <v>1.3333333333333333</v>
      </c>
      <c r="R17" s="92">
        <f t="shared" si="17"/>
        <v>2</v>
      </c>
      <c r="S17" s="93">
        <v>6</v>
      </c>
      <c r="T17" s="93">
        <v>0</v>
      </c>
      <c r="U17" s="92">
        <f t="shared" si="18"/>
        <v>6</v>
      </c>
      <c r="V17" s="93">
        <v>6242</v>
      </c>
      <c r="W17" s="93">
        <v>0</v>
      </c>
      <c r="X17" s="92">
        <f t="shared" si="19"/>
        <v>6242</v>
      </c>
      <c r="Y17" s="93">
        <v>7176</v>
      </c>
      <c r="Z17" s="93">
        <v>0</v>
      </c>
      <c r="AA17" s="92">
        <f t="shared" si="20"/>
        <v>7176</v>
      </c>
      <c r="AB17" s="92">
        <f t="shared" si="21"/>
        <v>2392</v>
      </c>
      <c r="AC17" s="234">
        <f t="shared" si="22"/>
        <v>5.459584656162951E-2</v>
      </c>
      <c r="AD17" s="92">
        <f t="shared" si="23"/>
        <v>738.54</v>
      </c>
      <c r="AE17" s="93">
        <v>2618.2299999999996</v>
      </c>
      <c r="AF17" s="234">
        <f t="shared" si="24"/>
        <v>0.36485925306577477</v>
      </c>
      <c r="AG17" s="93">
        <v>710.2700000000001</v>
      </c>
      <c r="AH17" s="93"/>
      <c r="AI17" s="93"/>
      <c r="AJ17" s="93"/>
      <c r="AK17" s="93"/>
      <c r="AL17" s="122">
        <f t="shared" si="25"/>
        <v>27.33674703588764</v>
      </c>
      <c r="AM17" s="93">
        <v>0</v>
      </c>
      <c r="AN17" s="325">
        <f t="shared" si="8"/>
        <v>313.30658051904885</v>
      </c>
      <c r="AO17" s="95">
        <f t="shared" si="26"/>
        <v>2768.3166724450639</v>
      </c>
      <c r="AP17" s="96"/>
      <c r="AQ17" s="97">
        <f t="shared" si="9"/>
        <v>1196</v>
      </c>
      <c r="AR17" s="98">
        <f t="shared" si="10"/>
        <v>123.09</v>
      </c>
      <c r="AS17" s="98">
        <f t="shared" si="11"/>
        <v>436.37166666666661</v>
      </c>
      <c r="AT17" s="98">
        <f t="shared" si="12"/>
        <v>118.37833333333334</v>
      </c>
      <c r="AU17" s="98">
        <f t="shared" si="27"/>
        <v>0</v>
      </c>
      <c r="AV17" s="98">
        <f t="array" ref="AV17">_xlfn.IFS(U17=0,AO17,U17&lt;0,AO17/-U17,U17&gt;0,AO17/U17)</f>
        <v>461.38611207417733</v>
      </c>
      <c r="AW17" s="234">
        <f t="shared" si="34"/>
        <v>0.38577434119914494</v>
      </c>
      <c r="AX17" s="234">
        <f t="shared" si="35"/>
        <v>3.748363896938641</v>
      </c>
      <c r="AY17" s="99"/>
      <c r="AZ17" s="94">
        <f t="shared" si="15"/>
        <v>43831.680647046844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2"/>
        <v>365</v>
      </c>
      <c r="F18" s="93"/>
      <c r="G18" s="93"/>
      <c r="H18" s="272">
        <v>365</v>
      </c>
      <c r="I18" s="93"/>
      <c r="J18" s="93"/>
      <c r="K18" s="93">
        <v>123.09</v>
      </c>
      <c r="L18" s="92">
        <f t="shared" si="36"/>
        <v>44927.85</v>
      </c>
      <c r="M18" s="89"/>
      <c r="N18" s="89">
        <v>3</v>
      </c>
      <c r="O18" s="89">
        <v>1196</v>
      </c>
      <c r="P18" s="89">
        <v>67</v>
      </c>
      <c r="Q18" s="233">
        <f t="shared" si="16"/>
        <v>1</v>
      </c>
      <c r="R18" s="92">
        <f t="shared" si="17"/>
        <v>1.6666666666666667</v>
      </c>
      <c r="S18" s="93">
        <v>6</v>
      </c>
      <c r="T18" s="93">
        <v>-1</v>
      </c>
      <c r="U18" s="92">
        <f t="shared" si="18"/>
        <v>5</v>
      </c>
      <c r="V18" s="93">
        <v>6234.4</v>
      </c>
      <c r="W18" s="93">
        <v>-1076</v>
      </c>
      <c r="X18" s="92">
        <f t="shared" si="19"/>
        <v>5158.3999999999996</v>
      </c>
      <c r="Y18" s="93">
        <v>7140.84</v>
      </c>
      <c r="Z18" s="93">
        <v>-1196</v>
      </c>
      <c r="AA18" s="92">
        <f t="shared" si="20"/>
        <v>5944.84</v>
      </c>
      <c r="AB18" s="92">
        <f t="shared" si="21"/>
        <v>2403.96</v>
      </c>
      <c r="AC18" s="234">
        <f t="shared" si="22"/>
        <v>4.5229037412686399E-2</v>
      </c>
      <c r="AD18" s="92">
        <f t="shared" si="23"/>
        <v>615.45000000000005</v>
      </c>
      <c r="AE18" s="93">
        <v>2160.6900000000005</v>
      </c>
      <c r="AF18" s="234">
        <f t="shared" si="24"/>
        <v>0.36345637561313687</v>
      </c>
      <c r="AG18" s="93">
        <v>635.92000000000007</v>
      </c>
      <c r="AH18" s="93"/>
      <c r="AI18" s="93"/>
      <c r="AJ18" s="93"/>
      <c r="AK18" s="93"/>
      <c r="AL18" s="122">
        <f t="shared" si="25"/>
        <v>105.03065966419987</v>
      </c>
      <c r="AM18" s="93">
        <v>0</v>
      </c>
      <c r="AN18" s="325">
        <f t="shared" si="8"/>
        <v>311.77148305931507</v>
      </c>
      <c r="AO18" s="95">
        <f t="shared" si="26"/>
        <v>2115.9778572764849</v>
      </c>
      <c r="AP18" s="96"/>
      <c r="AQ18" s="97">
        <f t="shared" si="9"/>
        <v>1188.9680000000001</v>
      </c>
      <c r="AR18" s="98">
        <f t="shared" si="10"/>
        <v>123.09</v>
      </c>
      <c r="AS18" s="98">
        <f t="shared" si="11"/>
        <v>432.13800000000009</v>
      </c>
      <c r="AT18" s="98">
        <f t="shared" si="12"/>
        <v>105.98666666666668</v>
      </c>
      <c r="AU18" s="98">
        <f t="shared" si="27"/>
        <v>0</v>
      </c>
      <c r="AV18" s="98">
        <f t="array" ref="AV18">_xlfn.IFS(U18=0,AO18,U18&lt;0,AO18/-U18,U18&gt;0,AO18/U18)</f>
        <v>423.195571455297</v>
      </c>
      <c r="AW18" s="234">
        <f t="shared" si="34"/>
        <v>0.3559352072177695</v>
      </c>
      <c r="AX18" s="234">
        <f t="shared" si="35"/>
        <v>3.4380987200852791</v>
      </c>
      <c r="AY18" s="99"/>
      <c r="AZ18" s="94">
        <f t="shared" si="15"/>
        <v>154466.38358118341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2"/>
        <v>0</v>
      </c>
      <c r="F19" s="93"/>
      <c r="G19" s="93"/>
      <c r="H19" s="272">
        <v>0</v>
      </c>
      <c r="I19" s="93"/>
      <c r="J19" s="93"/>
      <c r="K19" s="93">
        <v>123.09</v>
      </c>
      <c r="L19" s="92">
        <f t="shared" si="36"/>
        <v>0</v>
      </c>
      <c r="M19" s="89"/>
      <c r="N19" s="89"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v>0</v>
      </c>
      <c r="T19" s="93">
        <v>0</v>
      </c>
      <c r="U19" s="92">
        <f t="shared" si="18"/>
        <v>0</v>
      </c>
      <c r="V19" s="93">
        <v>0</v>
      </c>
      <c r="W19" s="93">
        <v>0</v>
      </c>
      <c r="X19" s="92">
        <f t="shared" si="19"/>
        <v>0</v>
      </c>
      <c r="Y19" s="93">
        <v>0</v>
      </c>
      <c r="Z19" s="93">
        <v>0</v>
      </c>
      <c r="AA19" s="92">
        <f t="shared" si="20"/>
        <v>0</v>
      </c>
      <c r="AB19" s="92">
        <f t="shared" si="21"/>
        <v>0</v>
      </c>
      <c r="AC19" s="234">
        <f t="shared" si="22"/>
        <v>0</v>
      </c>
      <c r="AD19" s="92">
        <f t="shared" si="23"/>
        <v>0</v>
      </c>
      <c r="AE19" s="93">
        <v>0</v>
      </c>
      <c r="AF19" s="234">
        <f t="shared" si="24"/>
        <v>0</v>
      </c>
      <c r="AG19" s="93">
        <v>0</v>
      </c>
      <c r="AH19" s="93"/>
      <c r="AI19" s="93"/>
      <c r="AJ19" s="93"/>
      <c r="AK19" s="93"/>
      <c r="AL19" s="122">
        <f t="shared" si="25"/>
        <v>0</v>
      </c>
      <c r="AM19" s="93">
        <v>0</v>
      </c>
      <c r="AN19" s="325">
        <f t="shared" si="8"/>
        <v>0</v>
      </c>
      <c r="AO19" s="95">
        <f t="shared" si="26"/>
        <v>0</v>
      </c>
      <c r="AP19" s="96"/>
      <c r="AQ19" s="97">
        <f t="shared" si="9"/>
        <v>0</v>
      </c>
      <c r="AR19" s="98">
        <f t="shared" si="10"/>
        <v>123.09</v>
      </c>
      <c r="AS19" s="98">
        <f t="shared" si="11"/>
        <v>0</v>
      </c>
      <c r="AT19" s="98">
        <f t="shared" si="12"/>
        <v>0</v>
      </c>
      <c r="AU19" s="98">
        <f t="shared" si="27"/>
        <v>0</v>
      </c>
      <c r="AV19" s="98">
        <f t="array" ref="AV19">_xlfn.IFS(U19=0,AO19,U19&lt;0,AO19/-U19,U19&gt;0,AO19/U19)</f>
        <v>0</v>
      </c>
      <c r="AW19" s="234">
        <f t="shared" si="34"/>
        <v>0</v>
      </c>
      <c r="AX19" s="234">
        <f t="shared" si="35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2"/>
        <v>0</v>
      </c>
      <c r="F20" s="93"/>
      <c r="G20" s="93"/>
      <c r="H20" s="272">
        <v>0</v>
      </c>
      <c r="I20" s="93"/>
      <c r="J20" s="93"/>
      <c r="K20" s="93">
        <v>117.24</v>
      </c>
      <c r="L20" s="92">
        <f t="shared" si="36"/>
        <v>0</v>
      </c>
      <c r="M20" s="89"/>
      <c r="N20" s="89"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0.33333333333333331</v>
      </c>
      <c r="S20" s="93">
        <v>1</v>
      </c>
      <c r="T20" s="93">
        <v>0</v>
      </c>
      <c r="U20" s="92">
        <f t="shared" si="18"/>
        <v>1</v>
      </c>
      <c r="V20" s="93">
        <v>781</v>
      </c>
      <c r="W20" s="93">
        <v>0</v>
      </c>
      <c r="X20" s="92">
        <f t="shared" si="19"/>
        <v>781</v>
      </c>
      <c r="Y20" s="93">
        <v>918</v>
      </c>
      <c r="Z20" s="93">
        <v>0</v>
      </c>
      <c r="AA20" s="92">
        <f t="shared" si="20"/>
        <v>918</v>
      </c>
      <c r="AB20" s="92">
        <f t="shared" si="21"/>
        <v>0</v>
      </c>
      <c r="AC20" s="234">
        <f t="shared" si="22"/>
        <v>6.9842512741883902E-3</v>
      </c>
      <c r="AD20" s="92">
        <f t="shared" si="23"/>
        <v>117.24</v>
      </c>
      <c r="AE20" s="93">
        <v>347.03</v>
      </c>
      <c r="AF20" s="234">
        <f t="shared" si="24"/>
        <v>0.37802832244008711</v>
      </c>
      <c r="AG20" s="93">
        <v>45.84</v>
      </c>
      <c r="AH20" s="93"/>
      <c r="AI20" s="93"/>
      <c r="AJ20" s="93"/>
      <c r="AK20" s="93"/>
      <c r="AL20" s="122">
        <f t="shared" si="25"/>
        <v>0</v>
      </c>
      <c r="AM20" s="93">
        <v>0</v>
      </c>
      <c r="AN20" s="325">
        <f t="shared" si="8"/>
        <v>40.080189648339854</v>
      </c>
      <c r="AO20" s="95">
        <f t="shared" si="26"/>
        <v>367.80981035166013</v>
      </c>
      <c r="AP20" s="96"/>
      <c r="AQ20" s="97">
        <f t="shared" si="9"/>
        <v>918</v>
      </c>
      <c r="AR20" s="98">
        <f>K20</f>
        <v>117.24</v>
      </c>
      <c r="AS20" s="98">
        <f t="shared" si="11"/>
        <v>347.03</v>
      </c>
      <c r="AT20" s="98">
        <f t="shared" si="12"/>
        <v>45.84</v>
      </c>
      <c r="AU20" s="98">
        <f t="shared" si="27"/>
        <v>0</v>
      </c>
      <c r="AV20" s="98">
        <f t="array" ref="AV20">_xlfn.IFS(U20=0,AO20,U20&lt;0,AO20/-U20,U20&gt;0,AO20/U20)</f>
        <v>367.80981035166013</v>
      </c>
      <c r="AW20" s="234">
        <f t="shared" si="34"/>
        <v>0.40066428142882365</v>
      </c>
      <c r="AX20" s="234">
        <f t="shared" si="35"/>
        <v>3.1372382322727752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2"/>
        <v>1</v>
      </c>
      <c r="F21" s="93"/>
      <c r="G21" s="93"/>
      <c r="H21" s="272">
        <v>1</v>
      </c>
      <c r="I21" s="93"/>
      <c r="J21" s="93"/>
      <c r="K21" s="93">
        <v>117.24</v>
      </c>
      <c r="L21" s="92">
        <f t="shared" si="36"/>
        <v>117.24</v>
      </c>
      <c r="M21" s="89"/>
      <c r="N21" s="89">
        <v>0</v>
      </c>
      <c r="O21" s="89">
        <v>0</v>
      </c>
      <c r="P21" s="89">
        <v>0</v>
      </c>
      <c r="Q21" s="233">
        <f t="shared" si="16"/>
        <v>0</v>
      </c>
      <c r="R21" s="92">
        <f t="shared" si="17"/>
        <v>0</v>
      </c>
      <c r="S21" s="93">
        <v>0</v>
      </c>
      <c r="T21" s="93">
        <v>0</v>
      </c>
      <c r="U21" s="92">
        <f t="shared" si="18"/>
        <v>0</v>
      </c>
      <c r="V21" s="93">
        <v>0</v>
      </c>
      <c r="W21" s="93">
        <v>0</v>
      </c>
      <c r="X21" s="92">
        <f t="shared" si="19"/>
        <v>0</v>
      </c>
      <c r="Y21" s="93">
        <v>0</v>
      </c>
      <c r="Z21" s="93">
        <v>0</v>
      </c>
      <c r="AA21" s="92">
        <f t="shared" si="20"/>
        <v>0</v>
      </c>
      <c r="AB21" s="92">
        <f t="shared" si="21"/>
        <v>0</v>
      </c>
      <c r="AC21" s="234">
        <f t="shared" si="22"/>
        <v>0</v>
      </c>
      <c r="AD21" s="92">
        <f t="shared" si="23"/>
        <v>0</v>
      </c>
      <c r="AE21" s="93">
        <v>0</v>
      </c>
      <c r="AF21" s="234">
        <f t="shared" si="24"/>
        <v>0</v>
      </c>
      <c r="AG21" s="93">
        <v>0</v>
      </c>
      <c r="AH21" s="93"/>
      <c r="AI21" s="93"/>
      <c r="AJ21" s="93"/>
      <c r="AK21" s="93"/>
      <c r="AL21" s="122">
        <f t="shared" si="25"/>
        <v>0.28775523195671199</v>
      </c>
      <c r="AM21" s="93">
        <v>0</v>
      </c>
      <c r="AN21" s="325">
        <f t="shared" si="8"/>
        <v>0</v>
      </c>
      <c r="AO21" s="95">
        <f t="shared" si="26"/>
        <v>-0.28775523195671199</v>
      </c>
      <c r="AP21" s="96"/>
      <c r="AQ21" s="97">
        <f t="shared" si="9"/>
        <v>0</v>
      </c>
      <c r="AR21" s="98">
        <f t="shared" ref="AR21:AR98" si="37">K21</f>
        <v>117.24</v>
      </c>
      <c r="AS21" s="98">
        <f t="shared" si="11"/>
        <v>0</v>
      </c>
      <c r="AT21" s="98">
        <f t="shared" si="12"/>
        <v>0</v>
      </c>
      <c r="AU21" s="98">
        <f t="shared" si="27"/>
        <v>0</v>
      </c>
      <c r="AV21" s="98">
        <f t="array" ref="AV21">_xlfn.IFS(U21=0,AO21,U21&lt;0,AO21/-U21,U21&gt;0,AO21/U21)</f>
        <v>-0.28775523195671199</v>
      </c>
      <c r="AW21" s="234">
        <f t="shared" si="34"/>
        <v>0</v>
      </c>
      <c r="AX21" s="234">
        <f t="shared" si="35"/>
        <v>-2.4544117362394406E-3</v>
      </c>
      <c r="AY21" s="99"/>
      <c r="AZ21" s="94">
        <f t="shared" si="15"/>
        <v>-0.28775523195671199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2"/>
        <v>3</v>
      </c>
      <c r="F22" s="93"/>
      <c r="G22" s="93"/>
      <c r="H22" s="272">
        <v>3</v>
      </c>
      <c r="I22" s="93"/>
      <c r="J22" s="93"/>
      <c r="K22" s="93">
        <v>117.24</v>
      </c>
      <c r="L22" s="92">
        <f t="shared" si="36"/>
        <v>351.71999999999997</v>
      </c>
      <c r="M22" s="89"/>
      <c r="N22" s="89">
        <v>0</v>
      </c>
      <c r="O22" s="89">
        <v>0</v>
      </c>
      <c r="P22" s="89">
        <v>0</v>
      </c>
      <c r="Q22" s="233">
        <f t="shared" si="16"/>
        <v>0</v>
      </c>
      <c r="R22" s="92">
        <f t="shared" si="17"/>
        <v>0</v>
      </c>
      <c r="S22" s="93">
        <v>0</v>
      </c>
      <c r="T22" s="93">
        <v>0</v>
      </c>
      <c r="U22" s="92">
        <f t="shared" si="18"/>
        <v>0</v>
      </c>
      <c r="V22" s="93">
        <v>0</v>
      </c>
      <c r="W22" s="93">
        <v>0</v>
      </c>
      <c r="X22" s="92">
        <f t="shared" si="19"/>
        <v>0</v>
      </c>
      <c r="Y22" s="93">
        <v>0</v>
      </c>
      <c r="Z22" s="93">
        <v>0</v>
      </c>
      <c r="AA22" s="92">
        <f t="shared" si="20"/>
        <v>0</v>
      </c>
      <c r="AB22" s="92">
        <f t="shared" si="21"/>
        <v>0</v>
      </c>
      <c r="AC22" s="234">
        <f t="shared" si="22"/>
        <v>0</v>
      </c>
      <c r="AD22" s="92">
        <f t="shared" si="23"/>
        <v>0</v>
      </c>
      <c r="AE22" s="93">
        <v>0</v>
      </c>
      <c r="AF22" s="234">
        <f t="shared" si="24"/>
        <v>0</v>
      </c>
      <c r="AG22" s="93">
        <v>0</v>
      </c>
      <c r="AH22" s="93"/>
      <c r="AI22" s="93"/>
      <c r="AJ22" s="93"/>
      <c r="AK22" s="93"/>
      <c r="AL22" s="122">
        <f t="shared" si="25"/>
        <v>0.86326569587013602</v>
      </c>
      <c r="AM22" s="93">
        <v>0</v>
      </c>
      <c r="AN22" s="325">
        <f t="shared" si="8"/>
        <v>0</v>
      </c>
      <c r="AO22" s="95">
        <f t="shared" si="26"/>
        <v>-0.86326569587013602</v>
      </c>
      <c r="AP22" s="96"/>
      <c r="AQ22" s="97">
        <f t="shared" si="9"/>
        <v>0</v>
      </c>
      <c r="AR22" s="98">
        <f t="shared" si="37"/>
        <v>117.24</v>
      </c>
      <c r="AS22" s="98">
        <f t="shared" si="11"/>
        <v>0</v>
      </c>
      <c r="AT22" s="98">
        <f t="shared" si="12"/>
        <v>0</v>
      </c>
      <c r="AU22" s="98">
        <f t="shared" si="27"/>
        <v>0</v>
      </c>
      <c r="AV22" s="98">
        <f t="array" ref="AV22">_xlfn.IFS(U22=0,AO22,U22&lt;0,AO22/-U22,U22&gt;0,AO22/U22)</f>
        <v>-0.86326569587013602</v>
      </c>
      <c r="AW22" s="234">
        <f t="shared" si="34"/>
        <v>0</v>
      </c>
      <c r="AX22" s="234">
        <f t="shared" si="35"/>
        <v>-7.3632352087183222E-3</v>
      </c>
      <c r="AY22" s="99"/>
      <c r="AZ22" s="94">
        <f t="shared" si="15"/>
        <v>-2.5897970876104082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2"/>
        <v>0</v>
      </c>
      <c r="F23" s="93"/>
      <c r="G23" s="93"/>
      <c r="H23" s="272">
        <v>0</v>
      </c>
      <c r="I23" s="93"/>
      <c r="J23" s="93"/>
      <c r="K23" s="93">
        <v>117.24</v>
      </c>
      <c r="L23" s="92">
        <f t="shared" si="36"/>
        <v>0</v>
      </c>
      <c r="M23" s="89"/>
      <c r="N23" s="89"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v>0</v>
      </c>
      <c r="T23" s="93">
        <v>0</v>
      </c>
      <c r="U23" s="92">
        <f t="shared" si="18"/>
        <v>0</v>
      </c>
      <c r="V23" s="93">
        <v>0</v>
      </c>
      <c r="W23" s="93">
        <v>0</v>
      </c>
      <c r="X23" s="92">
        <f t="shared" si="19"/>
        <v>0</v>
      </c>
      <c r="Y23" s="93">
        <v>0</v>
      </c>
      <c r="Z23" s="93">
        <v>0</v>
      </c>
      <c r="AA23" s="92">
        <f t="shared" si="20"/>
        <v>0</v>
      </c>
      <c r="AB23" s="92">
        <f t="shared" si="21"/>
        <v>0</v>
      </c>
      <c r="AC23" s="234">
        <f t="shared" si="22"/>
        <v>0</v>
      </c>
      <c r="AD23" s="92">
        <f t="shared" si="23"/>
        <v>0</v>
      </c>
      <c r="AE23" s="93">
        <v>0</v>
      </c>
      <c r="AF23" s="234">
        <f t="shared" si="24"/>
        <v>0</v>
      </c>
      <c r="AG23" s="93">
        <v>0</v>
      </c>
      <c r="AH23" s="93"/>
      <c r="AI23" s="93"/>
      <c r="AJ23" s="93"/>
      <c r="AK23" s="93"/>
      <c r="AL23" s="122">
        <f t="shared" si="25"/>
        <v>0</v>
      </c>
      <c r="AM23" s="93">
        <v>0</v>
      </c>
      <c r="AN23" s="325">
        <f t="shared" si="8"/>
        <v>0</v>
      </c>
      <c r="AO23" s="95">
        <f t="shared" si="26"/>
        <v>0</v>
      </c>
      <c r="AP23" s="96"/>
      <c r="AQ23" s="97">
        <f t="shared" si="9"/>
        <v>0</v>
      </c>
      <c r="AR23" s="98">
        <f t="shared" si="37"/>
        <v>117.24</v>
      </c>
      <c r="AS23" s="98">
        <f t="shared" si="11"/>
        <v>0</v>
      </c>
      <c r="AT23" s="98">
        <f t="shared" si="12"/>
        <v>0</v>
      </c>
      <c r="AU23" s="98">
        <f t="shared" si="27"/>
        <v>0</v>
      </c>
      <c r="AV23" s="98">
        <f t="array" ref="AV23">_xlfn.IFS(U23=0,AO23,U23&lt;0,AO23/-U23,U23&gt;0,AO23/U23)</f>
        <v>0</v>
      </c>
      <c r="AW23" s="234">
        <f t="shared" si="34"/>
        <v>0</v>
      </c>
      <c r="AX23" s="234">
        <f t="shared" si="35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2"/>
        <v>0</v>
      </c>
      <c r="F24" s="93"/>
      <c r="G24" s="93"/>
      <c r="H24" s="272" t="s">
        <v>100</v>
      </c>
      <c r="I24" s="93"/>
      <c r="J24" s="93"/>
      <c r="K24" s="93">
        <v>117.24</v>
      </c>
      <c r="L24" s="92">
        <f t="shared" si="36"/>
        <v>0</v>
      </c>
      <c r="M24" s="89"/>
      <c r="N24" s="89">
        <v>1</v>
      </c>
      <c r="O24" s="89">
        <v>958</v>
      </c>
      <c r="P24" s="89">
        <v>100</v>
      </c>
      <c r="Q24" s="233">
        <f t="shared" si="16"/>
        <v>0.33333333333333331</v>
      </c>
      <c r="R24" s="92">
        <f t="shared" si="17"/>
        <v>0</v>
      </c>
      <c r="S24" s="93">
        <v>0</v>
      </c>
      <c r="T24" s="93">
        <v>0</v>
      </c>
      <c r="U24" s="92">
        <f t="shared" si="18"/>
        <v>0</v>
      </c>
      <c r="V24" s="93">
        <v>0</v>
      </c>
      <c r="W24" s="93">
        <v>0</v>
      </c>
      <c r="X24" s="92">
        <f t="shared" si="19"/>
        <v>0</v>
      </c>
      <c r="Y24" s="93">
        <v>0</v>
      </c>
      <c r="Z24" s="93">
        <v>0</v>
      </c>
      <c r="AA24" s="92">
        <f t="shared" si="20"/>
        <v>0</v>
      </c>
      <c r="AB24" s="92">
        <f t="shared" si="21"/>
        <v>958</v>
      </c>
      <c r="AC24" s="234">
        <f t="shared" si="22"/>
        <v>0</v>
      </c>
      <c r="AD24" s="92">
        <f t="shared" si="23"/>
        <v>0</v>
      </c>
      <c r="AE24" s="93">
        <v>0</v>
      </c>
      <c r="AF24" s="234">
        <f t="shared" si="24"/>
        <v>0</v>
      </c>
      <c r="AG24" s="93">
        <v>97.789999999999992</v>
      </c>
      <c r="AH24" s="93"/>
      <c r="AI24" s="93"/>
      <c r="AJ24" s="93"/>
      <c r="AK24" s="93"/>
      <c r="AL24" s="122">
        <f t="shared" si="25"/>
        <v>0</v>
      </c>
      <c r="AM24" s="93">
        <v>0</v>
      </c>
      <c r="AN24" s="325">
        <f t="shared" si="8"/>
        <v>0</v>
      </c>
      <c r="AO24" s="95">
        <f t="shared" si="26"/>
        <v>-97.789999999999992</v>
      </c>
      <c r="AP24" s="96"/>
      <c r="AQ24" s="97">
        <f t="shared" si="9"/>
        <v>0</v>
      </c>
      <c r="AR24" s="98">
        <f t="shared" si="37"/>
        <v>117.24</v>
      </c>
      <c r="AS24" s="98">
        <f t="shared" si="11"/>
        <v>0</v>
      </c>
      <c r="AT24" s="98">
        <f t="shared" si="12"/>
        <v>97.789999999999992</v>
      </c>
      <c r="AU24" s="98">
        <f t="shared" si="27"/>
        <v>0</v>
      </c>
      <c r="AV24" s="98">
        <f t="array" ref="AV24">_xlfn.IFS(U24=0,AO24,U24&lt;0,AO24/-U24,U24&gt;0,AO24/U24)</f>
        <v>-97.789999999999992</v>
      </c>
      <c r="AW24" s="234">
        <f t="shared" si="34"/>
        <v>0</v>
      </c>
      <c r="AX24" s="234">
        <f t="shared" si="35"/>
        <v>-0.83410098942340494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2"/>
        <v>11</v>
      </c>
      <c r="F25" s="93"/>
      <c r="G25" s="93"/>
      <c r="H25" s="272">
        <v>11</v>
      </c>
      <c r="I25" s="93"/>
      <c r="J25" s="93"/>
      <c r="K25" s="93">
        <v>117.24</v>
      </c>
      <c r="L25" s="92">
        <f t="shared" si="36"/>
        <v>1289.6399999999999</v>
      </c>
      <c r="M25" s="89"/>
      <c r="N25" s="89">
        <v>0</v>
      </c>
      <c r="O25" s="89">
        <v>0</v>
      </c>
      <c r="P25" s="89">
        <v>0</v>
      </c>
      <c r="Q25" s="233">
        <f t="shared" si="16"/>
        <v>0</v>
      </c>
      <c r="R25" s="92">
        <f t="shared" si="17"/>
        <v>0</v>
      </c>
      <c r="S25" s="93">
        <v>0</v>
      </c>
      <c r="T25" s="93">
        <v>0</v>
      </c>
      <c r="U25" s="92">
        <f t="shared" si="18"/>
        <v>0</v>
      </c>
      <c r="V25" s="93">
        <v>0</v>
      </c>
      <c r="W25" s="93">
        <v>0</v>
      </c>
      <c r="X25" s="92">
        <f t="shared" si="19"/>
        <v>0</v>
      </c>
      <c r="Y25" s="93">
        <v>0</v>
      </c>
      <c r="Z25" s="93">
        <v>0</v>
      </c>
      <c r="AA25" s="92">
        <f t="shared" si="20"/>
        <v>0</v>
      </c>
      <c r="AB25" s="92">
        <f t="shared" si="21"/>
        <v>0</v>
      </c>
      <c r="AC25" s="234">
        <f t="shared" si="22"/>
        <v>0</v>
      </c>
      <c r="AD25" s="92">
        <f t="shared" si="23"/>
        <v>0</v>
      </c>
      <c r="AE25" s="93">
        <v>0</v>
      </c>
      <c r="AF25" s="234">
        <f t="shared" si="24"/>
        <v>0</v>
      </c>
      <c r="AG25" s="93">
        <v>0</v>
      </c>
      <c r="AH25" s="93"/>
      <c r="AI25" s="93"/>
      <c r="AJ25" s="93"/>
      <c r="AK25" s="93"/>
      <c r="AL25" s="122">
        <f t="shared" si="25"/>
        <v>3.1653075515238323</v>
      </c>
      <c r="AM25" s="93">
        <v>0</v>
      </c>
      <c r="AN25" s="325">
        <f t="shared" si="8"/>
        <v>0</v>
      </c>
      <c r="AO25" s="95">
        <f t="shared" si="26"/>
        <v>-3.1653075515238323</v>
      </c>
      <c r="AP25" s="96"/>
      <c r="AQ25" s="97">
        <f t="shared" si="9"/>
        <v>0</v>
      </c>
      <c r="AR25" s="98">
        <f t="shared" si="37"/>
        <v>117.24</v>
      </c>
      <c r="AS25" s="98">
        <f t="shared" si="11"/>
        <v>0</v>
      </c>
      <c r="AT25" s="98">
        <f t="shared" si="12"/>
        <v>0</v>
      </c>
      <c r="AU25" s="98">
        <f t="shared" si="27"/>
        <v>0</v>
      </c>
      <c r="AV25" s="98">
        <f t="array" ref="AV25">_xlfn.IFS(U25=0,AO25,U25&lt;0,AO25/-U25,U25&gt;0,AO25/U25)</f>
        <v>-3.1653075515238323</v>
      </c>
      <c r="AW25" s="234">
        <f t="shared" si="34"/>
        <v>0</v>
      </c>
      <c r="AX25" s="234">
        <f t="shared" si="35"/>
        <v>-2.6998529098633848E-2</v>
      </c>
      <c r="AY25" s="99"/>
      <c r="AZ25" s="94">
        <f t="shared" si="15"/>
        <v>-34.818383066762152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2"/>
        <v>409</v>
      </c>
      <c r="F26" s="93"/>
      <c r="G26" s="93"/>
      <c r="H26" s="272">
        <v>409</v>
      </c>
      <c r="I26" s="93"/>
      <c r="J26" s="93"/>
      <c r="K26" s="93">
        <v>123.09</v>
      </c>
      <c r="L26" s="92">
        <f t="shared" si="36"/>
        <v>50343.810000000005</v>
      </c>
      <c r="M26" s="89"/>
      <c r="N26" s="89">
        <v>0</v>
      </c>
      <c r="O26" s="89">
        <v>0</v>
      </c>
      <c r="P26" s="89">
        <v>0</v>
      </c>
      <c r="Q26" s="233">
        <f t="shared" si="16"/>
        <v>0</v>
      </c>
      <c r="R26" s="92">
        <f t="shared" si="17"/>
        <v>0</v>
      </c>
      <c r="S26" s="93">
        <v>0</v>
      </c>
      <c r="T26" s="93">
        <v>0</v>
      </c>
      <c r="U26" s="92">
        <f t="shared" si="18"/>
        <v>0</v>
      </c>
      <c r="V26" s="93">
        <v>0</v>
      </c>
      <c r="W26" s="93">
        <v>0</v>
      </c>
      <c r="X26" s="92">
        <f t="shared" si="19"/>
        <v>0</v>
      </c>
      <c r="Y26" s="93">
        <v>0</v>
      </c>
      <c r="Z26" s="93">
        <v>0</v>
      </c>
      <c r="AA26" s="92">
        <f t="shared" si="20"/>
        <v>0</v>
      </c>
      <c r="AB26" s="92">
        <f t="shared" si="21"/>
        <v>0</v>
      </c>
      <c r="AC26" s="234">
        <f t="shared" si="22"/>
        <v>0</v>
      </c>
      <c r="AD26" s="92">
        <f t="shared" si="23"/>
        <v>0</v>
      </c>
      <c r="AE26" s="93">
        <v>0</v>
      </c>
      <c r="AF26" s="234">
        <f t="shared" si="24"/>
        <v>0</v>
      </c>
      <c r="AG26" s="93">
        <v>0</v>
      </c>
      <c r="AH26" s="93"/>
      <c r="AI26" s="93"/>
      <c r="AJ26" s="93"/>
      <c r="AK26" s="93"/>
      <c r="AL26" s="122">
        <f t="shared" si="25"/>
        <v>117.69188987029521</v>
      </c>
      <c r="AM26" s="93">
        <v>0</v>
      </c>
      <c r="AN26" s="325">
        <f t="shared" si="8"/>
        <v>0</v>
      </c>
      <c r="AO26" s="95">
        <f t="shared" si="26"/>
        <v>-117.69188987029521</v>
      </c>
      <c r="AP26" s="96"/>
      <c r="AQ26" s="97">
        <f t="shared" si="9"/>
        <v>0</v>
      </c>
      <c r="AR26" s="98">
        <f t="shared" si="37"/>
        <v>123.09</v>
      </c>
      <c r="AS26" s="98">
        <f t="shared" si="11"/>
        <v>0</v>
      </c>
      <c r="AT26" s="98">
        <f t="shared" si="12"/>
        <v>0</v>
      </c>
      <c r="AU26" s="98">
        <f t="shared" si="27"/>
        <v>0</v>
      </c>
      <c r="AV26" s="98">
        <f t="array" ref="AV26">_xlfn.IFS(U26=0,AO26,U26&lt;0,AO26/-U26,U26&gt;0,AO26/U26)</f>
        <v>-117.69188987029521</v>
      </c>
      <c r="AW26" s="234">
        <f t="shared" si="34"/>
        <v>0</v>
      </c>
      <c r="AX26" s="234">
        <f t="shared" si="35"/>
        <v>-0.95614501478832736</v>
      </c>
      <c r="AY26" s="99"/>
      <c r="AZ26" s="94">
        <f t="shared" si="15"/>
        <v>-48135.982956950742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2"/>
        <v>74</v>
      </c>
      <c r="F27" s="93"/>
      <c r="G27" s="93"/>
      <c r="H27" s="272">
        <v>74</v>
      </c>
      <c r="I27" s="93"/>
      <c r="J27" s="93"/>
      <c r="K27" s="93">
        <v>181.59</v>
      </c>
      <c r="L27" s="92">
        <f t="shared" si="36"/>
        <v>13437.66</v>
      </c>
      <c r="M27" s="89"/>
      <c r="N27" s="89">
        <v>0</v>
      </c>
      <c r="O27" s="89">
        <v>0</v>
      </c>
      <c r="P27" s="89">
        <v>0</v>
      </c>
      <c r="Q27" s="233">
        <f t="shared" si="16"/>
        <v>0</v>
      </c>
      <c r="R27" s="92">
        <f t="shared" si="17"/>
        <v>0</v>
      </c>
      <c r="S27" s="93">
        <v>0</v>
      </c>
      <c r="T27" s="93">
        <v>0</v>
      </c>
      <c r="U27" s="92">
        <f t="shared" si="18"/>
        <v>0</v>
      </c>
      <c r="V27" s="93">
        <v>0</v>
      </c>
      <c r="W27" s="93">
        <v>0</v>
      </c>
      <c r="X27" s="92">
        <f t="shared" si="19"/>
        <v>0</v>
      </c>
      <c r="Y27" s="93">
        <v>0</v>
      </c>
      <c r="Z27" s="93">
        <v>0</v>
      </c>
      <c r="AA27" s="92">
        <f t="shared" si="20"/>
        <v>0</v>
      </c>
      <c r="AB27" s="92">
        <f t="shared" si="21"/>
        <v>0</v>
      </c>
      <c r="AC27" s="234">
        <f t="shared" si="22"/>
        <v>0</v>
      </c>
      <c r="AD27" s="92">
        <f t="shared" si="23"/>
        <v>0</v>
      </c>
      <c r="AE27" s="93">
        <v>0</v>
      </c>
      <c r="AF27" s="234">
        <f t="shared" si="24"/>
        <v>0</v>
      </c>
      <c r="AG27" s="93">
        <v>0</v>
      </c>
      <c r="AH27" s="93"/>
      <c r="AI27" s="93"/>
      <c r="AJ27" s="93"/>
      <c r="AK27" s="93"/>
      <c r="AL27" s="122">
        <f t="shared" si="25"/>
        <v>21.293887164796686</v>
      </c>
      <c r="AM27" s="93">
        <v>0</v>
      </c>
      <c r="AN27" s="325">
        <f t="shared" si="8"/>
        <v>0</v>
      </c>
      <c r="AO27" s="95">
        <f t="shared" si="26"/>
        <v>-21.293887164796686</v>
      </c>
      <c r="AP27" s="96"/>
      <c r="AQ27" s="97">
        <f t="shared" si="9"/>
        <v>0</v>
      </c>
      <c r="AR27" s="98">
        <f t="shared" si="37"/>
        <v>181.59</v>
      </c>
      <c r="AS27" s="98">
        <f t="shared" si="11"/>
        <v>0</v>
      </c>
      <c r="AT27" s="98">
        <f t="shared" si="12"/>
        <v>0</v>
      </c>
      <c r="AU27" s="98">
        <f t="shared" si="27"/>
        <v>0</v>
      </c>
      <c r="AV27" s="98">
        <f t="array" ref="AV27">_xlfn.IFS(U27=0,AO27,U27&lt;0,AO27/-U27,U27&gt;0,AO27/U27)</f>
        <v>-21.293887164796686</v>
      </c>
      <c r="AW27" s="234">
        <f t="shared" si="34"/>
        <v>0</v>
      </c>
      <c r="AX27" s="234">
        <f t="shared" si="35"/>
        <v>-0.11726354515555198</v>
      </c>
      <c r="AY27" s="99"/>
      <c r="AZ27" s="94">
        <f t="shared" si="15"/>
        <v>-1575.7476501949548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8">SUM(F28:J28)</f>
        <v>763</v>
      </c>
      <c r="F28" s="93"/>
      <c r="G28" s="93"/>
      <c r="H28" s="272">
        <v>763</v>
      </c>
      <c r="I28" s="93"/>
      <c r="J28" s="93"/>
      <c r="K28" s="93">
        <v>133.62</v>
      </c>
      <c r="L28" s="92">
        <f t="shared" si="36"/>
        <v>101952.06</v>
      </c>
      <c r="M28" s="89"/>
      <c r="N28" s="89">
        <v>7</v>
      </c>
      <c r="O28" s="89">
        <v>1318</v>
      </c>
      <c r="P28" s="89">
        <v>14</v>
      </c>
      <c r="Q28" s="233">
        <f t="shared" si="16"/>
        <v>2.3333333333333335</v>
      </c>
      <c r="R28" s="92">
        <f t="shared" si="17"/>
        <v>1.6666666666666667</v>
      </c>
      <c r="S28" s="93">
        <v>5</v>
      </c>
      <c r="T28" s="93">
        <v>0</v>
      </c>
      <c r="U28" s="92">
        <f t="shared" si="18"/>
        <v>5</v>
      </c>
      <c r="V28" s="93">
        <v>4502</v>
      </c>
      <c r="W28" s="93">
        <v>0</v>
      </c>
      <c r="X28" s="92">
        <f t="shared" si="19"/>
        <v>4502</v>
      </c>
      <c r="Y28" s="93">
        <v>5632</v>
      </c>
      <c r="Z28" s="93">
        <v>0</v>
      </c>
      <c r="AA28" s="92">
        <f t="shared" si="20"/>
        <v>5632</v>
      </c>
      <c r="AB28" s="92">
        <f t="shared" si="21"/>
        <v>1291.6400000000001</v>
      </c>
      <c r="AC28" s="234">
        <f t="shared" si="22"/>
        <v>4.2848914135325725E-2</v>
      </c>
      <c r="AD28" s="92">
        <f t="shared" si="23"/>
        <v>668.1</v>
      </c>
      <c r="AE28" s="93">
        <v>1630.96</v>
      </c>
      <c r="AF28" s="234">
        <f t="shared" si="24"/>
        <v>0.2895880681818182</v>
      </c>
      <c r="AG28" s="93">
        <v>662.81999999999994</v>
      </c>
      <c r="AH28" s="93"/>
      <c r="AI28" s="93"/>
      <c r="AJ28" s="93"/>
      <c r="AK28" s="93"/>
      <c r="AL28" s="122">
        <f t="shared" si="25"/>
        <v>219.55724198297128</v>
      </c>
      <c r="AM28" s="93">
        <v>0</v>
      </c>
      <c r="AN28" s="325">
        <f t="shared" si="8"/>
        <v>245.89501971617656</v>
      </c>
      <c r="AO28" s="95">
        <f t="shared" si="26"/>
        <v>2204.6677383008519</v>
      </c>
      <c r="AP28" s="96"/>
      <c r="AQ28" s="97">
        <f t="shared" si="9"/>
        <v>1126.4000000000001</v>
      </c>
      <c r="AR28" s="98">
        <f t="shared" si="37"/>
        <v>133.62</v>
      </c>
      <c r="AS28" s="98">
        <f t="shared" si="11"/>
        <v>326.19200000000001</v>
      </c>
      <c r="AT28" s="98">
        <f t="shared" si="12"/>
        <v>132.56399999999999</v>
      </c>
      <c r="AU28" s="98">
        <f t="shared" si="27"/>
        <v>0</v>
      </c>
      <c r="AV28" s="98">
        <f>_xlfn.IFS(U28=0,AO28,U28&lt;0,AO28/-U28,U28&gt;0,AO28/U28)</f>
        <v>440.93354766017035</v>
      </c>
      <c r="AW28" s="234">
        <f t="shared" si="34"/>
        <v>0.39145378876080461</v>
      </c>
      <c r="AX28" s="234">
        <f t="shared" si="35"/>
        <v>3.2999068078144762</v>
      </c>
      <c r="AY28" s="99"/>
      <c r="AZ28" s="94">
        <f t="shared" si="15"/>
        <v>336432.29686470999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2</v>
      </c>
      <c r="F29" s="93"/>
      <c r="G29" s="93"/>
      <c r="H29" s="272">
        <v>2</v>
      </c>
      <c r="I29" s="93"/>
      <c r="J29" s="93"/>
      <c r="K29" s="93">
        <v>111.39</v>
      </c>
      <c r="L29" s="92">
        <f>E29*K29</f>
        <v>222.78</v>
      </c>
      <c r="M29" s="89"/>
      <c r="N29" s="89">
        <v>0</v>
      </c>
      <c r="O29" s="89">
        <v>0</v>
      </c>
      <c r="P29" s="89">
        <v>0</v>
      </c>
      <c r="Q29" s="233">
        <f t="shared" si="16"/>
        <v>0</v>
      </c>
      <c r="R29" s="92">
        <f t="shared" si="17"/>
        <v>0</v>
      </c>
      <c r="S29" s="93">
        <v>0</v>
      </c>
      <c r="T29" s="93">
        <v>0</v>
      </c>
      <c r="U29" s="92">
        <f t="shared" si="18"/>
        <v>0</v>
      </c>
      <c r="V29" s="93">
        <v>0</v>
      </c>
      <c r="W29" s="93">
        <v>0</v>
      </c>
      <c r="X29" s="92">
        <f t="shared" si="19"/>
        <v>0</v>
      </c>
      <c r="Y29" s="93">
        <v>0</v>
      </c>
      <c r="Z29" s="93">
        <v>0</v>
      </c>
      <c r="AA29" s="92">
        <f t="shared" si="20"/>
        <v>0</v>
      </c>
      <c r="AB29" s="92">
        <f t="shared" si="21"/>
        <v>0</v>
      </c>
      <c r="AC29" s="234">
        <f t="shared" si="22"/>
        <v>0</v>
      </c>
      <c r="AD29" s="92">
        <f t="shared" si="23"/>
        <v>0</v>
      </c>
      <c r="AE29" s="93">
        <v>0</v>
      </c>
      <c r="AF29" s="234">
        <f t="shared" si="24"/>
        <v>0</v>
      </c>
      <c r="AG29" s="93">
        <v>0</v>
      </c>
      <c r="AH29" s="93"/>
      <c r="AI29" s="93"/>
      <c r="AJ29" s="93"/>
      <c r="AK29" s="93"/>
      <c r="AL29" s="122">
        <f t="shared" si="25"/>
        <v>0.57551046391342398</v>
      </c>
      <c r="AM29" s="93">
        <v>0</v>
      </c>
      <c r="AN29" s="325">
        <f t="shared" si="8"/>
        <v>0</v>
      </c>
      <c r="AO29" s="95">
        <f t="shared" si="26"/>
        <v>-0.57551046391342398</v>
      </c>
      <c r="AP29" s="96"/>
      <c r="AQ29" s="97">
        <f t="shared" si="9"/>
        <v>0</v>
      </c>
      <c r="AR29" s="98">
        <f t="shared" si="37"/>
        <v>111.39</v>
      </c>
      <c r="AS29" s="98">
        <f t="shared" si="11"/>
        <v>0</v>
      </c>
      <c r="AT29" s="98">
        <f t="shared" si="12"/>
        <v>0</v>
      </c>
      <c r="AU29" s="98">
        <f t="shared" si="27"/>
        <v>0</v>
      </c>
      <c r="AV29" s="98">
        <f t="array" ref="AV29">_xlfn.IFS(U29=0,AO29,U29&lt;0,AO29/-U29,U29&gt;0,AO29/U29)</f>
        <v>-0.57551046391342398</v>
      </c>
      <c r="AW29" s="234">
        <f>IF(AQ29=0,0,AV29/AQ29)</f>
        <v>0</v>
      </c>
      <c r="AX29" s="234">
        <f>IF(AR29=0,0,AV29/AR29)</f>
        <v>-5.1666259441011221E-3</v>
      </c>
      <c r="AY29" s="99"/>
      <c r="AZ29" s="94">
        <f t="shared" si="15"/>
        <v>-1.151020927826848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272" t="s">
        <v>100</v>
      </c>
      <c r="I30" s="93"/>
      <c r="J30" s="93"/>
      <c r="K30" s="93">
        <v>111.39</v>
      </c>
      <c r="L30" s="92">
        <f>E30*K30</f>
        <v>0</v>
      </c>
      <c r="M30" s="89"/>
      <c r="N30" s="89">
        <v>2</v>
      </c>
      <c r="O30" s="89">
        <v>593</v>
      </c>
      <c r="P30" s="89">
        <v>0</v>
      </c>
      <c r="Q30" s="233">
        <f t="shared" si="16"/>
        <v>0.66666666666666663</v>
      </c>
      <c r="R30" s="92">
        <f t="shared" si="17"/>
        <v>1</v>
      </c>
      <c r="S30" s="93">
        <v>3</v>
      </c>
      <c r="T30" s="93">
        <v>0</v>
      </c>
      <c r="U30" s="92">
        <f t="shared" si="18"/>
        <v>3</v>
      </c>
      <c r="V30" s="93">
        <v>1508</v>
      </c>
      <c r="W30" s="93">
        <v>0</v>
      </c>
      <c r="X30" s="92">
        <f t="shared" si="19"/>
        <v>1508</v>
      </c>
      <c r="Y30" s="93">
        <v>1779</v>
      </c>
      <c r="Z30" s="93">
        <v>0</v>
      </c>
      <c r="AA30" s="92">
        <f t="shared" si="20"/>
        <v>1779</v>
      </c>
      <c r="AB30" s="92">
        <f t="shared" si="21"/>
        <v>0</v>
      </c>
      <c r="AC30" s="234">
        <f t="shared" si="22"/>
        <v>1.3534839887561162E-2</v>
      </c>
      <c r="AD30" s="92">
        <f t="shared" si="23"/>
        <v>334.17</v>
      </c>
      <c r="AE30" s="93">
        <v>672.33000000000015</v>
      </c>
      <c r="AF30" s="234">
        <f t="shared" si="24"/>
        <v>0.37792580101180445</v>
      </c>
      <c r="AG30" s="93">
        <v>232.19</v>
      </c>
      <c r="AH30" s="93"/>
      <c r="AI30" s="93"/>
      <c r="AJ30" s="93"/>
      <c r="AK30" s="93"/>
      <c r="AL30" s="122">
        <f t="shared" si="25"/>
        <v>0</v>
      </c>
      <c r="AM30" s="93">
        <v>0</v>
      </c>
      <c r="AN30" s="325">
        <f t="shared" si="8"/>
        <v>77.6717400701488</v>
      </c>
      <c r="AO30" s="95">
        <f t="shared" si="26"/>
        <v>462.6382599298509</v>
      </c>
      <c r="AP30" s="96"/>
      <c r="AQ30" s="97">
        <f t="shared" si="9"/>
        <v>593</v>
      </c>
      <c r="AR30" s="98">
        <f t="shared" si="37"/>
        <v>111.39</v>
      </c>
      <c r="AS30" s="98">
        <f t="shared" si="11"/>
        <v>224.11000000000004</v>
      </c>
      <c r="AT30" s="98">
        <f t="shared" si="12"/>
        <v>77.396666666666661</v>
      </c>
      <c r="AU30" s="98">
        <f t="shared" si="27"/>
        <v>0</v>
      </c>
      <c r="AV30" s="98">
        <f t="array" ref="AV30">_xlfn.IFS(U30=0,AO30,U30&lt;0,AO30/-U30,U30&gt;0,AO30/U30)</f>
        <v>154.2127533099503</v>
      </c>
      <c r="AW30" s="234">
        <f>IF(AQ30=0,0,AV30/AQ30)</f>
        <v>0.2600552332376902</v>
      </c>
      <c r="AX30" s="234">
        <f>IF(AR30=0,0,AV30/AR30)</f>
        <v>1.3844398358016905</v>
      </c>
      <c r="AY30" s="99"/>
      <c r="AZ30" s="94">
        <f t="shared" si="15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/>
      <c r="G31" s="93"/>
      <c r="H31" s="272">
        <v>1</v>
      </c>
      <c r="I31" s="93"/>
      <c r="J31" s="93"/>
      <c r="K31" s="93">
        <v>105.54</v>
      </c>
      <c r="L31" s="92">
        <f>E31*K31</f>
        <v>105.54</v>
      </c>
      <c r="M31" s="89"/>
      <c r="N31" s="89">
        <v>0</v>
      </c>
      <c r="O31" s="89">
        <v>0</v>
      </c>
      <c r="P31" s="89">
        <v>0</v>
      </c>
      <c r="Q31" s="233">
        <f t="shared" si="16"/>
        <v>0</v>
      </c>
      <c r="R31" s="92">
        <f t="shared" si="17"/>
        <v>0</v>
      </c>
      <c r="S31" s="93">
        <v>0</v>
      </c>
      <c r="T31" s="93">
        <v>0</v>
      </c>
      <c r="U31" s="92">
        <f t="shared" si="18"/>
        <v>0</v>
      </c>
      <c r="V31" s="93">
        <v>0</v>
      </c>
      <c r="W31" s="93">
        <v>0</v>
      </c>
      <c r="X31" s="92">
        <f t="shared" si="19"/>
        <v>0</v>
      </c>
      <c r="Y31" s="93">
        <v>0</v>
      </c>
      <c r="Z31" s="93">
        <v>0</v>
      </c>
      <c r="AA31" s="92">
        <f t="shared" si="20"/>
        <v>0</v>
      </c>
      <c r="AB31" s="92">
        <f t="shared" si="21"/>
        <v>0</v>
      </c>
      <c r="AC31" s="234">
        <f t="shared" si="22"/>
        <v>0</v>
      </c>
      <c r="AD31" s="92">
        <f t="shared" si="23"/>
        <v>0</v>
      </c>
      <c r="AE31" s="93">
        <v>0</v>
      </c>
      <c r="AF31" s="234">
        <f t="shared" si="24"/>
        <v>0</v>
      </c>
      <c r="AG31" s="93">
        <v>0</v>
      </c>
      <c r="AH31" s="93"/>
      <c r="AI31" s="93"/>
      <c r="AJ31" s="93"/>
      <c r="AK31" s="93"/>
      <c r="AL31" s="122">
        <f t="shared" si="25"/>
        <v>0.28775523195671199</v>
      </c>
      <c r="AM31" s="93">
        <v>0</v>
      </c>
      <c r="AN31" s="325">
        <f t="shared" si="8"/>
        <v>0</v>
      </c>
      <c r="AO31" s="95">
        <f t="shared" si="26"/>
        <v>-0.28775523195671199</v>
      </c>
      <c r="AP31" s="96"/>
      <c r="AQ31" s="97">
        <f t="shared" si="9"/>
        <v>0</v>
      </c>
      <c r="AR31" s="98">
        <f t="shared" si="37"/>
        <v>105.54</v>
      </c>
      <c r="AS31" s="98">
        <f t="shared" si="11"/>
        <v>0</v>
      </c>
      <c r="AT31" s="98">
        <f t="shared" si="12"/>
        <v>0</v>
      </c>
      <c r="AU31" s="98">
        <f t="shared" si="27"/>
        <v>0</v>
      </c>
      <c r="AV31" s="98">
        <f t="array" ref="AV31">_xlfn.IFS(U31=0,AO31,U31&lt;0,AO31/-U31,U31&gt;0,AO31/U31)</f>
        <v>-0.28775523195671199</v>
      </c>
      <c r="AW31" s="234">
        <f>IF(AQ31=0,0,AV31/AQ31)</f>
        <v>0</v>
      </c>
      <c r="AX31" s="234">
        <f>IF(AR31=0,0,AV31/AR31)</f>
        <v>-2.7265039980738297E-3</v>
      </c>
      <c r="AY31" s="99"/>
      <c r="AZ31" s="94">
        <f t="shared" si="15"/>
        <v>-0.28775523195671199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9">SUM(F32:J32)</f>
        <v>0</v>
      </c>
      <c r="F32" s="93"/>
      <c r="G32" s="93"/>
      <c r="H32" s="272" t="s">
        <v>100</v>
      </c>
      <c r="I32" s="93"/>
      <c r="J32" s="93"/>
      <c r="K32" s="93">
        <v>140.63999999999999</v>
      </c>
      <c r="L32" s="92">
        <f t="shared" ref="L32" si="40">E32*K32</f>
        <v>0</v>
      </c>
      <c r="M32" s="89"/>
      <c r="N32" s="89">
        <v>0</v>
      </c>
      <c r="O32" s="89">
        <v>0</v>
      </c>
      <c r="P32" s="89">
        <v>0</v>
      </c>
      <c r="Q32" s="233">
        <f t="shared" si="16"/>
        <v>0</v>
      </c>
      <c r="R32" s="92">
        <f t="shared" si="17"/>
        <v>0</v>
      </c>
      <c r="S32" s="93">
        <v>0</v>
      </c>
      <c r="T32" s="93">
        <v>0</v>
      </c>
      <c r="U32" s="92">
        <f t="shared" si="18"/>
        <v>0</v>
      </c>
      <c r="V32" s="93">
        <v>0</v>
      </c>
      <c r="W32" s="93">
        <v>0</v>
      </c>
      <c r="X32" s="92">
        <f t="shared" si="19"/>
        <v>0</v>
      </c>
      <c r="Y32" s="93">
        <v>0</v>
      </c>
      <c r="Z32" s="93">
        <v>0</v>
      </c>
      <c r="AA32" s="92">
        <f t="shared" si="20"/>
        <v>0</v>
      </c>
      <c r="AB32" s="92">
        <f t="shared" si="21"/>
        <v>0</v>
      </c>
      <c r="AC32" s="234">
        <f t="shared" si="22"/>
        <v>0</v>
      </c>
      <c r="AD32" s="92">
        <f t="shared" si="23"/>
        <v>0</v>
      </c>
      <c r="AE32" s="93">
        <v>0</v>
      </c>
      <c r="AF32" s="234">
        <f t="shared" si="24"/>
        <v>0</v>
      </c>
      <c r="AG32" s="93">
        <v>85.490000000000009</v>
      </c>
      <c r="AH32" s="93"/>
      <c r="AI32" s="93"/>
      <c r="AJ32" s="93"/>
      <c r="AK32" s="93"/>
      <c r="AL32" s="122">
        <f t="shared" si="25"/>
        <v>0</v>
      </c>
      <c r="AM32" s="93">
        <v>0</v>
      </c>
      <c r="AN32" s="325">
        <f t="shared" si="8"/>
        <v>0</v>
      </c>
      <c r="AO32" s="95">
        <f t="shared" si="26"/>
        <v>-85.490000000000009</v>
      </c>
      <c r="AP32" s="96"/>
      <c r="AQ32" s="97">
        <f t="shared" si="9"/>
        <v>0</v>
      </c>
      <c r="AR32" s="98">
        <f t="shared" si="37"/>
        <v>140.63999999999999</v>
      </c>
      <c r="AS32" s="98">
        <f t="shared" si="11"/>
        <v>0</v>
      </c>
      <c r="AT32" s="98">
        <f t="shared" si="12"/>
        <v>85.490000000000009</v>
      </c>
      <c r="AU32" s="98">
        <f t="shared" si="27"/>
        <v>0</v>
      </c>
      <c r="AV32" s="98">
        <f t="array" ref="AV32">_xlfn.IFS(U32=0,AO32,U32&lt;0,AO32/-U32,U32&gt;0,AO32/U32)</f>
        <v>-85.490000000000009</v>
      </c>
      <c r="AW32" s="234">
        <f t="shared" ref="AW32" si="41">IF(AQ32=0,0,AV32/AQ32)</f>
        <v>0</v>
      </c>
      <c r="AX32" s="234">
        <f t="shared" ref="AX32" si="42">IF(AR32=0,0,AV32/AR32)</f>
        <v>-0.60786405005688293</v>
      </c>
      <c r="AY32" s="99"/>
      <c r="AZ32" s="94">
        <f t="shared" si="15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157</v>
      </c>
      <c r="F33" s="93"/>
      <c r="G33" s="93"/>
      <c r="H33" s="272">
        <v>157</v>
      </c>
      <c r="I33" s="93"/>
      <c r="J33" s="93"/>
      <c r="K33" s="93">
        <v>123.09</v>
      </c>
      <c r="L33" s="92">
        <f>E33*K33</f>
        <v>19325.13</v>
      </c>
      <c r="M33" s="89"/>
      <c r="N33" s="89">
        <v>0</v>
      </c>
      <c r="O33" s="89">
        <v>0</v>
      </c>
      <c r="P33" s="89">
        <v>0</v>
      </c>
      <c r="Q33" s="233">
        <f t="shared" si="16"/>
        <v>0</v>
      </c>
      <c r="R33" s="92">
        <f t="shared" si="17"/>
        <v>0</v>
      </c>
      <c r="S33" s="93">
        <v>0</v>
      </c>
      <c r="T33" s="93">
        <v>0</v>
      </c>
      <c r="U33" s="92">
        <f t="shared" si="18"/>
        <v>0</v>
      </c>
      <c r="V33" s="93">
        <v>0</v>
      </c>
      <c r="W33" s="93">
        <v>0</v>
      </c>
      <c r="X33" s="92">
        <f t="shared" si="19"/>
        <v>0</v>
      </c>
      <c r="Y33" s="93">
        <v>0</v>
      </c>
      <c r="Z33" s="93">
        <v>0</v>
      </c>
      <c r="AA33" s="92">
        <f t="shared" si="20"/>
        <v>0</v>
      </c>
      <c r="AB33" s="92">
        <f t="shared" si="21"/>
        <v>0</v>
      </c>
      <c r="AC33" s="234">
        <f t="shared" si="22"/>
        <v>0</v>
      </c>
      <c r="AD33" s="92">
        <f t="shared" si="23"/>
        <v>0</v>
      </c>
      <c r="AE33" s="93">
        <v>0</v>
      </c>
      <c r="AF33" s="234">
        <f t="shared" si="24"/>
        <v>0</v>
      </c>
      <c r="AG33" s="93">
        <v>0</v>
      </c>
      <c r="AH33" s="93"/>
      <c r="AI33" s="93"/>
      <c r="AJ33" s="93"/>
      <c r="AK33" s="93"/>
      <c r="AL33" s="122">
        <f t="shared" si="25"/>
        <v>45.177571417203779</v>
      </c>
      <c r="AM33" s="93">
        <v>0</v>
      </c>
      <c r="AN33" s="325">
        <f t="shared" si="8"/>
        <v>0</v>
      </c>
      <c r="AO33" s="95">
        <f t="shared" si="26"/>
        <v>-45.177571417203779</v>
      </c>
      <c r="AP33" s="96"/>
      <c r="AQ33" s="97">
        <f t="shared" si="9"/>
        <v>0</v>
      </c>
      <c r="AR33" s="98">
        <f t="shared" si="37"/>
        <v>123.09</v>
      </c>
      <c r="AS33" s="98">
        <f t="shared" si="11"/>
        <v>0</v>
      </c>
      <c r="AT33" s="98">
        <f t="shared" si="12"/>
        <v>0</v>
      </c>
      <c r="AU33" s="98">
        <f t="shared" si="27"/>
        <v>0</v>
      </c>
      <c r="AV33" s="98">
        <f t="array" ref="AV33">_xlfn.IFS(U33=0,AO33,U33&lt;0,AO33/-U33,U33&gt;0,AO33/U33)</f>
        <v>-45.177571417203779</v>
      </c>
      <c r="AW33" s="234">
        <f>IF(AQ33=0,0,AV33/AQ33)</f>
        <v>0</v>
      </c>
      <c r="AX33" s="234">
        <f>IF(AR33=0,0,AV33/AR33)</f>
        <v>-0.3670287709578664</v>
      </c>
      <c r="AY33" s="99"/>
      <c r="AZ33" s="94">
        <f t="shared" si="15"/>
        <v>-7092.8787125009931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23</v>
      </c>
      <c r="F34" s="93"/>
      <c r="G34" s="93"/>
      <c r="H34" s="272">
        <v>23</v>
      </c>
      <c r="I34" s="93"/>
      <c r="J34" s="93"/>
      <c r="K34" s="93">
        <v>117.24</v>
      </c>
      <c r="L34" s="92">
        <f>E34*K34</f>
        <v>2696.52</v>
      </c>
      <c r="M34" s="89"/>
      <c r="N34" s="89">
        <v>0</v>
      </c>
      <c r="O34" s="89">
        <v>0</v>
      </c>
      <c r="P34" s="89">
        <v>0</v>
      </c>
      <c r="Q34" s="233">
        <f t="shared" si="16"/>
        <v>0</v>
      </c>
      <c r="R34" s="92">
        <f t="shared" si="17"/>
        <v>0</v>
      </c>
      <c r="S34" s="93">
        <v>0</v>
      </c>
      <c r="T34" s="93">
        <v>0</v>
      </c>
      <c r="U34" s="92">
        <f t="shared" si="18"/>
        <v>0</v>
      </c>
      <c r="V34" s="93">
        <v>0</v>
      </c>
      <c r="W34" s="93">
        <v>0</v>
      </c>
      <c r="X34" s="92">
        <f t="shared" si="19"/>
        <v>0</v>
      </c>
      <c r="Y34" s="93">
        <v>0</v>
      </c>
      <c r="Z34" s="93">
        <v>0</v>
      </c>
      <c r="AA34" s="92">
        <f t="shared" si="20"/>
        <v>0</v>
      </c>
      <c r="AB34" s="92">
        <f t="shared" si="21"/>
        <v>0</v>
      </c>
      <c r="AC34" s="234">
        <f t="shared" si="22"/>
        <v>0</v>
      </c>
      <c r="AD34" s="92">
        <f t="shared" si="23"/>
        <v>0</v>
      </c>
      <c r="AE34" s="93">
        <v>0</v>
      </c>
      <c r="AF34" s="234">
        <f t="shared" si="24"/>
        <v>0</v>
      </c>
      <c r="AG34" s="93">
        <v>0</v>
      </c>
      <c r="AH34" s="93"/>
      <c r="AI34" s="93"/>
      <c r="AJ34" s="93"/>
      <c r="AK34" s="93"/>
      <c r="AL34" s="122">
        <f t="shared" si="25"/>
        <v>6.6183703350043768</v>
      </c>
      <c r="AM34" s="93">
        <v>0</v>
      </c>
      <c r="AN34" s="325">
        <f t="shared" si="8"/>
        <v>0</v>
      </c>
      <c r="AO34" s="95">
        <f t="shared" si="26"/>
        <v>-6.6183703350043768</v>
      </c>
      <c r="AP34" s="96"/>
      <c r="AQ34" s="97">
        <f t="shared" si="9"/>
        <v>0</v>
      </c>
      <c r="AR34" s="98">
        <f t="shared" si="37"/>
        <v>117.24</v>
      </c>
      <c r="AS34" s="98">
        <f t="shared" si="11"/>
        <v>0</v>
      </c>
      <c r="AT34" s="98">
        <f t="shared" si="12"/>
        <v>0</v>
      </c>
      <c r="AU34" s="98">
        <f t="shared" si="27"/>
        <v>0</v>
      </c>
      <c r="AV34" s="98">
        <f t="array" ref="AV34">_xlfn.IFS(U34=0,AO34,U34&lt;0,AO34/-U34,U34&gt;0,AO34/U34)</f>
        <v>-6.6183703350043768</v>
      </c>
      <c r="AW34" s="234">
        <f>IF(AQ34=0,0,AV34/AQ34)</f>
        <v>0</v>
      </c>
      <c r="AX34" s="234">
        <f>IF(AR34=0,0,AV34/AR34)</f>
        <v>-5.6451469933507137E-2</v>
      </c>
      <c r="AY34" s="99"/>
      <c r="AZ34" s="94">
        <f t="shared" si="15"/>
        <v>-152.22251770510067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3">SUM(F35:J35)</f>
        <v>0</v>
      </c>
      <c r="F35" s="93"/>
      <c r="G35" s="93"/>
      <c r="H35" s="272">
        <v>0</v>
      </c>
      <c r="I35" s="93"/>
      <c r="J35" s="93"/>
      <c r="K35" s="93">
        <v>128.94</v>
      </c>
      <c r="L35" s="92">
        <f t="shared" ref="L35:L98" si="44">E35*K35</f>
        <v>0</v>
      </c>
      <c r="M35" s="89"/>
      <c r="N35" s="89"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v>0</v>
      </c>
      <c r="T35" s="93">
        <v>0</v>
      </c>
      <c r="U35" s="92">
        <f t="shared" si="18"/>
        <v>0</v>
      </c>
      <c r="V35" s="93">
        <v>0</v>
      </c>
      <c r="W35" s="93">
        <v>0</v>
      </c>
      <c r="X35" s="92">
        <f t="shared" si="19"/>
        <v>0</v>
      </c>
      <c r="Y35" s="93">
        <v>0</v>
      </c>
      <c r="Z35" s="93">
        <v>0</v>
      </c>
      <c r="AA35" s="92">
        <f t="shared" si="20"/>
        <v>0</v>
      </c>
      <c r="AB35" s="92">
        <f t="shared" si="21"/>
        <v>0</v>
      </c>
      <c r="AC35" s="234">
        <f t="shared" si="22"/>
        <v>0</v>
      </c>
      <c r="AD35" s="92">
        <f t="shared" si="23"/>
        <v>0</v>
      </c>
      <c r="AE35" s="93">
        <v>0</v>
      </c>
      <c r="AF35" s="234">
        <f t="shared" si="24"/>
        <v>0</v>
      </c>
      <c r="AG35" s="93">
        <v>0</v>
      </c>
      <c r="AH35" s="93"/>
      <c r="AI35" s="93"/>
      <c r="AJ35" s="93"/>
      <c r="AK35" s="93"/>
      <c r="AL35" s="122">
        <f t="shared" si="25"/>
        <v>0</v>
      </c>
      <c r="AM35" s="93">
        <v>0</v>
      </c>
      <c r="AN35" s="325">
        <f t="shared" ref="AN35:AN66" si="45">6067.24*Y35/Y$121</f>
        <v>0</v>
      </c>
      <c r="AO35" s="95">
        <f t="shared" si="26"/>
        <v>0</v>
      </c>
      <c r="AP35" s="96"/>
      <c r="AQ35" s="97">
        <f t="shared" si="9"/>
        <v>0</v>
      </c>
      <c r="AR35" s="98">
        <f t="shared" si="37"/>
        <v>128.94</v>
      </c>
      <c r="AS35" s="98">
        <f t="shared" si="11"/>
        <v>0</v>
      </c>
      <c r="AT35" s="98">
        <f t="shared" si="12"/>
        <v>0</v>
      </c>
      <c r="AU35" s="98">
        <f t="shared" si="27"/>
        <v>0</v>
      </c>
      <c r="AV35" s="98">
        <f t="array" ref="AV35">_xlfn.IFS(U35=0,AO35,U35&lt;0,AO35/-U35,U35&gt;0,AO35/U35)</f>
        <v>0</v>
      </c>
      <c r="AW35" s="234">
        <f t="shared" ref="AW35:AW98" si="46">IF(AQ35=0,0,AV35/AQ35)</f>
        <v>0</v>
      </c>
      <c r="AX35" s="234">
        <f t="shared" ref="AX35:AX98" si="47">IF(AR35=0,0,AV35/AR35)</f>
        <v>0</v>
      </c>
      <c r="AY35" s="99"/>
      <c r="AZ35" s="94">
        <f t="shared" si="15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3"/>
        <v>0</v>
      </c>
      <c r="F36" s="93"/>
      <c r="G36" s="93"/>
      <c r="H36" s="272">
        <v>0</v>
      </c>
      <c r="I36" s="93"/>
      <c r="J36" s="93"/>
      <c r="K36" s="93">
        <v>169.89</v>
      </c>
      <c r="L36" s="92">
        <f t="shared" si="44"/>
        <v>0</v>
      </c>
      <c r="M36" s="89"/>
      <c r="N36" s="89"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v>0</v>
      </c>
      <c r="T36" s="93">
        <v>0</v>
      </c>
      <c r="U36" s="92">
        <f t="shared" si="18"/>
        <v>0</v>
      </c>
      <c r="V36" s="93">
        <v>0</v>
      </c>
      <c r="W36" s="93">
        <v>0</v>
      </c>
      <c r="X36" s="92">
        <f t="shared" si="19"/>
        <v>0</v>
      </c>
      <c r="Y36" s="93">
        <v>0</v>
      </c>
      <c r="Z36" s="93">
        <v>0</v>
      </c>
      <c r="AA36" s="92">
        <f t="shared" si="20"/>
        <v>0</v>
      </c>
      <c r="AB36" s="92">
        <f t="shared" si="21"/>
        <v>0</v>
      </c>
      <c r="AC36" s="234">
        <f t="shared" si="22"/>
        <v>0</v>
      </c>
      <c r="AD36" s="92">
        <f t="shared" si="23"/>
        <v>0</v>
      </c>
      <c r="AE36" s="93">
        <v>0</v>
      </c>
      <c r="AF36" s="234">
        <f t="shared" si="24"/>
        <v>0</v>
      </c>
      <c r="AG36" s="93">
        <v>0</v>
      </c>
      <c r="AH36" s="93"/>
      <c r="AI36" s="93"/>
      <c r="AJ36" s="93"/>
      <c r="AK36" s="93"/>
      <c r="AL36" s="122">
        <f t="shared" si="25"/>
        <v>0</v>
      </c>
      <c r="AM36" s="93">
        <v>0</v>
      </c>
      <c r="AN36" s="325">
        <f t="shared" si="45"/>
        <v>0</v>
      </c>
      <c r="AO36" s="95">
        <f t="shared" si="26"/>
        <v>0</v>
      </c>
      <c r="AP36" s="96"/>
      <c r="AQ36" s="97">
        <f t="shared" si="9"/>
        <v>0</v>
      </c>
      <c r="AR36" s="98">
        <f t="shared" si="37"/>
        <v>169.89</v>
      </c>
      <c r="AS36" s="98">
        <f t="shared" si="11"/>
        <v>0</v>
      </c>
      <c r="AT36" s="98">
        <f t="shared" si="12"/>
        <v>0</v>
      </c>
      <c r="AU36" s="98">
        <f t="shared" si="27"/>
        <v>0</v>
      </c>
      <c r="AV36" s="98">
        <f t="array" ref="AV36">_xlfn.IFS(U36=0,AO36,U36&lt;0,AO36/-U36,U36&gt;0,AO36/U36)</f>
        <v>0</v>
      </c>
      <c r="AW36" s="234">
        <f t="shared" si="46"/>
        <v>0</v>
      </c>
      <c r="AX36" s="234">
        <f t="shared" si="47"/>
        <v>0</v>
      </c>
      <c r="AY36" s="99"/>
      <c r="AZ36" s="94">
        <f t="shared" si="15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3"/>
        <v>16</v>
      </c>
      <c r="F37" s="93"/>
      <c r="G37" s="93"/>
      <c r="H37" s="272">
        <v>16</v>
      </c>
      <c r="I37" s="93"/>
      <c r="J37" s="93"/>
      <c r="K37" s="93">
        <v>169.89</v>
      </c>
      <c r="L37" s="92">
        <f t="shared" si="44"/>
        <v>2718.24</v>
      </c>
      <c r="M37" s="89"/>
      <c r="N37" s="89">
        <v>0</v>
      </c>
      <c r="O37" s="89">
        <v>0</v>
      </c>
      <c r="P37" s="89">
        <v>0</v>
      </c>
      <c r="Q37" s="233">
        <f t="shared" si="16"/>
        <v>0</v>
      </c>
      <c r="R37" s="92">
        <f t="shared" si="17"/>
        <v>0</v>
      </c>
      <c r="S37" s="93">
        <v>0</v>
      </c>
      <c r="T37" s="93">
        <v>0</v>
      </c>
      <c r="U37" s="92">
        <f t="shared" si="18"/>
        <v>0</v>
      </c>
      <c r="V37" s="93">
        <v>0</v>
      </c>
      <c r="W37" s="93">
        <v>0</v>
      </c>
      <c r="X37" s="92">
        <f t="shared" si="19"/>
        <v>0</v>
      </c>
      <c r="Y37" s="93">
        <v>0</v>
      </c>
      <c r="Z37" s="93">
        <v>0</v>
      </c>
      <c r="AA37" s="92">
        <f t="shared" si="20"/>
        <v>0</v>
      </c>
      <c r="AB37" s="92">
        <f t="shared" si="21"/>
        <v>0</v>
      </c>
      <c r="AC37" s="234">
        <f t="shared" si="22"/>
        <v>0</v>
      </c>
      <c r="AD37" s="92">
        <f t="shared" si="23"/>
        <v>0</v>
      </c>
      <c r="AE37" s="93">
        <v>0</v>
      </c>
      <c r="AF37" s="234">
        <f t="shared" si="24"/>
        <v>0</v>
      </c>
      <c r="AG37" s="93">
        <v>0</v>
      </c>
      <c r="AH37" s="93"/>
      <c r="AI37" s="93"/>
      <c r="AJ37" s="93"/>
      <c r="AK37" s="93"/>
      <c r="AL37" s="122">
        <f t="shared" si="25"/>
        <v>4.6040837113073918</v>
      </c>
      <c r="AM37" s="93">
        <v>0</v>
      </c>
      <c r="AN37" s="325">
        <f t="shared" si="45"/>
        <v>0</v>
      </c>
      <c r="AO37" s="95">
        <f t="shared" si="26"/>
        <v>-4.6040837113073918</v>
      </c>
      <c r="AP37" s="96"/>
      <c r="AQ37" s="97">
        <f t="shared" si="9"/>
        <v>0</v>
      </c>
      <c r="AR37" s="98">
        <f t="shared" si="37"/>
        <v>169.89</v>
      </c>
      <c r="AS37" s="98">
        <f t="shared" si="11"/>
        <v>0</v>
      </c>
      <c r="AT37" s="98">
        <f t="shared" si="12"/>
        <v>0</v>
      </c>
      <c r="AU37" s="98">
        <f t="shared" si="27"/>
        <v>0</v>
      </c>
      <c r="AV37" s="98">
        <f t="array" ref="AV37">_xlfn.IFS(U37=0,AO37,U37&lt;0,AO37/-U37,U37&gt;0,AO37/U37)</f>
        <v>-4.6040837113073918</v>
      </c>
      <c r="AW37" s="234">
        <f t="shared" si="46"/>
        <v>0</v>
      </c>
      <c r="AX37" s="234">
        <f t="shared" si="47"/>
        <v>-2.7100380901214857E-2</v>
      </c>
      <c r="AY37" s="99"/>
      <c r="AZ37" s="94">
        <f t="shared" si="15"/>
        <v>-73.665339380918269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3"/>
        <v>47</v>
      </c>
      <c r="F38" s="93"/>
      <c r="G38" s="93"/>
      <c r="H38" s="272">
        <v>47</v>
      </c>
      <c r="I38" s="93"/>
      <c r="J38" s="93"/>
      <c r="K38" s="92">
        <v>105.54</v>
      </c>
      <c r="L38" s="92">
        <f t="shared" si="44"/>
        <v>4960.38</v>
      </c>
      <c r="M38" s="89"/>
      <c r="N38" s="89">
        <v>0</v>
      </c>
      <c r="O38" s="89">
        <v>0</v>
      </c>
      <c r="P38" s="89">
        <v>0</v>
      </c>
      <c r="Q38" s="233">
        <f t="shared" si="16"/>
        <v>0</v>
      </c>
      <c r="R38" s="92">
        <f t="shared" si="17"/>
        <v>0</v>
      </c>
      <c r="S38" s="93">
        <v>0</v>
      </c>
      <c r="T38" s="93">
        <v>0</v>
      </c>
      <c r="U38" s="92">
        <f t="shared" si="18"/>
        <v>0</v>
      </c>
      <c r="V38" s="93">
        <v>0</v>
      </c>
      <c r="W38" s="93">
        <v>0</v>
      </c>
      <c r="X38" s="92">
        <f t="shared" si="19"/>
        <v>0</v>
      </c>
      <c r="Y38" s="93">
        <v>0</v>
      </c>
      <c r="Z38" s="93">
        <v>0</v>
      </c>
      <c r="AA38" s="92">
        <f t="shared" si="20"/>
        <v>0</v>
      </c>
      <c r="AB38" s="92">
        <f t="shared" si="21"/>
        <v>0</v>
      </c>
      <c r="AC38" s="234">
        <f t="shared" si="22"/>
        <v>0</v>
      </c>
      <c r="AD38" s="92">
        <f t="shared" si="23"/>
        <v>0</v>
      </c>
      <c r="AE38" s="93">
        <v>0</v>
      </c>
      <c r="AF38" s="234">
        <f t="shared" si="24"/>
        <v>0</v>
      </c>
      <c r="AG38" s="93">
        <v>0</v>
      </c>
      <c r="AH38" s="93"/>
      <c r="AI38" s="93"/>
      <c r="AJ38" s="93"/>
      <c r="AK38" s="93"/>
      <c r="AL38" s="122">
        <f t="shared" si="25"/>
        <v>13.524495901965464</v>
      </c>
      <c r="AM38" s="93">
        <v>0</v>
      </c>
      <c r="AN38" s="325">
        <f t="shared" si="45"/>
        <v>0</v>
      </c>
      <c r="AO38" s="95">
        <f t="shared" si="26"/>
        <v>-13.524495901965464</v>
      </c>
      <c r="AP38" s="96"/>
      <c r="AQ38" s="97">
        <f t="shared" si="9"/>
        <v>0</v>
      </c>
      <c r="AR38" s="98">
        <f t="shared" si="37"/>
        <v>105.54</v>
      </c>
      <c r="AS38" s="98">
        <f t="shared" si="11"/>
        <v>0</v>
      </c>
      <c r="AT38" s="98">
        <f t="shared" si="12"/>
        <v>0</v>
      </c>
      <c r="AU38" s="98">
        <f t="shared" si="27"/>
        <v>0</v>
      </c>
      <c r="AV38" s="98">
        <f t="array" ref="AV38">_xlfn.IFS(U38=0,AO38,U38&lt;0,AO38/-U38,U38&gt;0,AO38/U38)</f>
        <v>-13.524495901965464</v>
      </c>
      <c r="AW38" s="234">
        <f t="shared" si="46"/>
        <v>0</v>
      </c>
      <c r="AX38" s="234">
        <f t="shared" si="47"/>
        <v>-0.12814568790947001</v>
      </c>
      <c r="AY38" s="99"/>
      <c r="AZ38" s="94">
        <f t="shared" si="15"/>
        <v>-635.65130739237679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3"/>
        <v>49</v>
      </c>
      <c r="F39" s="93"/>
      <c r="G39" s="93"/>
      <c r="H39" s="272">
        <v>49</v>
      </c>
      <c r="I39" s="93"/>
      <c r="J39" s="93"/>
      <c r="K39" s="92">
        <v>105.54</v>
      </c>
      <c r="L39" s="92">
        <f t="shared" si="44"/>
        <v>5171.46</v>
      </c>
      <c r="M39" s="89"/>
      <c r="N39" s="89">
        <v>0</v>
      </c>
      <c r="O39" s="89">
        <v>0</v>
      </c>
      <c r="P39" s="89">
        <v>0</v>
      </c>
      <c r="Q39" s="233">
        <f t="shared" si="16"/>
        <v>0</v>
      </c>
      <c r="R39" s="92">
        <f t="shared" si="17"/>
        <v>0</v>
      </c>
      <c r="S39" s="93">
        <v>0</v>
      </c>
      <c r="T39" s="93">
        <v>0</v>
      </c>
      <c r="U39" s="92">
        <f t="shared" si="18"/>
        <v>0</v>
      </c>
      <c r="V39" s="93">
        <v>0</v>
      </c>
      <c r="W39" s="93">
        <v>0</v>
      </c>
      <c r="X39" s="92">
        <f t="shared" si="19"/>
        <v>0</v>
      </c>
      <c r="Y39" s="93">
        <v>0</v>
      </c>
      <c r="Z39" s="93">
        <v>0</v>
      </c>
      <c r="AA39" s="92">
        <f t="shared" si="20"/>
        <v>0</v>
      </c>
      <c r="AB39" s="92">
        <f t="shared" si="21"/>
        <v>0</v>
      </c>
      <c r="AC39" s="234">
        <f t="shared" si="22"/>
        <v>0</v>
      </c>
      <c r="AD39" s="92">
        <f t="shared" si="23"/>
        <v>0</v>
      </c>
      <c r="AE39" s="93">
        <v>0</v>
      </c>
      <c r="AF39" s="234">
        <f t="shared" si="24"/>
        <v>0</v>
      </c>
      <c r="AG39" s="93">
        <v>0</v>
      </c>
      <c r="AH39" s="93"/>
      <c r="AI39" s="93"/>
      <c r="AJ39" s="93"/>
      <c r="AK39" s="93"/>
      <c r="AL39" s="122">
        <f t="shared" si="25"/>
        <v>14.100006365878889</v>
      </c>
      <c r="AM39" s="93">
        <v>0</v>
      </c>
      <c r="AN39" s="325">
        <f t="shared" si="45"/>
        <v>0</v>
      </c>
      <c r="AO39" s="95">
        <f t="shared" si="26"/>
        <v>-14.100006365878889</v>
      </c>
      <c r="AP39" s="96"/>
      <c r="AQ39" s="97">
        <f t="shared" si="9"/>
        <v>0</v>
      </c>
      <c r="AR39" s="98">
        <f t="shared" si="37"/>
        <v>105.54</v>
      </c>
      <c r="AS39" s="98">
        <f t="shared" si="11"/>
        <v>0</v>
      </c>
      <c r="AT39" s="98">
        <f t="shared" si="12"/>
        <v>0</v>
      </c>
      <c r="AU39" s="98">
        <f t="shared" si="27"/>
        <v>0</v>
      </c>
      <c r="AV39" s="98">
        <f t="array" ref="AV39">_xlfn.IFS(U39=0,AO39,U39&lt;0,AO39/-U39,U39&gt;0,AO39/U39)</f>
        <v>-14.100006365878889</v>
      </c>
      <c r="AW39" s="234">
        <f t="shared" si="46"/>
        <v>0</v>
      </c>
      <c r="AX39" s="234">
        <f t="shared" si="47"/>
        <v>-0.13359869590561765</v>
      </c>
      <c r="AY39" s="99"/>
      <c r="AZ39" s="94">
        <f t="shared" si="15"/>
        <v>-690.90031192806555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3"/>
        <v>47</v>
      </c>
      <c r="F40" s="93"/>
      <c r="G40" s="93"/>
      <c r="H40" s="272">
        <v>47</v>
      </c>
      <c r="I40" s="93"/>
      <c r="J40" s="93"/>
      <c r="K40" s="92">
        <v>105.54</v>
      </c>
      <c r="L40" s="92">
        <f t="shared" si="44"/>
        <v>4960.38</v>
      </c>
      <c r="M40" s="89"/>
      <c r="N40" s="89">
        <v>0</v>
      </c>
      <c r="O40" s="89">
        <v>0</v>
      </c>
      <c r="P40" s="89">
        <v>0</v>
      </c>
      <c r="Q40" s="233">
        <f t="shared" si="16"/>
        <v>0</v>
      </c>
      <c r="R40" s="92">
        <f t="shared" si="17"/>
        <v>0</v>
      </c>
      <c r="S40" s="93">
        <v>0</v>
      </c>
      <c r="T40" s="93">
        <v>0</v>
      </c>
      <c r="U40" s="92">
        <f t="shared" si="18"/>
        <v>0</v>
      </c>
      <c r="V40" s="93">
        <v>0</v>
      </c>
      <c r="W40" s="93">
        <v>0</v>
      </c>
      <c r="X40" s="92">
        <f t="shared" si="19"/>
        <v>0</v>
      </c>
      <c r="Y40" s="93">
        <v>0</v>
      </c>
      <c r="Z40" s="93">
        <v>0</v>
      </c>
      <c r="AA40" s="92">
        <f t="shared" si="20"/>
        <v>0</v>
      </c>
      <c r="AB40" s="92">
        <f t="shared" si="21"/>
        <v>0</v>
      </c>
      <c r="AC40" s="234">
        <f t="shared" si="22"/>
        <v>0</v>
      </c>
      <c r="AD40" s="92">
        <f t="shared" si="23"/>
        <v>0</v>
      </c>
      <c r="AE40" s="93">
        <v>0</v>
      </c>
      <c r="AF40" s="234">
        <f t="shared" si="24"/>
        <v>0</v>
      </c>
      <c r="AG40" s="93">
        <v>0</v>
      </c>
      <c r="AH40" s="93"/>
      <c r="AI40" s="93"/>
      <c r="AJ40" s="93"/>
      <c r="AK40" s="93"/>
      <c r="AL40" s="122">
        <f t="shared" si="25"/>
        <v>13.524495901965464</v>
      </c>
      <c r="AM40" s="93">
        <v>0</v>
      </c>
      <c r="AN40" s="325">
        <f t="shared" si="45"/>
        <v>0</v>
      </c>
      <c r="AO40" s="95">
        <f t="shared" si="26"/>
        <v>-13.524495901965464</v>
      </c>
      <c r="AP40" s="96"/>
      <c r="AQ40" s="97">
        <f t="shared" si="9"/>
        <v>0</v>
      </c>
      <c r="AR40" s="98">
        <f t="shared" si="37"/>
        <v>105.54</v>
      </c>
      <c r="AS40" s="98">
        <f t="shared" si="11"/>
        <v>0</v>
      </c>
      <c r="AT40" s="98">
        <f t="shared" si="12"/>
        <v>0</v>
      </c>
      <c r="AU40" s="98">
        <f t="shared" si="27"/>
        <v>0</v>
      </c>
      <c r="AV40" s="98">
        <f t="array" ref="AV40">_xlfn.IFS(U40=0,AO40,U40&lt;0,AO40/-U40,U40&gt;0,AO40/U40)</f>
        <v>-13.524495901965464</v>
      </c>
      <c r="AW40" s="234">
        <f t="shared" si="46"/>
        <v>0</v>
      </c>
      <c r="AX40" s="234">
        <f t="shared" si="47"/>
        <v>-0.12814568790947001</v>
      </c>
      <c r="AY40" s="99"/>
      <c r="AZ40" s="94">
        <f t="shared" si="15"/>
        <v>-635.65130739237679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3"/>
        <v>47</v>
      </c>
      <c r="F41" s="93"/>
      <c r="G41" s="93"/>
      <c r="H41" s="272">
        <v>47</v>
      </c>
      <c r="I41" s="93"/>
      <c r="J41" s="93"/>
      <c r="K41" s="92">
        <v>123.09</v>
      </c>
      <c r="L41" s="92">
        <f t="shared" si="44"/>
        <v>5785.2300000000005</v>
      </c>
      <c r="M41" s="89"/>
      <c r="N41" s="89">
        <v>0</v>
      </c>
      <c r="O41" s="89">
        <v>0</v>
      </c>
      <c r="P41" s="89">
        <v>0</v>
      </c>
      <c r="Q41" s="233">
        <f t="shared" si="16"/>
        <v>0</v>
      </c>
      <c r="R41" s="92">
        <f t="shared" si="17"/>
        <v>0</v>
      </c>
      <c r="S41" s="93">
        <v>0</v>
      </c>
      <c r="T41" s="93">
        <v>0</v>
      </c>
      <c r="U41" s="92">
        <f t="shared" si="18"/>
        <v>0</v>
      </c>
      <c r="V41" s="93">
        <v>0</v>
      </c>
      <c r="W41" s="93">
        <v>0</v>
      </c>
      <c r="X41" s="92">
        <f t="shared" si="19"/>
        <v>0</v>
      </c>
      <c r="Y41" s="93">
        <v>0</v>
      </c>
      <c r="Z41" s="93">
        <v>0</v>
      </c>
      <c r="AA41" s="92">
        <f t="shared" si="20"/>
        <v>0</v>
      </c>
      <c r="AB41" s="92">
        <f t="shared" si="21"/>
        <v>0</v>
      </c>
      <c r="AC41" s="234">
        <f t="shared" si="22"/>
        <v>0</v>
      </c>
      <c r="AD41" s="92">
        <f t="shared" si="23"/>
        <v>0</v>
      </c>
      <c r="AE41" s="93">
        <v>0</v>
      </c>
      <c r="AF41" s="234">
        <f t="shared" si="24"/>
        <v>0</v>
      </c>
      <c r="AG41" s="93">
        <v>0</v>
      </c>
      <c r="AH41" s="93"/>
      <c r="AI41" s="93"/>
      <c r="AJ41" s="93"/>
      <c r="AK41" s="93"/>
      <c r="AL41" s="122">
        <f t="shared" si="25"/>
        <v>13.524495901965464</v>
      </c>
      <c r="AM41" s="93">
        <v>0</v>
      </c>
      <c r="AN41" s="325">
        <f t="shared" si="45"/>
        <v>0</v>
      </c>
      <c r="AO41" s="95">
        <f t="shared" si="26"/>
        <v>-13.524495901965464</v>
      </c>
      <c r="AP41" s="96"/>
      <c r="AQ41" s="97">
        <f t="shared" si="9"/>
        <v>0</v>
      </c>
      <c r="AR41" s="98">
        <f t="shared" si="37"/>
        <v>123.09</v>
      </c>
      <c r="AS41" s="98">
        <f t="shared" si="11"/>
        <v>0</v>
      </c>
      <c r="AT41" s="98">
        <f t="shared" si="12"/>
        <v>0</v>
      </c>
      <c r="AU41" s="98">
        <f t="shared" si="27"/>
        <v>0</v>
      </c>
      <c r="AV41" s="98">
        <f t="array" ref="AV41">_xlfn.IFS(U41=0,AO41,U41&lt;0,AO41/-U41,U41&gt;0,AO41/U41)</f>
        <v>-13.524495901965464</v>
      </c>
      <c r="AW41" s="234">
        <f t="shared" si="46"/>
        <v>0</v>
      </c>
      <c r="AX41" s="234">
        <f t="shared" si="47"/>
        <v>-0.10987485500012563</v>
      </c>
      <c r="AY41" s="99"/>
      <c r="AZ41" s="94">
        <f t="shared" si="15"/>
        <v>-635.65130739237679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3"/>
        <v>48</v>
      </c>
      <c r="F42" s="93"/>
      <c r="G42" s="93"/>
      <c r="H42" s="272">
        <v>48</v>
      </c>
      <c r="I42" s="93"/>
      <c r="J42" s="93"/>
      <c r="K42" s="92">
        <v>123.09</v>
      </c>
      <c r="L42" s="92">
        <f t="shared" si="44"/>
        <v>5908.32</v>
      </c>
      <c r="M42" s="89"/>
      <c r="N42" s="89">
        <v>0</v>
      </c>
      <c r="O42" s="89">
        <v>0</v>
      </c>
      <c r="P42" s="89">
        <v>0</v>
      </c>
      <c r="Q42" s="233">
        <f t="shared" si="16"/>
        <v>0</v>
      </c>
      <c r="R42" s="92">
        <f t="shared" si="17"/>
        <v>0</v>
      </c>
      <c r="S42" s="93">
        <v>0</v>
      </c>
      <c r="T42" s="93">
        <v>0</v>
      </c>
      <c r="U42" s="92">
        <f t="shared" si="18"/>
        <v>0</v>
      </c>
      <c r="V42" s="93">
        <v>0</v>
      </c>
      <c r="W42" s="93">
        <v>0</v>
      </c>
      <c r="X42" s="92">
        <f t="shared" si="19"/>
        <v>0</v>
      </c>
      <c r="Y42" s="93">
        <v>0</v>
      </c>
      <c r="Z42" s="93">
        <v>0</v>
      </c>
      <c r="AA42" s="92">
        <f t="shared" si="20"/>
        <v>0</v>
      </c>
      <c r="AB42" s="92">
        <f t="shared" si="21"/>
        <v>0</v>
      </c>
      <c r="AC42" s="234">
        <f t="shared" si="22"/>
        <v>0</v>
      </c>
      <c r="AD42" s="92">
        <f t="shared" si="23"/>
        <v>0</v>
      </c>
      <c r="AE42" s="93">
        <v>0</v>
      </c>
      <c r="AF42" s="234">
        <f t="shared" si="24"/>
        <v>0</v>
      </c>
      <c r="AG42" s="93">
        <v>0</v>
      </c>
      <c r="AH42" s="93"/>
      <c r="AI42" s="93"/>
      <c r="AJ42" s="93"/>
      <c r="AK42" s="93"/>
      <c r="AL42" s="122">
        <f t="shared" si="25"/>
        <v>13.812251133922176</v>
      </c>
      <c r="AM42" s="93">
        <v>0</v>
      </c>
      <c r="AN42" s="325">
        <f t="shared" si="45"/>
        <v>0</v>
      </c>
      <c r="AO42" s="95">
        <f t="shared" si="26"/>
        <v>-13.812251133922176</v>
      </c>
      <c r="AP42" s="96"/>
      <c r="AQ42" s="97">
        <f t="shared" si="9"/>
        <v>0</v>
      </c>
      <c r="AR42" s="98">
        <f t="shared" si="37"/>
        <v>123.09</v>
      </c>
      <c r="AS42" s="98">
        <f t="shared" si="11"/>
        <v>0</v>
      </c>
      <c r="AT42" s="98">
        <f t="shared" si="12"/>
        <v>0</v>
      </c>
      <c r="AU42" s="98">
        <f t="shared" si="27"/>
        <v>0</v>
      </c>
      <c r="AV42" s="98">
        <f t="array" ref="AV42">_xlfn.IFS(U42=0,AO42,U42&lt;0,AO42/-U42,U42&gt;0,AO42/U42)</f>
        <v>-13.812251133922176</v>
      </c>
      <c r="AW42" s="234">
        <f t="shared" si="46"/>
        <v>0</v>
      </c>
      <c r="AX42" s="234">
        <f t="shared" si="47"/>
        <v>-0.11221261787246872</v>
      </c>
      <c r="AY42" s="99"/>
      <c r="AZ42" s="94">
        <f t="shared" si="15"/>
        <v>-662.98805442826449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3"/>
        <v>48</v>
      </c>
      <c r="F43" s="93"/>
      <c r="G43" s="93"/>
      <c r="H43" s="272">
        <v>48</v>
      </c>
      <c r="I43" s="93"/>
      <c r="J43" s="93"/>
      <c r="K43" s="92">
        <v>123.09</v>
      </c>
      <c r="L43" s="92">
        <f t="shared" si="44"/>
        <v>5908.32</v>
      </c>
      <c r="M43" s="89"/>
      <c r="N43" s="89">
        <v>0</v>
      </c>
      <c r="O43" s="89">
        <v>0</v>
      </c>
      <c r="P43" s="89">
        <v>0</v>
      </c>
      <c r="Q43" s="233">
        <f t="shared" si="16"/>
        <v>0</v>
      </c>
      <c r="R43" s="92">
        <f t="shared" si="17"/>
        <v>0</v>
      </c>
      <c r="S43" s="93">
        <v>0</v>
      </c>
      <c r="T43" s="93">
        <v>0</v>
      </c>
      <c r="U43" s="92">
        <f t="shared" si="18"/>
        <v>0</v>
      </c>
      <c r="V43" s="93">
        <v>0</v>
      </c>
      <c r="W43" s="93">
        <v>0</v>
      </c>
      <c r="X43" s="92">
        <f t="shared" si="19"/>
        <v>0</v>
      </c>
      <c r="Y43" s="93">
        <v>0</v>
      </c>
      <c r="Z43" s="93">
        <v>0</v>
      </c>
      <c r="AA43" s="92">
        <f t="shared" si="20"/>
        <v>0</v>
      </c>
      <c r="AB43" s="92">
        <f t="shared" si="21"/>
        <v>0</v>
      </c>
      <c r="AC43" s="234">
        <f t="shared" si="22"/>
        <v>0</v>
      </c>
      <c r="AD43" s="92">
        <f t="shared" si="23"/>
        <v>0</v>
      </c>
      <c r="AE43" s="93">
        <v>0</v>
      </c>
      <c r="AF43" s="234">
        <f t="shared" si="24"/>
        <v>0</v>
      </c>
      <c r="AG43" s="93">
        <v>0</v>
      </c>
      <c r="AH43" s="93"/>
      <c r="AI43" s="93"/>
      <c r="AJ43" s="93"/>
      <c r="AK43" s="93"/>
      <c r="AL43" s="122">
        <f t="shared" si="25"/>
        <v>13.812251133922176</v>
      </c>
      <c r="AM43" s="93">
        <v>0</v>
      </c>
      <c r="AN43" s="325">
        <f t="shared" si="45"/>
        <v>0</v>
      </c>
      <c r="AO43" s="95">
        <f t="shared" si="26"/>
        <v>-13.812251133922176</v>
      </c>
      <c r="AP43" s="96"/>
      <c r="AQ43" s="97">
        <f t="shared" si="9"/>
        <v>0</v>
      </c>
      <c r="AR43" s="98">
        <f t="shared" si="37"/>
        <v>123.09</v>
      </c>
      <c r="AS43" s="98">
        <f t="shared" si="11"/>
        <v>0</v>
      </c>
      <c r="AT43" s="98">
        <f t="shared" si="12"/>
        <v>0</v>
      </c>
      <c r="AU43" s="98">
        <f t="shared" si="27"/>
        <v>0</v>
      </c>
      <c r="AV43" s="98">
        <f t="array" ref="AV43">_xlfn.IFS(U43=0,AO43,U43&lt;0,AO43/-U43,U43&gt;0,AO43/U43)</f>
        <v>-13.812251133922176</v>
      </c>
      <c r="AW43" s="234">
        <f t="shared" si="46"/>
        <v>0</v>
      </c>
      <c r="AX43" s="234">
        <f t="shared" si="47"/>
        <v>-0.11221261787246872</v>
      </c>
      <c r="AY43" s="99"/>
      <c r="AZ43" s="94">
        <f t="shared" si="15"/>
        <v>-662.98805442826449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3"/>
        <v>219</v>
      </c>
      <c r="F44" s="93"/>
      <c r="G44" s="93"/>
      <c r="H44" s="272">
        <v>219</v>
      </c>
      <c r="I44" s="93"/>
      <c r="J44" s="93"/>
      <c r="K44" s="92">
        <v>111.39</v>
      </c>
      <c r="L44" s="92">
        <f t="shared" si="44"/>
        <v>24394.41</v>
      </c>
      <c r="M44" s="89"/>
      <c r="N44" s="89">
        <v>0</v>
      </c>
      <c r="O44" s="89">
        <v>0</v>
      </c>
      <c r="P44" s="89">
        <v>0</v>
      </c>
      <c r="Q44" s="233">
        <f t="shared" si="16"/>
        <v>0</v>
      </c>
      <c r="R44" s="92">
        <f t="shared" si="17"/>
        <v>0</v>
      </c>
      <c r="S44" s="93">
        <v>0</v>
      </c>
      <c r="T44" s="93">
        <v>0</v>
      </c>
      <c r="U44" s="92">
        <f t="shared" si="18"/>
        <v>0</v>
      </c>
      <c r="V44" s="93">
        <v>0</v>
      </c>
      <c r="W44" s="93">
        <v>0</v>
      </c>
      <c r="X44" s="92">
        <f t="shared" si="19"/>
        <v>0</v>
      </c>
      <c r="Y44" s="93">
        <v>0</v>
      </c>
      <c r="Z44" s="93">
        <v>0</v>
      </c>
      <c r="AA44" s="92">
        <f t="shared" si="20"/>
        <v>0</v>
      </c>
      <c r="AB44" s="92">
        <f t="shared" si="21"/>
        <v>0</v>
      </c>
      <c r="AC44" s="234">
        <f t="shared" si="22"/>
        <v>0</v>
      </c>
      <c r="AD44" s="92">
        <f t="shared" si="23"/>
        <v>0</v>
      </c>
      <c r="AE44" s="93">
        <v>0</v>
      </c>
      <c r="AF44" s="234">
        <f t="shared" si="24"/>
        <v>0</v>
      </c>
      <c r="AG44" s="93">
        <v>202.48</v>
      </c>
      <c r="AH44" s="93"/>
      <c r="AI44" s="93"/>
      <c r="AJ44" s="93"/>
      <c r="AK44" s="93"/>
      <c r="AL44" s="122">
        <f t="shared" si="25"/>
        <v>63.018395798519926</v>
      </c>
      <c r="AM44" s="93">
        <v>0</v>
      </c>
      <c r="AN44" s="325">
        <f t="shared" si="45"/>
        <v>0</v>
      </c>
      <c r="AO44" s="95">
        <f t="shared" si="26"/>
        <v>-265.49839579851994</v>
      </c>
      <c r="AP44" s="96"/>
      <c r="AQ44" s="97">
        <f t="shared" si="9"/>
        <v>0</v>
      </c>
      <c r="AR44" s="98">
        <f t="shared" si="37"/>
        <v>111.39</v>
      </c>
      <c r="AS44" s="98">
        <f t="shared" si="11"/>
        <v>0</v>
      </c>
      <c r="AT44" s="98">
        <f t="shared" si="12"/>
        <v>202.48</v>
      </c>
      <c r="AU44" s="98">
        <f t="shared" si="27"/>
        <v>0</v>
      </c>
      <c r="AV44" s="98">
        <f t="array" ref="AV44">_xlfn.IFS(U44=0,AO44,U44&lt;0,AO44/-U44,U44&gt;0,AO44/U44)</f>
        <v>-265.49839579851994</v>
      </c>
      <c r="AW44" s="234">
        <f t="shared" si="46"/>
        <v>0</v>
      </c>
      <c r="AX44" s="234">
        <f t="shared" si="47"/>
        <v>-2.3835029697326506</v>
      </c>
      <c r="AY44" s="99"/>
      <c r="AZ44" s="94">
        <f t="shared" si="15"/>
        <v>-58144.148679875863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3"/>
        <v>296</v>
      </c>
      <c r="F45" s="93"/>
      <c r="G45" s="93"/>
      <c r="H45" s="272">
        <v>296</v>
      </c>
      <c r="I45" s="93"/>
      <c r="J45" s="93"/>
      <c r="K45" s="92">
        <v>107.88</v>
      </c>
      <c r="L45" s="92">
        <f t="shared" si="44"/>
        <v>31932.48</v>
      </c>
      <c r="M45" s="89"/>
      <c r="N45" s="89">
        <v>0</v>
      </c>
      <c r="O45" s="89">
        <v>0</v>
      </c>
      <c r="P45" s="89">
        <v>0</v>
      </c>
      <c r="Q45" s="233">
        <f t="shared" si="16"/>
        <v>0</v>
      </c>
      <c r="R45" s="92">
        <f t="shared" si="17"/>
        <v>0</v>
      </c>
      <c r="S45" s="93">
        <v>0</v>
      </c>
      <c r="T45" s="93">
        <v>0</v>
      </c>
      <c r="U45" s="92">
        <f t="shared" si="18"/>
        <v>0</v>
      </c>
      <c r="V45" s="93">
        <v>0</v>
      </c>
      <c r="W45" s="93">
        <v>0</v>
      </c>
      <c r="X45" s="92">
        <f t="shared" si="19"/>
        <v>0</v>
      </c>
      <c r="Y45" s="93">
        <v>0</v>
      </c>
      <c r="Z45" s="93">
        <v>0</v>
      </c>
      <c r="AA45" s="92">
        <f t="shared" si="20"/>
        <v>0</v>
      </c>
      <c r="AB45" s="92">
        <f t="shared" si="21"/>
        <v>0</v>
      </c>
      <c r="AC45" s="234">
        <f t="shared" si="22"/>
        <v>0</v>
      </c>
      <c r="AD45" s="92">
        <f t="shared" si="23"/>
        <v>0</v>
      </c>
      <c r="AE45" s="93">
        <v>0</v>
      </c>
      <c r="AF45" s="234">
        <f t="shared" si="24"/>
        <v>0</v>
      </c>
      <c r="AG45" s="93">
        <v>117.2</v>
      </c>
      <c r="AH45" s="93"/>
      <c r="AI45" s="93"/>
      <c r="AJ45" s="93"/>
      <c r="AK45" s="93"/>
      <c r="AL45" s="122">
        <f t="shared" si="25"/>
        <v>85.175548659186745</v>
      </c>
      <c r="AM45" s="93">
        <v>0</v>
      </c>
      <c r="AN45" s="325">
        <f t="shared" si="45"/>
        <v>0</v>
      </c>
      <c r="AO45" s="95">
        <f t="shared" si="26"/>
        <v>-202.37554865918673</v>
      </c>
      <c r="AP45" s="96"/>
      <c r="AQ45" s="97">
        <f t="shared" si="9"/>
        <v>0</v>
      </c>
      <c r="AR45" s="98">
        <f t="shared" si="37"/>
        <v>107.88</v>
      </c>
      <c r="AS45" s="98">
        <f t="shared" si="11"/>
        <v>0</v>
      </c>
      <c r="AT45" s="98">
        <f t="shared" si="12"/>
        <v>117.2</v>
      </c>
      <c r="AU45" s="98">
        <f t="shared" si="27"/>
        <v>0</v>
      </c>
      <c r="AV45" s="98">
        <f t="array" ref="AV45">_xlfn.IFS(U45=0,AO45,U45&lt;0,AO45/-U45,U45&gt;0,AO45/U45)</f>
        <v>-202.37554865918673</v>
      </c>
      <c r="AW45" s="234">
        <f t="shared" si="46"/>
        <v>0</v>
      </c>
      <c r="AX45" s="234">
        <f t="shared" si="47"/>
        <v>-1.8759320417054759</v>
      </c>
      <c r="AY45" s="99"/>
      <c r="AZ45" s="94">
        <f t="shared" si="15"/>
        <v>-59903.162403119277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3"/>
        <v>0</v>
      </c>
      <c r="F46" s="93"/>
      <c r="G46" s="93"/>
      <c r="H46" s="272">
        <v>0</v>
      </c>
      <c r="I46" s="93"/>
      <c r="J46" s="93"/>
      <c r="K46" s="92">
        <v>107.88</v>
      </c>
      <c r="L46" s="92">
        <f t="shared" si="44"/>
        <v>0</v>
      </c>
      <c r="M46" s="89"/>
      <c r="N46" s="89"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v>0</v>
      </c>
      <c r="T46" s="93">
        <v>0</v>
      </c>
      <c r="U46" s="92">
        <f t="shared" si="18"/>
        <v>0</v>
      </c>
      <c r="V46" s="93">
        <v>0</v>
      </c>
      <c r="W46" s="93">
        <v>0</v>
      </c>
      <c r="X46" s="92">
        <f t="shared" si="19"/>
        <v>0</v>
      </c>
      <c r="Y46" s="93">
        <v>0</v>
      </c>
      <c r="Z46" s="93">
        <v>0</v>
      </c>
      <c r="AA46" s="92">
        <f t="shared" si="20"/>
        <v>0</v>
      </c>
      <c r="AB46" s="92">
        <f t="shared" si="21"/>
        <v>0</v>
      </c>
      <c r="AC46" s="234">
        <f t="shared" si="22"/>
        <v>0</v>
      </c>
      <c r="AD46" s="92">
        <f t="shared" si="23"/>
        <v>0</v>
      </c>
      <c r="AE46" s="93">
        <v>0</v>
      </c>
      <c r="AF46" s="234">
        <f t="shared" si="24"/>
        <v>0</v>
      </c>
      <c r="AG46" s="93">
        <v>0</v>
      </c>
      <c r="AH46" s="93"/>
      <c r="AI46" s="93"/>
      <c r="AJ46" s="93"/>
      <c r="AK46" s="93"/>
      <c r="AL46" s="122">
        <f t="shared" si="25"/>
        <v>0</v>
      </c>
      <c r="AM46" s="93">
        <v>0</v>
      </c>
      <c r="AN46" s="325">
        <f t="shared" si="45"/>
        <v>0</v>
      </c>
      <c r="AO46" s="95">
        <f t="shared" si="26"/>
        <v>0</v>
      </c>
      <c r="AP46" s="96"/>
      <c r="AQ46" s="97">
        <f t="shared" si="9"/>
        <v>0</v>
      </c>
      <c r="AR46" s="98">
        <f t="shared" si="37"/>
        <v>107.88</v>
      </c>
      <c r="AS46" s="98">
        <f t="shared" si="11"/>
        <v>0</v>
      </c>
      <c r="AT46" s="98">
        <f t="shared" si="12"/>
        <v>0</v>
      </c>
      <c r="AU46" s="98">
        <f t="shared" si="27"/>
        <v>0</v>
      </c>
      <c r="AV46" s="98">
        <f t="array" ref="AV46">_xlfn.IFS(U46=0,AO46,U46&lt;0,AO46/-U46,U46&gt;0,AO46/U46)</f>
        <v>0</v>
      </c>
      <c r="AW46" s="234">
        <f t="shared" si="46"/>
        <v>0</v>
      </c>
      <c r="AX46" s="234">
        <f t="shared" si="47"/>
        <v>0</v>
      </c>
      <c r="AY46" s="99"/>
      <c r="AZ46" s="94">
        <f t="shared" si="15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3"/>
        <v>170</v>
      </c>
      <c r="F47" s="93"/>
      <c r="G47" s="93"/>
      <c r="H47" s="272">
        <v>170</v>
      </c>
      <c r="I47" s="93"/>
      <c r="J47" s="93"/>
      <c r="K47" s="92">
        <v>123.09</v>
      </c>
      <c r="L47" s="92">
        <f t="shared" si="44"/>
        <v>20925.3</v>
      </c>
      <c r="M47" s="89"/>
      <c r="N47" s="89">
        <v>1</v>
      </c>
      <c r="O47" s="89">
        <v>998</v>
      </c>
      <c r="P47" s="89">
        <v>0</v>
      </c>
      <c r="Q47" s="233">
        <f t="shared" si="16"/>
        <v>0.33333333333333331</v>
      </c>
      <c r="R47" s="92">
        <f t="shared" si="17"/>
        <v>0.33333333333333331</v>
      </c>
      <c r="S47" s="93">
        <v>1</v>
      </c>
      <c r="T47" s="93">
        <v>0</v>
      </c>
      <c r="U47" s="92">
        <f t="shared" si="18"/>
        <v>1</v>
      </c>
      <c r="V47" s="93">
        <v>771</v>
      </c>
      <c r="W47" s="93">
        <v>0</v>
      </c>
      <c r="X47" s="92">
        <f t="shared" si="19"/>
        <v>771</v>
      </c>
      <c r="Y47" s="93">
        <v>998</v>
      </c>
      <c r="Z47" s="93">
        <v>0</v>
      </c>
      <c r="AA47" s="92">
        <f t="shared" si="20"/>
        <v>998</v>
      </c>
      <c r="AB47" s="92">
        <f t="shared" si="21"/>
        <v>0</v>
      </c>
      <c r="AC47" s="234">
        <f t="shared" si="22"/>
        <v>7.5929006227015402E-3</v>
      </c>
      <c r="AD47" s="92">
        <f t="shared" si="23"/>
        <v>123.09</v>
      </c>
      <c r="AE47" s="93">
        <v>374.92999999999995</v>
      </c>
      <c r="AF47" s="234">
        <f t="shared" si="24"/>
        <v>0.37568136272545083</v>
      </c>
      <c r="AG47" s="93">
        <v>47.79</v>
      </c>
      <c r="AH47" s="93"/>
      <c r="AI47" s="93"/>
      <c r="AJ47" s="93"/>
      <c r="AK47" s="93"/>
      <c r="AL47" s="122">
        <f t="shared" si="25"/>
        <v>48.918389432641042</v>
      </c>
      <c r="AM47" s="93">
        <v>0</v>
      </c>
      <c r="AN47" s="325">
        <f t="shared" si="45"/>
        <v>43.573016632944636</v>
      </c>
      <c r="AO47" s="95">
        <f t="shared" si="26"/>
        <v>359.6985939344143</v>
      </c>
      <c r="AP47" s="96"/>
      <c r="AQ47" s="97">
        <f t="shared" si="9"/>
        <v>998</v>
      </c>
      <c r="AR47" s="98">
        <f t="shared" si="37"/>
        <v>123.09</v>
      </c>
      <c r="AS47" s="98">
        <f t="shared" si="11"/>
        <v>374.92999999999995</v>
      </c>
      <c r="AT47" s="98">
        <f t="shared" si="12"/>
        <v>47.79</v>
      </c>
      <c r="AU47" s="98">
        <f t="shared" si="27"/>
        <v>0</v>
      </c>
      <c r="AV47" s="98">
        <f t="array" ref="AV47">_xlfn.IFS(U47=0,AO47,U47&lt;0,AO47/-U47,U47&gt;0,AO47/U47)</f>
        <v>359.6985939344143</v>
      </c>
      <c r="AW47" s="234">
        <f t="shared" si="46"/>
        <v>0.36041943280001432</v>
      </c>
      <c r="AX47" s="234">
        <f t="shared" si="47"/>
        <v>2.9222405876546778</v>
      </c>
      <c r="AY47" s="99"/>
      <c r="AZ47" s="94">
        <f t="shared" si="15"/>
        <v>61148.760968850431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3"/>
        <v>408</v>
      </c>
      <c r="F48" s="93"/>
      <c r="G48" s="93"/>
      <c r="H48" s="272">
        <v>408</v>
      </c>
      <c r="I48" s="93"/>
      <c r="J48" s="93"/>
      <c r="K48" s="92">
        <v>107.88</v>
      </c>
      <c r="L48" s="92">
        <f t="shared" si="44"/>
        <v>44015.040000000001</v>
      </c>
      <c r="M48" s="89"/>
      <c r="N48" s="89">
        <v>0</v>
      </c>
      <c r="O48" s="89">
        <v>0</v>
      </c>
      <c r="P48" s="89">
        <v>0</v>
      </c>
      <c r="Q48" s="233">
        <f t="shared" si="16"/>
        <v>0</v>
      </c>
      <c r="R48" s="92">
        <f t="shared" si="17"/>
        <v>0.33333333333333331</v>
      </c>
      <c r="S48" s="93">
        <v>1</v>
      </c>
      <c r="T48" s="93">
        <v>0</v>
      </c>
      <c r="U48" s="92">
        <f t="shared" si="18"/>
        <v>1</v>
      </c>
      <c r="V48" s="93">
        <v>1050</v>
      </c>
      <c r="W48" s="93">
        <v>0</v>
      </c>
      <c r="X48" s="92">
        <f t="shared" si="19"/>
        <v>1050</v>
      </c>
      <c r="Y48" s="93">
        <v>1157</v>
      </c>
      <c r="Z48" s="93">
        <v>0</v>
      </c>
      <c r="AA48" s="92">
        <f t="shared" si="20"/>
        <v>1157</v>
      </c>
      <c r="AB48" s="92">
        <f t="shared" si="21"/>
        <v>0</v>
      </c>
      <c r="AC48" s="234">
        <f t="shared" si="22"/>
        <v>8.8025912028714248E-3</v>
      </c>
      <c r="AD48" s="92">
        <f t="shared" si="23"/>
        <v>107.88</v>
      </c>
      <c r="AE48" s="93">
        <v>427.78999999999996</v>
      </c>
      <c r="AF48" s="234">
        <f t="shared" si="24"/>
        <v>0.36974070872947273</v>
      </c>
      <c r="AG48" s="93">
        <v>47.79</v>
      </c>
      <c r="AH48" s="93"/>
      <c r="AI48" s="93"/>
      <c r="AJ48" s="93"/>
      <c r="AK48" s="93"/>
      <c r="AL48" s="122">
        <f t="shared" si="25"/>
        <v>117.4041346383385</v>
      </c>
      <c r="AM48" s="93">
        <v>0</v>
      </c>
      <c r="AN48" s="325">
        <f t="shared" si="45"/>
        <v>50.515010264846637</v>
      </c>
      <c r="AO48" s="95">
        <f t="shared" si="26"/>
        <v>405.62085509681481</v>
      </c>
      <c r="AP48" s="96"/>
      <c r="AQ48" s="97">
        <f t="shared" si="9"/>
        <v>1157</v>
      </c>
      <c r="AR48" s="98">
        <f t="shared" si="37"/>
        <v>107.88</v>
      </c>
      <c r="AS48" s="98">
        <f t="shared" si="11"/>
        <v>427.78999999999996</v>
      </c>
      <c r="AT48" s="98">
        <f t="shared" si="12"/>
        <v>47.79</v>
      </c>
      <c r="AU48" s="98">
        <f t="shared" si="27"/>
        <v>0</v>
      </c>
      <c r="AV48" s="98">
        <f t="array" ref="AV48">_xlfn.IFS(U48=0,AO48,U48&lt;0,AO48/-U48,U48&gt;0,AO48/U48)</f>
        <v>405.62085509681481</v>
      </c>
      <c r="AW48" s="234">
        <f t="shared" si="46"/>
        <v>0.35057982290130923</v>
      </c>
      <c r="AX48" s="234">
        <f t="shared" si="47"/>
        <v>3.759926354253011</v>
      </c>
      <c r="AY48" s="99"/>
      <c r="AZ48" s="94">
        <f t="shared" si="15"/>
        <v>165493.30887950043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3"/>
        <v>213</v>
      </c>
      <c r="F49" s="93"/>
      <c r="G49" s="93"/>
      <c r="H49" s="272">
        <v>213</v>
      </c>
      <c r="I49" s="93"/>
      <c r="J49" s="93"/>
      <c r="K49" s="92">
        <v>123.09</v>
      </c>
      <c r="L49" s="92">
        <f t="shared" si="44"/>
        <v>26218.170000000002</v>
      </c>
      <c r="M49" s="89"/>
      <c r="N49" s="89">
        <v>1</v>
      </c>
      <c r="O49" s="89">
        <v>1378</v>
      </c>
      <c r="P49" s="89">
        <v>100</v>
      </c>
      <c r="Q49" s="233">
        <f t="shared" si="16"/>
        <v>0.33333333333333331</v>
      </c>
      <c r="R49" s="92">
        <f t="shared" si="17"/>
        <v>1.3333333333333333</v>
      </c>
      <c r="S49" s="93">
        <v>4</v>
      </c>
      <c r="T49" s="93">
        <v>0</v>
      </c>
      <c r="U49" s="92">
        <f t="shared" si="18"/>
        <v>4</v>
      </c>
      <c r="V49" s="93">
        <v>4704</v>
      </c>
      <c r="W49" s="93">
        <v>0</v>
      </c>
      <c r="X49" s="92">
        <f t="shared" si="19"/>
        <v>4704</v>
      </c>
      <c r="Y49" s="93">
        <v>5512</v>
      </c>
      <c r="Z49" s="93">
        <v>0</v>
      </c>
      <c r="AA49" s="92">
        <f t="shared" si="20"/>
        <v>5512</v>
      </c>
      <c r="AB49" s="92">
        <f t="shared" si="21"/>
        <v>1378</v>
      </c>
      <c r="AC49" s="234">
        <f t="shared" si="22"/>
        <v>4.1935940112555997E-2</v>
      </c>
      <c r="AD49" s="92">
        <f t="shared" si="23"/>
        <v>492.36</v>
      </c>
      <c r="AE49" s="93">
        <v>2032.38</v>
      </c>
      <c r="AF49" s="234">
        <f t="shared" si="24"/>
        <v>0.36871915820029028</v>
      </c>
      <c r="AG49" s="93">
        <v>386.27</v>
      </c>
      <c r="AH49" s="93"/>
      <c r="AI49" s="93"/>
      <c r="AJ49" s="93"/>
      <c r="AK49" s="93"/>
      <c r="AL49" s="122">
        <f t="shared" si="25"/>
        <v>61.291864406779659</v>
      </c>
      <c r="AM49" s="93">
        <v>0</v>
      </c>
      <c r="AN49" s="325">
        <f t="shared" si="45"/>
        <v>240.65577923926938</v>
      </c>
      <c r="AO49" s="95">
        <f t="shared" si="26"/>
        <v>2299.0423563539512</v>
      </c>
      <c r="AP49" s="96"/>
      <c r="AQ49" s="97">
        <f t="shared" si="9"/>
        <v>1378</v>
      </c>
      <c r="AR49" s="98">
        <f t="shared" si="37"/>
        <v>123.09</v>
      </c>
      <c r="AS49" s="98">
        <f t="shared" si="11"/>
        <v>508.09500000000003</v>
      </c>
      <c r="AT49" s="98">
        <f t="shared" si="12"/>
        <v>96.567499999999995</v>
      </c>
      <c r="AU49" s="98">
        <f t="shared" si="27"/>
        <v>0</v>
      </c>
      <c r="AV49" s="98">
        <f t="array" ref="AV49">_xlfn.IFS(U49=0,AO49,U49&lt;0,AO49/-U49,U49&gt;0,AO49/U49)</f>
        <v>574.76058908848779</v>
      </c>
      <c r="AW49" s="234">
        <f t="shared" si="46"/>
        <v>0.41709766987553543</v>
      </c>
      <c r="AX49" s="234">
        <f t="shared" si="47"/>
        <v>4.6694336590176926</v>
      </c>
      <c r="AY49" s="99"/>
      <c r="AZ49" s="94">
        <f t="shared" si="15"/>
        <v>122424.00547584789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3"/>
        <v>250</v>
      </c>
      <c r="F50" s="93"/>
      <c r="G50" s="93"/>
      <c r="H50" s="272">
        <v>250</v>
      </c>
      <c r="I50" s="93"/>
      <c r="J50" s="93"/>
      <c r="K50" s="92">
        <v>134.79</v>
      </c>
      <c r="L50" s="92">
        <f t="shared" si="44"/>
        <v>33697.5</v>
      </c>
      <c r="M50" s="89"/>
      <c r="N50" s="89">
        <v>1</v>
      </c>
      <c r="O50" s="89">
        <v>1198</v>
      </c>
      <c r="P50" s="89">
        <v>0</v>
      </c>
      <c r="Q50" s="233">
        <f t="shared" si="16"/>
        <v>0.33333333333333331</v>
      </c>
      <c r="R50" s="92">
        <f t="shared" si="17"/>
        <v>0.33333333333333331</v>
      </c>
      <c r="S50" s="93">
        <v>1</v>
      </c>
      <c r="T50" s="93">
        <v>0</v>
      </c>
      <c r="U50" s="92">
        <f t="shared" si="18"/>
        <v>1</v>
      </c>
      <c r="V50" s="93">
        <v>988</v>
      </c>
      <c r="W50" s="93">
        <v>0</v>
      </c>
      <c r="X50" s="92">
        <f t="shared" si="19"/>
        <v>988</v>
      </c>
      <c r="Y50" s="93">
        <v>1198</v>
      </c>
      <c r="Z50" s="93">
        <v>0</v>
      </c>
      <c r="AA50" s="92">
        <f t="shared" si="20"/>
        <v>1198</v>
      </c>
      <c r="AB50" s="92">
        <f t="shared" si="21"/>
        <v>0</v>
      </c>
      <c r="AC50" s="234">
        <f t="shared" si="22"/>
        <v>9.1145239939844132E-3</v>
      </c>
      <c r="AD50" s="92">
        <f t="shared" si="23"/>
        <v>134.79</v>
      </c>
      <c r="AE50" s="93">
        <v>441.07000000000005</v>
      </c>
      <c r="AF50" s="234">
        <f t="shared" si="24"/>
        <v>0.36817195325542573</v>
      </c>
      <c r="AG50" s="93">
        <v>329.21</v>
      </c>
      <c r="AH50" s="93"/>
      <c r="AI50" s="93"/>
      <c r="AJ50" s="93"/>
      <c r="AK50" s="93"/>
      <c r="AL50" s="122">
        <f t="shared" si="25"/>
        <v>71.938807989178002</v>
      </c>
      <c r="AM50" s="93">
        <v>0</v>
      </c>
      <c r="AN50" s="325">
        <f t="shared" si="45"/>
        <v>52.305084094456589</v>
      </c>
      <c r="AO50" s="95">
        <f t="shared" si="26"/>
        <v>168.68610791636542</v>
      </c>
      <c r="AP50" s="96"/>
      <c r="AQ50" s="97">
        <f t="shared" si="9"/>
        <v>1198</v>
      </c>
      <c r="AR50" s="98">
        <f t="shared" si="37"/>
        <v>134.79</v>
      </c>
      <c r="AS50" s="98">
        <f t="shared" si="11"/>
        <v>441.07000000000005</v>
      </c>
      <c r="AT50" s="98">
        <f t="shared" si="12"/>
        <v>329.21</v>
      </c>
      <c r="AU50" s="98">
        <f t="shared" si="27"/>
        <v>0</v>
      </c>
      <c r="AV50" s="98">
        <f t="array" ref="AV50">_xlfn.IFS(U50=0,AO50,U50&lt;0,AO50/-U50,U50&gt;0,AO50/U50)</f>
        <v>168.68610791636542</v>
      </c>
      <c r="AW50" s="234">
        <f t="shared" si="46"/>
        <v>0.14080643398694942</v>
      </c>
      <c r="AX50" s="234">
        <f t="shared" si="47"/>
        <v>1.2514734618025478</v>
      </c>
      <c r="AY50" s="99"/>
      <c r="AZ50" s="94">
        <f t="shared" si="15"/>
        <v>42171.526979091352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3"/>
        <v>32</v>
      </c>
      <c r="F51" s="93"/>
      <c r="G51" s="93"/>
      <c r="H51" s="272">
        <v>32</v>
      </c>
      <c r="I51" s="93"/>
      <c r="J51" s="93"/>
      <c r="K51" s="92">
        <v>144.15</v>
      </c>
      <c r="L51" s="92">
        <f t="shared" si="44"/>
        <v>4612.8</v>
      </c>
      <c r="M51" s="89"/>
      <c r="N51" s="89">
        <v>0</v>
      </c>
      <c r="O51" s="89">
        <v>0</v>
      </c>
      <c r="P51" s="89">
        <v>0</v>
      </c>
      <c r="Q51" s="233">
        <f t="shared" si="16"/>
        <v>0</v>
      </c>
      <c r="R51" s="92">
        <f t="shared" si="17"/>
        <v>0</v>
      </c>
      <c r="S51" s="93">
        <v>0</v>
      </c>
      <c r="T51" s="93">
        <v>0</v>
      </c>
      <c r="U51" s="92">
        <f t="shared" si="18"/>
        <v>0</v>
      </c>
      <c r="V51" s="93">
        <v>0</v>
      </c>
      <c r="W51" s="93">
        <v>0</v>
      </c>
      <c r="X51" s="92">
        <f t="shared" si="19"/>
        <v>0</v>
      </c>
      <c r="Y51" s="93">
        <v>0</v>
      </c>
      <c r="Z51" s="93">
        <v>0</v>
      </c>
      <c r="AA51" s="92">
        <f t="shared" si="20"/>
        <v>0</v>
      </c>
      <c r="AB51" s="92">
        <f t="shared" si="21"/>
        <v>0</v>
      </c>
      <c r="AC51" s="234">
        <f t="shared" si="22"/>
        <v>0</v>
      </c>
      <c r="AD51" s="92">
        <f t="shared" si="23"/>
        <v>0</v>
      </c>
      <c r="AE51" s="93">
        <v>0</v>
      </c>
      <c r="AF51" s="234">
        <f t="shared" si="24"/>
        <v>0</v>
      </c>
      <c r="AG51" s="93">
        <v>88.83</v>
      </c>
      <c r="AH51" s="93"/>
      <c r="AI51" s="93"/>
      <c r="AJ51" s="93"/>
      <c r="AK51" s="93"/>
      <c r="AL51" s="122">
        <f t="shared" si="25"/>
        <v>9.2081674226147836</v>
      </c>
      <c r="AM51" s="93">
        <v>0</v>
      </c>
      <c r="AN51" s="325">
        <f t="shared" si="45"/>
        <v>0</v>
      </c>
      <c r="AO51" s="95">
        <f t="shared" si="26"/>
        <v>-98.038167422614777</v>
      </c>
      <c r="AP51" s="96"/>
      <c r="AQ51" s="97">
        <f t="shared" si="9"/>
        <v>0</v>
      </c>
      <c r="AR51" s="98">
        <f t="shared" si="37"/>
        <v>144.15</v>
      </c>
      <c r="AS51" s="98">
        <f t="shared" si="11"/>
        <v>0</v>
      </c>
      <c r="AT51" s="98">
        <f t="shared" si="12"/>
        <v>88.83</v>
      </c>
      <c r="AU51" s="98">
        <f t="shared" si="27"/>
        <v>0</v>
      </c>
      <c r="AV51" s="98">
        <f t="array" ref="AV51">_xlfn.IFS(U51=0,AO51,U51&lt;0,AO51/-U51,U51&gt;0,AO51/U51)</f>
        <v>-98.038167422614777</v>
      </c>
      <c r="AW51" s="234">
        <f t="shared" si="46"/>
        <v>0</v>
      </c>
      <c r="AX51" s="234">
        <f t="shared" si="47"/>
        <v>-0.68011215693801441</v>
      </c>
      <c r="AY51" s="99"/>
      <c r="AZ51" s="94">
        <f t="shared" si="15"/>
        <v>-3137.2213575236729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3"/>
        <v>49</v>
      </c>
      <c r="F52" s="93"/>
      <c r="G52" s="93"/>
      <c r="H52" s="272">
        <v>49</v>
      </c>
      <c r="I52" s="93"/>
      <c r="J52" s="93"/>
      <c r="K52" s="92">
        <v>96.18</v>
      </c>
      <c r="L52" s="92">
        <f t="shared" si="44"/>
        <v>4712.8200000000006</v>
      </c>
      <c r="M52" s="89"/>
      <c r="N52" s="89">
        <v>0</v>
      </c>
      <c r="O52" s="89">
        <v>0</v>
      </c>
      <c r="P52" s="89">
        <v>0</v>
      </c>
      <c r="Q52" s="233">
        <f t="shared" si="16"/>
        <v>0</v>
      </c>
      <c r="R52" s="92">
        <f t="shared" si="17"/>
        <v>0</v>
      </c>
      <c r="S52" s="93">
        <v>0</v>
      </c>
      <c r="T52" s="93">
        <v>0</v>
      </c>
      <c r="U52" s="92">
        <f t="shared" si="18"/>
        <v>0</v>
      </c>
      <c r="V52" s="93">
        <v>0</v>
      </c>
      <c r="W52" s="93">
        <v>0</v>
      </c>
      <c r="X52" s="92">
        <f t="shared" si="19"/>
        <v>0</v>
      </c>
      <c r="Y52" s="93">
        <v>0</v>
      </c>
      <c r="Z52" s="93">
        <v>0</v>
      </c>
      <c r="AA52" s="92">
        <f t="shared" si="20"/>
        <v>0</v>
      </c>
      <c r="AB52" s="92">
        <f t="shared" si="21"/>
        <v>0</v>
      </c>
      <c r="AC52" s="234">
        <f t="shared" si="22"/>
        <v>0</v>
      </c>
      <c r="AD52" s="92">
        <f t="shared" si="23"/>
        <v>0</v>
      </c>
      <c r="AE52" s="93">
        <v>0</v>
      </c>
      <c r="AF52" s="234">
        <f t="shared" si="24"/>
        <v>0</v>
      </c>
      <c r="AG52" s="93">
        <v>0</v>
      </c>
      <c r="AH52" s="93"/>
      <c r="AI52" s="93"/>
      <c r="AJ52" s="93"/>
      <c r="AK52" s="93"/>
      <c r="AL52" s="122">
        <f t="shared" si="25"/>
        <v>14.100006365878889</v>
      </c>
      <c r="AM52" s="93">
        <v>0</v>
      </c>
      <c r="AN52" s="325">
        <f t="shared" si="45"/>
        <v>0</v>
      </c>
      <c r="AO52" s="95">
        <f t="shared" si="26"/>
        <v>-14.100006365878889</v>
      </c>
      <c r="AP52" s="96"/>
      <c r="AQ52" s="97">
        <f t="shared" si="9"/>
        <v>0</v>
      </c>
      <c r="AR52" s="98">
        <f t="shared" si="37"/>
        <v>96.18</v>
      </c>
      <c r="AS52" s="98">
        <f t="shared" si="11"/>
        <v>0</v>
      </c>
      <c r="AT52" s="98">
        <f t="shared" si="12"/>
        <v>0</v>
      </c>
      <c r="AU52" s="98">
        <f t="shared" si="27"/>
        <v>0</v>
      </c>
      <c r="AV52" s="98">
        <f t="array" ref="AV52">_xlfn.IFS(U52=0,AO52,U52&lt;0,AO52/-U52,U52&gt;0,AO52/U52)</f>
        <v>-14.100006365878889</v>
      </c>
      <c r="AW52" s="234">
        <f t="shared" si="46"/>
        <v>0</v>
      </c>
      <c r="AX52" s="234">
        <f t="shared" si="47"/>
        <v>-0.14660019095320115</v>
      </c>
      <c r="AY52" s="99"/>
      <c r="AZ52" s="94">
        <f t="shared" si="15"/>
        <v>-690.90031192806555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3"/>
        <v>49</v>
      </c>
      <c r="F53" s="93"/>
      <c r="G53" s="93"/>
      <c r="H53" s="272">
        <v>49</v>
      </c>
      <c r="I53" s="93"/>
      <c r="J53" s="93"/>
      <c r="K53" s="92">
        <v>96.18</v>
      </c>
      <c r="L53" s="92">
        <f t="shared" si="44"/>
        <v>4712.8200000000006</v>
      </c>
      <c r="M53" s="89"/>
      <c r="N53" s="89">
        <v>0</v>
      </c>
      <c r="O53" s="89">
        <v>0</v>
      </c>
      <c r="P53" s="89">
        <v>0</v>
      </c>
      <c r="Q53" s="233">
        <f t="shared" si="16"/>
        <v>0</v>
      </c>
      <c r="R53" s="92">
        <f t="shared" si="17"/>
        <v>0</v>
      </c>
      <c r="S53" s="93">
        <v>0</v>
      </c>
      <c r="T53" s="93">
        <v>0</v>
      </c>
      <c r="U53" s="92">
        <f t="shared" si="18"/>
        <v>0</v>
      </c>
      <c r="V53" s="93">
        <v>0</v>
      </c>
      <c r="W53" s="93">
        <v>0</v>
      </c>
      <c r="X53" s="92">
        <f t="shared" si="19"/>
        <v>0</v>
      </c>
      <c r="Y53" s="93">
        <v>0</v>
      </c>
      <c r="Z53" s="93">
        <v>0</v>
      </c>
      <c r="AA53" s="92">
        <f t="shared" si="20"/>
        <v>0</v>
      </c>
      <c r="AB53" s="92">
        <f t="shared" si="21"/>
        <v>0</v>
      </c>
      <c r="AC53" s="234">
        <f t="shared" si="22"/>
        <v>0</v>
      </c>
      <c r="AD53" s="92">
        <f t="shared" si="23"/>
        <v>0</v>
      </c>
      <c r="AE53" s="93">
        <v>0</v>
      </c>
      <c r="AF53" s="234">
        <f t="shared" si="24"/>
        <v>0</v>
      </c>
      <c r="AG53" s="93">
        <v>0</v>
      </c>
      <c r="AH53" s="93"/>
      <c r="AI53" s="93"/>
      <c r="AJ53" s="93"/>
      <c r="AK53" s="93"/>
      <c r="AL53" s="122">
        <f t="shared" si="25"/>
        <v>14.100006365878889</v>
      </c>
      <c r="AM53" s="93">
        <v>0</v>
      </c>
      <c r="AN53" s="325">
        <f t="shared" si="45"/>
        <v>0</v>
      </c>
      <c r="AO53" s="95">
        <f t="shared" si="26"/>
        <v>-14.100006365878889</v>
      </c>
      <c r="AP53" s="96"/>
      <c r="AQ53" s="97">
        <f t="shared" si="9"/>
        <v>0</v>
      </c>
      <c r="AR53" s="98">
        <f t="shared" si="37"/>
        <v>96.18</v>
      </c>
      <c r="AS53" s="98">
        <f t="shared" si="11"/>
        <v>0</v>
      </c>
      <c r="AT53" s="98">
        <f t="shared" si="12"/>
        <v>0</v>
      </c>
      <c r="AU53" s="98">
        <f t="shared" si="27"/>
        <v>0</v>
      </c>
      <c r="AV53" s="98">
        <f t="array" ref="AV53">_xlfn.IFS(U53=0,AO53,U53&lt;0,AO53/-U53,U53&gt;0,AO53/U53)</f>
        <v>-14.100006365878889</v>
      </c>
      <c r="AW53" s="234">
        <f t="shared" si="46"/>
        <v>0</v>
      </c>
      <c r="AX53" s="234">
        <f t="shared" si="47"/>
        <v>-0.14660019095320115</v>
      </c>
      <c r="AY53" s="99"/>
      <c r="AZ53" s="94">
        <f t="shared" si="15"/>
        <v>-690.90031192806555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8">SUM(F54:J54)</f>
        <v>55</v>
      </c>
      <c r="F54" s="93"/>
      <c r="G54" s="93"/>
      <c r="H54" s="272">
        <v>55</v>
      </c>
      <c r="I54" s="93"/>
      <c r="J54" s="93"/>
      <c r="K54" s="93">
        <v>123.09</v>
      </c>
      <c r="L54" s="92">
        <f t="shared" si="44"/>
        <v>6769.95</v>
      </c>
      <c r="M54" s="89"/>
      <c r="N54" s="89">
        <v>0</v>
      </c>
      <c r="O54" s="89">
        <v>0</v>
      </c>
      <c r="P54" s="89">
        <v>0</v>
      </c>
      <c r="Q54" s="233">
        <f t="shared" si="16"/>
        <v>0</v>
      </c>
      <c r="R54" s="92">
        <f t="shared" si="17"/>
        <v>0</v>
      </c>
      <c r="S54" s="93">
        <v>0</v>
      </c>
      <c r="T54" s="93">
        <v>0</v>
      </c>
      <c r="U54" s="92">
        <f t="shared" si="18"/>
        <v>0</v>
      </c>
      <c r="V54" s="93">
        <v>0</v>
      </c>
      <c r="W54" s="93">
        <v>0</v>
      </c>
      <c r="X54" s="92">
        <f t="shared" si="19"/>
        <v>0</v>
      </c>
      <c r="Y54" s="93">
        <v>0</v>
      </c>
      <c r="Z54" s="93">
        <v>0</v>
      </c>
      <c r="AA54" s="92">
        <f t="shared" si="20"/>
        <v>0</v>
      </c>
      <c r="AB54" s="92">
        <f t="shared" si="21"/>
        <v>0</v>
      </c>
      <c r="AC54" s="234">
        <f t="shared" si="22"/>
        <v>0</v>
      </c>
      <c r="AD54" s="92">
        <f t="shared" si="23"/>
        <v>0</v>
      </c>
      <c r="AE54" s="93">
        <v>0</v>
      </c>
      <c r="AF54" s="234">
        <f t="shared" si="24"/>
        <v>0</v>
      </c>
      <c r="AG54" s="93">
        <v>0</v>
      </c>
      <c r="AH54" s="93"/>
      <c r="AI54" s="93"/>
      <c r="AJ54" s="93"/>
      <c r="AK54" s="93"/>
      <c r="AL54" s="122">
        <f t="shared" si="25"/>
        <v>15.826537757619159</v>
      </c>
      <c r="AM54" s="93">
        <v>0</v>
      </c>
      <c r="AN54" s="325">
        <f t="shared" si="45"/>
        <v>0</v>
      </c>
      <c r="AO54" s="95">
        <f t="shared" si="26"/>
        <v>-15.826537757619159</v>
      </c>
      <c r="AP54" s="96"/>
      <c r="AQ54" s="97">
        <f t="shared" si="9"/>
        <v>0</v>
      </c>
      <c r="AR54" s="98">
        <f t="shared" si="37"/>
        <v>123.09</v>
      </c>
      <c r="AS54" s="98">
        <f t="shared" si="11"/>
        <v>0</v>
      </c>
      <c r="AT54" s="98">
        <f t="shared" si="12"/>
        <v>0</v>
      </c>
      <c r="AU54" s="98">
        <f t="shared" si="27"/>
        <v>0</v>
      </c>
      <c r="AV54" s="98">
        <f t="array" ref="AV54">_xlfn.IFS(U54=0,AO54,U54&lt;0,AO54/-U54,U54&gt;0,AO54/U54)</f>
        <v>-15.826537757619159</v>
      </c>
      <c r="AW54" s="234">
        <f t="shared" si="46"/>
        <v>0</v>
      </c>
      <c r="AX54" s="234">
        <f t="shared" si="47"/>
        <v>-0.12857695797887039</v>
      </c>
      <c r="AY54" s="99"/>
      <c r="AZ54" s="94">
        <f t="shared" si="15"/>
        <v>-870.45957666905372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8"/>
        <v>1</v>
      </c>
      <c r="F55" s="93"/>
      <c r="G55" s="93"/>
      <c r="H55" s="272">
        <v>1</v>
      </c>
      <c r="I55" s="93"/>
      <c r="J55" s="93"/>
      <c r="K55" s="93">
        <v>158.19</v>
      </c>
      <c r="L55" s="92">
        <f t="shared" si="44"/>
        <v>158.19</v>
      </c>
      <c r="M55" s="89"/>
      <c r="N55" s="89">
        <v>0</v>
      </c>
      <c r="O55" s="89">
        <v>0</v>
      </c>
      <c r="P55" s="89">
        <v>0</v>
      </c>
      <c r="Q55" s="233">
        <f t="shared" si="16"/>
        <v>0</v>
      </c>
      <c r="R55" s="92">
        <f t="shared" si="17"/>
        <v>0</v>
      </c>
      <c r="S55" s="93">
        <v>0</v>
      </c>
      <c r="T55" s="93">
        <v>0</v>
      </c>
      <c r="U55" s="92">
        <f t="shared" si="18"/>
        <v>0</v>
      </c>
      <c r="V55" s="93">
        <v>0</v>
      </c>
      <c r="W55" s="93">
        <v>0</v>
      </c>
      <c r="X55" s="92">
        <f t="shared" si="19"/>
        <v>0</v>
      </c>
      <c r="Y55" s="93">
        <v>0</v>
      </c>
      <c r="Z55" s="93">
        <v>0</v>
      </c>
      <c r="AA55" s="92">
        <f t="shared" si="20"/>
        <v>0</v>
      </c>
      <c r="AB55" s="92">
        <f t="shared" si="21"/>
        <v>0</v>
      </c>
      <c r="AC55" s="234">
        <f t="shared" si="22"/>
        <v>0</v>
      </c>
      <c r="AD55" s="92">
        <f t="shared" si="23"/>
        <v>0</v>
      </c>
      <c r="AE55" s="93">
        <v>0</v>
      </c>
      <c r="AF55" s="234">
        <f t="shared" si="24"/>
        <v>0</v>
      </c>
      <c r="AG55" s="93">
        <v>0</v>
      </c>
      <c r="AH55" s="93"/>
      <c r="AI55" s="93"/>
      <c r="AJ55" s="93"/>
      <c r="AK55" s="93"/>
      <c r="AL55" s="122">
        <f t="shared" si="25"/>
        <v>0.28775523195671199</v>
      </c>
      <c r="AM55" s="93">
        <v>0</v>
      </c>
      <c r="AN55" s="325">
        <f t="shared" si="45"/>
        <v>0</v>
      </c>
      <c r="AO55" s="95">
        <f t="shared" si="26"/>
        <v>-0.28775523195671199</v>
      </c>
      <c r="AP55" s="96"/>
      <c r="AQ55" s="97">
        <f t="shared" si="9"/>
        <v>0</v>
      </c>
      <c r="AR55" s="98">
        <f t="shared" si="37"/>
        <v>158.19</v>
      </c>
      <c r="AS55" s="98">
        <f t="shared" si="11"/>
        <v>0</v>
      </c>
      <c r="AT55" s="98">
        <f t="shared" si="12"/>
        <v>0</v>
      </c>
      <c r="AU55" s="98">
        <f t="shared" si="27"/>
        <v>0</v>
      </c>
      <c r="AV55" s="98">
        <f t="array" ref="AV55">_xlfn.IFS(U55=0,AO55,U55&lt;0,AO55/-U55,U55&gt;0,AO55/U55)</f>
        <v>-0.28775523195671199</v>
      </c>
      <c r="AW55" s="234">
        <f t="shared" si="46"/>
        <v>0</v>
      </c>
      <c r="AX55" s="234">
        <f t="shared" si="47"/>
        <v>-1.819048182291624E-3</v>
      </c>
      <c r="AY55" s="99"/>
      <c r="AZ55" s="94">
        <f t="shared" si="15"/>
        <v>-0.28775523195671199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8"/>
        <v>2</v>
      </c>
      <c r="F56" s="93"/>
      <c r="G56" s="93"/>
      <c r="H56" s="272">
        <v>2</v>
      </c>
      <c r="I56" s="93"/>
      <c r="J56" s="93"/>
      <c r="K56" s="93">
        <v>152.34</v>
      </c>
      <c r="L56" s="92">
        <f t="shared" si="44"/>
        <v>304.68</v>
      </c>
      <c r="M56" s="89"/>
      <c r="N56" s="89">
        <v>0</v>
      </c>
      <c r="O56" s="89">
        <v>0</v>
      </c>
      <c r="P56" s="89">
        <v>0</v>
      </c>
      <c r="Q56" s="233">
        <f t="shared" si="16"/>
        <v>0</v>
      </c>
      <c r="R56" s="92">
        <f t="shared" si="17"/>
        <v>0</v>
      </c>
      <c r="S56" s="93">
        <v>0</v>
      </c>
      <c r="T56" s="93">
        <v>0</v>
      </c>
      <c r="U56" s="92">
        <f t="shared" si="18"/>
        <v>0</v>
      </c>
      <c r="V56" s="93">
        <v>0</v>
      </c>
      <c r="W56" s="93">
        <v>0</v>
      </c>
      <c r="X56" s="92">
        <f t="shared" si="19"/>
        <v>0</v>
      </c>
      <c r="Y56" s="93">
        <v>0</v>
      </c>
      <c r="Z56" s="93">
        <v>0</v>
      </c>
      <c r="AA56" s="92">
        <f t="shared" si="20"/>
        <v>0</v>
      </c>
      <c r="AB56" s="92">
        <f t="shared" si="21"/>
        <v>0</v>
      </c>
      <c r="AC56" s="234">
        <f t="shared" si="22"/>
        <v>0</v>
      </c>
      <c r="AD56" s="92">
        <f t="shared" si="23"/>
        <v>0</v>
      </c>
      <c r="AE56" s="93">
        <v>0</v>
      </c>
      <c r="AF56" s="234">
        <f t="shared" si="24"/>
        <v>0</v>
      </c>
      <c r="AG56" s="93">
        <v>0</v>
      </c>
      <c r="AH56" s="93"/>
      <c r="AI56" s="93"/>
      <c r="AJ56" s="93"/>
      <c r="AK56" s="93"/>
      <c r="AL56" s="122">
        <f t="shared" si="25"/>
        <v>0.57551046391342398</v>
      </c>
      <c r="AM56" s="93">
        <v>0</v>
      </c>
      <c r="AN56" s="325">
        <f t="shared" si="45"/>
        <v>0</v>
      </c>
      <c r="AO56" s="95">
        <f t="shared" si="26"/>
        <v>-0.57551046391342398</v>
      </c>
      <c r="AP56" s="96"/>
      <c r="AQ56" s="97">
        <f t="shared" si="9"/>
        <v>0</v>
      </c>
      <c r="AR56" s="98">
        <f t="shared" si="37"/>
        <v>152.34</v>
      </c>
      <c r="AS56" s="98">
        <f t="shared" si="11"/>
        <v>0</v>
      </c>
      <c r="AT56" s="98">
        <f t="shared" si="12"/>
        <v>0</v>
      </c>
      <c r="AU56" s="98">
        <f t="shared" si="27"/>
        <v>0</v>
      </c>
      <c r="AV56" s="98">
        <f t="array" ref="AV56">_xlfn.IFS(U56=0,AO56,U56&lt;0,AO56/-U56,U56&gt;0,AO56/U56)</f>
        <v>-0.57551046391342398</v>
      </c>
      <c r="AW56" s="234">
        <f t="shared" si="46"/>
        <v>0</v>
      </c>
      <c r="AX56" s="234">
        <f t="shared" si="47"/>
        <v>-3.7778027039085203E-3</v>
      </c>
      <c r="AY56" s="99"/>
      <c r="AZ56" s="94">
        <f t="shared" si="15"/>
        <v>-1.151020927826848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8"/>
        <v>0</v>
      </c>
      <c r="F57" s="93"/>
      <c r="G57" s="93"/>
      <c r="H57" s="272">
        <v>0</v>
      </c>
      <c r="I57" s="93"/>
      <c r="J57" s="93"/>
      <c r="K57" s="93">
        <v>93.84</v>
      </c>
      <c r="L57" s="92">
        <f t="shared" si="44"/>
        <v>0</v>
      </c>
      <c r="M57" s="89"/>
      <c r="N57" s="89"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v>0</v>
      </c>
      <c r="T57" s="93">
        <v>0</v>
      </c>
      <c r="U57" s="92">
        <f t="shared" si="18"/>
        <v>0</v>
      </c>
      <c r="V57" s="93">
        <v>0</v>
      </c>
      <c r="W57" s="93">
        <v>0</v>
      </c>
      <c r="X57" s="92">
        <f t="shared" si="19"/>
        <v>0</v>
      </c>
      <c r="Y57" s="93">
        <v>0</v>
      </c>
      <c r="Z57" s="93">
        <v>0</v>
      </c>
      <c r="AA57" s="92">
        <f t="shared" si="20"/>
        <v>0</v>
      </c>
      <c r="AB57" s="92">
        <f t="shared" si="21"/>
        <v>0</v>
      </c>
      <c r="AC57" s="234">
        <f t="shared" si="22"/>
        <v>0</v>
      </c>
      <c r="AD57" s="92">
        <f t="shared" si="23"/>
        <v>0</v>
      </c>
      <c r="AE57" s="93">
        <v>0</v>
      </c>
      <c r="AF57" s="234">
        <f t="shared" si="24"/>
        <v>0</v>
      </c>
      <c r="AG57" s="93">
        <v>0</v>
      </c>
      <c r="AH57" s="93"/>
      <c r="AI57" s="93"/>
      <c r="AJ57" s="93"/>
      <c r="AK57" s="93"/>
      <c r="AL57" s="122">
        <f t="shared" si="25"/>
        <v>0</v>
      </c>
      <c r="AM57" s="93">
        <v>0</v>
      </c>
      <c r="AN57" s="325">
        <f t="shared" si="45"/>
        <v>0</v>
      </c>
      <c r="AO57" s="95">
        <f t="shared" si="26"/>
        <v>0</v>
      </c>
      <c r="AP57" s="96"/>
      <c r="AQ57" s="97">
        <f t="shared" si="9"/>
        <v>0</v>
      </c>
      <c r="AR57" s="98">
        <f t="shared" si="37"/>
        <v>93.84</v>
      </c>
      <c r="AS57" s="98">
        <f t="shared" si="11"/>
        <v>0</v>
      </c>
      <c r="AT57" s="98">
        <f t="shared" si="12"/>
        <v>0</v>
      </c>
      <c r="AU57" s="98">
        <f t="shared" si="27"/>
        <v>0</v>
      </c>
      <c r="AV57" s="98">
        <f t="array" ref="AV57">_xlfn.IFS(U57=0,AO57,U57&lt;0,AO57/-U57,U57&gt;0,AO57/U57)</f>
        <v>0</v>
      </c>
      <c r="AW57" s="234">
        <f t="shared" si="46"/>
        <v>0</v>
      </c>
      <c r="AX57" s="234">
        <f t="shared" si="47"/>
        <v>0</v>
      </c>
      <c r="AY57" s="99"/>
      <c r="AZ57" s="94">
        <f t="shared" si="15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8"/>
        <v>50</v>
      </c>
      <c r="F58" s="93"/>
      <c r="G58" s="93"/>
      <c r="H58" s="272">
        <v>50</v>
      </c>
      <c r="I58" s="93"/>
      <c r="J58" s="93"/>
      <c r="K58" s="93">
        <v>169.89</v>
      </c>
      <c r="L58" s="92">
        <f t="shared" si="44"/>
        <v>8494.5</v>
      </c>
      <c r="M58" s="89"/>
      <c r="N58" s="89">
        <v>0</v>
      </c>
      <c r="O58" s="89">
        <v>0</v>
      </c>
      <c r="P58" s="89">
        <v>0</v>
      </c>
      <c r="Q58" s="233">
        <f t="shared" si="16"/>
        <v>0</v>
      </c>
      <c r="R58" s="92">
        <f t="shared" si="17"/>
        <v>0</v>
      </c>
      <c r="S58" s="93">
        <v>0</v>
      </c>
      <c r="T58" s="93">
        <v>0</v>
      </c>
      <c r="U58" s="92">
        <f t="shared" si="18"/>
        <v>0</v>
      </c>
      <c r="V58" s="93">
        <v>0</v>
      </c>
      <c r="W58" s="93">
        <v>0</v>
      </c>
      <c r="X58" s="92">
        <f t="shared" si="19"/>
        <v>0</v>
      </c>
      <c r="Y58" s="93">
        <v>0</v>
      </c>
      <c r="Z58" s="93">
        <v>0</v>
      </c>
      <c r="AA58" s="92">
        <f t="shared" si="20"/>
        <v>0</v>
      </c>
      <c r="AB58" s="92">
        <f t="shared" si="21"/>
        <v>0</v>
      </c>
      <c r="AC58" s="234">
        <f t="shared" si="22"/>
        <v>0</v>
      </c>
      <c r="AD58" s="92">
        <f t="shared" si="23"/>
        <v>0</v>
      </c>
      <c r="AE58" s="93">
        <v>0</v>
      </c>
      <c r="AF58" s="234">
        <f t="shared" si="24"/>
        <v>0</v>
      </c>
      <c r="AG58" s="93">
        <v>0</v>
      </c>
      <c r="AH58" s="93"/>
      <c r="AI58" s="93"/>
      <c r="AJ58" s="93"/>
      <c r="AK58" s="93"/>
      <c r="AL58" s="122">
        <f t="shared" si="25"/>
        <v>14.387761597835601</v>
      </c>
      <c r="AM58" s="93">
        <v>0</v>
      </c>
      <c r="AN58" s="325">
        <f t="shared" si="45"/>
        <v>0</v>
      </c>
      <c r="AO58" s="95">
        <f t="shared" si="26"/>
        <v>-14.387761597835601</v>
      </c>
      <c r="AP58" s="96"/>
      <c r="AQ58" s="97">
        <f t="shared" si="9"/>
        <v>0</v>
      </c>
      <c r="AR58" s="98">
        <f t="shared" si="37"/>
        <v>169.89</v>
      </c>
      <c r="AS58" s="98">
        <f t="shared" si="11"/>
        <v>0</v>
      </c>
      <c r="AT58" s="98">
        <f t="shared" si="12"/>
        <v>0</v>
      </c>
      <c r="AU58" s="98">
        <f t="shared" si="27"/>
        <v>0</v>
      </c>
      <c r="AV58" s="98">
        <f t="array" ref="AV58">_xlfn.IFS(U58=0,AO58,U58&lt;0,AO58/-U58,U58&gt;0,AO58/U58)</f>
        <v>-14.387761597835601</v>
      </c>
      <c r="AW58" s="234">
        <f t="shared" si="46"/>
        <v>0</v>
      </c>
      <c r="AX58" s="234">
        <f t="shared" si="47"/>
        <v>-8.4688690316296444E-2</v>
      </c>
      <c r="AY58" s="99"/>
      <c r="AZ58" s="94">
        <f t="shared" si="15"/>
        <v>-719.38807989178008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8"/>
        <v>0</v>
      </c>
      <c r="F59" s="93"/>
      <c r="G59" s="93"/>
      <c r="H59" s="272">
        <v>0</v>
      </c>
      <c r="I59" s="93"/>
      <c r="J59" s="93"/>
      <c r="K59" s="93">
        <v>158.19</v>
      </c>
      <c r="L59" s="92">
        <f t="shared" si="44"/>
        <v>0</v>
      </c>
      <c r="M59" s="89"/>
      <c r="N59" s="89"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v>0</v>
      </c>
      <c r="T59" s="93">
        <v>0</v>
      </c>
      <c r="U59" s="92">
        <f t="shared" si="18"/>
        <v>0</v>
      </c>
      <c r="V59" s="93">
        <v>0</v>
      </c>
      <c r="W59" s="93">
        <v>0</v>
      </c>
      <c r="X59" s="92">
        <f t="shared" si="19"/>
        <v>0</v>
      </c>
      <c r="Y59" s="93">
        <v>0</v>
      </c>
      <c r="Z59" s="93">
        <v>0</v>
      </c>
      <c r="AA59" s="92">
        <f t="shared" si="20"/>
        <v>0</v>
      </c>
      <c r="AB59" s="92">
        <f t="shared" si="21"/>
        <v>0</v>
      </c>
      <c r="AC59" s="234">
        <f t="shared" si="22"/>
        <v>0</v>
      </c>
      <c r="AD59" s="92">
        <f t="shared" si="23"/>
        <v>0</v>
      </c>
      <c r="AE59" s="93">
        <v>0</v>
      </c>
      <c r="AF59" s="234">
        <f t="shared" si="24"/>
        <v>0</v>
      </c>
      <c r="AG59" s="93">
        <v>0</v>
      </c>
      <c r="AH59" s="93"/>
      <c r="AI59" s="93"/>
      <c r="AJ59" s="93"/>
      <c r="AK59" s="93"/>
      <c r="AL59" s="122">
        <f t="shared" si="25"/>
        <v>0</v>
      </c>
      <c r="AM59" s="93">
        <v>0</v>
      </c>
      <c r="AN59" s="325">
        <f t="shared" si="45"/>
        <v>0</v>
      </c>
      <c r="AO59" s="95">
        <f t="shared" si="26"/>
        <v>0</v>
      </c>
      <c r="AP59" s="96"/>
      <c r="AQ59" s="97">
        <f t="shared" si="9"/>
        <v>0</v>
      </c>
      <c r="AR59" s="98">
        <f t="shared" si="37"/>
        <v>158.19</v>
      </c>
      <c r="AS59" s="98">
        <f t="shared" si="11"/>
        <v>0</v>
      </c>
      <c r="AT59" s="98">
        <f t="shared" si="12"/>
        <v>0</v>
      </c>
      <c r="AU59" s="98">
        <f t="shared" si="27"/>
        <v>0</v>
      </c>
      <c r="AV59" s="98">
        <f t="array" ref="AV59">_xlfn.IFS(U59=0,AO59,U59&lt;0,AO59/-U59,U59&gt;0,AO59/U59)</f>
        <v>0</v>
      </c>
      <c r="AW59" s="234">
        <f t="shared" si="46"/>
        <v>0</v>
      </c>
      <c r="AX59" s="234">
        <f t="shared" si="47"/>
        <v>0</v>
      </c>
      <c r="AY59" s="99"/>
      <c r="AZ59" s="94">
        <f t="shared" si="15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8"/>
        <v>28</v>
      </c>
      <c r="F60" s="93"/>
      <c r="G60" s="93"/>
      <c r="H60" s="272">
        <v>28</v>
      </c>
      <c r="I60" s="93"/>
      <c r="J60" s="93"/>
      <c r="K60" s="93">
        <v>158.19</v>
      </c>
      <c r="L60" s="92">
        <f t="shared" si="44"/>
        <v>4429.32</v>
      </c>
      <c r="M60" s="89"/>
      <c r="N60" s="89">
        <v>0</v>
      </c>
      <c r="O60" s="89">
        <v>0</v>
      </c>
      <c r="P60" s="89">
        <v>0</v>
      </c>
      <c r="Q60" s="233">
        <f t="shared" si="16"/>
        <v>0</v>
      </c>
      <c r="R60" s="92">
        <f t="shared" si="17"/>
        <v>0</v>
      </c>
      <c r="S60" s="93">
        <v>0</v>
      </c>
      <c r="T60" s="93">
        <v>0</v>
      </c>
      <c r="U60" s="92">
        <f t="shared" si="18"/>
        <v>0</v>
      </c>
      <c r="V60" s="93">
        <v>0</v>
      </c>
      <c r="W60" s="93">
        <v>0</v>
      </c>
      <c r="X60" s="92">
        <f t="shared" si="19"/>
        <v>0</v>
      </c>
      <c r="Y60" s="93">
        <v>0</v>
      </c>
      <c r="Z60" s="93">
        <v>0</v>
      </c>
      <c r="AA60" s="92">
        <f t="shared" si="20"/>
        <v>0</v>
      </c>
      <c r="AB60" s="92">
        <f t="shared" si="21"/>
        <v>0</v>
      </c>
      <c r="AC60" s="234">
        <f t="shared" si="22"/>
        <v>0</v>
      </c>
      <c r="AD60" s="92">
        <f t="shared" si="23"/>
        <v>0</v>
      </c>
      <c r="AE60" s="93">
        <v>0</v>
      </c>
      <c r="AF60" s="234">
        <f t="shared" si="24"/>
        <v>0</v>
      </c>
      <c r="AG60" s="93">
        <v>0</v>
      </c>
      <c r="AH60" s="93"/>
      <c r="AI60" s="93"/>
      <c r="AJ60" s="93"/>
      <c r="AK60" s="93"/>
      <c r="AL60" s="122">
        <f t="shared" si="25"/>
        <v>8.0571464947879363</v>
      </c>
      <c r="AM60" s="93">
        <v>0</v>
      </c>
      <c r="AN60" s="325">
        <f t="shared" si="45"/>
        <v>0</v>
      </c>
      <c r="AO60" s="95">
        <f t="shared" si="26"/>
        <v>-8.0571464947879363</v>
      </c>
      <c r="AP60" s="96"/>
      <c r="AQ60" s="97">
        <f t="shared" si="9"/>
        <v>0</v>
      </c>
      <c r="AR60" s="98">
        <f t="shared" si="37"/>
        <v>158.19</v>
      </c>
      <c r="AS60" s="98">
        <f t="shared" si="11"/>
        <v>0</v>
      </c>
      <c r="AT60" s="98">
        <f t="shared" si="12"/>
        <v>0</v>
      </c>
      <c r="AU60" s="98">
        <f t="shared" si="27"/>
        <v>0</v>
      </c>
      <c r="AV60" s="98">
        <f t="array" ref="AV60">_xlfn.IFS(U60=0,AO60,U60&lt;0,AO60/-U60,U60&gt;0,AO60/U60)</f>
        <v>-8.0571464947879363</v>
      </c>
      <c r="AW60" s="234">
        <f t="shared" si="46"/>
        <v>0</v>
      </c>
      <c r="AX60" s="234">
        <f t="shared" si="47"/>
        <v>-5.0933349104165478E-2</v>
      </c>
      <c r="AY60" s="99"/>
      <c r="AZ60" s="94">
        <f t="shared" si="15"/>
        <v>-225.60010185406222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8"/>
        <v>163</v>
      </c>
      <c r="F61" s="93"/>
      <c r="G61" s="93"/>
      <c r="H61" s="272">
        <v>163</v>
      </c>
      <c r="I61" s="93"/>
      <c r="J61" s="93"/>
      <c r="K61" s="93">
        <v>128.94</v>
      </c>
      <c r="L61" s="92">
        <f t="shared" si="44"/>
        <v>21017.22</v>
      </c>
      <c r="M61" s="89"/>
      <c r="N61" s="89">
        <v>0</v>
      </c>
      <c r="O61" s="89">
        <v>0</v>
      </c>
      <c r="P61" s="89">
        <v>0</v>
      </c>
      <c r="Q61" s="233">
        <f t="shared" si="16"/>
        <v>0</v>
      </c>
      <c r="R61" s="92">
        <f t="shared" si="17"/>
        <v>0</v>
      </c>
      <c r="S61" s="93">
        <v>0</v>
      </c>
      <c r="T61" s="93">
        <v>0</v>
      </c>
      <c r="U61" s="92">
        <f t="shared" si="18"/>
        <v>0</v>
      </c>
      <c r="V61" s="93">
        <v>0</v>
      </c>
      <c r="W61" s="93">
        <v>0</v>
      </c>
      <c r="X61" s="92">
        <f t="shared" si="19"/>
        <v>0</v>
      </c>
      <c r="Y61" s="93">
        <v>0</v>
      </c>
      <c r="Z61" s="93">
        <v>0</v>
      </c>
      <c r="AA61" s="92">
        <f t="shared" si="20"/>
        <v>0</v>
      </c>
      <c r="AB61" s="92">
        <f t="shared" si="21"/>
        <v>0</v>
      </c>
      <c r="AC61" s="234">
        <f t="shared" si="22"/>
        <v>0</v>
      </c>
      <c r="AD61" s="92">
        <f t="shared" si="23"/>
        <v>0</v>
      </c>
      <c r="AE61" s="93">
        <v>0</v>
      </c>
      <c r="AF61" s="234">
        <f t="shared" si="24"/>
        <v>0</v>
      </c>
      <c r="AG61" s="93">
        <v>0</v>
      </c>
      <c r="AH61" s="93"/>
      <c r="AI61" s="93"/>
      <c r="AJ61" s="93"/>
      <c r="AK61" s="93"/>
      <c r="AL61" s="122">
        <f t="shared" si="25"/>
        <v>46.90410280894406</v>
      </c>
      <c r="AM61" s="93">
        <v>0</v>
      </c>
      <c r="AN61" s="325">
        <f t="shared" si="45"/>
        <v>0</v>
      </c>
      <c r="AO61" s="95">
        <f t="shared" si="26"/>
        <v>-46.90410280894406</v>
      </c>
      <c r="AP61" s="96"/>
      <c r="AQ61" s="97">
        <f t="shared" si="9"/>
        <v>0</v>
      </c>
      <c r="AR61" s="98">
        <f t="shared" si="37"/>
        <v>128.94</v>
      </c>
      <c r="AS61" s="98">
        <f t="shared" si="11"/>
        <v>0</v>
      </c>
      <c r="AT61" s="98">
        <f t="shared" si="12"/>
        <v>0</v>
      </c>
      <c r="AU61" s="98">
        <f t="shared" si="27"/>
        <v>0</v>
      </c>
      <c r="AV61" s="98">
        <f t="array" ref="AV61">_xlfn.IFS(U61=0,AO61,U61&lt;0,AO61/-U61,U61&gt;0,AO61/U61)</f>
        <v>-46.90410280894406</v>
      </c>
      <c r="AW61" s="234">
        <f t="shared" si="46"/>
        <v>0</v>
      </c>
      <c r="AX61" s="234">
        <f t="shared" si="47"/>
        <v>-0.36376689009573493</v>
      </c>
      <c r="AY61" s="99"/>
      <c r="AZ61" s="94">
        <f t="shared" si="15"/>
        <v>-7645.368757857882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8"/>
        <v>0</v>
      </c>
      <c r="F62" s="93"/>
      <c r="G62" s="93"/>
      <c r="H62" s="272">
        <v>0</v>
      </c>
      <c r="I62" s="93"/>
      <c r="J62" s="93"/>
      <c r="K62" s="93">
        <v>175.74</v>
      </c>
      <c r="L62" s="92">
        <f t="shared" si="44"/>
        <v>0</v>
      </c>
      <c r="M62" s="89"/>
      <c r="N62" s="89"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v>0</v>
      </c>
      <c r="T62" s="93">
        <v>0</v>
      </c>
      <c r="U62" s="92">
        <f t="shared" si="18"/>
        <v>0</v>
      </c>
      <c r="V62" s="93">
        <v>0</v>
      </c>
      <c r="W62" s="93">
        <v>0</v>
      </c>
      <c r="X62" s="92">
        <f t="shared" si="19"/>
        <v>0</v>
      </c>
      <c r="Y62" s="93">
        <v>0</v>
      </c>
      <c r="Z62" s="93">
        <v>0</v>
      </c>
      <c r="AA62" s="92">
        <f t="shared" si="20"/>
        <v>0</v>
      </c>
      <c r="AB62" s="92">
        <f t="shared" si="21"/>
        <v>0</v>
      </c>
      <c r="AC62" s="234">
        <f t="shared" si="22"/>
        <v>0</v>
      </c>
      <c r="AD62" s="92">
        <f t="shared" si="23"/>
        <v>0</v>
      </c>
      <c r="AE62" s="93">
        <v>0</v>
      </c>
      <c r="AF62" s="234">
        <f t="shared" si="24"/>
        <v>0</v>
      </c>
      <c r="AG62" s="93">
        <v>0</v>
      </c>
      <c r="AH62" s="93"/>
      <c r="AI62" s="93"/>
      <c r="AJ62" s="93"/>
      <c r="AK62" s="93"/>
      <c r="AL62" s="122">
        <f t="shared" si="25"/>
        <v>0</v>
      </c>
      <c r="AM62" s="93">
        <v>0</v>
      </c>
      <c r="AN62" s="325">
        <f t="shared" si="45"/>
        <v>0</v>
      </c>
      <c r="AO62" s="95">
        <f t="shared" si="26"/>
        <v>0</v>
      </c>
      <c r="AP62" s="96"/>
      <c r="AQ62" s="97">
        <f t="shared" si="9"/>
        <v>0</v>
      </c>
      <c r="AR62" s="98">
        <f t="shared" si="37"/>
        <v>175.74</v>
      </c>
      <c r="AS62" s="98">
        <f t="shared" si="11"/>
        <v>0</v>
      </c>
      <c r="AT62" s="98">
        <f t="shared" si="12"/>
        <v>0</v>
      </c>
      <c r="AU62" s="98">
        <f t="shared" si="27"/>
        <v>0</v>
      </c>
      <c r="AV62" s="98">
        <f t="array" ref="AV62">_xlfn.IFS(U62=0,AO62,U62&lt;0,AO62/-U62,U62&gt;0,AO62/U62)</f>
        <v>0</v>
      </c>
      <c r="AW62" s="234">
        <f t="shared" si="46"/>
        <v>0</v>
      </c>
      <c r="AX62" s="234">
        <f t="shared" si="47"/>
        <v>0</v>
      </c>
      <c r="AY62" s="99"/>
      <c r="AZ62" s="94">
        <f t="shared" si="15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8"/>
        <v>0</v>
      </c>
      <c r="F63" s="93"/>
      <c r="G63" s="93"/>
      <c r="H63" s="272">
        <v>0</v>
      </c>
      <c r="I63" s="93"/>
      <c r="J63" s="93"/>
      <c r="K63" s="93">
        <v>140.63999999999999</v>
      </c>
      <c r="L63" s="92">
        <f t="shared" si="44"/>
        <v>0</v>
      </c>
      <c r="M63" s="89"/>
      <c r="N63" s="89"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v>0</v>
      </c>
      <c r="T63" s="93">
        <v>0</v>
      </c>
      <c r="U63" s="92">
        <f t="shared" si="18"/>
        <v>0</v>
      </c>
      <c r="V63" s="93">
        <v>0</v>
      </c>
      <c r="W63" s="93">
        <v>0</v>
      </c>
      <c r="X63" s="92">
        <f t="shared" si="19"/>
        <v>0</v>
      </c>
      <c r="Y63" s="93">
        <v>0</v>
      </c>
      <c r="Z63" s="93">
        <v>0</v>
      </c>
      <c r="AA63" s="92">
        <f t="shared" si="20"/>
        <v>0</v>
      </c>
      <c r="AB63" s="92">
        <f t="shared" si="21"/>
        <v>0</v>
      </c>
      <c r="AC63" s="234">
        <f t="shared" si="22"/>
        <v>0</v>
      </c>
      <c r="AD63" s="92">
        <f t="shared" si="23"/>
        <v>0</v>
      </c>
      <c r="AE63" s="93">
        <v>0</v>
      </c>
      <c r="AF63" s="234">
        <f t="shared" si="24"/>
        <v>0</v>
      </c>
      <c r="AG63" s="93">
        <v>0</v>
      </c>
      <c r="AH63" s="93"/>
      <c r="AI63" s="93"/>
      <c r="AJ63" s="93"/>
      <c r="AK63" s="93"/>
      <c r="AL63" s="122">
        <f t="shared" si="25"/>
        <v>0</v>
      </c>
      <c r="AM63" s="93">
        <v>0</v>
      </c>
      <c r="AN63" s="325">
        <f t="shared" si="45"/>
        <v>0</v>
      </c>
      <c r="AO63" s="95">
        <f t="shared" si="26"/>
        <v>0</v>
      </c>
      <c r="AP63" s="96"/>
      <c r="AQ63" s="97">
        <f t="shared" si="9"/>
        <v>0</v>
      </c>
      <c r="AR63" s="98">
        <f t="shared" si="37"/>
        <v>140.63999999999999</v>
      </c>
      <c r="AS63" s="98">
        <f t="shared" si="11"/>
        <v>0</v>
      </c>
      <c r="AT63" s="98">
        <f t="shared" si="12"/>
        <v>0</v>
      </c>
      <c r="AU63" s="98">
        <f t="shared" si="27"/>
        <v>0</v>
      </c>
      <c r="AV63" s="98">
        <f t="array" ref="AV63">_xlfn.IFS(U63=0,AO63,U63&lt;0,AO63/-U63,U63&gt;0,AO63/U63)</f>
        <v>0</v>
      </c>
      <c r="AW63" s="234">
        <f t="shared" si="46"/>
        <v>0</v>
      </c>
      <c r="AX63" s="234">
        <f t="shared" si="47"/>
        <v>0</v>
      </c>
      <c r="AY63" s="99"/>
      <c r="AZ63" s="94">
        <f t="shared" si="15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8"/>
        <v>0</v>
      </c>
      <c r="F64" s="93"/>
      <c r="G64" s="93"/>
      <c r="H64" s="272">
        <v>0</v>
      </c>
      <c r="I64" s="93"/>
      <c r="J64" s="93"/>
      <c r="K64" s="93">
        <v>99.69</v>
      </c>
      <c r="L64" s="92">
        <f t="shared" si="44"/>
        <v>0</v>
      </c>
      <c r="M64" s="89"/>
      <c r="N64" s="89"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v>0</v>
      </c>
      <c r="T64" s="93">
        <v>0</v>
      </c>
      <c r="U64" s="92">
        <f t="shared" si="18"/>
        <v>0</v>
      </c>
      <c r="V64" s="93">
        <v>0</v>
      </c>
      <c r="W64" s="93">
        <v>0</v>
      </c>
      <c r="X64" s="92">
        <f t="shared" si="19"/>
        <v>0</v>
      </c>
      <c r="Y64" s="93">
        <v>0</v>
      </c>
      <c r="Z64" s="93">
        <v>0</v>
      </c>
      <c r="AA64" s="92">
        <f t="shared" si="20"/>
        <v>0</v>
      </c>
      <c r="AB64" s="92">
        <f t="shared" si="21"/>
        <v>0</v>
      </c>
      <c r="AC64" s="234">
        <f t="shared" si="22"/>
        <v>0</v>
      </c>
      <c r="AD64" s="92">
        <f t="shared" si="23"/>
        <v>0</v>
      </c>
      <c r="AE64" s="93">
        <v>0</v>
      </c>
      <c r="AF64" s="234">
        <f t="shared" si="24"/>
        <v>0</v>
      </c>
      <c r="AG64" s="93">
        <v>0</v>
      </c>
      <c r="AH64" s="93"/>
      <c r="AI64" s="93"/>
      <c r="AJ64" s="93"/>
      <c r="AK64" s="93"/>
      <c r="AL64" s="122">
        <f t="shared" si="25"/>
        <v>0</v>
      </c>
      <c r="AM64" s="93">
        <v>0</v>
      </c>
      <c r="AN64" s="325">
        <f t="shared" si="45"/>
        <v>0</v>
      </c>
      <c r="AO64" s="95">
        <f t="shared" si="26"/>
        <v>0</v>
      </c>
      <c r="AP64" s="96"/>
      <c r="AQ64" s="97">
        <f t="shared" si="9"/>
        <v>0</v>
      </c>
      <c r="AR64" s="98">
        <f t="shared" si="37"/>
        <v>99.69</v>
      </c>
      <c r="AS64" s="98">
        <f t="shared" si="11"/>
        <v>0</v>
      </c>
      <c r="AT64" s="98">
        <f t="shared" si="12"/>
        <v>0</v>
      </c>
      <c r="AU64" s="98">
        <f t="shared" si="27"/>
        <v>0</v>
      </c>
      <c r="AV64" s="98">
        <f t="array" ref="AV64">_xlfn.IFS(U64=0,AO64,U64&lt;0,AO64/-U64,U64&gt;0,AO64/U64)</f>
        <v>0</v>
      </c>
      <c r="AW64" s="234">
        <f t="shared" si="46"/>
        <v>0</v>
      </c>
      <c r="AX64" s="234">
        <f t="shared" si="47"/>
        <v>0</v>
      </c>
      <c r="AY64" s="99"/>
      <c r="AZ64" s="94">
        <f t="shared" si="15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8"/>
        <v>0</v>
      </c>
      <c r="F65" s="93"/>
      <c r="G65" s="93"/>
      <c r="H65" s="272" t="s">
        <v>100</v>
      </c>
      <c r="I65" s="93"/>
      <c r="J65" s="93"/>
      <c r="K65" s="93">
        <v>99.69</v>
      </c>
      <c r="L65" s="92">
        <f t="shared" si="44"/>
        <v>0</v>
      </c>
      <c r="M65" s="89"/>
      <c r="N65" s="89">
        <v>0</v>
      </c>
      <c r="O65" s="89">
        <v>0</v>
      </c>
      <c r="P65" s="89">
        <v>0</v>
      </c>
      <c r="Q65" s="233">
        <f t="shared" si="16"/>
        <v>0</v>
      </c>
      <c r="R65" s="92">
        <f t="shared" si="17"/>
        <v>0</v>
      </c>
      <c r="S65" s="93">
        <v>0</v>
      </c>
      <c r="T65" s="93">
        <v>0</v>
      </c>
      <c r="U65" s="92">
        <f t="shared" si="18"/>
        <v>0</v>
      </c>
      <c r="V65" s="93">
        <v>0</v>
      </c>
      <c r="W65" s="93">
        <v>0</v>
      </c>
      <c r="X65" s="92">
        <f t="shared" si="19"/>
        <v>0</v>
      </c>
      <c r="Y65" s="93">
        <v>0</v>
      </c>
      <c r="Z65" s="93">
        <v>0</v>
      </c>
      <c r="AA65" s="92">
        <f t="shared" si="20"/>
        <v>0</v>
      </c>
      <c r="AB65" s="92">
        <f t="shared" si="21"/>
        <v>0</v>
      </c>
      <c r="AC65" s="234">
        <f t="shared" si="22"/>
        <v>0</v>
      </c>
      <c r="AD65" s="92">
        <f t="shared" si="23"/>
        <v>0</v>
      </c>
      <c r="AE65" s="93">
        <v>0</v>
      </c>
      <c r="AF65" s="234">
        <f t="shared" si="24"/>
        <v>0</v>
      </c>
      <c r="AG65" s="93">
        <v>0</v>
      </c>
      <c r="AH65" s="93"/>
      <c r="AI65" s="93"/>
      <c r="AJ65" s="93"/>
      <c r="AK65" s="93"/>
      <c r="AL65" s="122">
        <f t="shared" si="25"/>
        <v>0</v>
      </c>
      <c r="AM65" s="93">
        <v>0</v>
      </c>
      <c r="AN65" s="325">
        <f t="shared" si="45"/>
        <v>0</v>
      </c>
      <c r="AO65" s="95">
        <f t="shared" si="26"/>
        <v>0</v>
      </c>
      <c r="AP65" s="96"/>
      <c r="AQ65" s="97">
        <f t="shared" si="9"/>
        <v>0</v>
      </c>
      <c r="AR65" s="98">
        <f t="shared" si="37"/>
        <v>99.69</v>
      </c>
      <c r="AS65" s="98">
        <f t="shared" si="11"/>
        <v>0</v>
      </c>
      <c r="AT65" s="98">
        <f t="shared" si="12"/>
        <v>0</v>
      </c>
      <c r="AU65" s="98">
        <f t="shared" si="27"/>
        <v>0</v>
      </c>
      <c r="AV65" s="98">
        <f t="array" ref="AV65">_xlfn.IFS(U65=0,AO65,U65&lt;0,AO65/-U65,U65&gt;0,AO65/U65)</f>
        <v>0</v>
      </c>
      <c r="AW65" s="234">
        <f t="shared" si="46"/>
        <v>0</v>
      </c>
      <c r="AX65" s="234">
        <f t="shared" si="47"/>
        <v>0</v>
      </c>
      <c r="AY65" s="99"/>
      <c r="AZ65" s="94">
        <f t="shared" si="15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8"/>
        <v>2</v>
      </c>
      <c r="F66" s="93"/>
      <c r="G66" s="93"/>
      <c r="H66" s="272">
        <v>2</v>
      </c>
      <c r="I66" s="93"/>
      <c r="J66" s="93"/>
      <c r="K66" s="93">
        <v>97.35</v>
      </c>
      <c r="L66" s="92">
        <f t="shared" si="44"/>
        <v>194.7</v>
      </c>
      <c r="M66" s="89"/>
      <c r="N66" s="89">
        <v>1</v>
      </c>
      <c r="O66" s="89">
        <v>1037</v>
      </c>
      <c r="P66" s="89">
        <v>0</v>
      </c>
      <c r="Q66" s="233">
        <f t="shared" si="16"/>
        <v>0.33333333333333331</v>
      </c>
      <c r="R66" s="92">
        <f t="shared" si="17"/>
        <v>0</v>
      </c>
      <c r="S66" s="93">
        <v>0</v>
      </c>
      <c r="T66" s="93">
        <v>0</v>
      </c>
      <c r="U66" s="92">
        <f t="shared" si="18"/>
        <v>0</v>
      </c>
      <c r="V66" s="93">
        <v>0</v>
      </c>
      <c r="W66" s="93">
        <v>0</v>
      </c>
      <c r="X66" s="92">
        <f t="shared" si="19"/>
        <v>0</v>
      </c>
      <c r="Y66" s="93">
        <v>0</v>
      </c>
      <c r="Z66" s="93">
        <v>0</v>
      </c>
      <c r="AA66" s="92">
        <f t="shared" si="20"/>
        <v>0</v>
      </c>
      <c r="AB66" s="92">
        <f t="shared" si="21"/>
        <v>0</v>
      </c>
      <c r="AC66" s="234">
        <f t="shared" si="22"/>
        <v>0</v>
      </c>
      <c r="AD66" s="92">
        <f t="shared" si="23"/>
        <v>0</v>
      </c>
      <c r="AE66" s="93">
        <v>0</v>
      </c>
      <c r="AF66" s="234">
        <f t="shared" si="24"/>
        <v>0</v>
      </c>
      <c r="AG66" s="93">
        <v>0</v>
      </c>
      <c r="AH66" s="93"/>
      <c r="AI66" s="93"/>
      <c r="AJ66" s="93"/>
      <c r="AK66" s="93"/>
      <c r="AL66" s="122">
        <f t="shared" si="25"/>
        <v>0.57551046391342398</v>
      </c>
      <c r="AM66" s="93">
        <v>0</v>
      </c>
      <c r="AN66" s="325">
        <f t="shared" si="45"/>
        <v>0</v>
      </c>
      <c r="AO66" s="95">
        <f t="shared" si="26"/>
        <v>-0.57551046391342398</v>
      </c>
      <c r="AP66" s="96"/>
      <c r="AQ66" s="97">
        <f t="shared" si="9"/>
        <v>0</v>
      </c>
      <c r="AR66" s="98">
        <f t="shared" si="37"/>
        <v>97.35</v>
      </c>
      <c r="AS66" s="98">
        <f t="shared" si="11"/>
        <v>0</v>
      </c>
      <c r="AT66" s="98">
        <f t="shared" si="12"/>
        <v>0</v>
      </c>
      <c r="AU66" s="98">
        <f t="shared" si="27"/>
        <v>0</v>
      </c>
      <c r="AV66" s="98">
        <f t="array" ref="AV66">_xlfn.IFS(U66=0,AO66,U66&lt;0,AO66/-U66,U66&gt;0,AO66/U66)</f>
        <v>-0.57551046391342398</v>
      </c>
      <c r="AW66" s="234">
        <f t="shared" si="46"/>
        <v>0</v>
      </c>
      <c r="AX66" s="234">
        <f t="shared" si="47"/>
        <v>-5.9117664500608529E-3</v>
      </c>
      <c r="AY66" s="99"/>
      <c r="AZ66" s="94">
        <f t="shared" si="15"/>
        <v>-1.151020927826848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8"/>
        <v>10</v>
      </c>
      <c r="F67" s="93"/>
      <c r="G67" s="93"/>
      <c r="H67" s="272">
        <v>10</v>
      </c>
      <c r="I67" s="93"/>
      <c r="J67" s="93"/>
      <c r="K67" s="93">
        <v>161.69999999999999</v>
      </c>
      <c r="L67" s="92">
        <f t="shared" si="44"/>
        <v>1617</v>
      </c>
      <c r="M67" s="89"/>
      <c r="N67" s="89">
        <v>0</v>
      </c>
      <c r="O67" s="89">
        <v>0</v>
      </c>
      <c r="P67" s="89">
        <v>0</v>
      </c>
      <c r="Q67" s="233">
        <f t="shared" si="16"/>
        <v>0</v>
      </c>
      <c r="R67" s="92">
        <f t="shared" si="17"/>
        <v>0</v>
      </c>
      <c r="S67" s="93">
        <v>0</v>
      </c>
      <c r="T67" s="93">
        <v>0</v>
      </c>
      <c r="U67" s="92">
        <f t="shared" si="18"/>
        <v>0</v>
      </c>
      <c r="V67" s="93">
        <v>0</v>
      </c>
      <c r="W67" s="93">
        <v>0</v>
      </c>
      <c r="X67" s="92">
        <f t="shared" si="19"/>
        <v>0</v>
      </c>
      <c r="Y67" s="93">
        <v>0</v>
      </c>
      <c r="Z67" s="93">
        <v>0</v>
      </c>
      <c r="AA67" s="92">
        <f t="shared" si="20"/>
        <v>0</v>
      </c>
      <c r="AB67" s="92">
        <f t="shared" si="21"/>
        <v>0</v>
      </c>
      <c r="AC67" s="234">
        <f t="shared" si="22"/>
        <v>0</v>
      </c>
      <c r="AD67" s="92">
        <f t="shared" si="23"/>
        <v>0</v>
      </c>
      <c r="AE67" s="93">
        <v>0</v>
      </c>
      <c r="AF67" s="234">
        <f t="shared" si="24"/>
        <v>0</v>
      </c>
      <c r="AG67" s="93">
        <v>0</v>
      </c>
      <c r="AH67" s="93"/>
      <c r="AI67" s="93"/>
      <c r="AJ67" s="93"/>
      <c r="AK67" s="93"/>
      <c r="AL67" s="122">
        <f t="shared" si="25"/>
        <v>2.87755231956712</v>
      </c>
      <c r="AM67" s="93">
        <v>0</v>
      </c>
      <c r="AN67" s="325">
        <f t="shared" ref="AN67:AN98" si="49">6067.24*Y67/Y$121</f>
        <v>0</v>
      </c>
      <c r="AO67" s="95">
        <f t="shared" si="26"/>
        <v>-2.87755231956712</v>
      </c>
      <c r="AP67" s="96"/>
      <c r="AQ67" s="97">
        <f t="shared" si="9"/>
        <v>0</v>
      </c>
      <c r="AR67" s="98">
        <f t="shared" si="37"/>
        <v>161.69999999999999</v>
      </c>
      <c r="AS67" s="98">
        <f t="shared" si="11"/>
        <v>0</v>
      </c>
      <c r="AT67" s="98">
        <f t="shared" si="12"/>
        <v>0</v>
      </c>
      <c r="AU67" s="98">
        <f t="shared" si="27"/>
        <v>0</v>
      </c>
      <c r="AV67" s="98">
        <f t="array" ref="AV67">_xlfn.IFS(U67=0,AO67,U67&lt;0,AO67/-U67,U67&gt;0,AO67/U67)</f>
        <v>-2.87755231956712</v>
      </c>
      <c r="AW67" s="234">
        <f t="shared" si="46"/>
        <v>0</v>
      </c>
      <c r="AX67" s="234">
        <f t="shared" si="47"/>
        <v>-1.7795623497632161E-2</v>
      </c>
      <c r="AY67" s="99"/>
      <c r="AZ67" s="94">
        <f t="shared" si="15"/>
        <v>-28.775523195671198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8"/>
        <v>0</v>
      </c>
      <c r="F68" s="93"/>
      <c r="G68" s="93"/>
      <c r="H68" s="272">
        <v>0</v>
      </c>
      <c r="I68" s="93"/>
      <c r="J68" s="93"/>
      <c r="K68" s="93">
        <v>161.69999999999999</v>
      </c>
      <c r="L68" s="92">
        <f t="shared" si="44"/>
        <v>0</v>
      </c>
      <c r="M68" s="89"/>
      <c r="N68" s="89">
        <v>0</v>
      </c>
      <c r="O68" s="89">
        <v>0</v>
      </c>
      <c r="P68" s="89">
        <v>0</v>
      </c>
      <c r="Q68" s="233">
        <f t="shared" ref="Q68:Q98" si="50">N68/3</f>
        <v>0</v>
      </c>
      <c r="R68" s="92">
        <f t="shared" ref="R68:R98" si="51">U68/3</f>
        <v>0</v>
      </c>
      <c r="S68" s="93">
        <v>0</v>
      </c>
      <c r="T68" s="93">
        <v>0</v>
      </c>
      <c r="U68" s="92">
        <f t="shared" ref="U68:U98" si="52">S68+T68</f>
        <v>0</v>
      </c>
      <c r="V68" s="93">
        <v>0</v>
      </c>
      <c r="W68" s="93">
        <v>0</v>
      </c>
      <c r="X68" s="92">
        <f t="shared" ref="X68:X98" si="53">V68+W68</f>
        <v>0</v>
      </c>
      <c r="Y68" s="93">
        <v>0</v>
      </c>
      <c r="Z68" s="93">
        <v>0</v>
      </c>
      <c r="AA68" s="92">
        <f t="shared" ref="AA68:AA98" si="54">Y68+Z68</f>
        <v>0</v>
      </c>
      <c r="AB68" s="92">
        <f t="shared" ref="AB68:AB98" si="55">N68*O68*P68/100</f>
        <v>0</v>
      </c>
      <c r="AC68" s="234">
        <f t="shared" ref="AC68:AC98" si="56">AA68/$AA$121</f>
        <v>0</v>
      </c>
      <c r="AD68" s="92">
        <f t="shared" ref="AD68:AD98" si="57">U68*K68</f>
        <v>0</v>
      </c>
      <c r="AE68" s="93">
        <v>0</v>
      </c>
      <c r="AF68" s="234">
        <f t="shared" ref="AF68:AF98" si="58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9">IFERROR($AL$121*H68/$H$121,0)</f>
        <v>0</v>
      </c>
      <c r="AM68" s="93">
        <v>0</v>
      </c>
      <c r="AN68" s="325">
        <f t="shared" si="49"/>
        <v>0</v>
      </c>
      <c r="AO68" s="95">
        <f t="shared" ref="AO68:AO98" si="60">AA68-AD68-AE68-AG68-AH68-AI68-AK68-AL68-AN68-AM68</f>
        <v>0</v>
      </c>
      <c r="AP68" s="96"/>
      <c r="AQ68" s="97">
        <f t="shared" si="9"/>
        <v>0</v>
      </c>
      <c r="AR68" s="98">
        <f t="shared" si="37"/>
        <v>161.69999999999999</v>
      </c>
      <c r="AS68" s="98">
        <f t="shared" si="11"/>
        <v>0</v>
      </c>
      <c r="AT68" s="98">
        <f t="shared" si="12"/>
        <v>0</v>
      </c>
      <c r="AU68" s="98">
        <f t="shared" si="27"/>
        <v>0</v>
      </c>
      <c r="AV68" s="98">
        <f t="array" ref="AV68">_xlfn.IFS(U68=0,AO68,U68&lt;0,AO68/-U68,U68&gt;0,AO68/U68)</f>
        <v>0</v>
      </c>
      <c r="AW68" s="234">
        <f t="shared" si="46"/>
        <v>0</v>
      </c>
      <c r="AX68" s="234">
        <f t="shared" si="47"/>
        <v>0</v>
      </c>
      <c r="AY68" s="99"/>
      <c r="AZ68" s="94">
        <f t="shared" si="15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8"/>
        <v>12</v>
      </c>
      <c r="F69" s="93"/>
      <c r="G69" s="93"/>
      <c r="H69" s="272">
        <v>12</v>
      </c>
      <c r="I69" s="93"/>
      <c r="J69" s="93"/>
      <c r="K69" s="93">
        <v>140.63999999999999</v>
      </c>
      <c r="L69" s="92">
        <f t="shared" si="44"/>
        <v>1687.6799999999998</v>
      </c>
      <c r="M69" s="89"/>
      <c r="N69" s="89">
        <v>0</v>
      </c>
      <c r="O69" s="89">
        <v>0</v>
      </c>
      <c r="P69" s="89">
        <v>0</v>
      </c>
      <c r="Q69" s="233">
        <f t="shared" si="50"/>
        <v>0</v>
      </c>
      <c r="R69" s="92">
        <f t="shared" si="51"/>
        <v>0</v>
      </c>
      <c r="S69" s="93">
        <v>0</v>
      </c>
      <c r="T69" s="93">
        <v>0</v>
      </c>
      <c r="U69" s="92">
        <f t="shared" si="52"/>
        <v>0</v>
      </c>
      <c r="V69" s="93">
        <v>0</v>
      </c>
      <c r="W69" s="93">
        <v>0</v>
      </c>
      <c r="X69" s="92">
        <f t="shared" si="53"/>
        <v>0</v>
      </c>
      <c r="Y69" s="93">
        <v>0</v>
      </c>
      <c r="Z69" s="93">
        <v>0</v>
      </c>
      <c r="AA69" s="92">
        <f t="shared" si="54"/>
        <v>0</v>
      </c>
      <c r="AB69" s="92">
        <f t="shared" si="55"/>
        <v>0</v>
      </c>
      <c r="AC69" s="234">
        <f t="shared" si="56"/>
        <v>0</v>
      </c>
      <c r="AD69" s="92">
        <f t="shared" si="57"/>
        <v>0</v>
      </c>
      <c r="AE69" s="93">
        <v>0</v>
      </c>
      <c r="AF69" s="234">
        <f t="shared" si="58"/>
        <v>0</v>
      </c>
      <c r="AG69" s="93">
        <v>0</v>
      </c>
      <c r="AH69" s="93"/>
      <c r="AI69" s="93"/>
      <c r="AJ69" s="93"/>
      <c r="AK69" s="93"/>
      <c r="AL69" s="122">
        <f t="shared" si="59"/>
        <v>3.4530627834805441</v>
      </c>
      <c r="AM69" s="93">
        <v>0</v>
      </c>
      <c r="AN69" s="325">
        <f t="shared" si="49"/>
        <v>0</v>
      </c>
      <c r="AO69" s="95">
        <f t="shared" si="60"/>
        <v>-3.4530627834805441</v>
      </c>
      <c r="AP69" s="96"/>
      <c r="AQ69" s="97">
        <f t="shared" si="9"/>
        <v>0</v>
      </c>
      <c r="AR69" s="98">
        <f t="shared" si="37"/>
        <v>140.63999999999999</v>
      </c>
      <c r="AS69" s="98">
        <f t="shared" si="11"/>
        <v>0</v>
      </c>
      <c r="AT69" s="98">
        <f t="shared" si="12"/>
        <v>0</v>
      </c>
      <c r="AU69" s="98">
        <f t="shared" si="27"/>
        <v>0</v>
      </c>
      <c r="AV69" s="98">
        <f t="array" ref="AV69">_xlfn.IFS(U69=0,AO69,U69&lt;0,AO69/-U69,U69&gt;0,AO69/U69)</f>
        <v>-3.4530627834805441</v>
      </c>
      <c r="AW69" s="234">
        <f t="shared" si="46"/>
        <v>0</v>
      </c>
      <c r="AX69" s="234">
        <f t="shared" si="47"/>
        <v>-2.4552494194258707E-2</v>
      </c>
      <c r="AY69" s="99"/>
      <c r="AZ69" s="94">
        <f t="shared" si="15"/>
        <v>-41.436753401766531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8"/>
        <v>9</v>
      </c>
      <c r="F70" s="93"/>
      <c r="G70" s="93"/>
      <c r="H70" s="272">
        <v>9</v>
      </c>
      <c r="I70" s="93"/>
      <c r="J70" s="93"/>
      <c r="K70" s="93">
        <v>117.24</v>
      </c>
      <c r="L70" s="92">
        <f t="shared" si="44"/>
        <v>1055.1599999999999</v>
      </c>
      <c r="M70" s="89"/>
      <c r="N70" s="89">
        <v>0</v>
      </c>
      <c r="O70" s="89">
        <v>0</v>
      </c>
      <c r="P70" s="89">
        <v>0</v>
      </c>
      <c r="Q70" s="233">
        <f t="shared" si="50"/>
        <v>0</v>
      </c>
      <c r="R70" s="92">
        <f t="shared" si="51"/>
        <v>0</v>
      </c>
      <c r="S70" s="93">
        <v>0</v>
      </c>
      <c r="T70" s="93">
        <v>0</v>
      </c>
      <c r="U70" s="92">
        <f t="shared" si="52"/>
        <v>0</v>
      </c>
      <c r="V70" s="93">
        <v>0</v>
      </c>
      <c r="W70" s="93">
        <v>0</v>
      </c>
      <c r="X70" s="92">
        <f t="shared" si="53"/>
        <v>0</v>
      </c>
      <c r="Y70" s="93">
        <v>0</v>
      </c>
      <c r="Z70" s="93">
        <v>0</v>
      </c>
      <c r="AA70" s="92">
        <f t="shared" si="54"/>
        <v>0</v>
      </c>
      <c r="AB70" s="92">
        <f t="shared" si="55"/>
        <v>0</v>
      </c>
      <c r="AC70" s="234">
        <f t="shared" si="56"/>
        <v>0</v>
      </c>
      <c r="AD70" s="92">
        <f t="shared" si="57"/>
        <v>0</v>
      </c>
      <c r="AE70" s="93">
        <v>0</v>
      </c>
      <c r="AF70" s="234">
        <f t="shared" si="58"/>
        <v>0</v>
      </c>
      <c r="AG70" s="93">
        <v>0</v>
      </c>
      <c r="AH70" s="93"/>
      <c r="AI70" s="93"/>
      <c r="AJ70" s="93"/>
      <c r="AK70" s="93"/>
      <c r="AL70" s="122">
        <f t="shared" si="59"/>
        <v>2.5897970876104082</v>
      </c>
      <c r="AM70" s="93">
        <v>0</v>
      </c>
      <c r="AN70" s="325">
        <f t="shared" si="49"/>
        <v>0</v>
      </c>
      <c r="AO70" s="95">
        <f t="shared" si="60"/>
        <v>-2.5897970876104082</v>
      </c>
      <c r="AP70" s="96"/>
      <c r="AQ70" s="97">
        <f t="shared" si="9"/>
        <v>0</v>
      </c>
      <c r="AR70" s="98">
        <f t="shared" si="37"/>
        <v>117.24</v>
      </c>
      <c r="AS70" s="98">
        <f t="shared" si="11"/>
        <v>0</v>
      </c>
      <c r="AT70" s="98">
        <f t="shared" si="12"/>
        <v>0</v>
      </c>
      <c r="AU70" s="98">
        <f t="shared" si="27"/>
        <v>0</v>
      </c>
      <c r="AV70" s="98">
        <f t="array" ref="AV70">_xlfn.IFS(U70=0,AO70,U70&lt;0,AO70/-U70,U70&gt;0,AO70/U70)</f>
        <v>-2.5897970876104082</v>
      </c>
      <c r="AW70" s="234">
        <f t="shared" si="46"/>
        <v>0</v>
      </c>
      <c r="AX70" s="234">
        <f t="shared" si="47"/>
        <v>-2.2089705626154966E-2</v>
      </c>
      <c r="AY70" s="99"/>
      <c r="AZ70" s="94">
        <f t="shared" si="15"/>
        <v>-23.308173788493672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8"/>
        <v>21</v>
      </c>
      <c r="F71" s="93"/>
      <c r="G71" s="93"/>
      <c r="H71" s="272">
        <v>21</v>
      </c>
      <c r="I71" s="93"/>
      <c r="J71" s="93"/>
      <c r="K71" s="93">
        <v>123.09</v>
      </c>
      <c r="L71" s="92">
        <f t="shared" si="44"/>
        <v>2584.89</v>
      </c>
      <c r="M71" s="89"/>
      <c r="N71" s="89">
        <v>0</v>
      </c>
      <c r="O71" s="89">
        <v>0</v>
      </c>
      <c r="P71" s="89">
        <v>0</v>
      </c>
      <c r="Q71" s="233">
        <f t="shared" si="50"/>
        <v>0</v>
      </c>
      <c r="R71" s="92">
        <f t="shared" si="51"/>
        <v>0</v>
      </c>
      <c r="S71" s="93">
        <v>0</v>
      </c>
      <c r="T71" s="93">
        <v>0</v>
      </c>
      <c r="U71" s="92">
        <f t="shared" si="52"/>
        <v>0</v>
      </c>
      <c r="V71" s="93">
        <v>0</v>
      </c>
      <c r="W71" s="93">
        <v>0</v>
      </c>
      <c r="X71" s="92">
        <f t="shared" si="53"/>
        <v>0</v>
      </c>
      <c r="Y71" s="93">
        <v>0</v>
      </c>
      <c r="Z71" s="93">
        <v>0</v>
      </c>
      <c r="AA71" s="92">
        <f t="shared" si="54"/>
        <v>0</v>
      </c>
      <c r="AB71" s="92">
        <f t="shared" si="55"/>
        <v>0</v>
      </c>
      <c r="AC71" s="234">
        <f t="shared" si="56"/>
        <v>0</v>
      </c>
      <c r="AD71" s="92">
        <f t="shared" si="57"/>
        <v>0</v>
      </c>
      <c r="AE71" s="93">
        <v>0</v>
      </c>
      <c r="AF71" s="234">
        <f t="shared" si="58"/>
        <v>0</v>
      </c>
      <c r="AG71" s="93">
        <v>0</v>
      </c>
      <c r="AH71" s="93"/>
      <c r="AI71" s="93"/>
      <c r="AJ71" s="93"/>
      <c r="AK71" s="93"/>
      <c r="AL71" s="122">
        <f t="shared" si="59"/>
        <v>6.0428598710909522</v>
      </c>
      <c r="AM71" s="93">
        <v>0</v>
      </c>
      <c r="AN71" s="325">
        <f t="shared" si="49"/>
        <v>0</v>
      </c>
      <c r="AO71" s="95">
        <f t="shared" si="60"/>
        <v>-6.0428598710909522</v>
      </c>
      <c r="AP71" s="96"/>
      <c r="AQ71" s="97">
        <f t="shared" si="9"/>
        <v>0</v>
      </c>
      <c r="AR71" s="98">
        <f t="shared" si="37"/>
        <v>123.09</v>
      </c>
      <c r="AS71" s="98">
        <f t="shared" si="11"/>
        <v>0</v>
      </c>
      <c r="AT71" s="98">
        <f t="shared" si="12"/>
        <v>0</v>
      </c>
      <c r="AU71" s="98">
        <f t="shared" ref="AU71:AU98" si="61">IF(S71=0,0,(AH71+AI71+AJ71)/S71)</f>
        <v>0</v>
      </c>
      <c r="AV71" s="98">
        <f t="array" ref="AV71">_xlfn.IFS(U71=0,AO71,U71&lt;0,AO71/-U71,U71&gt;0,AO71/U71)</f>
        <v>-6.0428598710909522</v>
      </c>
      <c r="AW71" s="234">
        <f t="shared" si="46"/>
        <v>0</v>
      </c>
      <c r="AX71" s="234">
        <f t="shared" si="47"/>
        <v>-4.9093020319205073E-2</v>
      </c>
      <c r="AY71" s="99"/>
      <c r="AZ71" s="94">
        <f t="shared" si="15"/>
        <v>-126.90005729290999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8"/>
        <v>13</v>
      </c>
      <c r="F72" s="93"/>
      <c r="G72" s="93"/>
      <c r="H72" s="272">
        <v>13</v>
      </c>
      <c r="I72" s="93"/>
      <c r="J72" s="93"/>
      <c r="K72" s="93">
        <v>123.09</v>
      </c>
      <c r="L72" s="92">
        <f t="shared" si="44"/>
        <v>1600.17</v>
      </c>
      <c r="M72" s="89"/>
      <c r="N72" s="89">
        <v>0</v>
      </c>
      <c r="O72" s="89">
        <v>0</v>
      </c>
      <c r="P72" s="89">
        <v>0</v>
      </c>
      <c r="Q72" s="233">
        <f t="shared" si="50"/>
        <v>0</v>
      </c>
      <c r="R72" s="92">
        <f t="shared" si="51"/>
        <v>0</v>
      </c>
      <c r="S72" s="93">
        <v>0</v>
      </c>
      <c r="T72" s="93">
        <v>0</v>
      </c>
      <c r="U72" s="92">
        <f t="shared" si="52"/>
        <v>0</v>
      </c>
      <c r="V72" s="93">
        <v>0</v>
      </c>
      <c r="W72" s="93">
        <v>0</v>
      </c>
      <c r="X72" s="92">
        <f t="shared" si="53"/>
        <v>0</v>
      </c>
      <c r="Y72" s="93">
        <v>0</v>
      </c>
      <c r="Z72" s="93">
        <v>0</v>
      </c>
      <c r="AA72" s="92">
        <f t="shared" si="54"/>
        <v>0</v>
      </c>
      <c r="AB72" s="92">
        <f t="shared" si="55"/>
        <v>0</v>
      </c>
      <c r="AC72" s="234">
        <f t="shared" si="56"/>
        <v>0</v>
      </c>
      <c r="AD72" s="92">
        <f t="shared" si="57"/>
        <v>0</v>
      </c>
      <c r="AE72" s="93">
        <v>0</v>
      </c>
      <c r="AF72" s="234">
        <f t="shared" si="58"/>
        <v>0</v>
      </c>
      <c r="AG72" s="93">
        <v>0</v>
      </c>
      <c r="AH72" s="93"/>
      <c r="AI72" s="93"/>
      <c r="AJ72" s="93"/>
      <c r="AK72" s="93"/>
      <c r="AL72" s="122">
        <f t="shared" si="59"/>
        <v>3.7408180154372563</v>
      </c>
      <c r="AM72" s="93">
        <v>0</v>
      </c>
      <c r="AN72" s="325">
        <f t="shared" si="49"/>
        <v>0</v>
      </c>
      <c r="AO72" s="95">
        <f t="shared" si="60"/>
        <v>-3.7408180154372563</v>
      </c>
      <c r="AP72" s="96"/>
      <c r="AQ72" s="97">
        <f t="shared" si="9"/>
        <v>0</v>
      </c>
      <c r="AR72" s="98">
        <f t="shared" si="37"/>
        <v>123.09</v>
      </c>
      <c r="AS72" s="98">
        <f t="shared" si="11"/>
        <v>0</v>
      </c>
      <c r="AT72" s="98">
        <f t="shared" si="12"/>
        <v>0</v>
      </c>
      <c r="AU72" s="98">
        <f t="shared" si="61"/>
        <v>0</v>
      </c>
      <c r="AV72" s="98">
        <f t="array" ref="AV72">_xlfn.IFS(U72=0,AO72,U72&lt;0,AO72/-U72,U72&gt;0,AO72/U72)</f>
        <v>-3.7408180154372563</v>
      </c>
      <c r="AW72" s="234">
        <f t="shared" si="46"/>
        <v>0</v>
      </c>
      <c r="AX72" s="234">
        <f t="shared" si="47"/>
        <v>-3.0390917340460281E-2</v>
      </c>
      <c r="AY72" s="99"/>
      <c r="AZ72" s="94">
        <f t="shared" si="15"/>
        <v>-48.630634200684334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8"/>
        <v>16</v>
      </c>
      <c r="F73" s="93"/>
      <c r="G73" s="93"/>
      <c r="H73" s="272">
        <v>16</v>
      </c>
      <c r="I73" s="93"/>
      <c r="J73" s="93"/>
      <c r="K73" s="93">
        <v>123.09</v>
      </c>
      <c r="L73" s="92">
        <f t="shared" si="44"/>
        <v>1969.44</v>
      </c>
      <c r="M73" s="89"/>
      <c r="N73" s="89">
        <v>0</v>
      </c>
      <c r="O73" s="89">
        <v>0</v>
      </c>
      <c r="P73" s="89">
        <v>0</v>
      </c>
      <c r="Q73" s="233">
        <f t="shared" si="50"/>
        <v>0</v>
      </c>
      <c r="R73" s="92">
        <f t="shared" si="51"/>
        <v>0</v>
      </c>
      <c r="S73" s="93">
        <v>0</v>
      </c>
      <c r="T73" s="93">
        <v>0</v>
      </c>
      <c r="U73" s="92">
        <f t="shared" si="52"/>
        <v>0</v>
      </c>
      <c r="V73" s="93">
        <v>0</v>
      </c>
      <c r="W73" s="93">
        <v>0</v>
      </c>
      <c r="X73" s="92">
        <f t="shared" si="53"/>
        <v>0</v>
      </c>
      <c r="Y73" s="93">
        <v>0</v>
      </c>
      <c r="Z73" s="93">
        <v>0</v>
      </c>
      <c r="AA73" s="92">
        <f t="shared" si="54"/>
        <v>0</v>
      </c>
      <c r="AB73" s="92">
        <f t="shared" si="55"/>
        <v>0</v>
      </c>
      <c r="AC73" s="234">
        <f t="shared" si="56"/>
        <v>0</v>
      </c>
      <c r="AD73" s="92">
        <f t="shared" si="57"/>
        <v>0</v>
      </c>
      <c r="AE73" s="93">
        <v>0</v>
      </c>
      <c r="AF73" s="234">
        <f t="shared" si="58"/>
        <v>0</v>
      </c>
      <c r="AG73" s="93">
        <v>0</v>
      </c>
      <c r="AH73" s="93"/>
      <c r="AI73" s="93"/>
      <c r="AJ73" s="93"/>
      <c r="AK73" s="93"/>
      <c r="AL73" s="122">
        <f t="shared" si="59"/>
        <v>4.6040837113073918</v>
      </c>
      <c r="AM73" s="93">
        <v>0</v>
      </c>
      <c r="AN73" s="325">
        <f t="shared" si="49"/>
        <v>0</v>
      </c>
      <c r="AO73" s="95">
        <f t="shared" si="60"/>
        <v>-4.6040837113073918</v>
      </c>
      <c r="AP73" s="96"/>
      <c r="AQ73" s="97">
        <f t="shared" si="9"/>
        <v>0</v>
      </c>
      <c r="AR73" s="98">
        <f t="shared" si="37"/>
        <v>123.09</v>
      </c>
      <c r="AS73" s="98">
        <f t="shared" si="11"/>
        <v>0</v>
      </c>
      <c r="AT73" s="98">
        <f t="shared" si="12"/>
        <v>0</v>
      </c>
      <c r="AU73" s="98">
        <f t="shared" si="61"/>
        <v>0</v>
      </c>
      <c r="AV73" s="98">
        <f t="array" ref="AV73">_xlfn.IFS(U73=0,AO73,U73&lt;0,AO73/-U73,U73&gt;0,AO73/U73)</f>
        <v>-4.6040837113073918</v>
      </c>
      <c r="AW73" s="234">
        <f t="shared" si="46"/>
        <v>0</v>
      </c>
      <c r="AX73" s="234">
        <f t="shared" si="47"/>
        <v>-3.7404205957489577E-2</v>
      </c>
      <c r="AY73" s="99"/>
      <c r="AZ73" s="94">
        <f t="shared" si="15"/>
        <v>-73.665339380918269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8"/>
        <v>2</v>
      </c>
      <c r="F74" s="93"/>
      <c r="G74" s="93"/>
      <c r="H74" s="272">
        <v>2</v>
      </c>
      <c r="I74" s="93"/>
      <c r="J74" s="93"/>
      <c r="K74" s="93">
        <v>134.79</v>
      </c>
      <c r="L74" s="92">
        <f t="shared" si="44"/>
        <v>269.58</v>
      </c>
      <c r="M74" s="89"/>
      <c r="N74" s="89">
        <v>0</v>
      </c>
      <c r="O74" s="89">
        <v>0</v>
      </c>
      <c r="P74" s="89">
        <v>0</v>
      </c>
      <c r="Q74" s="233">
        <f t="shared" si="50"/>
        <v>0</v>
      </c>
      <c r="R74" s="92">
        <f t="shared" si="51"/>
        <v>0</v>
      </c>
      <c r="S74" s="93">
        <v>0</v>
      </c>
      <c r="T74" s="93">
        <v>0</v>
      </c>
      <c r="U74" s="92">
        <f t="shared" si="52"/>
        <v>0</v>
      </c>
      <c r="V74" s="93">
        <v>0</v>
      </c>
      <c r="W74" s="93">
        <v>0</v>
      </c>
      <c r="X74" s="92">
        <f t="shared" si="53"/>
        <v>0</v>
      </c>
      <c r="Y74" s="93">
        <v>0</v>
      </c>
      <c r="Z74" s="93">
        <v>0</v>
      </c>
      <c r="AA74" s="92">
        <f t="shared" si="54"/>
        <v>0</v>
      </c>
      <c r="AB74" s="92">
        <f t="shared" si="55"/>
        <v>0</v>
      </c>
      <c r="AC74" s="234">
        <f t="shared" si="56"/>
        <v>0</v>
      </c>
      <c r="AD74" s="92">
        <f t="shared" si="57"/>
        <v>0</v>
      </c>
      <c r="AE74" s="93">
        <v>0</v>
      </c>
      <c r="AF74" s="234">
        <f t="shared" si="58"/>
        <v>0</v>
      </c>
      <c r="AG74" s="93">
        <v>0</v>
      </c>
      <c r="AH74" s="93"/>
      <c r="AI74" s="93"/>
      <c r="AJ74" s="93"/>
      <c r="AK74" s="93"/>
      <c r="AL74" s="122">
        <f t="shared" si="59"/>
        <v>0.57551046391342398</v>
      </c>
      <c r="AM74" s="93">
        <v>0</v>
      </c>
      <c r="AN74" s="325">
        <f t="shared" si="49"/>
        <v>0</v>
      </c>
      <c r="AO74" s="95">
        <f t="shared" si="60"/>
        <v>-0.57551046391342398</v>
      </c>
      <c r="AP74" s="96"/>
      <c r="AQ74" s="97">
        <f t="shared" si="9"/>
        <v>0</v>
      </c>
      <c r="AR74" s="98">
        <f t="shared" si="37"/>
        <v>134.79</v>
      </c>
      <c r="AS74" s="98">
        <f t="shared" si="11"/>
        <v>0</v>
      </c>
      <c r="AT74" s="98">
        <f t="shared" si="12"/>
        <v>0</v>
      </c>
      <c r="AU74" s="98">
        <f t="shared" si="61"/>
        <v>0</v>
      </c>
      <c r="AV74" s="98">
        <f t="array" ref="AV74">_xlfn.IFS(U74=0,AO74,U74&lt;0,AO74/-U74,U74&gt;0,AO74/U74)</f>
        <v>-0.57551046391342398</v>
      </c>
      <c r="AW74" s="234">
        <f t="shared" si="46"/>
        <v>0</v>
      </c>
      <c r="AX74" s="234">
        <f t="shared" si="47"/>
        <v>-4.2696822013014619E-3</v>
      </c>
      <c r="AY74" s="99"/>
      <c r="AZ74" s="94">
        <f t="shared" si="15"/>
        <v>-1.151020927826848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8"/>
        <v>0</v>
      </c>
      <c r="F75" s="93"/>
      <c r="G75" s="93"/>
      <c r="H75" s="272" t="s">
        <v>100</v>
      </c>
      <c r="I75" s="93"/>
      <c r="J75" s="93"/>
      <c r="K75" s="93">
        <v>134.79</v>
      </c>
      <c r="L75" s="92">
        <f t="shared" si="44"/>
        <v>0</v>
      </c>
      <c r="M75" s="89"/>
      <c r="N75" s="89">
        <v>1</v>
      </c>
      <c r="O75" s="89">
        <v>1347</v>
      </c>
      <c r="P75" s="89">
        <v>100</v>
      </c>
      <c r="Q75" s="233">
        <f t="shared" si="50"/>
        <v>0.33333333333333331</v>
      </c>
      <c r="R75" s="92">
        <f t="shared" si="51"/>
        <v>0</v>
      </c>
      <c r="S75" s="93">
        <v>0</v>
      </c>
      <c r="T75" s="93">
        <v>0</v>
      </c>
      <c r="U75" s="92">
        <f t="shared" si="52"/>
        <v>0</v>
      </c>
      <c r="V75" s="93">
        <v>0</v>
      </c>
      <c r="W75" s="93">
        <v>0</v>
      </c>
      <c r="X75" s="92">
        <f t="shared" si="53"/>
        <v>0</v>
      </c>
      <c r="Y75" s="93">
        <v>0</v>
      </c>
      <c r="Z75" s="93">
        <v>0</v>
      </c>
      <c r="AA75" s="92">
        <f t="shared" si="54"/>
        <v>0</v>
      </c>
      <c r="AB75" s="92">
        <f t="shared" si="55"/>
        <v>1347</v>
      </c>
      <c r="AC75" s="234">
        <f t="shared" si="56"/>
        <v>0</v>
      </c>
      <c r="AD75" s="92">
        <f t="shared" si="57"/>
        <v>0</v>
      </c>
      <c r="AE75" s="93">
        <v>0</v>
      </c>
      <c r="AF75" s="234">
        <f t="shared" si="58"/>
        <v>0</v>
      </c>
      <c r="AG75" s="93">
        <v>378.34</v>
      </c>
      <c r="AH75" s="93"/>
      <c r="AI75" s="93"/>
      <c r="AJ75" s="93"/>
      <c r="AK75" s="93"/>
      <c r="AL75" s="122">
        <f t="shared" si="59"/>
        <v>0</v>
      </c>
      <c r="AM75" s="93">
        <v>0</v>
      </c>
      <c r="AN75" s="325">
        <f t="shared" si="49"/>
        <v>0</v>
      </c>
      <c r="AO75" s="95">
        <f t="shared" si="60"/>
        <v>-378.34</v>
      </c>
      <c r="AP75" s="96"/>
      <c r="AQ75" s="97">
        <f t="shared" si="9"/>
        <v>0</v>
      </c>
      <c r="AR75" s="98">
        <f t="shared" si="37"/>
        <v>134.79</v>
      </c>
      <c r="AS75" s="98">
        <f t="shared" si="11"/>
        <v>0</v>
      </c>
      <c r="AT75" s="98">
        <f t="shared" si="12"/>
        <v>378.34</v>
      </c>
      <c r="AU75" s="98">
        <f t="shared" si="61"/>
        <v>0</v>
      </c>
      <c r="AV75" s="98">
        <f t="array" ref="AV75">_xlfn.IFS(U75=0,AO75,U75&lt;0,AO75/-U75,U75&gt;0,AO75/U75)</f>
        <v>-378.34</v>
      </c>
      <c r="AW75" s="234">
        <f t="shared" si="46"/>
        <v>0</v>
      </c>
      <c r="AX75" s="234">
        <f t="shared" si="47"/>
        <v>-2.806884783737666</v>
      </c>
      <c r="AY75" s="99"/>
      <c r="AZ75" s="94">
        <f t="shared" si="15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8"/>
        <v>50</v>
      </c>
      <c r="F76" s="93"/>
      <c r="G76" s="93"/>
      <c r="H76" s="272">
        <v>50</v>
      </c>
      <c r="I76" s="93"/>
      <c r="J76" s="93"/>
      <c r="K76" s="93">
        <v>123.09</v>
      </c>
      <c r="L76" s="92">
        <f t="shared" si="44"/>
        <v>6154.5</v>
      </c>
      <c r="M76" s="89"/>
      <c r="N76" s="89">
        <v>0</v>
      </c>
      <c r="O76" s="89">
        <v>0</v>
      </c>
      <c r="P76" s="89">
        <v>0</v>
      </c>
      <c r="Q76" s="233">
        <f t="shared" si="50"/>
        <v>0</v>
      </c>
      <c r="R76" s="92">
        <f t="shared" si="51"/>
        <v>0</v>
      </c>
      <c r="S76" s="93">
        <v>0</v>
      </c>
      <c r="T76" s="93">
        <v>0</v>
      </c>
      <c r="U76" s="92">
        <f t="shared" si="52"/>
        <v>0</v>
      </c>
      <c r="V76" s="93">
        <v>0</v>
      </c>
      <c r="W76" s="93">
        <v>0</v>
      </c>
      <c r="X76" s="92">
        <f t="shared" si="53"/>
        <v>0</v>
      </c>
      <c r="Y76" s="93">
        <v>0</v>
      </c>
      <c r="Z76" s="93">
        <v>0</v>
      </c>
      <c r="AA76" s="92">
        <f t="shared" si="54"/>
        <v>0</v>
      </c>
      <c r="AB76" s="92">
        <f t="shared" si="55"/>
        <v>0</v>
      </c>
      <c r="AC76" s="234">
        <f t="shared" si="56"/>
        <v>0</v>
      </c>
      <c r="AD76" s="92">
        <f t="shared" si="57"/>
        <v>0</v>
      </c>
      <c r="AE76" s="93">
        <v>0</v>
      </c>
      <c r="AF76" s="234">
        <f t="shared" si="58"/>
        <v>0</v>
      </c>
      <c r="AG76" s="93">
        <v>0</v>
      </c>
      <c r="AH76" s="93"/>
      <c r="AI76" s="93"/>
      <c r="AJ76" s="93"/>
      <c r="AK76" s="93"/>
      <c r="AL76" s="122">
        <f t="shared" si="59"/>
        <v>14.387761597835601</v>
      </c>
      <c r="AM76" s="93">
        <v>0</v>
      </c>
      <c r="AN76" s="325">
        <f t="shared" si="49"/>
        <v>0</v>
      </c>
      <c r="AO76" s="95">
        <f t="shared" si="60"/>
        <v>-14.387761597835601</v>
      </c>
      <c r="AP76" s="96"/>
      <c r="AQ76" s="97">
        <f t="shared" si="9"/>
        <v>0</v>
      </c>
      <c r="AR76" s="98">
        <f t="shared" si="37"/>
        <v>123.09</v>
      </c>
      <c r="AS76" s="98">
        <f t="shared" si="11"/>
        <v>0</v>
      </c>
      <c r="AT76" s="98">
        <f t="shared" si="12"/>
        <v>0</v>
      </c>
      <c r="AU76" s="98">
        <f t="shared" si="61"/>
        <v>0</v>
      </c>
      <c r="AV76" s="98">
        <f t="array" ref="AV76">_xlfn.IFS(U76=0,AO76,U76&lt;0,AO76/-U76,U76&gt;0,AO76/U76)</f>
        <v>-14.387761597835601</v>
      </c>
      <c r="AW76" s="234">
        <f t="shared" si="46"/>
        <v>0</v>
      </c>
      <c r="AX76" s="234">
        <f t="shared" si="47"/>
        <v>-0.11688814361715492</v>
      </c>
      <c r="AY76" s="99"/>
      <c r="AZ76" s="94">
        <f t="shared" si="15"/>
        <v>-719.38807989178008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8"/>
        <v>39</v>
      </c>
      <c r="F77" s="93"/>
      <c r="G77" s="93"/>
      <c r="H77" s="272">
        <v>39</v>
      </c>
      <c r="I77" s="93"/>
      <c r="J77" s="93"/>
      <c r="K77" s="93">
        <v>123.09</v>
      </c>
      <c r="L77" s="92">
        <f t="shared" si="44"/>
        <v>4800.51</v>
      </c>
      <c r="M77" s="89"/>
      <c r="N77" s="89">
        <v>0</v>
      </c>
      <c r="O77" s="89">
        <v>0</v>
      </c>
      <c r="P77" s="89">
        <v>0</v>
      </c>
      <c r="Q77" s="233">
        <f t="shared" si="50"/>
        <v>0</v>
      </c>
      <c r="R77" s="92">
        <f t="shared" si="51"/>
        <v>0</v>
      </c>
      <c r="S77" s="93">
        <v>0</v>
      </c>
      <c r="T77" s="93">
        <v>0</v>
      </c>
      <c r="U77" s="92">
        <f t="shared" si="52"/>
        <v>0</v>
      </c>
      <c r="V77" s="93">
        <v>0</v>
      </c>
      <c r="W77" s="93">
        <v>0</v>
      </c>
      <c r="X77" s="92">
        <f t="shared" si="53"/>
        <v>0</v>
      </c>
      <c r="Y77" s="93">
        <v>0</v>
      </c>
      <c r="Z77" s="93">
        <v>0</v>
      </c>
      <c r="AA77" s="92">
        <f t="shared" si="54"/>
        <v>0</v>
      </c>
      <c r="AB77" s="92">
        <f t="shared" si="55"/>
        <v>0</v>
      </c>
      <c r="AC77" s="234">
        <f t="shared" si="56"/>
        <v>0</v>
      </c>
      <c r="AD77" s="92">
        <f t="shared" si="57"/>
        <v>0</v>
      </c>
      <c r="AE77" s="93">
        <v>0</v>
      </c>
      <c r="AF77" s="234">
        <f t="shared" si="58"/>
        <v>0</v>
      </c>
      <c r="AG77" s="93">
        <v>0</v>
      </c>
      <c r="AH77" s="93"/>
      <c r="AI77" s="93"/>
      <c r="AJ77" s="93"/>
      <c r="AK77" s="93"/>
      <c r="AL77" s="122">
        <f t="shared" si="59"/>
        <v>11.222454046311768</v>
      </c>
      <c r="AM77" s="93">
        <v>0</v>
      </c>
      <c r="AN77" s="325">
        <f t="shared" si="49"/>
        <v>0</v>
      </c>
      <c r="AO77" s="95">
        <f t="shared" si="60"/>
        <v>-11.222454046311768</v>
      </c>
      <c r="AP77" s="96"/>
      <c r="AQ77" s="97">
        <f t="shared" si="9"/>
        <v>0</v>
      </c>
      <c r="AR77" s="98">
        <f t="shared" si="37"/>
        <v>123.09</v>
      </c>
      <c r="AS77" s="98">
        <f t="shared" si="11"/>
        <v>0</v>
      </c>
      <c r="AT77" s="98">
        <f t="shared" si="12"/>
        <v>0</v>
      </c>
      <c r="AU77" s="98">
        <f t="shared" si="61"/>
        <v>0</v>
      </c>
      <c r="AV77" s="98">
        <f t="array" ref="AV77">_xlfn.IFS(U77=0,AO77,U77&lt;0,AO77/-U77,U77&gt;0,AO77/U77)</f>
        <v>-11.222454046311768</v>
      </c>
      <c r="AW77" s="234">
        <f t="shared" si="46"/>
        <v>0</v>
      </c>
      <c r="AX77" s="234">
        <f t="shared" si="47"/>
        <v>-9.1172752021380837E-2</v>
      </c>
      <c r="AY77" s="99"/>
      <c r="AZ77" s="94">
        <f t="shared" si="15"/>
        <v>-437.67570780615893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8"/>
        <v>30</v>
      </c>
      <c r="F78" s="93"/>
      <c r="G78" s="93"/>
      <c r="H78" s="272">
        <v>30</v>
      </c>
      <c r="I78" s="93"/>
      <c r="J78" s="93"/>
      <c r="K78" s="93">
        <v>123.09</v>
      </c>
      <c r="L78" s="92">
        <f t="shared" si="44"/>
        <v>3692.7000000000003</v>
      </c>
      <c r="M78" s="89"/>
      <c r="N78" s="89">
        <v>0</v>
      </c>
      <c r="O78" s="89">
        <v>0</v>
      </c>
      <c r="P78" s="89">
        <v>0</v>
      </c>
      <c r="Q78" s="233">
        <f t="shared" si="50"/>
        <v>0</v>
      </c>
      <c r="R78" s="92">
        <f t="shared" si="51"/>
        <v>0</v>
      </c>
      <c r="S78" s="93">
        <v>0</v>
      </c>
      <c r="T78" s="93">
        <v>0</v>
      </c>
      <c r="U78" s="92">
        <f t="shared" si="52"/>
        <v>0</v>
      </c>
      <c r="V78" s="93">
        <v>0</v>
      </c>
      <c r="W78" s="93">
        <v>0</v>
      </c>
      <c r="X78" s="92">
        <f t="shared" si="53"/>
        <v>0</v>
      </c>
      <c r="Y78" s="93">
        <v>0</v>
      </c>
      <c r="Z78" s="93">
        <v>0</v>
      </c>
      <c r="AA78" s="92">
        <f t="shared" si="54"/>
        <v>0</v>
      </c>
      <c r="AB78" s="92">
        <f t="shared" si="55"/>
        <v>0</v>
      </c>
      <c r="AC78" s="234">
        <f t="shared" si="56"/>
        <v>0</v>
      </c>
      <c r="AD78" s="92">
        <f t="shared" si="57"/>
        <v>0</v>
      </c>
      <c r="AE78" s="93">
        <v>0</v>
      </c>
      <c r="AF78" s="234">
        <f t="shared" si="58"/>
        <v>0</v>
      </c>
      <c r="AG78" s="93">
        <v>0</v>
      </c>
      <c r="AH78" s="93"/>
      <c r="AI78" s="93"/>
      <c r="AJ78" s="93"/>
      <c r="AK78" s="93"/>
      <c r="AL78" s="122">
        <f t="shared" si="59"/>
        <v>8.6326569587013608</v>
      </c>
      <c r="AM78" s="93">
        <v>0</v>
      </c>
      <c r="AN78" s="325">
        <f t="shared" si="49"/>
        <v>0</v>
      </c>
      <c r="AO78" s="95">
        <f t="shared" si="60"/>
        <v>-8.6326569587013608</v>
      </c>
      <c r="AP78" s="96"/>
      <c r="AQ78" s="97">
        <f t="shared" si="9"/>
        <v>0</v>
      </c>
      <c r="AR78" s="98">
        <f t="shared" si="37"/>
        <v>123.09</v>
      </c>
      <c r="AS78" s="98">
        <f t="shared" si="11"/>
        <v>0</v>
      </c>
      <c r="AT78" s="98">
        <f t="shared" si="12"/>
        <v>0</v>
      </c>
      <c r="AU78" s="98">
        <f t="shared" si="61"/>
        <v>0</v>
      </c>
      <c r="AV78" s="98">
        <f t="array" ref="AV78">_xlfn.IFS(U78=0,AO78,U78&lt;0,AO78/-U78,U78&gt;0,AO78/U78)</f>
        <v>-8.6326569587013608</v>
      </c>
      <c r="AW78" s="234">
        <f t="shared" si="46"/>
        <v>0</v>
      </c>
      <c r="AX78" s="234">
        <f t="shared" si="47"/>
        <v>-7.0132886170292966E-2</v>
      </c>
      <c r="AY78" s="99"/>
      <c r="AZ78" s="94">
        <f t="shared" si="15"/>
        <v>-258.9797087610408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8"/>
        <v>49</v>
      </c>
      <c r="F79" s="93"/>
      <c r="G79" s="93"/>
      <c r="H79" s="272">
        <v>49</v>
      </c>
      <c r="I79" s="93"/>
      <c r="J79" s="93"/>
      <c r="K79" s="93">
        <v>164.04</v>
      </c>
      <c r="L79" s="92">
        <f t="shared" si="44"/>
        <v>8037.96</v>
      </c>
      <c r="M79" s="89"/>
      <c r="N79" s="89">
        <v>0</v>
      </c>
      <c r="O79" s="89">
        <v>0</v>
      </c>
      <c r="P79" s="89">
        <v>0</v>
      </c>
      <c r="Q79" s="233">
        <f t="shared" si="50"/>
        <v>0</v>
      </c>
      <c r="R79" s="92">
        <f t="shared" si="51"/>
        <v>0</v>
      </c>
      <c r="S79" s="93">
        <v>0</v>
      </c>
      <c r="T79" s="93">
        <v>0</v>
      </c>
      <c r="U79" s="92">
        <f t="shared" si="52"/>
        <v>0</v>
      </c>
      <c r="V79" s="93">
        <v>0</v>
      </c>
      <c r="W79" s="93">
        <v>0</v>
      </c>
      <c r="X79" s="92">
        <f t="shared" si="53"/>
        <v>0</v>
      </c>
      <c r="Y79" s="93">
        <v>0</v>
      </c>
      <c r="Z79" s="93">
        <v>0</v>
      </c>
      <c r="AA79" s="92">
        <f t="shared" si="54"/>
        <v>0</v>
      </c>
      <c r="AB79" s="92">
        <f t="shared" si="55"/>
        <v>0</v>
      </c>
      <c r="AC79" s="234">
        <f t="shared" si="56"/>
        <v>0</v>
      </c>
      <c r="AD79" s="92">
        <f t="shared" si="57"/>
        <v>0</v>
      </c>
      <c r="AE79" s="93">
        <v>0</v>
      </c>
      <c r="AF79" s="234">
        <f t="shared" si="58"/>
        <v>0</v>
      </c>
      <c r="AG79" s="93">
        <v>0</v>
      </c>
      <c r="AH79" s="93"/>
      <c r="AI79" s="93"/>
      <c r="AJ79" s="93"/>
      <c r="AK79" s="93"/>
      <c r="AL79" s="122">
        <f t="shared" si="59"/>
        <v>14.100006365878889</v>
      </c>
      <c r="AM79" s="93">
        <v>0</v>
      </c>
      <c r="AN79" s="325">
        <f t="shared" si="49"/>
        <v>0</v>
      </c>
      <c r="AO79" s="95">
        <f t="shared" si="60"/>
        <v>-14.100006365878889</v>
      </c>
      <c r="AP79" s="96"/>
      <c r="AQ79" s="97">
        <f t="shared" si="9"/>
        <v>0</v>
      </c>
      <c r="AR79" s="98">
        <f t="shared" si="37"/>
        <v>164.04</v>
      </c>
      <c r="AS79" s="98">
        <f t="shared" si="11"/>
        <v>0</v>
      </c>
      <c r="AT79" s="98">
        <f t="shared" si="12"/>
        <v>0</v>
      </c>
      <c r="AU79" s="98">
        <f t="shared" si="61"/>
        <v>0</v>
      </c>
      <c r="AV79" s="98">
        <f t="array" ref="AV79">_xlfn.IFS(U79=0,AO79,U79&lt;0,AO79/-U79,U79&gt;0,AO79/U79)</f>
        <v>-14.100006365878889</v>
      </c>
      <c r="AW79" s="234">
        <f t="shared" si="46"/>
        <v>0</v>
      </c>
      <c r="AX79" s="234">
        <f t="shared" si="47"/>
        <v>-8.5954684015355332E-2</v>
      </c>
      <c r="AY79" s="99"/>
      <c r="AZ79" s="94">
        <f t="shared" si="15"/>
        <v>-690.90031192806555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8"/>
        <v>49</v>
      </c>
      <c r="F80" s="93"/>
      <c r="G80" s="93"/>
      <c r="H80" s="272">
        <v>49</v>
      </c>
      <c r="I80" s="93"/>
      <c r="J80" s="93"/>
      <c r="K80" s="93">
        <v>164.04</v>
      </c>
      <c r="L80" s="92">
        <f t="shared" si="44"/>
        <v>8037.96</v>
      </c>
      <c r="M80" s="89"/>
      <c r="N80" s="89">
        <v>0</v>
      </c>
      <c r="O80" s="89">
        <v>0</v>
      </c>
      <c r="P80" s="89">
        <v>0</v>
      </c>
      <c r="Q80" s="233">
        <f t="shared" si="50"/>
        <v>0</v>
      </c>
      <c r="R80" s="92">
        <f t="shared" si="51"/>
        <v>0</v>
      </c>
      <c r="S80" s="93">
        <v>0</v>
      </c>
      <c r="T80" s="93">
        <v>0</v>
      </c>
      <c r="U80" s="92">
        <f t="shared" si="52"/>
        <v>0</v>
      </c>
      <c r="V80" s="93">
        <v>0</v>
      </c>
      <c r="W80" s="93">
        <v>0</v>
      </c>
      <c r="X80" s="92">
        <f t="shared" si="53"/>
        <v>0</v>
      </c>
      <c r="Y80" s="93">
        <v>0</v>
      </c>
      <c r="Z80" s="93">
        <v>0</v>
      </c>
      <c r="AA80" s="92">
        <f t="shared" si="54"/>
        <v>0</v>
      </c>
      <c r="AB80" s="92">
        <f t="shared" si="55"/>
        <v>0</v>
      </c>
      <c r="AC80" s="234">
        <f t="shared" si="56"/>
        <v>0</v>
      </c>
      <c r="AD80" s="92">
        <f t="shared" si="57"/>
        <v>0</v>
      </c>
      <c r="AE80" s="93">
        <v>0</v>
      </c>
      <c r="AF80" s="234">
        <f t="shared" si="58"/>
        <v>0</v>
      </c>
      <c r="AG80" s="93">
        <v>0</v>
      </c>
      <c r="AH80" s="93"/>
      <c r="AI80" s="93"/>
      <c r="AJ80" s="93"/>
      <c r="AK80" s="93"/>
      <c r="AL80" s="122">
        <f t="shared" si="59"/>
        <v>14.100006365878889</v>
      </c>
      <c r="AM80" s="93">
        <v>0</v>
      </c>
      <c r="AN80" s="325">
        <f t="shared" si="49"/>
        <v>0</v>
      </c>
      <c r="AO80" s="95">
        <f t="shared" si="60"/>
        <v>-14.100006365878889</v>
      </c>
      <c r="AP80" s="96"/>
      <c r="AQ80" s="97">
        <f t="shared" si="9"/>
        <v>0</v>
      </c>
      <c r="AR80" s="98">
        <f t="shared" si="37"/>
        <v>164.04</v>
      </c>
      <c r="AS80" s="98">
        <f t="shared" si="11"/>
        <v>0</v>
      </c>
      <c r="AT80" s="98">
        <f t="shared" si="12"/>
        <v>0</v>
      </c>
      <c r="AU80" s="98">
        <f t="shared" si="61"/>
        <v>0</v>
      </c>
      <c r="AV80" s="98">
        <f t="array" ref="AV80">_xlfn.IFS(U80=0,AO80,U80&lt;0,AO80/-U80,U80&gt;0,AO80/U80)</f>
        <v>-14.100006365878889</v>
      </c>
      <c r="AW80" s="234">
        <f t="shared" si="46"/>
        <v>0</v>
      </c>
      <c r="AX80" s="234">
        <f t="shared" si="47"/>
        <v>-8.5954684015355332E-2</v>
      </c>
      <c r="AY80" s="99"/>
      <c r="AZ80" s="94">
        <f t="shared" si="15"/>
        <v>-690.90031192806555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8"/>
        <v>49</v>
      </c>
      <c r="F81" s="93"/>
      <c r="G81" s="93"/>
      <c r="H81" s="272">
        <v>49</v>
      </c>
      <c r="I81" s="93"/>
      <c r="J81" s="93"/>
      <c r="K81" s="93">
        <v>128.94</v>
      </c>
      <c r="L81" s="92">
        <f t="shared" si="44"/>
        <v>6318.0599999999995</v>
      </c>
      <c r="M81" s="89"/>
      <c r="N81" s="89">
        <v>0</v>
      </c>
      <c r="O81" s="89">
        <v>0</v>
      </c>
      <c r="P81" s="89">
        <v>0</v>
      </c>
      <c r="Q81" s="233">
        <f t="shared" si="50"/>
        <v>0</v>
      </c>
      <c r="R81" s="92">
        <f t="shared" si="51"/>
        <v>0</v>
      </c>
      <c r="S81" s="93">
        <v>0</v>
      </c>
      <c r="T81" s="93">
        <v>0</v>
      </c>
      <c r="U81" s="92">
        <f t="shared" si="52"/>
        <v>0</v>
      </c>
      <c r="V81" s="93">
        <v>0</v>
      </c>
      <c r="W81" s="93">
        <v>0</v>
      </c>
      <c r="X81" s="92">
        <f t="shared" si="53"/>
        <v>0</v>
      </c>
      <c r="Y81" s="93">
        <v>0</v>
      </c>
      <c r="Z81" s="93">
        <v>0</v>
      </c>
      <c r="AA81" s="92">
        <f t="shared" si="54"/>
        <v>0</v>
      </c>
      <c r="AB81" s="92">
        <f t="shared" si="55"/>
        <v>0</v>
      </c>
      <c r="AC81" s="234">
        <f t="shared" si="56"/>
        <v>0</v>
      </c>
      <c r="AD81" s="92">
        <f t="shared" si="57"/>
        <v>0</v>
      </c>
      <c r="AE81" s="93">
        <v>0</v>
      </c>
      <c r="AF81" s="234">
        <f t="shared" si="58"/>
        <v>0</v>
      </c>
      <c r="AG81" s="93">
        <v>0</v>
      </c>
      <c r="AH81" s="93"/>
      <c r="AI81" s="93"/>
      <c r="AJ81" s="93"/>
      <c r="AK81" s="93"/>
      <c r="AL81" s="122">
        <f t="shared" si="59"/>
        <v>14.100006365878889</v>
      </c>
      <c r="AM81" s="93">
        <v>0</v>
      </c>
      <c r="AN81" s="325">
        <f t="shared" si="49"/>
        <v>0</v>
      </c>
      <c r="AO81" s="95">
        <f t="shared" si="60"/>
        <v>-14.100006365878889</v>
      </c>
      <c r="AP81" s="96"/>
      <c r="AQ81" s="97">
        <f t="shared" si="9"/>
        <v>0</v>
      </c>
      <c r="AR81" s="98">
        <f t="shared" si="37"/>
        <v>128.94</v>
      </c>
      <c r="AS81" s="98">
        <f t="shared" si="11"/>
        <v>0</v>
      </c>
      <c r="AT81" s="98">
        <f t="shared" si="12"/>
        <v>0</v>
      </c>
      <c r="AU81" s="98">
        <f t="shared" si="61"/>
        <v>0</v>
      </c>
      <c r="AV81" s="98">
        <f t="array" ref="AV81">_xlfn.IFS(U81=0,AO81,U81&lt;0,AO81/-U81,U81&gt;0,AO81/U81)</f>
        <v>-14.100006365878889</v>
      </c>
      <c r="AW81" s="234">
        <f t="shared" si="46"/>
        <v>0</v>
      </c>
      <c r="AX81" s="234">
        <f t="shared" si="47"/>
        <v>-0.10935323689994485</v>
      </c>
      <c r="AY81" s="99"/>
      <c r="AZ81" s="94">
        <f t="shared" si="15"/>
        <v>-690.90031192806555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8"/>
        <v>49</v>
      </c>
      <c r="F82" s="93"/>
      <c r="G82" s="93"/>
      <c r="H82" s="272">
        <v>49</v>
      </c>
      <c r="I82" s="93"/>
      <c r="J82" s="93"/>
      <c r="K82" s="93">
        <v>128.94</v>
      </c>
      <c r="L82" s="92">
        <f t="shared" si="44"/>
        <v>6318.0599999999995</v>
      </c>
      <c r="M82" s="89"/>
      <c r="N82" s="89">
        <v>0</v>
      </c>
      <c r="O82" s="89">
        <v>0</v>
      </c>
      <c r="P82" s="89">
        <v>0</v>
      </c>
      <c r="Q82" s="233">
        <f t="shared" si="50"/>
        <v>0</v>
      </c>
      <c r="R82" s="92">
        <f t="shared" si="51"/>
        <v>0</v>
      </c>
      <c r="S82" s="93">
        <v>0</v>
      </c>
      <c r="T82" s="93">
        <v>0</v>
      </c>
      <c r="U82" s="92">
        <f t="shared" si="52"/>
        <v>0</v>
      </c>
      <c r="V82" s="93">
        <v>0</v>
      </c>
      <c r="W82" s="93">
        <v>0</v>
      </c>
      <c r="X82" s="92">
        <f t="shared" si="53"/>
        <v>0</v>
      </c>
      <c r="Y82" s="93">
        <v>0</v>
      </c>
      <c r="Z82" s="93">
        <v>0</v>
      </c>
      <c r="AA82" s="92">
        <f t="shared" si="54"/>
        <v>0</v>
      </c>
      <c r="AB82" s="92">
        <f t="shared" si="55"/>
        <v>0</v>
      </c>
      <c r="AC82" s="234">
        <f t="shared" si="56"/>
        <v>0</v>
      </c>
      <c r="AD82" s="92">
        <f t="shared" si="57"/>
        <v>0</v>
      </c>
      <c r="AE82" s="93">
        <v>0</v>
      </c>
      <c r="AF82" s="234">
        <f t="shared" si="58"/>
        <v>0</v>
      </c>
      <c r="AG82" s="93">
        <v>0</v>
      </c>
      <c r="AH82" s="93"/>
      <c r="AI82" s="93"/>
      <c r="AJ82" s="93"/>
      <c r="AK82" s="93"/>
      <c r="AL82" s="122">
        <f t="shared" si="59"/>
        <v>14.100006365878889</v>
      </c>
      <c r="AM82" s="93">
        <v>0</v>
      </c>
      <c r="AN82" s="325">
        <f t="shared" si="49"/>
        <v>0</v>
      </c>
      <c r="AO82" s="95">
        <f t="shared" si="60"/>
        <v>-14.100006365878889</v>
      </c>
      <c r="AP82" s="96"/>
      <c r="AQ82" s="97">
        <f t="shared" si="9"/>
        <v>0</v>
      </c>
      <c r="AR82" s="98">
        <f t="shared" si="37"/>
        <v>128.94</v>
      </c>
      <c r="AS82" s="98">
        <f t="shared" si="11"/>
        <v>0</v>
      </c>
      <c r="AT82" s="98">
        <f t="shared" si="12"/>
        <v>0</v>
      </c>
      <c r="AU82" s="98">
        <f t="shared" si="61"/>
        <v>0</v>
      </c>
      <c r="AV82" s="98">
        <f t="array" ref="AV82">_xlfn.IFS(U82=0,AO82,U82&lt;0,AO82/-U82,U82&gt;0,AO82/U82)</f>
        <v>-14.100006365878889</v>
      </c>
      <c r="AW82" s="234">
        <f t="shared" si="46"/>
        <v>0</v>
      </c>
      <c r="AX82" s="234">
        <f t="shared" si="47"/>
        <v>-0.10935323689994485</v>
      </c>
      <c r="AY82" s="99"/>
      <c r="AZ82" s="94">
        <f t="shared" si="15"/>
        <v>-690.90031192806555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8"/>
        <v>48</v>
      </c>
      <c r="F83" s="93"/>
      <c r="G83" s="93"/>
      <c r="H83" s="272">
        <v>48</v>
      </c>
      <c r="I83" s="93"/>
      <c r="J83" s="93"/>
      <c r="K83" s="93">
        <v>123.09</v>
      </c>
      <c r="L83" s="92">
        <f t="shared" si="44"/>
        <v>5908.32</v>
      </c>
      <c r="M83" s="89"/>
      <c r="N83" s="89">
        <v>0</v>
      </c>
      <c r="O83" s="89">
        <v>0</v>
      </c>
      <c r="P83" s="89">
        <v>0</v>
      </c>
      <c r="Q83" s="233">
        <f t="shared" si="50"/>
        <v>0</v>
      </c>
      <c r="R83" s="92">
        <f t="shared" si="51"/>
        <v>0</v>
      </c>
      <c r="S83" s="93">
        <v>0</v>
      </c>
      <c r="T83" s="93">
        <v>0</v>
      </c>
      <c r="U83" s="92">
        <f t="shared" si="52"/>
        <v>0</v>
      </c>
      <c r="V83" s="93">
        <v>0</v>
      </c>
      <c r="W83" s="93">
        <v>0</v>
      </c>
      <c r="X83" s="92">
        <f t="shared" si="53"/>
        <v>0</v>
      </c>
      <c r="Y83" s="93">
        <v>0</v>
      </c>
      <c r="Z83" s="93">
        <v>0</v>
      </c>
      <c r="AA83" s="92">
        <f t="shared" si="54"/>
        <v>0</v>
      </c>
      <c r="AB83" s="92">
        <f t="shared" si="55"/>
        <v>0</v>
      </c>
      <c r="AC83" s="234">
        <f t="shared" si="56"/>
        <v>0</v>
      </c>
      <c r="AD83" s="92">
        <f t="shared" si="57"/>
        <v>0</v>
      </c>
      <c r="AE83" s="93">
        <v>0</v>
      </c>
      <c r="AF83" s="234">
        <f t="shared" si="58"/>
        <v>0</v>
      </c>
      <c r="AG83" s="93">
        <v>0</v>
      </c>
      <c r="AH83" s="93"/>
      <c r="AI83" s="93"/>
      <c r="AJ83" s="93"/>
      <c r="AK83" s="93"/>
      <c r="AL83" s="122">
        <f t="shared" si="59"/>
        <v>13.812251133922176</v>
      </c>
      <c r="AM83" s="93">
        <v>0</v>
      </c>
      <c r="AN83" s="325">
        <f t="shared" si="49"/>
        <v>0</v>
      </c>
      <c r="AO83" s="95">
        <f t="shared" si="60"/>
        <v>-13.812251133922176</v>
      </c>
      <c r="AP83" s="96"/>
      <c r="AQ83" s="97">
        <f t="shared" si="9"/>
        <v>0</v>
      </c>
      <c r="AR83" s="98">
        <f t="shared" si="37"/>
        <v>123.09</v>
      </c>
      <c r="AS83" s="98">
        <f t="shared" si="11"/>
        <v>0</v>
      </c>
      <c r="AT83" s="98">
        <f t="shared" si="12"/>
        <v>0</v>
      </c>
      <c r="AU83" s="98">
        <f t="shared" si="61"/>
        <v>0</v>
      </c>
      <c r="AV83" s="98">
        <f t="array" ref="AV83">_xlfn.IFS(U83=0,AO83,U83&lt;0,AO83/-U83,U83&gt;0,AO83/U83)</f>
        <v>-13.812251133922176</v>
      </c>
      <c r="AW83" s="234">
        <f t="shared" si="46"/>
        <v>0</v>
      </c>
      <c r="AX83" s="234">
        <f t="shared" si="47"/>
        <v>-0.11221261787246872</v>
      </c>
      <c r="AY83" s="99"/>
      <c r="AZ83" s="94">
        <f t="shared" si="15"/>
        <v>-662.98805442826449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8"/>
        <v>46</v>
      </c>
      <c r="F84" s="93"/>
      <c r="G84" s="93"/>
      <c r="H84" s="272">
        <v>46</v>
      </c>
      <c r="I84" s="93"/>
      <c r="J84" s="93"/>
      <c r="K84" s="93">
        <v>146.49</v>
      </c>
      <c r="L84" s="92">
        <f t="shared" si="44"/>
        <v>6738.5400000000009</v>
      </c>
      <c r="M84" s="89"/>
      <c r="N84" s="89">
        <v>0</v>
      </c>
      <c r="O84" s="89">
        <v>0</v>
      </c>
      <c r="P84" s="89">
        <v>0</v>
      </c>
      <c r="Q84" s="233">
        <f t="shared" si="50"/>
        <v>0</v>
      </c>
      <c r="R84" s="92">
        <f t="shared" si="51"/>
        <v>0</v>
      </c>
      <c r="S84" s="93">
        <v>0</v>
      </c>
      <c r="T84" s="93">
        <v>0</v>
      </c>
      <c r="U84" s="92">
        <f t="shared" si="52"/>
        <v>0</v>
      </c>
      <c r="V84" s="93">
        <v>0</v>
      </c>
      <c r="W84" s="93">
        <v>0</v>
      </c>
      <c r="X84" s="92">
        <f t="shared" si="53"/>
        <v>0</v>
      </c>
      <c r="Y84" s="93">
        <v>0</v>
      </c>
      <c r="Z84" s="93">
        <v>0</v>
      </c>
      <c r="AA84" s="92">
        <f t="shared" si="54"/>
        <v>0</v>
      </c>
      <c r="AB84" s="92">
        <f t="shared" si="55"/>
        <v>0</v>
      </c>
      <c r="AC84" s="234">
        <f t="shared" si="56"/>
        <v>0</v>
      </c>
      <c r="AD84" s="92">
        <f t="shared" si="57"/>
        <v>0</v>
      </c>
      <c r="AE84" s="93">
        <v>0</v>
      </c>
      <c r="AF84" s="234">
        <f t="shared" si="58"/>
        <v>0</v>
      </c>
      <c r="AG84" s="93">
        <v>0</v>
      </c>
      <c r="AH84" s="93"/>
      <c r="AI84" s="93"/>
      <c r="AJ84" s="93"/>
      <c r="AK84" s="93"/>
      <c r="AL84" s="122">
        <f t="shared" si="59"/>
        <v>13.236740670008754</v>
      </c>
      <c r="AM84" s="93">
        <v>0</v>
      </c>
      <c r="AN84" s="325">
        <f t="shared" si="49"/>
        <v>0</v>
      </c>
      <c r="AO84" s="95">
        <f t="shared" si="60"/>
        <v>-13.236740670008754</v>
      </c>
      <c r="AP84" s="96"/>
      <c r="AQ84" s="97">
        <f t="shared" si="9"/>
        <v>0</v>
      </c>
      <c r="AR84" s="98">
        <f t="shared" si="37"/>
        <v>146.49</v>
      </c>
      <c r="AS84" s="98">
        <f t="shared" si="11"/>
        <v>0</v>
      </c>
      <c r="AT84" s="98">
        <f t="shared" si="12"/>
        <v>0</v>
      </c>
      <c r="AU84" s="98">
        <f t="shared" si="61"/>
        <v>0</v>
      </c>
      <c r="AV84" s="98">
        <f t="array" ref="AV84">_xlfn.IFS(U84=0,AO84,U84&lt;0,AO84/-U84,U84&gt;0,AO84/U84)</f>
        <v>-13.236740670008754</v>
      </c>
      <c r="AW84" s="234">
        <f t="shared" si="46"/>
        <v>0</v>
      </c>
      <c r="AX84" s="234">
        <f t="shared" si="47"/>
        <v>-9.0359346508353824E-2</v>
      </c>
      <c r="AY84" s="99"/>
      <c r="AZ84" s="94">
        <f t="shared" si="15"/>
        <v>-608.89007082040268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8"/>
        <v>42</v>
      </c>
      <c r="F85" s="93"/>
      <c r="G85" s="93"/>
      <c r="H85" s="272">
        <v>42</v>
      </c>
      <c r="I85" s="93"/>
      <c r="J85" s="93"/>
      <c r="K85" s="93">
        <v>103.2</v>
      </c>
      <c r="L85" s="92">
        <f t="shared" si="44"/>
        <v>4334.4000000000005</v>
      </c>
      <c r="M85" s="89"/>
      <c r="N85" s="89">
        <v>1</v>
      </c>
      <c r="O85" s="89">
        <v>1080</v>
      </c>
      <c r="P85" s="89">
        <v>0</v>
      </c>
      <c r="Q85" s="233">
        <f t="shared" si="50"/>
        <v>0.33333333333333331</v>
      </c>
      <c r="R85" s="92">
        <f t="shared" si="51"/>
        <v>0</v>
      </c>
      <c r="S85" s="93">
        <v>0</v>
      </c>
      <c r="T85" s="93">
        <v>0</v>
      </c>
      <c r="U85" s="92">
        <f t="shared" si="52"/>
        <v>0</v>
      </c>
      <c r="V85" s="93">
        <v>0</v>
      </c>
      <c r="W85" s="93">
        <v>0</v>
      </c>
      <c r="X85" s="92">
        <f t="shared" si="53"/>
        <v>0</v>
      </c>
      <c r="Y85" s="93">
        <v>0</v>
      </c>
      <c r="Z85" s="93">
        <v>0</v>
      </c>
      <c r="AA85" s="92">
        <f t="shared" si="54"/>
        <v>0</v>
      </c>
      <c r="AB85" s="92">
        <f t="shared" si="55"/>
        <v>0</v>
      </c>
      <c r="AC85" s="234">
        <f t="shared" si="56"/>
        <v>0</v>
      </c>
      <c r="AD85" s="92">
        <f t="shared" si="57"/>
        <v>0</v>
      </c>
      <c r="AE85" s="93">
        <v>0</v>
      </c>
      <c r="AF85" s="234">
        <f t="shared" si="58"/>
        <v>0</v>
      </c>
      <c r="AG85" s="93">
        <v>91.81</v>
      </c>
      <c r="AH85" s="93"/>
      <c r="AI85" s="93"/>
      <c r="AJ85" s="93"/>
      <c r="AK85" s="93"/>
      <c r="AL85" s="122">
        <f t="shared" si="59"/>
        <v>12.085719742181904</v>
      </c>
      <c r="AM85" s="93">
        <v>0</v>
      </c>
      <c r="AN85" s="325">
        <f t="shared" si="49"/>
        <v>0</v>
      </c>
      <c r="AO85" s="95">
        <f t="shared" si="60"/>
        <v>-103.89571974218191</v>
      </c>
      <c r="AP85" s="96"/>
      <c r="AQ85" s="97">
        <f t="shared" si="9"/>
        <v>0</v>
      </c>
      <c r="AR85" s="98">
        <f t="shared" si="37"/>
        <v>103.2</v>
      </c>
      <c r="AS85" s="98">
        <f t="shared" si="11"/>
        <v>0</v>
      </c>
      <c r="AT85" s="98">
        <f t="shared" si="12"/>
        <v>91.81</v>
      </c>
      <c r="AU85" s="98">
        <f t="shared" si="61"/>
        <v>0</v>
      </c>
      <c r="AV85" s="98">
        <f t="array" ref="AV85">_xlfn.IFS(U85=0,AO85,U85&lt;0,AO85/-U85,U85&gt;0,AO85/U85)</f>
        <v>-103.89571974218191</v>
      </c>
      <c r="AW85" s="234">
        <f t="shared" si="46"/>
        <v>0</v>
      </c>
      <c r="AX85" s="234">
        <f t="shared" si="47"/>
        <v>-1.0067414703699797</v>
      </c>
      <c r="AY85" s="99"/>
      <c r="AZ85" s="94">
        <f t="shared" si="15"/>
        <v>-4363.6202291716399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8"/>
        <v>49</v>
      </c>
      <c r="F86" s="93"/>
      <c r="G86" s="93"/>
      <c r="H86" s="272">
        <v>49</v>
      </c>
      <c r="I86" s="93"/>
      <c r="J86" s="93"/>
      <c r="K86" s="93">
        <v>150</v>
      </c>
      <c r="L86" s="92">
        <f t="shared" si="44"/>
        <v>7350</v>
      </c>
      <c r="M86" s="89"/>
      <c r="N86" s="89">
        <v>0</v>
      </c>
      <c r="O86" s="89">
        <v>0</v>
      </c>
      <c r="P86" s="89">
        <v>0</v>
      </c>
      <c r="Q86" s="233">
        <f t="shared" si="50"/>
        <v>0</v>
      </c>
      <c r="R86" s="92">
        <f t="shared" si="51"/>
        <v>0</v>
      </c>
      <c r="S86" s="93">
        <v>0</v>
      </c>
      <c r="T86" s="93">
        <v>0</v>
      </c>
      <c r="U86" s="92">
        <f t="shared" si="52"/>
        <v>0</v>
      </c>
      <c r="V86" s="93">
        <v>0</v>
      </c>
      <c r="W86" s="93">
        <v>0</v>
      </c>
      <c r="X86" s="92">
        <f t="shared" si="53"/>
        <v>0</v>
      </c>
      <c r="Y86" s="93">
        <v>0</v>
      </c>
      <c r="Z86" s="93">
        <v>0</v>
      </c>
      <c r="AA86" s="92">
        <f t="shared" si="54"/>
        <v>0</v>
      </c>
      <c r="AB86" s="92">
        <f t="shared" si="55"/>
        <v>0</v>
      </c>
      <c r="AC86" s="234">
        <f t="shared" si="56"/>
        <v>0</v>
      </c>
      <c r="AD86" s="92">
        <f t="shared" si="57"/>
        <v>0</v>
      </c>
      <c r="AE86" s="93">
        <v>0</v>
      </c>
      <c r="AF86" s="234">
        <f t="shared" si="58"/>
        <v>0</v>
      </c>
      <c r="AG86" s="93">
        <v>0</v>
      </c>
      <c r="AH86" s="93"/>
      <c r="AI86" s="93"/>
      <c r="AJ86" s="93"/>
      <c r="AK86" s="93"/>
      <c r="AL86" s="122">
        <f t="shared" si="59"/>
        <v>14.100006365878889</v>
      </c>
      <c r="AM86" s="93">
        <v>0</v>
      </c>
      <c r="AN86" s="325">
        <f t="shared" si="49"/>
        <v>0</v>
      </c>
      <c r="AO86" s="95">
        <f t="shared" si="60"/>
        <v>-14.100006365878889</v>
      </c>
      <c r="AP86" s="96"/>
      <c r="AQ86" s="97">
        <f t="shared" si="9"/>
        <v>0</v>
      </c>
      <c r="AR86" s="98">
        <f t="shared" si="37"/>
        <v>150</v>
      </c>
      <c r="AS86" s="98">
        <f t="shared" si="11"/>
        <v>0</v>
      </c>
      <c r="AT86" s="98">
        <f t="shared" si="12"/>
        <v>0</v>
      </c>
      <c r="AU86" s="98">
        <f t="shared" si="61"/>
        <v>0</v>
      </c>
      <c r="AV86" s="98">
        <f t="array" ref="AV86">_xlfn.IFS(U86=0,AO86,U86&lt;0,AO86/-U86,U86&gt;0,AO86/U86)</f>
        <v>-14.100006365878889</v>
      </c>
      <c r="AW86" s="234">
        <f t="shared" si="46"/>
        <v>0</v>
      </c>
      <c r="AX86" s="234">
        <f t="shared" si="47"/>
        <v>-9.4000042439192591E-2</v>
      </c>
      <c r="AY86" s="99"/>
      <c r="AZ86" s="94">
        <f t="shared" si="15"/>
        <v>-690.90031192806555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8"/>
        <v>46</v>
      </c>
      <c r="F87" s="93"/>
      <c r="G87" s="93"/>
      <c r="H87" s="272">
        <v>46</v>
      </c>
      <c r="I87" s="93"/>
      <c r="J87" s="93"/>
      <c r="K87" s="93">
        <v>150</v>
      </c>
      <c r="L87" s="92">
        <f t="shared" si="44"/>
        <v>6900</v>
      </c>
      <c r="M87" s="89"/>
      <c r="N87" s="89">
        <v>0</v>
      </c>
      <c r="O87" s="89">
        <v>0</v>
      </c>
      <c r="P87" s="89">
        <v>0</v>
      </c>
      <c r="Q87" s="233">
        <f t="shared" si="50"/>
        <v>0</v>
      </c>
      <c r="R87" s="92">
        <f t="shared" si="51"/>
        <v>0</v>
      </c>
      <c r="S87" s="93">
        <v>0</v>
      </c>
      <c r="T87" s="93">
        <v>0</v>
      </c>
      <c r="U87" s="92">
        <f t="shared" si="52"/>
        <v>0</v>
      </c>
      <c r="V87" s="93">
        <v>0</v>
      </c>
      <c r="W87" s="93">
        <v>0</v>
      </c>
      <c r="X87" s="92">
        <f t="shared" si="53"/>
        <v>0</v>
      </c>
      <c r="Y87" s="93">
        <v>0</v>
      </c>
      <c r="Z87" s="93">
        <v>0</v>
      </c>
      <c r="AA87" s="92">
        <f t="shared" si="54"/>
        <v>0</v>
      </c>
      <c r="AB87" s="92">
        <f t="shared" si="55"/>
        <v>0</v>
      </c>
      <c r="AC87" s="234">
        <f t="shared" si="56"/>
        <v>0</v>
      </c>
      <c r="AD87" s="92">
        <f t="shared" si="57"/>
        <v>0</v>
      </c>
      <c r="AE87" s="93">
        <v>0</v>
      </c>
      <c r="AF87" s="234">
        <f t="shared" si="58"/>
        <v>0</v>
      </c>
      <c r="AG87" s="93">
        <v>0</v>
      </c>
      <c r="AH87" s="93"/>
      <c r="AI87" s="93"/>
      <c r="AJ87" s="93"/>
      <c r="AK87" s="93"/>
      <c r="AL87" s="122">
        <f t="shared" si="59"/>
        <v>13.236740670008754</v>
      </c>
      <c r="AM87" s="93">
        <v>0</v>
      </c>
      <c r="AN87" s="325">
        <f t="shared" si="49"/>
        <v>0</v>
      </c>
      <c r="AO87" s="95">
        <f t="shared" si="60"/>
        <v>-13.236740670008754</v>
      </c>
      <c r="AP87" s="96"/>
      <c r="AQ87" s="97">
        <f t="shared" si="9"/>
        <v>0</v>
      </c>
      <c r="AR87" s="98">
        <f t="shared" si="37"/>
        <v>150</v>
      </c>
      <c r="AS87" s="98">
        <f t="shared" si="11"/>
        <v>0</v>
      </c>
      <c r="AT87" s="98">
        <f t="shared" si="12"/>
        <v>0</v>
      </c>
      <c r="AU87" s="98">
        <f t="shared" si="61"/>
        <v>0</v>
      </c>
      <c r="AV87" s="98">
        <f t="array" ref="AV87">_xlfn.IFS(U87=0,AO87,U87&lt;0,AO87/-U87,U87&gt;0,AO87/U87)</f>
        <v>-13.236740670008754</v>
      </c>
      <c r="AW87" s="234">
        <f t="shared" si="46"/>
        <v>0</v>
      </c>
      <c r="AX87" s="234">
        <f t="shared" si="47"/>
        <v>-8.8244937800058362E-2</v>
      </c>
      <c r="AY87" s="99"/>
      <c r="AZ87" s="94">
        <f t="shared" si="15"/>
        <v>-608.89007082040268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8"/>
        <v>31</v>
      </c>
      <c r="F88" s="93"/>
      <c r="G88" s="93"/>
      <c r="H88" s="272">
        <v>31</v>
      </c>
      <c r="I88" s="93"/>
      <c r="J88" s="93"/>
      <c r="K88" s="93">
        <v>150</v>
      </c>
      <c r="L88" s="92">
        <f t="shared" si="44"/>
        <v>4650</v>
      </c>
      <c r="M88" s="89"/>
      <c r="N88" s="89">
        <v>5</v>
      </c>
      <c r="O88" s="89">
        <v>1347</v>
      </c>
      <c r="P88" s="89">
        <v>40</v>
      </c>
      <c r="Q88" s="233">
        <f t="shared" si="50"/>
        <v>1.6666666666666667</v>
      </c>
      <c r="R88" s="92">
        <f t="shared" si="51"/>
        <v>0.33333333333333331</v>
      </c>
      <c r="S88" s="93">
        <v>1</v>
      </c>
      <c r="T88" s="93">
        <v>0</v>
      </c>
      <c r="U88" s="92">
        <f t="shared" si="52"/>
        <v>1</v>
      </c>
      <c r="V88" s="93">
        <v>1152</v>
      </c>
      <c r="W88" s="93">
        <v>0</v>
      </c>
      <c r="X88" s="92">
        <f t="shared" si="53"/>
        <v>1152</v>
      </c>
      <c r="Y88" s="93">
        <v>1347</v>
      </c>
      <c r="Z88" s="93">
        <v>0</v>
      </c>
      <c r="AA88" s="92">
        <f t="shared" si="54"/>
        <v>1347</v>
      </c>
      <c r="AB88" s="92">
        <f t="shared" si="55"/>
        <v>2694</v>
      </c>
      <c r="AC88" s="234">
        <f t="shared" si="56"/>
        <v>1.0248133405590155E-2</v>
      </c>
      <c r="AD88" s="92">
        <f t="shared" si="57"/>
        <v>150</v>
      </c>
      <c r="AE88" s="93">
        <v>496.69000000000005</v>
      </c>
      <c r="AF88" s="234">
        <f t="shared" si="58"/>
        <v>0.36873793615441725</v>
      </c>
      <c r="AG88" s="93">
        <v>498.12</v>
      </c>
      <c r="AH88" s="93"/>
      <c r="AI88" s="93"/>
      <c r="AJ88" s="93"/>
      <c r="AK88" s="93"/>
      <c r="AL88" s="122">
        <f t="shared" si="59"/>
        <v>8.9204121906580713</v>
      </c>
      <c r="AM88" s="93">
        <v>0</v>
      </c>
      <c r="AN88" s="325">
        <f t="shared" si="49"/>
        <v>58.810474353282991</v>
      </c>
      <c r="AO88" s="95">
        <f t="shared" si="60"/>
        <v>134.45911345605887</v>
      </c>
      <c r="AP88" s="96"/>
      <c r="AQ88" s="97">
        <f t="shared" si="9"/>
        <v>1347</v>
      </c>
      <c r="AR88" s="98">
        <f t="shared" si="37"/>
        <v>150</v>
      </c>
      <c r="AS88" s="98">
        <f t="shared" si="11"/>
        <v>496.69000000000005</v>
      </c>
      <c r="AT88" s="98">
        <f t="shared" si="12"/>
        <v>498.12</v>
      </c>
      <c r="AU88" s="98">
        <f t="shared" si="61"/>
        <v>0</v>
      </c>
      <c r="AV88" s="98">
        <f t="array" ref="AV88">_xlfn.IFS(U88=0,AO88,U88&lt;0,AO88/-U88,U88&gt;0,AO88/U88)</f>
        <v>134.45911345605887</v>
      </c>
      <c r="AW88" s="234">
        <f t="shared" si="46"/>
        <v>9.9821168118826187E-2</v>
      </c>
      <c r="AX88" s="234">
        <f t="shared" si="47"/>
        <v>0.89639408970705914</v>
      </c>
      <c r="AY88" s="99"/>
      <c r="AZ88" s="94">
        <f t="shared" si="15"/>
        <v>4168.2325171378252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8"/>
        <v>46</v>
      </c>
      <c r="F89" s="93"/>
      <c r="G89" s="93"/>
      <c r="H89" s="272">
        <v>46</v>
      </c>
      <c r="I89" s="93"/>
      <c r="J89" s="93"/>
      <c r="K89" s="93">
        <v>169.89</v>
      </c>
      <c r="L89" s="92">
        <f t="shared" si="44"/>
        <v>7814.94</v>
      </c>
      <c r="M89" s="89"/>
      <c r="N89" s="89">
        <v>0</v>
      </c>
      <c r="O89" s="89">
        <v>0</v>
      </c>
      <c r="P89" s="89">
        <v>0</v>
      </c>
      <c r="Q89" s="233">
        <f t="shared" si="50"/>
        <v>0</v>
      </c>
      <c r="R89" s="92">
        <f t="shared" si="51"/>
        <v>0</v>
      </c>
      <c r="S89" s="93">
        <v>0</v>
      </c>
      <c r="T89" s="93">
        <v>0</v>
      </c>
      <c r="U89" s="92">
        <f t="shared" si="52"/>
        <v>0</v>
      </c>
      <c r="V89" s="93">
        <v>0</v>
      </c>
      <c r="W89" s="93">
        <v>0</v>
      </c>
      <c r="X89" s="92">
        <f t="shared" si="53"/>
        <v>0</v>
      </c>
      <c r="Y89" s="93">
        <v>0</v>
      </c>
      <c r="Z89" s="93">
        <v>0</v>
      </c>
      <c r="AA89" s="92">
        <f t="shared" si="54"/>
        <v>0</v>
      </c>
      <c r="AB89" s="92">
        <f t="shared" si="55"/>
        <v>0</v>
      </c>
      <c r="AC89" s="234">
        <f t="shared" si="56"/>
        <v>0</v>
      </c>
      <c r="AD89" s="92">
        <f t="shared" si="57"/>
        <v>0</v>
      </c>
      <c r="AE89" s="93">
        <v>0</v>
      </c>
      <c r="AF89" s="234">
        <f t="shared" si="58"/>
        <v>0</v>
      </c>
      <c r="AG89" s="93">
        <v>0</v>
      </c>
      <c r="AH89" s="93"/>
      <c r="AI89" s="93"/>
      <c r="AJ89" s="93"/>
      <c r="AK89" s="93"/>
      <c r="AL89" s="122">
        <f t="shared" si="59"/>
        <v>13.236740670008754</v>
      </c>
      <c r="AM89" s="93">
        <v>0</v>
      </c>
      <c r="AN89" s="325">
        <f t="shared" si="49"/>
        <v>0</v>
      </c>
      <c r="AO89" s="95">
        <f t="shared" si="60"/>
        <v>-13.236740670008754</v>
      </c>
      <c r="AP89" s="96"/>
      <c r="AQ89" s="97">
        <f t="shared" si="9"/>
        <v>0</v>
      </c>
      <c r="AR89" s="98">
        <f t="shared" si="37"/>
        <v>169.89</v>
      </c>
      <c r="AS89" s="98">
        <f t="shared" si="11"/>
        <v>0</v>
      </c>
      <c r="AT89" s="98">
        <f t="shared" si="12"/>
        <v>0</v>
      </c>
      <c r="AU89" s="98">
        <f t="shared" si="61"/>
        <v>0</v>
      </c>
      <c r="AV89" s="98">
        <f t="array" ref="AV89">_xlfn.IFS(U89=0,AO89,U89&lt;0,AO89/-U89,U89&gt;0,AO89/U89)</f>
        <v>-13.236740670008754</v>
      </c>
      <c r="AW89" s="234">
        <f t="shared" si="46"/>
        <v>0</v>
      </c>
      <c r="AX89" s="234">
        <f t="shared" si="47"/>
        <v>-7.7913595090992729E-2</v>
      </c>
      <c r="AY89" s="99"/>
      <c r="AZ89" s="94">
        <f t="shared" si="15"/>
        <v>-608.89007082040268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8"/>
        <v>50</v>
      </c>
      <c r="F90" s="93"/>
      <c r="G90" s="93"/>
      <c r="H90" s="272">
        <v>50</v>
      </c>
      <c r="I90" s="93"/>
      <c r="J90" s="93"/>
      <c r="K90" s="93">
        <v>107.88</v>
      </c>
      <c r="L90" s="92">
        <f t="shared" si="44"/>
        <v>5394</v>
      </c>
      <c r="M90" s="89"/>
      <c r="N90" s="89">
        <v>0</v>
      </c>
      <c r="O90" s="89">
        <v>0</v>
      </c>
      <c r="P90" s="89">
        <v>0</v>
      </c>
      <c r="Q90" s="233">
        <f t="shared" si="50"/>
        <v>0</v>
      </c>
      <c r="R90" s="92">
        <f t="shared" si="51"/>
        <v>0</v>
      </c>
      <c r="S90" s="93">
        <v>0</v>
      </c>
      <c r="T90" s="93">
        <v>0</v>
      </c>
      <c r="U90" s="92">
        <f t="shared" si="52"/>
        <v>0</v>
      </c>
      <c r="V90" s="93">
        <v>0</v>
      </c>
      <c r="W90" s="93">
        <v>0</v>
      </c>
      <c r="X90" s="92">
        <f t="shared" si="53"/>
        <v>0</v>
      </c>
      <c r="Y90" s="93">
        <v>0</v>
      </c>
      <c r="Z90" s="93">
        <v>0</v>
      </c>
      <c r="AA90" s="92">
        <f t="shared" si="54"/>
        <v>0</v>
      </c>
      <c r="AB90" s="92">
        <f t="shared" si="55"/>
        <v>0</v>
      </c>
      <c r="AC90" s="234">
        <f t="shared" si="56"/>
        <v>0</v>
      </c>
      <c r="AD90" s="92">
        <f t="shared" si="57"/>
        <v>0</v>
      </c>
      <c r="AE90" s="93">
        <v>0</v>
      </c>
      <c r="AF90" s="234">
        <f t="shared" si="58"/>
        <v>0</v>
      </c>
      <c r="AG90" s="93">
        <v>0</v>
      </c>
      <c r="AH90" s="93"/>
      <c r="AI90" s="93"/>
      <c r="AJ90" s="93"/>
      <c r="AK90" s="93"/>
      <c r="AL90" s="122">
        <f t="shared" si="59"/>
        <v>14.387761597835601</v>
      </c>
      <c r="AM90" s="93">
        <v>0</v>
      </c>
      <c r="AN90" s="325">
        <f t="shared" si="49"/>
        <v>0</v>
      </c>
      <c r="AO90" s="95">
        <f t="shared" si="60"/>
        <v>-14.387761597835601</v>
      </c>
      <c r="AP90" s="96"/>
      <c r="AQ90" s="97">
        <f t="shared" si="9"/>
        <v>0</v>
      </c>
      <c r="AR90" s="98">
        <f t="shared" si="37"/>
        <v>107.88</v>
      </c>
      <c r="AS90" s="98">
        <f t="shared" si="11"/>
        <v>0</v>
      </c>
      <c r="AT90" s="98">
        <f t="shared" si="12"/>
        <v>0</v>
      </c>
      <c r="AU90" s="98">
        <f t="shared" si="61"/>
        <v>0</v>
      </c>
      <c r="AV90" s="98">
        <f t="array" ref="AV90">_xlfn.IFS(U90=0,AO90,U90&lt;0,AO90/-U90,U90&gt;0,AO90/U90)</f>
        <v>-14.387761597835601</v>
      </c>
      <c r="AW90" s="234">
        <f t="shared" si="46"/>
        <v>0</v>
      </c>
      <c r="AX90" s="234">
        <f t="shared" si="47"/>
        <v>-0.13336820168553579</v>
      </c>
      <c r="AY90" s="99"/>
      <c r="AZ90" s="94">
        <f t="shared" si="15"/>
        <v>-719.38807989178008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8"/>
        <v>37</v>
      </c>
      <c r="F91" s="93"/>
      <c r="G91" s="93"/>
      <c r="H91" s="272">
        <v>37</v>
      </c>
      <c r="I91" s="93"/>
      <c r="J91" s="93"/>
      <c r="K91" s="93">
        <v>93.84</v>
      </c>
      <c r="L91" s="92">
        <f t="shared" si="44"/>
        <v>3472.08</v>
      </c>
      <c r="M91" s="89"/>
      <c r="N91" s="89">
        <v>0</v>
      </c>
      <c r="O91" s="89">
        <v>0</v>
      </c>
      <c r="P91" s="89">
        <v>0</v>
      </c>
      <c r="Q91" s="233">
        <f t="shared" si="50"/>
        <v>0</v>
      </c>
      <c r="R91" s="92">
        <f t="shared" si="51"/>
        <v>0</v>
      </c>
      <c r="S91" s="93">
        <v>0</v>
      </c>
      <c r="T91" s="93">
        <v>0</v>
      </c>
      <c r="U91" s="92">
        <f t="shared" si="52"/>
        <v>0</v>
      </c>
      <c r="V91" s="93">
        <v>0</v>
      </c>
      <c r="W91" s="93">
        <v>0</v>
      </c>
      <c r="X91" s="92">
        <f t="shared" si="53"/>
        <v>0</v>
      </c>
      <c r="Y91" s="93">
        <v>0</v>
      </c>
      <c r="Z91" s="93">
        <v>0</v>
      </c>
      <c r="AA91" s="92">
        <f t="shared" si="54"/>
        <v>0</v>
      </c>
      <c r="AB91" s="92">
        <f t="shared" si="55"/>
        <v>0</v>
      </c>
      <c r="AC91" s="234">
        <f t="shared" si="56"/>
        <v>0</v>
      </c>
      <c r="AD91" s="92">
        <f t="shared" si="57"/>
        <v>0</v>
      </c>
      <c r="AE91" s="93">
        <v>0</v>
      </c>
      <c r="AF91" s="234">
        <f t="shared" si="58"/>
        <v>0</v>
      </c>
      <c r="AG91" s="93">
        <v>0</v>
      </c>
      <c r="AH91" s="93"/>
      <c r="AI91" s="93"/>
      <c r="AJ91" s="93"/>
      <c r="AK91" s="93"/>
      <c r="AL91" s="122">
        <f t="shared" si="59"/>
        <v>10.646943582398343</v>
      </c>
      <c r="AM91" s="93">
        <v>0</v>
      </c>
      <c r="AN91" s="325">
        <f t="shared" si="49"/>
        <v>0</v>
      </c>
      <c r="AO91" s="95">
        <f t="shared" si="60"/>
        <v>-10.646943582398343</v>
      </c>
      <c r="AP91" s="96"/>
      <c r="AQ91" s="97">
        <f t="shared" si="9"/>
        <v>0</v>
      </c>
      <c r="AR91" s="98">
        <f t="shared" si="37"/>
        <v>93.84</v>
      </c>
      <c r="AS91" s="98">
        <f t="shared" si="11"/>
        <v>0</v>
      </c>
      <c r="AT91" s="98">
        <f t="shared" si="12"/>
        <v>0</v>
      </c>
      <c r="AU91" s="98">
        <f t="shared" si="61"/>
        <v>0</v>
      </c>
      <c r="AV91" s="98">
        <f t="array" ref="AV91">_xlfn.IFS(U91=0,AO91,U91&lt;0,AO91/-U91,U91&gt;0,AO91/U91)</f>
        <v>-10.646943582398343</v>
      </c>
      <c r="AW91" s="234">
        <f t="shared" si="46"/>
        <v>0</v>
      </c>
      <c r="AX91" s="234">
        <f t="shared" si="47"/>
        <v>-0.11345847807329862</v>
      </c>
      <c r="AY91" s="99"/>
      <c r="AZ91" s="94">
        <f t="shared" si="15"/>
        <v>-393.93691254873869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8"/>
        <v>49</v>
      </c>
      <c r="F92" s="93"/>
      <c r="G92" s="93"/>
      <c r="H92" s="272">
        <v>49</v>
      </c>
      <c r="I92" s="93"/>
      <c r="J92" s="93"/>
      <c r="K92" s="93">
        <v>139.47</v>
      </c>
      <c r="L92" s="92">
        <f t="shared" si="44"/>
        <v>6834.03</v>
      </c>
      <c r="M92" s="89"/>
      <c r="N92" s="89">
        <v>0</v>
      </c>
      <c r="O92" s="89">
        <v>0</v>
      </c>
      <c r="P92" s="89">
        <v>0</v>
      </c>
      <c r="Q92" s="233">
        <f t="shared" si="50"/>
        <v>0</v>
      </c>
      <c r="R92" s="92">
        <f t="shared" si="51"/>
        <v>0</v>
      </c>
      <c r="S92" s="93">
        <v>0</v>
      </c>
      <c r="T92" s="93">
        <v>0</v>
      </c>
      <c r="U92" s="92">
        <f t="shared" si="52"/>
        <v>0</v>
      </c>
      <c r="V92" s="93">
        <v>0</v>
      </c>
      <c r="W92" s="93">
        <v>0</v>
      </c>
      <c r="X92" s="92">
        <f t="shared" si="53"/>
        <v>0</v>
      </c>
      <c r="Y92" s="93">
        <v>0</v>
      </c>
      <c r="Z92" s="93">
        <v>0</v>
      </c>
      <c r="AA92" s="92">
        <f t="shared" si="54"/>
        <v>0</v>
      </c>
      <c r="AB92" s="92">
        <f t="shared" si="55"/>
        <v>0</v>
      </c>
      <c r="AC92" s="234">
        <f t="shared" si="56"/>
        <v>0</v>
      </c>
      <c r="AD92" s="92">
        <f t="shared" si="57"/>
        <v>0</v>
      </c>
      <c r="AE92" s="93">
        <v>0</v>
      </c>
      <c r="AF92" s="234">
        <f t="shared" si="58"/>
        <v>0</v>
      </c>
      <c r="AG92" s="93">
        <v>0</v>
      </c>
      <c r="AH92" s="93"/>
      <c r="AI92" s="93"/>
      <c r="AJ92" s="93"/>
      <c r="AK92" s="93"/>
      <c r="AL92" s="122">
        <f t="shared" si="59"/>
        <v>14.100006365878889</v>
      </c>
      <c r="AM92" s="93">
        <v>0</v>
      </c>
      <c r="AN92" s="325">
        <f t="shared" si="49"/>
        <v>0</v>
      </c>
      <c r="AO92" s="95">
        <f t="shared" si="60"/>
        <v>-14.100006365878889</v>
      </c>
      <c r="AP92" s="96"/>
      <c r="AQ92" s="97">
        <f t="shared" si="9"/>
        <v>0</v>
      </c>
      <c r="AR92" s="98">
        <f t="shared" si="37"/>
        <v>139.47</v>
      </c>
      <c r="AS92" s="98">
        <f t="shared" si="11"/>
        <v>0</v>
      </c>
      <c r="AT92" s="98">
        <f t="shared" si="12"/>
        <v>0</v>
      </c>
      <c r="AU92" s="98">
        <f t="shared" si="61"/>
        <v>0</v>
      </c>
      <c r="AV92" s="98">
        <f t="array" ref="AV92">_xlfn.IFS(U92=0,AO92,U92&lt;0,AO92/-U92,U92&gt;0,AO92/U92)</f>
        <v>-14.100006365878889</v>
      </c>
      <c r="AW92" s="234">
        <f t="shared" si="46"/>
        <v>0</v>
      </c>
      <c r="AX92" s="234">
        <f t="shared" si="47"/>
        <v>-0.10109705575305721</v>
      </c>
      <c r="AY92" s="99"/>
      <c r="AZ92" s="94">
        <f t="shared" si="15"/>
        <v>-690.90031192806555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8"/>
        <v>47</v>
      </c>
      <c r="F93" s="93"/>
      <c r="G93" s="93"/>
      <c r="H93" s="272">
        <v>47</v>
      </c>
      <c r="I93" s="93"/>
      <c r="J93" s="93"/>
      <c r="K93" s="93">
        <v>139.47</v>
      </c>
      <c r="L93" s="92">
        <f t="shared" si="44"/>
        <v>6555.09</v>
      </c>
      <c r="M93" s="89"/>
      <c r="N93" s="89">
        <v>0</v>
      </c>
      <c r="O93" s="89">
        <v>0</v>
      </c>
      <c r="P93" s="89">
        <v>0</v>
      </c>
      <c r="Q93" s="233">
        <f t="shared" si="50"/>
        <v>0</v>
      </c>
      <c r="R93" s="92">
        <f t="shared" si="51"/>
        <v>0</v>
      </c>
      <c r="S93" s="93">
        <v>0</v>
      </c>
      <c r="T93" s="93">
        <v>0</v>
      </c>
      <c r="U93" s="92">
        <f t="shared" si="52"/>
        <v>0</v>
      </c>
      <c r="V93" s="93">
        <v>0</v>
      </c>
      <c r="W93" s="93">
        <v>0</v>
      </c>
      <c r="X93" s="92">
        <f t="shared" si="53"/>
        <v>0</v>
      </c>
      <c r="Y93" s="93">
        <v>0</v>
      </c>
      <c r="Z93" s="93">
        <v>0</v>
      </c>
      <c r="AA93" s="92">
        <f t="shared" si="54"/>
        <v>0</v>
      </c>
      <c r="AB93" s="92">
        <f t="shared" si="55"/>
        <v>0</v>
      </c>
      <c r="AC93" s="234">
        <f t="shared" si="56"/>
        <v>0</v>
      </c>
      <c r="AD93" s="92">
        <f t="shared" si="57"/>
        <v>0</v>
      </c>
      <c r="AE93" s="93">
        <v>0</v>
      </c>
      <c r="AF93" s="234">
        <f t="shared" si="58"/>
        <v>0</v>
      </c>
      <c r="AG93" s="93">
        <v>0</v>
      </c>
      <c r="AH93" s="93"/>
      <c r="AI93" s="93"/>
      <c r="AJ93" s="93"/>
      <c r="AK93" s="93"/>
      <c r="AL93" s="122">
        <f t="shared" si="59"/>
        <v>13.524495901965464</v>
      </c>
      <c r="AM93" s="93">
        <v>0</v>
      </c>
      <c r="AN93" s="325">
        <f t="shared" si="49"/>
        <v>0</v>
      </c>
      <c r="AO93" s="95">
        <f t="shared" si="60"/>
        <v>-13.524495901965464</v>
      </c>
      <c r="AP93" s="96"/>
      <c r="AQ93" s="97">
        <f t="shared" si="9"/>
        <v>0</v>
      </c>
      <c r="AR93" s="98">
        <f t="shared" si="37"/>
        <v>139.47</v>
      </c>
      <c r="AS93" s="98">
        <f t="shared" si="11"/>
        <v>0</v>
      </c>
      <c r="AT93" s="98">
        <f t="shared" si="12"/>
        <v>0</v>
      </c>
      <c r="AU93" s="98">
        <f t="shared" si="61"/>
        <v>0</v>
      </c>
      <c r="AV93" s="98">
        <f t="array" ref="AV93">_xlfn.IFS(U93=0,AO93,U93&lt;0,AO93/-U93,U93&gt;0,AO93/U93)</f>
        <v>-13.524495901965464</v>
      </c>
      <c r="AW93" s="234">
        <f t="shared" si="46"/>
        <v>0</v>
      </c>
      <c r="AX93" s="234">
        <f t="shared" si="47"/>
        <v>-9.6970645314156903E-2</v>
      </c>
      <c r="AY93" s="99"/>
      <c r="AZ93" s="94">
        <f t="shared" si="15"/>
        <v>-635.65130739237679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8"/>
        <v>2</v>
      </c>
      <c r="F94" s="93"/>
      <c r="G94" s="93"/>
      <c r="H94" s="272">
        <v>2</v>
      </c>
      <c r="I94" s="93"/>
      <c r="J94" s="93"/>
      <c r="K94" s="93">
        <v>400.08</v>
      </c>
      <c r="L94" s="92">
        <f t="shared" si="44"/>
        <v>800.16</v>
      </c>
      <c r="M94" s="89"/>
      <c r="N94" s="89">
        <v>0</v>
      </c>
      <c r="O94" s="89">
        <v>0</v>
      </c>
      <c r="P94" s="89">
        <v>0</v>
      </c>
      <c r="Q94" s="233">
        <f t="shared" si="50"/>
        <v>0</v>
      </c>
      <c r="R94" s="92">
        <f t="shared" si="51"/>
        <v>0</v>
      </c>
      <c r="S94" s="93">
        <v>0</v>
      </c>
      <c r="T94" s="93">
        <v>0</v>
      </c>
      <c r="U94" s="92">
        <f t="shared" si="52"/>
        <v>0</v>
      </c>
      <c r="V94" s="93">
        <v>0</v>
      </c>
      <c r="W94" s="93">
        <v>0</v>
      </c>
      <c r="X94" s="92">
        <f t="shared" si="53"/>
        <v>0</v>
      </c>
      <c r="Y94" s="93">
        <v>0</v>
      </c>
      <c r="Z94" s="93">
        <v>0</v>
      </c>
      <c r="AA94" s="92">
        <f t="shared" si="54"/>
        <v>0</v>
      </c>
      <c r="AB94" s="92">
        <f t="shared" si="55"/>
        <v>0</v>
      </c>
      <c r="AC94" s="234">
        <f t="shared" si="56"/>
        <v>0</v>
      </c>
      <c r="AD94" s="92">
        <f t="shared" si="57"/>
        <v>0</v>
      </c>
      <c r="AE94" s="93">
        <v>0</v>
      </c>
      <c r="AF94" s="234">
        <f t="shared" si="58"/>
        <v>0</v>
      </c>
      <c r="AG94" s="93">
        <v>0</v>
      </c>
      <c r="AH94" s="93"/>
      <c r="AI94" s="93"/>
      <c r="AJ94" s="93"/>
      <c r="AK94" s="93"/>
      <c r="AL94" s="122">
        <f t="shared" si="59"/>
        <v>0.57551046391342398</v>
      </c>
      <c r="AM94" s="93">
        <v>0</v>
      </c>
      <c r="AN94" s="325">
        <f t="shared" si="49"/>
        <v>0</v>
      </c>
      <c r="AO94" s="95">
        <f t="shared" si="60"/>
        <v>-0.57551046391342398</v>
      </c>
      <c r="AP94" s="96"/>
      <c r="AQ94" s="97">
        <f t="shared" si="9"/>
        <v>0</v>
      </c>
      <c r="AR94" s="98">
        <f t="shared" si="37"/>
        <v>400.08</v>
      </c>
      <c r="AS94" s="98">
        <f t="shared" si="11"/>
        <v>0</v>
      </c>
      <c r="AT94" s="98">
        <f t="shared" si="12"/>
        <v>0</v>
      </c>
      <c r="AU94" s="98">
        <f t="shared" si="61"/>
        <v>0</v>
      </c>
      <c r="AV94" s="98">
        <f t="array" ref="AV94">_xlfn.IFS(U94=0,AO94,U94&lt;0,AO94/-U94,U94&gt;0,AO94/U94)</f>
        <v>-0.57551046391342398</v>
      </c>
      <c r="AW94" s="234">
        <f t="shared" si="46"/>
        <v>0</v>
      </c>
      <c r="AX94" s="234">
        <f t="shared" si="47"/>
        <v>-1.4384884620911417E-3</v>
      </c>
      <c r="AY94" s="99"/>
      <c r="AZ94" s="94">
        <f t="shared" si="15"/>
        <v>-1.151020927826848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8"/>
        <v>1</v>
      </c>
      <c r="F95" s="93"/>
      <c r="G95" s="93"/>
      <c r="H95" s="272">
        <v>1</v>
      </c>
      <c r="I95" s="93"/>
      <c r="J95" s="93"/>
      <c r="K95" s="93">
        <v>400.08</v>
      </c>
      <c r="L95" s="92">
        <f t="shared" si="44"/>
        <v>400.08</v>
      </c>
      <c r="M95" s="89"/>
      <c r="N95" s="89">
        <v>0</v>
      </c>
      <c r="O95" s="89">
        <v>0</v>
      </c>
      <c r="P95" s="89">
        <v>0</v>
      </c>
      <c r="Q95" s="233">
        <f t="shared" si="50"/>
        <v>0</v>
      </c>
      <c r="R95" s="92">
        <f t="shared" si="51"/>
        <v>0</v>
      </c>
      <c r="S95" s="93">
        <v>0</v>
      </c>
      <c r="T95" s="93">
        <v>0</v>
      </c>
      <c r="U95" s="92">
        <f t="shared" si="52"/>
        <v>0</v>
      </c>
      <c r="V95" s="93">
        <v>0</v>
      </c>
      <c r="W95" s="93">
        <v>0</v>
      </c>
      <c r="X95" s="92">
        <f t="shared" si="53"/>
        <v>0</v>
      </c>
      <c r="Y95" s="93">
        <v>0</v>
      </c>
      <c r="Z95" s="93">
        <v>0</v>
      </c>
      <c r="AA95" s="92">
        <f t="shared" si="54"/>
        <v>0</v>
      </c>
      <c r="AB95" s="92">
        <f t="shared" si="55"/>
        <v>0</v>
      </c>
      <c r="AC95" s="234">
        <f t="shared" si="56"/>
        <v>0</v>
      </c>
      <c r="AD95" s="92">
        <f t="shared" si="57"/>
        <v>0</v>
      </c>
      <c r="AE95" s="93">
        <v>0</v>
      </c>
      <c r="AF95" s="234">
        <f t="shared" si="58"/>
        <v>0</v>
      </c>
      <c r="AG95" s="93">
        <v>0</v>
      </c>
      <c r="AH95" s="93"/>
      <c r="AI95" s="93"/>
      <c r="AJ95" s="93"/>
      <c r="AK95" s="93"/>
      <c r="AL95" s="122">
        <f t="shared" si="59"/>
        <v>0.28775523195671199</v>
      </c>
      <c r="AM95" s="93">
        <v>0</v>
      </c>
      <c r="AN95" s="325">
        <f t="shared" si="49"/>
        <v>0</v>
      </c>
      <c r="AO95" s="95">
        <f t="shared" si="60"/>
        <v>-0.28775523195671199</v>
      </c>
      <c r="AP95" s="96"/>
      <c r="AQ95" s="97">
        <f t="shared" si="9"/>
        <v>0</v>
      </c>
      <c r="AR95" s="98">
        <f t="shared" si="37"/>
        <v>400.08</v>
      </c>
      <c r="AS95" s="98">
        <f t="shared" si="11"/>
        <v>0</v>
      </c>
      <c r="AT95" s="98">
        <f t="shared" si="12"/>
        <v>0</v>
      </c>
      <c r="AU95" s="98">
        <f t="shared" si="61"/>
        <v>0</v>
      </c>
      <c r="AV95" s="98">
        <f t="array" ref="AV95">_xlfn.IFS(U95=0,AO95,U95&lt;0,AO95/-U95,U95&gt;0,AO95/U95)</f>
        <v>-0.28775523195671199</v>
      </c>
      <c r="AW95" s="234">
        <f t="shared" si="46"/>
        <v>0</v>
      </c>
      <c r="AX95" s="234">
        <f t="shared" si="47"/>
        <v>-7.1924423104557087E-4</v>
      </c>
      <c r="AY95" s="99"/>
      <c r="AZ95" s="94">
        <f t="shared" si="15"/>
        <v>-0.28775523195671199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8"/>
        <v>1</v>
      </c>
      <c r="F96" s="93"/>
      <c r="G96" s="93"/>
      <c r="H96" s="272">
        <v>1</v>
      </c>
      <c r="I96" s="93"/>
      <c r="J96" s="93"/>
      <c r="K96" s="93">
        <v>300.08</v>
      </c>
      <c r="L96" s="92">
        <f t="shared" si="44"/>
        <v>300.08</v>
      </c>
      <c r="M96" s="89"/>
      <c r="N96" s="89">
        <v>0</v>
      </c>
      <c r="O96" s="89">
        <v>0</v>
      </c>
      <c r="P96" s="89">
        <v>0</v>
      </c>
      <c r="Q96" s="233">
        <f t="shared" si="50"/>
        <v>0</v>
      </c>
      <c r="R96" s="92">
        <f t="shared" si="51"/>
        <v>0</v>
      </c>
      <c r="S96" s="93">
        <v>0</v>
      </c>
      <c r="T96" s="93">
        <v>0</v>
      </c>
      <c r="U96" s="92">
        <f t="shared" si="52"/>
        <v>0</v>
      </c>
      <c r="V96" s="93">
        <v>0</v>
      </c>
      <c r="W96" s="93">
        <v>0</v>
      </c>
      <c r="X96" s="92">
        <f t="shared" si="53"/>
        <v>0</v>
      </c>
      <c r="Y96" s="93">
        <v>0</v>
      </c>
      <c r="Z96" s="93">
        <v>0</v>
      </c>
      <c r="AA96" s="92">
        <f t="shared" si="54"/>
        <v>0</v>
      </c>
      <c r="AB96" s="92">
        <f t="shared" si="55"/>
        <v>0</v>
      </c>
      <c r="AC96" s="234">
        <f t="shared" si="56"/>
        <v>0</v>
      </c>
      <c r="AD96" s="92">
        <f t="shared" si="57"/>
        <v>0</v>
      </c>
      <c r="AE96" s="93">
        <v>0</v>
      </c>
      <c r="AF96" s="234">
        <f t="shared" si="58"/>
        <v>0</v>
      </c>
      <c r="AG96" s="93">
        <v>0</v>
      </c>
      <c r="AH96" s="93"/>
      <c r="AI96" s="93"/>
      <c r="AJ96" s="93"/>
      <c r="AK96" s="93"/>
      <c r="AL96" s="122">
        <f t="shared" si="59"/>
        <v>0.28775523195671199</v>
      </c>
      <c r="AM96" s="93">
        <v>0</v>
      </c>
      <c r="AN96" s="325">
        <f t="shared" si="49"/>
        <v>0</v>
      </c>
      <c r="AO96" s="95">
        <f t="shared" si="60"/>
        <v>-0.28775523195671199</v>
      </c>
      <c r="AP96" s="96"/>
      <c r="AQ96" s="97">
        <f t="shared" si="9"/>
        <v>0</v>
      </c>
      <c r="AR96" s="98">
        <f t="shared" si="37"/>
        <v>300.08</v>
      </c>
      <c r="AS96" s="98">
        <f t="shared" si="11"/>
        <v>0</v>
      </c>
      <c r="AT96" s="98">
        <f t="shared" si="12"/>
        <v>0</v>
      </c>
      <c r="AU96" s="98">
        <f t="shared" si="61"/>
        <v>0</v>
      </c>
      <c r="AV96" s="98">
        <f t="array" ref="AV96">_xlfn.IFS(U96=0,AO96,U96&lt;0,AO96/-U96,U96&gt;0,AO96/U96)</f>
        <v>-0.28775523195671199</v>
      </c>
      <c r="AW96" s="234">
        <f t="shared" si="46"/>
        <v>0</v>
      </c>
      <c r="AX96" s="234">
        <f t="shared" si="47"/>
        <v>-9.589283922844308E-4</v>
      </c>
      <c r="AY96" s="99"/>
      <c r="AZ96" s="94">
        <f t="shared" si="15"/>
        <v>-0.28775523195671199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8"/>
        <v>4</v>
      </c>
      <c r="F97" s="93"/>
      <c r="G97" s="93"/>
      <c r="H97" s="272">
        <v>4</v>
      </c>
      <c r="I97" s="93"/>
      <c r="J97" s="93"/>
      <c r="K97" s="93">
        <v>400.08</v>
      </c>
      <c r="L97" s="92">
        <f t="shared" si="44"/>
        <v>1600.32</v>
      </c>
      <c r="M97" s="89"/>
      <c r="N97" s="89">
        <v>0</v>
      </c>
      <c r="O97" s="89">
        <v>0</v>
      </c>
      <c r="P97" s="89">
        <v>0</v>
      </c>
      <c r="Q97" s="233">
        <f t="shared" si="50"/>
        <v>0</v>
      </c>
      <c r="R97" s="92">
        <f t="shared" si="51"/>
        <v>0</v>
      </c>
      <c r="S97" s="93">
        <v>0</v>
      </c>
      <c r="T97" s="93">
        <v>0</v>
      </c>
      <c r="U97" s="92">
        <f t="shared" si="52"/>
        <v>0</v>
      </c>
      <c r="V97" s="93">
        <v>0</v>
      </c>
      <c r="W97" s="93">
        <v>0</v>
      </c>
      <c r="X97" s="92">
        <f t="shared" si="53"/>
        <v>0</v>
      </c>
      <c r="Y97" s="93">
        <v>0</v>
      </c>
      <c r="Z97" s="93">
        <v>0</v>
      </c>
      <c r="AA97" s="92">
        <f t="shared" si="54"/>
        <v>0</v>
      </c>
      <c r="AB97" s="92">
        <f t="shared" si="55"/>
        <v>0</v>
      </c>
      <c r="AC97" s="234">
        <f t="shared" si="56"/>
        <v>0</v>
      </c>
      <c r="AD97" s="92">
        <f t="shared" si="57"/>
        <v>0</v>
      </c>
      <c r="AE97" s="93">
        <v>0</v>
      </c>
      <c r="AF97" s="234">
        <f t="shared" si="58"/>
        <v>0</v>
      </c>
      <c r="AG97" s="93">
        <v>0</v>
      </c>
      <c r="AH97" s="93"/>
      <c r="AI97" s="93"/>
      <c r="AJ97" s="93"/>
      <c r="AK97" s="93"/>
      <c r="AL97" s="122">
        <f t="shared" si="59"/>
        <v>1.151020927826848</v>
      </c>
      <c r="AM97" s="93">
        <v>0</v>
      </c>
      <c r="AN97" s="325">
        <f t="shared" si="49"/>
        <v>0</v>
      </c>
      <c r="AO97" s="95">
        <f t="shared" si="60"/>
        <v>-1.151020927826848</v>
      </c>
      <c r="AP97" s="96"/>
      <c r="AQ97" s="97">
        <f t="shared" si="9"/>
        <v>0</v>
      </c>
      <c r="AR97" s="98">
        <f t="shared" si="37"/>
        <v>400.08</v>
      </c>
      <c r="AS97" s="98">
        <f t="shared" si="11"/>
        <v>0</v>
      </c>
      <c r="AT97" s="98">
        <f t="shared" si="12"/>
        <v>0</v>
      </c>
      <c r="AU97" s="98">
        <f t="shared" si="61"/>
        <v>0</v>
      </c>
      <c r="AV97" s="98">
        <f t="array" ref="AV97">_xlfn.IFS(U97=0,AO97,U97&lt;0,AO97/-U97,U97&gt;0,AO97/U97)</f>
        <v>-1.151020927826848</v>
      </c>
      <c r="AW97" s="234">
        <f t="shared" si="46"/>
        <v>0</v>
      </c>
      <c r="AX97" s="234">
        <f t="shared" si="47"/>
        <v>-2.8769769241822835E-3</v>
      </c>
      <c r="AY97" s="99"/>
      <c r="AZ97" s="94">
        <f t="shared" si="15"/>
        <v>-4.6040837113073918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8"/>
        <v>16</v>
      </c>
      <c r="F98" s="93"/>
      <c r="G98" s="93"/>
      <c r="H98" s="272">
        <v>16</v>
      </c>
      <c r="I98" s="93"/>
      <c r="J98" s="93"/>
      <c r="K98" s="93">
        <v>300.08</v>
      </c>
      <c r="L98" s="92">
        <f t="shared" si="44"/>
        <v>4801.28</v>
      </c>
      <c r="M98" s="89"/>
      <c r="N98" s="89">
        <v>0</v>
      </c>
      <c r="O98" s="89">
        <v>0</v>
      </c>
      <c r="P98" s="89">
        <v>0</v>
      </c>
      <c r="Q98" s="233">
        <f t="shared" si="50"/>
        <v>0</v>
      </c>
      <c r="R98" s="92">
        <f t="shared" si="51"/>
        <v>0</v>
      </c>
      <c r="S98" s="93">
        <v>0</v>
      </c>
      <c r="T98" s="93">
        <v>0</v>
      </c>
      <c r="U98" s="92">
        <f t="shared" si="52"/>
        <v>0</v>
      </c>
      <c r="V98" s="93">
        <v>0</v>
      </c>
      <c r="W98" s="93">
        <v>0</v>
      </c>
      <c r="X98" s="92">
        <f t="shared" si="53"/>
        <v>0</v>
      </c>
      <c r="Y98" s="93">
        <v>0</v>
      </c>
      <c r="Z98" s="93">
        <v>0</v>
      </c>
      <c r="AA98" s="92">
        <f t="shared" si="54"/>
        <v>0</v>
      </c>
      <c r="AB98" s="92">
        <f t="shared" si="55"/>
        <v>0</v>
      </c>
      <c r="AC98" s="234">
        <f t="shared" si="56"/>
        <v>0</v>
      </c>
      <c r="AD98" s="92">
        <f t="shared" si="57"/>
        <v>0</v>
      </c>
      <c r="AE98" s="93">
        <v>0</v>
      </c>
      <c r="AF98" s="234">
        <f t="shared" si="58"/>
        <v>0</v>
      </c>
      <c r="AG98" s="93">
        <v>0</v>
      </c>
      <c r="AH98" s="93"/>
      <c r="AI98" s="93"/>
      <c r="AJ98" s="93"/>
      <c r="AK98" s="93"/>
      <c r="AL98" s="122">
        <f t="shared" si="59"/>
        <v>4.6040837113073918</v>
      </c>
      <c r="AM98" s="93">
        <v>0</v>
      </c>
      <c r="AN98" s="325">
        <f t="shared" si="49"/>
        <v>0</v>
      </c>
      <c r="AO98" s="95">
        <f t="shared" si="60"/>
        <v>-4.6040837113073918</v>
      </c>
      <c r="AP98" s="96"/>
      <c r="AQ98" s="97">
        <f t="shared" ref="AQ98" si="62">IF(U98=0,0,AA98/U98)</f>
        <v>0</v>
      </c>
      <c r="AR98" s="98">
        <f t="shared" si="37"/>
        <v>300.08</v>
      </c>
      <c r="AS98" s="98">
        <f t="shared" ref="AS98" si="63">IF(U98=0,0,AE98/U98)</f>
        <v>0</v>
      </c>
      <c r="AT98" s="98">
        <f t="shared" ref="AT98" si="64">IF(S98=0,AG98/1,AG98/S98)</f>
        <v>0</v>
      </c>
      <c r="AU98" s="98">
        <f t="shared" si="61"/>
        <v>0</v>
      </c>
      <c r="AV98" s="98">
        <f t="array" ref="AV98">_xlfn.IFS(U98=0,AO98,U98&lt;0,AO98/-U98,U98&gt;0,AO98/U98)</f>
        <v>-4.6040837113073918</v>
      </c>
      <c r="AW98" s="234">
        <f t="shared" si="46"/>
        <v>0</v>
      </c>
      <c r="AX98" s="234">
        <f t="shared" si="47"/>
        <v>-1.5342854276550893E-2</v>
      </c>
      <c r="AY98" s="99"/>
      <c r="AZ98" s="94">
        <f t="shared" ref="AZ98" si="65">AV98*E98</f>
        <v>-73.665339380918269</v>
      </c>
    </row>
    <row r="99" spans="1:52" s="113" customFormat="1" outlineLevel="1">
      <c r="A99" s="101"/>
      <c r="B99" s="102"/>
      <c r="C99" s="103" t="s">
        <v>218</v>
      </c>
      <c r="D99" s="104"/>
      <c r="E99" s="235"/>
      <c r="F99" s="105"/>
      <c r="G99" s="105"/>
      <c r="H99" s="106"/>
      <c r="I99" s="106"/>
      <c r="J99" s="106"/>
      <c r="K99" s="105"/>
      <c r="L99" s="105"/>
      <c r="M99" s="103"/>
      <c r="N99" s="103"/>
      <c r="O99" s="103"/>
      <c r="P99" s="103"/>
      <c r="Q99" s="236"/>
      <c r="R99" s="105"/>
      <c r="S99" s="106"/>
      <c r="T99" s="106"/>
      <c r="U99" s="105"/>
      <c r="V99" s="106"/>
      <c r="W99" s="106"/>
      <c r="X99" s="105"/>
      <c r="Y99" s="106"/>
      <c r="Z99" s="106"/>
      <c r="AA99" s="105"/>
      <c r="AB99" s="105"/>
      <c r="AC99" s="237"/>
      <c r="AD99" s="105"/>
      <c r="AE99" s="106"/>
      <c r="AF99" s="237"/>
      <c r="AG99" s="106"/>
      <c r="AH99" s="106"/>
      <c r="AI99" s="106"/>
      <c r="AJ99" s="106"/>
      <c r="AK99" s="106"/>
      <c r="AL99" s="107"/>
      <c r="AM99" s="106"/>
      <c r="AN99" s="108"/>
      <c r="AO99" s="109"/>
      <c r="AP99" s="110"/>
      <c r="AQ99" s="111">
        <f t="shared" ref="AQ99:AX99" si="66">AVERAGE(AQ7:AQ98)</f>
        <v>268.49660326086956</v>
      </c>
      <c r="AR99" s="111">
        <f t="shared" si="66"/>
        <v>141.22217391304349</v>
      </c>
      <c r="AS99" s="111">
        <f t="shared" si="66"/>
        <v>98.095032938076415</v>
      </c>
      <c r="AT99" s="111">
        <f t="shared" si="66"/>
        <v>46.515038372859024</v>
      </c>
      <c r="AU99" s="111">
        <f t="shared" si="66"/>
        <v>0</v>
      </c>
      <c r="AV99" s="111">
        <f t="shared" si="66"/>
        <v>43.470460441938364</v>
      </c>
      <c r="AW99" s="112">
        <f t="shared" si="66"/>
        <v>5.5167176134481355E-2</v>
      </c>
      <c r="AX99" s="112">
        <f t="shared" si="66"/>
        <v>0.34938192862876921</v>
      </c>
      <c r="AY99" s="99"/>
      <c r="AZ99" s="108"/>
    </row>
    <row r="100" spans="1:52" s="120" customFormat="1">
      <c r="A100" s="114" t="s">
        <v>85</v>
      </c>
      <c r="B100" s="115"/>
      <c r="C100" s="116"/>
      <c r="D100" s="116"/>
      <c r="E100" s="238">
        <f t="shared" ref="E100:J100" si="67">SUM(E3:E98)</f>
        <v>12566</v>
      </c>
      <c r="F100" s="116">
        <f t="shared" si="67"/>
        <v>0</v>
      </c>
      <c r="G100" s="116">
        <f t="shared" si="67"/>
        <v>0</v>
      </c>
      <c r="H100" s="116">
        <f t="shared" si="67"/>
        <v>12566</v>
      </c>
      <c r="I100" s="116">
        <f t="shared" si="67"/>
        <v>0</v>
      </c>
      <c r="J100" s="116">
        <f t="shared" si="67"/>
        <v>0</v>
      </c>
      <c r="K100" s="116"/>
      <c r="L100" s="116">
        <f>SUM(L3:L98)</f>
        <v>1597964.3499999996</v>
      </c>
      <c r="M100" s="116"/>
      <c r="N100" s="116">
        <f>SUM(N3:N98)</f>
        <v>129</v>
      </c>
      <c r="O100" s="116"/>
      <c r="P100" s="116"/>
      <c r="Q100" s="212"/>
      <c r="R100" s="116"/>
      <c r="S100" s="116">
        <f t="shared" ref="S100:AE100" si="68">SUM(S3:S98)</f>
        <v>127</v>
      </c>
      <c r="T100" s="116">
        <f t="shared" si="68"/>
        <v>-5</v>
      </c>
      <c r="U100" s="116">
        <f t="shared" si="68"/>
        <v>122</v>
      </c>
      <c r="V100" s="116">
        <f t="shared" si="68"/>
        <v>118047.57</v>
      </c>
      <c r="W100" s="116">
        <f t="shared" si="68"/>
        <v>-6409</v>
      </c>
      <c r="X100" s="116">
        <f t="shared" si="68"/>
        <v>111638.57</v>
      </c>
      <c r="Y100" s="116">
        <f t="shared" si="68"/>
        <v>138964.57</v>
      </c>
      <c r="Z100" s="116">
        <f t="shared" si="68"/>
        <v>-7526</v>
      </c>
      <c r="AA100" s="116">
        <f t="shared" si="68"/>
        <v>131438.57</v>
      </c>
      <c r="AB100" s="116">
        <f t="shared" si="68"/>
        <v>82870.180000000008</v>
      </c>
      <c r="AC100" s="239">
        <f t="shared" si="68"/>
        <v>1</v>
      </c>
      <c r="AD100" s="117">
        <f t="shared" si="68"/>
        <v>15240.450000000004</v>
      </c>
      <c r="AE100" s="116">
        <f t="shared" si="68"/>
        <v>48126.54</v>
      </c>
      <c r="AF100" s="239">
        <f>AE100/AA100</f>
        <v>0.3661523402149004</v>
      </c>
      <c r="AG100" s="116">
        <f t="shared" ref="AG100:AO100" si="69">SUM(AG3:AG98)</f>
        <v>17381.100000000002</v>
      </c>
      <c r="AH100" s="117">
        <f t="shared" si="69"/>
        <v>0</v>
      </c>
      <c r="AI100" s="117">
        <f t="shared" si="69"/>
        <v>0</v>
      </c>
      <c r="AJ100" s="117">
        <f>SUM(AJ3:AJ98)</f>
        <v>0</v>
      </c>
      <c r="AK100" s="117">
        <f t="shared" si="69"/>
        <v>0</v>
      </c>
      <c r="AL100" s="117">
        <f t="shared" si="69"/>
        <v>3615.932244768042</v>
      </c>
      <c r="AM100" s="116">
        <f t="shared" si="69"/>
        <v>0</v>
      </c>
      <c r="AN100" s="117">
        <f t="shared" si="69"/>
        <v>6067.2400000000016</v>
      </c>
      <c r="AO100" s="117">
        <f t="shared" si="69"/>
        <v>41007.307755232003</v>
      </c>
      <c r="AP100" s="118"/>
      <c r="AQ100" s="116"/>
      <c r="AR100" s="116"/>
      <c r="AS100" s="116"/>
      <c r="AT100" s="116"/>
      <c r="AU100" s="240">
        <f>(AH100+AI100+AJ100)/S100</f>
        <v>0</v>
      </c>
      <c r="AV100" s="116"/>
      <c r="AW100" s="116"/>
      <c r="AX100" s="116"/>
      <c r="AY100" s="119"/>
      <c r="AZ100" s="116">
        <f>SUM(AZ3:AZ98)</f>
        <v>2795865.8173724678</v>
      </c>
    </row>
    <row r="101" spans="1:52">
      <c r="A101" s="89"/>
      <c r="B101" s="90"/>
      <c r="C101" s="90"/>
      <c r="D101" s="121"/>
      <c r="E101" s="241"/>
      <c r="F101" s="93"/>
      <c r="G101" s="93"/>
      <c r="H101" s="93"/>
      <c r="I101" s="93"/>
      <c r="J101" s="93"/>
      <c r="K101" s="93"/>
      <c r="L101" s="93"/>
      <c r="M101" s="89"/>
      <c r="N101" s="89"/>
      <c r="O101" s="89"/>
      <c r="P101" s="89"/>
      <c r="Q101" s="242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243"/>
      <c r="AD101" s="93"/>
      <c r="AE101" s="93"/>
      <c r="AF101" s="243"/>
      <c r="AG101" s="93"/>
      <c r="AH101" s="545"/>
      <c r="AI101" s="545"/>
      <c r="AJ101" s="216"/>
      <c r="AK101" s="216"/>
      <c r="AL101" s="122"/>
      <c r="AM101" s="93"/>
      <c r="AN101" s="123"/>
      <c r="AO101" s="124"/>
      <c r="AP101" s="96"/>
      <c r="AQ101" s="125"/>
      <c r="AR101" s="126"/>
      <c r="AS101" s="126"/>
      <c r="AT101" s="126"/>
      <c r="AU101" s="126"/>
      <c r="AV101" s="126"/>
      <c r="AW101" s="244"/>
      <c r="AX101" s="244"/>
      <c r="AY101" s="99"/>
      <c r="AZ101" s="123"/>
    </row>
    <row r="102" spans="1:52">
      <c r="A102" s="89" t="s">
        <v>219</v>
      </c>
      <c r="B102" s="90">
        <v>437023601</v>
      </c>
      <c r="C102" s="90" t="s">
        <v>220</v>
      </c>
      <c r="D102" s="121" t="s">
        <v>221</v>
      </c>
      <c r="E102" s="232">
        <f t="shared" ref="E102:E106" si="70">SUM(F102:J102)</f>
        <v>1</v>
      </c>
      <c r="F102" s="93"/>
      <c r="G102" s="93"/>
      <c r="H102" s="272">
        <v>0</v>
      </c>
      <c r="I102" s="93">
        <v>0</v>
      </c>
      <c r="J102" s="93">
        <v>1</v>
      </c>
      <c r="K102" s="93">
        <v>579.17999999999995</v>
      </c>
      <c r="L102" s="92">
        <f>E102*K102</f>
        <v>579.17999999999995</v>
      </c>
      <c r="M102" s="89"/>
      <c r="N102" s="89">
        <v>0</v>
      </c>
      <c r="O102" s="89">
        <v>0</v>
      </c>
      <c r="P102" s="89">
        <v>0</v>
      </c>
      <c r="Q102" s="233">
        <f t="shared" ref="Q102" si="71">N102/3</f>
        <v>0</v>
      </c>
      <c r="R102" s="92">
        <f t="shared" ref="R102" si="72">U102/3</f>
        <v>0</v>
      </c>
      <c r="S102" s="93">
        <v>0</v>
      </c>
      <c r="T102" s="93">
        <v>0</v>
      </c>
      <c r="U102" s="92">
        <f t="shared" ref="U102" si="73">S102+T102</f>
        <v>0</v>
      </c>
      <c r="V102" s="93">
        <v>0</v>
      </c>
      <c r="W102" s="93">
        <v>0</v>
      </c>
      <c r="X102" s="92">
        <f t="shared" ref="X102" si="74">V102+W102</f>
        <v>0</v>
      </c>
      <c r="Y102" s="93">
        <v>0</v>
      </c>
      <c r="Z102" s="93">
        <v>0</v>
      </c>
      <c r="AA102" s="92">
        <f t="shared" ref="AA102" si="75">Y102+Z102</f>
        <v>0</v>
      </c>
      <c r="AB102" s="92">
        <f t="shared" ref="AB102" si="76">N102*O102*P102/100</f>
        <v>0</v>
      </c>
      <c r="AC102" s="234">
        <f t="shared" ref="AC102" si="77">AA102/$AA$121</f>
        <v>0</v>
      </c>
      <c r="AD102" s="92">
        <f t="shared" ref="AD102" si="78">U102*K102</f>
        <v>0</v>
      </c>
      <c r="AE102" s="93">
        <v>0</v>
      </c>
      <c r="AF102" s="234">
        <f t="shared" ref="AF102" si="79">IF(AA102=0,0,AE102/AA102)</f>
        <v>0</v>
      </c>
      <c r="AG102" s="93">
        <v>0</v>
      </c>
      <c r="AH102" s="93"/>
      <c r="AI102" s="93"/>
      <c r="AJ102" s="93"/>
      <c r="AK102" s="93"/>
      <c r="AL102" s="241">
        <f t="shared" ref="AL102" si="80">IFERROR($AL$121*H102/$H$121,0)</f>
        <v>0</v>
      </c>
      <c r="AM102" s="93">
        <v>0</v>
      </c>
      <c r="AN102" s="325">
        <f>6067.24*Y102/Y$121</f>
        <v>0</v>
      </c>
      <c r="AO102" s="95">
        <f t="shared" ref="AO102:AO106" si="81">AA102-AD102-AE102-AG102-AH102-AI102-AK102-AL102-AN102-AM102</f>
        <v>0</v>
      </c>
      <c r="AP102" s="96"/>
      <c r="AQ102" s="97">
        <f t="shared" ref="AQ102:AQ106" si="82">IF(U102=0,0,AA102/U102)</f>
        <v>0</v>
      </c>
      <c r="AR102" s="98">
        <f t="shared" ref="AR102:AR106" si="83">K102</f>
        <v>579.17999999999995</v>
      </c>
      <c r="AS102" s="98">
        <f t="shared" ref="AS102:AS106" si="84">IF(U102=0,0,AE102/U102)</f>
        <v>0</v>
      </c>
      <c r="AT102" s="98">
        <f t="shared" ref="AT102:AT106" si="85">IF(S102=0,AG102/1,AG102/S102)</f>
        <v>0</v>
      </c>
      <c r="AU102" s="98">
        <f t="shared" ref="AU102:AU106" si="86">IF(S102=0,0,(AH102+AI102+AJ102)/S102)</f>
        <v>0</v>
      </c>
      <c r="AV102" s="98">
        <f t="array" ref="AV102">_xlfn.IFS(U102=0,AO102,U102&lt;0,AO102/-U102,U102&gt;0,AO102/U102)</f>
        <v>0</v>
      </c>
      <c r="AW102" s="234">
        <f t="shared" ref="AW102:AW106" si="87">IF(AQ102=0,0,AV102/AQ102)</f>
        <v>0</v>
      </c>
      <c r="AX102" s="234">
        <f t="shared" ref="AX102:AX106" si="88">IF(AR102=0,0,AV102/AR102)</f>
        <v>0</v>
      </c>
      <c r="AY102" s="99"/>
      <c r="AZ102" s="94">
        <f t="shared" ref="AZ102:AZ106" si="89">AV102*E102</f>
        <v>0</v>
      </c>
    </row>
    <row r="103" spans="1:52">
      <c r="A103" s="89" t="s">
        <v>219</v>
      </c>
      <c r="B103" s="90">
        <v>437027509</v>
      </c>
      <c r="C103" s="90" t="s">
        <v>222</v>
      </c>
      <c r="D103" s="121" t="s">
        <v>221</v>
      </c>
      <c r="E103" s="232">
        <f t="shared" si="70"/>
        <v>2</v>
      </c>
      <c r="F103" s="93"/>
      <c r="G103" s="93"/>
      <c r="H103" s="272">
        <v>1</v>
      </c>
      <c r="I103" s="93">
        <v>0</v>
      </c>
      <c r="J103" s="93">
        <v>1</v>
      </c>
      <c r="K103" s="93">
        <v>579.17999999999995</v>
      </c>
      <c r="L103" s="92">
        <f t="shared" ref="L103:L106" si="90">E103*K103</f>
        <v>1158.3599999999999</v>
      </c>
      <c r="M103" s="89"/>
      <c r="N103" s="89">
        <v>0</v>
      </c>
      <c r="O103" s="89">
        <v>0</v>
      </c>
      <c r="P103" s="89">
        <v>0</v>
      </c>
      <c r="Q103" s="233">
        <f t="shared" ref="Q103:Q106" si="91">N103/3</f>
        <v>0</v>
      </c>
      <c r="R103" s="92">
        <f t="shared" ref="R103:R106" si="92">U103/3</f>
        <v>0</v>
      </c>
      <c r="S103" s="93">
        <v>0</v>
      </c>
      <c r="T103" s="93">
        <v>0</v>
      </c>
      <c r="U103" s="92">
        <f t="shared" ref="U103:U106" si="93">S103+T103</f>
        <v>0</v>
      </c>
      <c r="V103" s="93">
        <v>0</v>
      </c>
      <c r="W103" s="93">
        <v>0</v>
      </c>
      <c r="X103" s="92">
        <f t="shared" ref="X103:X106" si="94">V103+W103</f>
        <v>0</v>
      </c>
      <c r="Y103" s="93">
        <v>0</v>
      </c>
      <c r="Z103" s="93">
        <v>0</v>
      </c>
      <c r="AA103" s="92">
        <f t="shared" ref="AA103:AA106" si="95">Y103+Z103</f>
        <v>0</v>
      </c>
      <c r="AB103" s="92">
        <f t="shared" ref="AB103:AB106" si="96">N103*O103*P103/100</f>
        <v>0</v>
      </c>
      <c r="AC103" s="234">
        <f t="shared" ref="AC103:AC106" si="97">AA103/$AA$121</f>
        <v>0</v>
      </c>
      <c r="AD103" s="92">
        <f t="shared" ref="AD103:AD106" si="98">U103*K103</f>
        <v>0</v>
      </c>
      <c r="AE103" s="93">
        <v>0</v>
      </c>
      <c r="AF103" s="234">
        <f t="shared" ref="AF103:AF106" si="99">IF(AA103=0,0,AE103/AA103)</f>
        <v>0</v>
      </c>
      <c r="AG103" s="93">
        <v>0</v>
      </c>
      <c r="AH103" s="93"/>
      <c r="AI103" s="93"/>
      <c r="AJ103" s="93"/>
      <c r="AK103" s="93"/>
      <c r="AL103" s="241">
        <f t="shared" ref="AL103:AL106" si="100">IFERROR($AL$121*H103/$H$121,0)</f>
        <v>0.28775523195671199</v>
      </c>
      <c r="AM103" s="93">
        <v>0</v>
      </c>
      <c r="AN103" s="325">
        <f>6067.24*Y103/Y$121</f>
        <v>0</v>
      </c>
      <c r="AO103" s="95">
        <f t="shared" si="81"/>
        <v>-0.28775523195671199</v>
      </c>
      <c r="AP103" s="96"/>
      <c r="AQ103" s="97">
        <f t="shared" si="82"/>
        <v>0</v>
      </c>
      <c r="AR103" s="98">
        <f t="shared" si="83"/>
        <v>579.17999999999995</v>
      </c>
      <c r="AS103" s="98">
        <f t="shared" si="84"/>
        <v>0</v>
      </c>
      <c r="AT103" s="98">
        <f t="shared" si="85"/>
        <v>0</v>
      </c>
      <c r="AU103" s="98">
        <f t="shared" si="86"/>
        <v>0</v>
      </c>
      <c r="AV103" s="98">
        <f t="array" ref="AV103">_xlfn.IFS(U103=0,AO103,U103&lt;0,AO103/-U103,U103&gt;0,AO103/U103)</f>
        <v>-0.28775523195671199</v>
      </c>
      <c r="AW103" s="234">
        <f t="shared" si="87"/>
        <v>0</v>
      </c>
      <c r="AX103" s="234">
        <f t="shared" si="88"/>
        <v>-4.9683212810648159E-4</v>
      </c>
      <c r="AY103" s="99"/>
      <c r="AZ103" s="94">
        <f t="shared" si="89"/>
        <v>-0.57551046391342398</v>
      </c>
    </row>
    <row r="104" spans="1:52">
      <c r="A104" s="89" t="s">
        <v>219</v>
      </c>
      <c r="B104" s="90">
        <v>437097997</v>
      </c>
      <c r="C104" s="90" t="s">
        <v>223</v>
      </c>
      <c r="D104" s="121" t="s">
        <v>221</v>
      </c>
      <c r="E104" s="232">
        <f t="shared" si="70"/>
        <v>2</v>
      </c>
      <c r="F104" s="93"/>
      <c r="G104" s="93"/>
      <c r="H104" s="272">
        <v>0</v>
      </c>
      <c r="I104" s="93">
        <v>0</v>
      </c>
      <c r="J104" s="93">
        <v>2</v>
      </c>
      <c r="K104" s="93">
        <v>541.67999999999995</v>
      </c>
      <c r="L104" s="92">
        <f t="shared" si="90"/>
        <v>1083.3599999999999</v>
      </c>
      <c r="M104" s="89"/>
      <c r="N104" s="89">
        <v>0</v>
      </c>
      <c r="O104" s="89">
        <v>0</v>
      </c>
      <c r="P104" s="89">
        <v>0</v>
      </c>
      <c r="Q104" s="233">
        <f t="shared" si="91"/>
        <v>0</v>
      </c>
      <c r="R104" s="92">
        <f t="shared" si="92"/>
        <v>0</v>
      </c>
      <c r="S104" s="93">
        <v>0</v>
      </c>
      <c r="T104" s="93">
        <v>0</v>
      </c>
      <c r="U104" s="92">
        <f t="shared" si="93"/>
        <v>0</v>
      </c>
      <c r="V104" s="93">
        <v>0</v>
      </c>
      <c r="W104" s="93">
        <v>0</v>
      </c>
      <c r="X104" s="92">
        <f t="shared" si="94"/>
        <v>0</v>
      </c>
      <c r="Y104" s="93">
        <v>0</v>
      </c>
      <c r="Z104" s="93">
        <v>0</v>
      </c>
      <c r="AA104" s="92">
        <f t="shared" si="95"/>
        <v>0</v>
      </c>
      <c r="AB104" s="92">
        <f t="shared" si="96"/>
        <v>0</v>
      </c>
      <c r="AC104" s="234">
        <f t="shared" si="97"/>
        <v>0</v>
      </c>
      <c r="AD104" s="92">
        <f t="shared" si="98"/>
        <v>0</v>
      </c>
      <c r="AE104" s="93">
        <v>0</v>
      </c>
      <c r="AF104" s="234">
        <f t="shared" si="99"/>
        <v>0</v>
      </c>
      <c r="AG104" s="93">
        <v>0</v>
      </c>
      <c r="AH104" s="93"/>
      <c r="AI104" s="93"/>
      <c r="AJ104" s="93"/>
      <c r="AK104" s="93"/>
      <c r="AL104" s="241">
        <f t="shared" si="100"/>
        <v>0</v>
      </c>
      <c r="AM104" s="93">
        <v>0</v>
      </c>
      <c r="AN104" s="325">
        <f>6067.24*Y104/Y$121</f>
        <v>0</v>
      </c>
      <c r="AO104" s="95">
        <f t="shared" si="81"/>
        <v>0</v>
      </c>
      <c r="AP104" s="96"/>
      <c r="AQ104" s="97">
        <f t="shared" si="82"/>
        <v>0</v>
      </c>
      <c r="AR104" s="98">
        <f t="shared" si="83"/>
        <v>541.67999999999995</v>
      </c>
      <c r="AS104" s="98">
        <f t="shared" si="84"/>
        <v>0</v>
      </c>
      <c r="AT104" s="98">
        <f t="shared" si="85"/>
        <v>0</v>
      </c>
      <c r="AU104" s="98">
        <f t="shared" si="86"/>
        <v>0</v>
      </c>
      <c r="AV104" s="98">
        <f t="array" ref="AV104">_xlfn.IFS(U104=0,AO104,U104&lt;0,AO104/-U104,U104&gt;0,AO104/U104)</f>
        <v>0</v>
      </c>
      <c r="AW104" s="234">
        <f t="shared" si="87"/>
        <v>0</v>
      </c>
      <c r="AX104" s="234">
        <f t="shared" si="88"/>
        <v>0</v>
      </c>
      <c r="AY104" s="99"/>
      <c r="AZ104" s="94">
        <f t="shared" si="89"/>
        <v>0</v>
      </c>
    </row>
    <row r="105" spans="1:52">
      <c r="A105" s="89" t="s">
        <v>219</v>
      </c>
      <c r="B105" s="90">
        <v>437061068</v>
      </c>
      <c r="C105" s="90" t="s">
        <v>224</v>
      </c>
      <c r="D105" s="121" t="s">
        <v>221</v>
      </c>
      <c r="E105" s="232">
        <f t="shared" si="70"/>
        <v>1</v>
      </c>
      <c r="F105" s="93"/>
      <c r="G105" s="93"/>
      <c r="H105" s="272">
        <v>0</v>
      </c>
      <c r="I105" s="93">
        <v>0</v>
      </c>
      <c r="J105" s="93">
        <v>1</v>
      </c>
      <c r="K105" s="93">
        <v>541.67999999999995</v>
      </c>
      <c r="L105" s="92">
        <f t="shared" si="90"/>
        <v>541.67999999999995</v>
      </c>
      <c r="M105" s="89"/>
      <c r="N105" s="89">
        <v>0</v>
      </c>
      <c r="O105" s="89">
        <v>0</v>
      </c>
      <c r="P105" s="89">
        <v>0</v>
      </c>
      <c r="Q105" s="233">
        <f t="shared" si="91"/>
        <v>0</v>
      </c>
      <c r="R105" s="92">
        <f t="shared" si="92"/>
        <v>0</v>
      </c>
      <c r="S105" s="93">
        <v>0</v>
      </c>
      <c r="T105" s="93">
        <v>0</v>
      </c>
      <c r="U105" s="92">
        <f t="shared" si="93"/>
        <v>0</v>
      </c>
      <c r="V105" s="93">
        <v>0</v>
      </c>
      <c r="W105" s="93">
        <v>0</v>
      </c>
      <c r="X105" s="92">
        <f t="shared" si="94"/>
        <v>0</v>
      </c>
      <c r="Y105" s="93">
        <v>0</v>
      </c>
      <c r="Z105" s="93">
        <v>0</v>
      </c>
      <c r="AA105" s="92">
        <f t="shared" si="95"/>
        <v>0</v>
      </c>
      <c r="AB105" s="92">
        <f t="shared" si="96"/>
        <v>0</v>
      </c>
      <c r="AC105" s="234">
        <f t="shared" si="97"/>
        <v>0</v>
      </c>
      <c r="AD105" s="92">
        <f t="shared" si="98"/>
        <v>0</v>
      </c>
      <c r="AE105" s="93">
        <v>0</v>
      </c>
      <c r="AF105" s="234">
        <f t="shared" si="99"/>
        <v>0</v>
      </c>
      <c r="AG105" s="93">
        <v>0</v>
      </c>
      <c r="AH105" s="93"/>
      <c r="AI105" s="93"/>
      <c r="AJ105" s="93"/>
      <c r="AK105" s="93"/>
      <c r="AL105" s="241">
        <f t="shared" si="100"/>
        <v>0</v>
      </c>
      <c r="AM105" s="93">
        <v>0</v>
      </c>
      <c r="AN105" s="325">
        <f>6067.24*Y105/Y$121</f>
        <v>0</v>
      </c>
      <c r="AO105" s="95">
        <f t="shared" si="81"/>
        <v>0</v>
      </c>
      <c r="AP105" s="96"/>
      <c r="AQ105" s="97">
        <f t="shared" si="82"/>
        <v>0</v>
      </c>
      <c r="AR105" s="98">
        <f t="shared" si="83"/>
        <v>541.67999999999995</v>
      </c>
      <c r="AS105" s="98">
        <f t="shared" si="84"/>
        <v>0</v>
      </c>
      <c r="AT105" s="98">
        <f t="shared" si="85"/>
        <v>0</v>
      </c>
      <c r="AU105" s="98">
        <f t="shared" si="86"/>
        <v>0</v>
      </c>
      <c r="AV105" s="98">
        <f t="array" ref="AV105">_xlfn.IFS(U105=0,AO105,U105&lt;0,AO105/-U105,U105&gt;0,AO105/U105)</f>
        <v>0</v>
      </c>
      <c r="AW105" s="234">
        <f t="shared" si="87"/>
        <v>0</v>
      </c>
      <c r="AX105" s="234">
        <f t="shared" si="88"/>
        <v>0</v>
      </c>
      <c r="AY105" s="99"/>
      <c r="AZ105" s="94">
        <f t="shared" si="89"/>
        <v>0</v>
      </c>
    </row>
    <row r="106" spans="1:52">
      <c r="A106" s="89" t="s">
        <v>219</v>
      </c>
      <c r="B106" s="90">
        <v>437095304</v>
      </c>
      <c r="C106" s="90" t="s">
        <v>225</v>
      </c>
      <c r="D106" s="121" t="s">
        <v>221</v>
      </c>
      <c r="E106" s="232">
        <f t="shared" si="70"/>
        <v>1</v>
      </c>
      <c r="F106" s="93"/>
      <c r="G106" s="93"/>
      <c r="H106" s="272">
        <v>0</v>
      </c>
      <c r="I106" s="93">
        <v>0</v>
      </c>
      <c r="J106" s="93">
        <v>1</v>
      </c>
      <c r="K106" s="93">
        <v>541.67999999999995</v>
      </c>
      <c r="L106" s="92">
        <f t="shared" si="90"/>
        <v>541.67999999999995</v>
      </c>
      <c r="M106" s="89"/>
      <c r="N106" s="89">
        <v>0</v>
      </c>
      <c r="O106" s="89">
        <v>0</v>
      </c>
      <c r="P106" s="89">
        <v>0</v>
      </c>
      <c r="Q106" s="233">
        <f t="shared" si="91"/>
        <v>0</v>
      </c>
      <c r="R106" s="92">
        <f t="shared" si="92"/>
        <v>0</v>
      </c>
      <c r="S106" s="93">
        <v>0</v>
      </c>
      <c r="T106" s="93">
        <v>0</v>
      </c>
      <c r="U106" s="92">
        <f t="shared" si="93"/>
        <v>0</v>
      </c>
      <c r="V106" s="93">
        <v>0</v>
      </c>
      <c r="W106" s="93">
        <v>0</v>
      </c>
      <c r="X106" s="92">
        <f t="shared" si="94"/>
        <v>0</v>
      </c>
      <c r="Y106" s="93">
        <v>0</v>
      </c>
      <c r="Z106" s="93">
        <v>0</v>
      </c>
      <c r="AA106" s="92">
        <f t="shared" si="95"/>
        <v>0</v>
      </c>
      <c r="AB106" s="92">
        <f t="shared" si="96"/>
        <v>0</v>
      </c>
      <c r="AC106" s="234">
        <f t="shared" si="97"/>
        <v>0</v>
      </c>
      <c r="AD106" s="92">
        <f t="shared" si="98"/>
        <v>0</v>
      </c>
      <c r="AE106" s="93">
        <v>0</v>
      </c>
      <c r="AF106" s="234">
        <f t="shared" si="99"/>
        <v>0</v>
      </c>
      <c r="AG106" s="93">
        <v>0</v>
      </c>
      <c r="AH106" s="93"/>
      <c r="AI106" s="93"/>
      <c r="AJ106" s="93"/>
      <c r="AK106" s="93"/>
      <c r="AL106" s="241">
        <f t="shared" si="100"/>
        <v>0</v>
      </c>
      <c r="AM106" s="93">
        <v>0</v>
      </c>
      <c r="AN106" s="325">
        <f>6067.24*Y106/Y$121</f>
        <v>0</v>
      </c>
      <c r="AO106" s="95">
        <f t="shared" si="81"/>
        <v>0</v>
      </c>
      <c r="AP106" s="96"/>
      <c r="AQ106" s="97">
        <f t="shared" si="82"/>
        <v>0</v>
      </c>
      <c r="AR106" s="98">
        <f t="shared" si="83"/>
        <v>541.67999999999995</v>
      </c>
      <c r="AS106" s="98">
        <f t="shared" si="84"/>
        <v>0</v>
      </c>
      <c r="AT106" s="98">
        <f t="shared" si="85"/>
        <v>0</v>
      </c>
      <c r="AU106" s="98">
        <f t="shared" si="86"/>
        <v>0</v>
      </c>
      <c r="AV106" s="98">
        <f t="array" ref="AV106">_xlfn.IFS(U106=0,AO106,U106&lt;0,AO106/-U106,U106&gt;0,AO106/U106)</f>
        <v>0</v>
      </c>
      <c r="AW106" s="234">
        <f t="shared" si="87"/>
        <v>0</v>
      </c>
      <c r="AX106" s="234">
        <f t="shared" si="88"/>
        <v>0</v>
      </c>
      <c r="AY106" s="99"/>
      <c r="AZ106" s="94">
        <f t="shared" si="89"/>
        <v>0</v>
      </c>
    </row>
    <row r="107" spans="1:52">
      <c r="A107" s="89"/>
      <c r="B107" s="100"/>
      <c r="C107" s="100"/>
      <c r="D107" s="100"/>
      <c r="E107" s="100"/>
      <c r="H107" s="270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216"/>
      <c r="AI107" s="216"/>
      <c r="AJ107" s="216"/>
      <c r="AK107" s="216"/>
      <c r="AL107" s="122"/>
      <c r="AM107" s="93"/>
      <c r="AN107" s="123"/>
      <c r="AO107" s="124"/>
      <c r="AP107" s="96"/>
      <c r="AQ107" s="245">
        <f>AVERAGE(AQ102:AQ106)</f>
        <v>0</v>
      </c>
      <c r="AR107" s="245">
        <f>AVERAGE(AR102:AR106)</f>
        <v>556.67999999999995</v>
      </c>
      <c r="AS107" s="245">
        <f t="shared" ref="AS107:AX107" si="101">AVERAGE(AS102:AS106)</f>
        <v>0</v>
      </c>
      <c r="AT107" s="245">
        <f t="shared" si="101"/>
        <v>0</v>
      </c>
      <c r="AU107" s="245">
        <f t="shared" si="101"/>
        <v>0</v>
      </c>
      <c r="AV107" s="245">
        <f t="shared" si="101"/>
        <v>-5.7551046391342398E-2</v>
      </c>
      <c r="AW107" s="246">
        <f t="shared" si="101"/>
        <v>0</v>
      </c>
      <c r="AX107" s="246">
        <f t="shared" si="101"/>
        <v>-9.9366425621296315E-5</v>
      </c>
      <c r="AY107" s="99"/>
      <c r="AZ107" s="123"/>
    </row>
    <row r="108" spans="1:52" s="120" customFormat="1">
      <c r="A108" s="247" t="s">
        <v>226</v>
      </c>
      <c r="B108" s="248"/>
      <c r="C108" s="249"/>
      <c r="D108" s="249"/>
      <c r="E108" s="250">
        <f t="shared" ref="E108:J108" si="102">SUM(E102:E106)</f>
        <v>7</v>
      </c>
      <c r="F108" s="249">
        <f t="shared" si="102"/>
        <v>0</v>
      </c>
      <c r="G108" s="249">
        <f t="shared" si="102"/>
        <v>0</v>
      </c>
      <c r="H108" s="249">
        <f t="shared" si="102"/>
        <v>1</v>
      </c>
      <c r="I108" s="249">
        <f t="shared" si="102"/>
        <v>0</v>
      </c>
      <c r="J108" s="249">
        <f t="shared" si="102"/>
        <v>6</v>
      </c>
      <c r="K108" s="249"/>
      <c r="L108" s="249">
        <f>SUM(L102:L106)</f>
        <v>3904.2599999999993</v>
      </c>
      <c r="M108" s="249"/>
      <c r="N108" s="249">
        <f>SUM(N102:N106)</f>
        <v>0</v>
      </c>
      <c r="O108" s="249"/>
      <c r="P108" s="249"/>
      <c r="Q108" s="251"/>
      <c r="R108" s="249"/>
      <c r="S108" s="249">
        <f t="shared" ref="S108:AE108" si="103">SUM(S102:S106)</f>
        <v>0</v>
      </c>
      <c r="T108" s="249">
        <f t="shared" si="103"/>
        <v>0</v>
      </c>
      <c r="U108" s="249">
        <f t="shared" si="103"/>
        <v>0</v>
      </c>
      <c r="V108" s="249">
        <f t="shared" si="103"/>
        <v>0</v>
      </c>
      <c r="W108" s="249">
        <f t="shared" si="103"/>
        <v>0</v>
      </c>
      <c r="X108" s="249">
        <f t="shared" si="103"/>
        <v>0</v>
      </c>
      <c r="Y108" s="249">
        <f t="shared" si="103"/>
        <v>0</v>
      </c>
      <c r="Z108" s="249">
        <f t="shared" si="103"/>
        <v>0</v>
      </c>
      <c r="AA108" s="249">
        <f t="shared" si="103"/>
        <v>0</v>
      </c>
      <c r="AB108" s="249">
        <f t="shared" si="103"/>
        <v>0</v>
      </c>
      <c r="AC108" s="252">
        <f t="shared" si="103"/>
        <v>0</v>
      </c>
      <c r="AD108" s="253">
        <f t="shared" si="103"/>
        <v>0</v>
      </c>
      <c r="AE108" s="249">
        <f t="shared" si="103"/>
        <v>0</v>
      </c>
      <c r="AF108" s="252" t="e">
        <f>AE108/AA108</f>
        <v>#DIV/0!</v>
      </c>
      <c r="AG108" s="249">
        <f t="shared" ref="AG108:AO108" si="104">SUM(AG102:AG106)</f>
        <v>0</v>
      </c>
      <c r="AH108" s="253">
        <f t="shared" si="104"/>
        <v>0</v>
      </c>
      <c r="AI108" s="253">
        <f t="shared" si="104"/>
        <v>0</v>
      </c>
      <c r="AJ108" s="253">
        <f t="shared" si="104"/>
        <v>0</v>
      </c>
      <c r="AK108" s="253">
        <f t="shared" si="104"/>
        <v>0</v>
      </c>
      <c r="AL108" s="253">
        <f>SUM(AL102:AL106)</f>
        <v>0.28775523195671199</v>
      </c>
      <c r="AM108" s="249">
        <f t="shared" si="104"/>
        <v>0</v>
      </c>
      <c r="AN108" s="253">
        <f t="shared" si="104"/>
        <v>0</v>
      </c>
      <c r="AO108" s="253">
        <f t="shared" si="104"/>
        <v>-0.28775523195671199</v>
      </c>
      <c r="AP108" s="254"/>
      <c r="AQ108" s="249"/>
      <c r="AR108" s="249"/>
      <c r="AS108" s="249"/>
      <c r="AT108" s="249"/>
      <c r="AU108" s="255" t="e">
        <f>(AH108+AI108+AJ108)/S108</f>
        <v>#DIV/0!</v>
      </c>
      <c r="AV108" s="249"/>
      <c r="AW108" s="249"/>
      <c r="AX108" s="249"/>
      <c r="AY108" s="256"/>
      <c r="AZ108" s="249">
        <f>SUM(AZ102:AZ106)</f>
        <v>-0.57551046391342398</v>
      </c>
    </row>
    <row r="109" spans="1:52" s="120" customFormat="1">
      <c r="A109" s="257"/>
      <c r="B109" s="258"/>
      <c r="C109" s="139"/>
      <c r="D109" s="139"/>
      <c r="E109" s="25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260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261"/>
      <c r="AD109" s="262"/>
      <c r="AE109" s="139"/>
      <c r="AF109" s="261"/>
      <c r="AG109" s="139"/>
      <c r="AH109" s="546"/>
      <c r="AI109" s="547"/>
      <c r="AJ109" s="263"/>
      <c r="AK109" s="262"/>
      <c r="AL109" s="262"/>
      <c r="AM109" s="139"/>
      <c r="AN109" s="262"/>
      <c r="AO109" s="262"/>
      <c r="AP109" s="96"/>
      <c r="AQ109" s="139"/>
      <c r="AR109" s="139"/>
      <c r="AS109" s="139"/>
      <c r="AT109" s="139"/>
      <c r="AU109" s="139"/>
      <c r="AV109" s="139"/>
      <c r="AW109" s="139"/>
      <c r="AX109" s="139"/>
      <c r="AY109" s="96"/>
      <c r="AZ109" s="139"/>
    </row>
    <row r="110" spans="1:52" outlineLevel="1">
      <c r="A110" s="89" t="s">
        <v>219</v>
      </c>
      <c r="B110" s="90">
        <v>260411674</v>
      </c>
      <c r="C110" s="90" t="s">
        <v>227</v>
      </c>
      <c r="D110" s="91"/>
      <c r="E110" s="232">
        <f>SUM(F110:J110)</f>
        <v>2</v>
      </c>
      <c r="F110" s="93"/>
      <c r="G110" s="93"/>
      <c r="H110" s="272">
        <v>0</v>
      </c>
      <c r="I110" s="93">
        <v>1</v>
      </c>
      <c r="J110" s="93">
        <v>1</v>
      </c>
      <c r="K110" s="92">
        <v>140</v>
      </c>
      <c r="L110" s="92">
        <f t="shared" ref="L110:L117" si="105">E110*K110</f>
        <v>280</v>
      </c>
      <c r="M110" s="89"/>
      <c r="N110" s="89">
        <v>0</v>
      </c>
      <c r="O110" s="89">
        <v>0</v>
      </c>
      <c r="P110" s="89">
        <v>0</v>
      </c>
      <c r="Q110" s="233">
        <f t="shared" ref="Q110" si="106">N110/3</f>
        <v>0</v>
      </c>
      <c r="R110" s="92">
        <f t="shared" ref="R110" si="107">U110/3</f>
        <v>0</v>
      </c>
      <c r="S110" s="93">
        <v>0</v>
      </c>
      <c r="T110" s="93">
        <v>0</v>
      </c>
      <c r="U110" s="92">
        <f t="shared" ref="U110" si="108">S110+T110</f>
        <v>0</v>
      </c>
      <c r="V110" s="93">
        <v>0</v>
      </c>
      <c r="W110" s="93">
        <v>0</v>
      </c>
      <c r="X110" s="92">
        <f t="shared" ref="X110" si="109">V110+W110</f>
        <v>0</v>
      </c>
      <c r="Y110" s="93">
        <v>0</v>
      </c>
      <c r="Z110" s="93">
        <v>0</v>
      </c>
      <c r="AA110" s="92">
        <f t="shared" ref="AA110" si="110">Y110+Z110</f>
        <v>0</v>
      </c>
      <c r="AB110" s="92">
        <f t="shared" ref="AB110" si="111">N110*O110*P110/100</f>
        <v>0</v>
      </c>
      <c r="AC110" s="234">
        <f t="shared" ref="AC110" si="112">AA110/$AA$121</f>
        <v>0</v>
      </c>
      <c r="AD110" s="92">
        <f t="shared" ref="AD110" si="113">U110*K110</f>
        <v>0</v>
      </c>
      <c r="AE110" s="93">
        <v>0</v>
      </c>
      <c r="AF110" s="234">
        <f t="shared" ref="AF110" si="114">IF(AA110=0,0,AE110/AA110)</f>
        <v>0</v>
      </c>
      <c r="AG110" s="93">
        <v>0</v>
      </c>
      <c r="AH110" s="93"/>
      <c r="AI110" s="93"/>
      <c r="AJ110" s="93"/>
      <c r="AK110" s="93"/>
      <c r="AL110" s="122">
        <f t="shared" ref="AL110" si="115">IFERROR($AL$121*H110/$H$121,0)</f>
        <v>0</v>
      </c>
      <c r="AM110" s="93">
        <v>0</v>
      </c>
      <c r="AN110" s="325">
        <f t="shared" ref="AN110:AN117" si="116">6067.24*Y110/Y$121</f>
        <v>0</v>
      </c>
      <c r="AO110" s="95">
        <f t="shared" ref="AO110:AO117" si="117">AA110-AD110-AE110-AG110-AH110-AI110-AK110-AL110-AN110-AM110</f>
        <v>0</v>
      </c>
      <c r="AP110" s="96"/>
      <c r="AQ110" s="97">
        <f t="shared" ref="AQ110:AQ117" si="118">IF(U110=0,0,AA110/U110)</f>
        <v>0</v>
      </c>
      <c r="AR110" s="98">
        <f t="shared" ref="AR110:AR117" si="119">K110</f>
        <v>140</v>
      </c>
      <c r="AS110" s="98">
        <f t="shared" ref="AS110:AS117" si="120">IF(U110=0,0,AE110/U110)</f>
        <v>0</v>
      </c>
      <c r="AT110" s="98">
        <f t="shared" ref="AT110:AT117" si="121">IF(S110=0,AG110/1,AG110/S110)</f>
        <v>0</v>
      </c>
      <c r="AU110" s="98">
        <f t="shared" ref="AU110:AU117" si="122"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ref="AW110:AW117" si="123">IF(AQ110=0,0,AV110/AQ110)</f>
        <v>0</v>
      </c>
      <c r="AX110" s="234">
        <f t="shared" ref="AX110:AX117" si="124">IF(AR110=0,0,AV110/AR110)</f>
        <v>0</v>
      </c>
      <c r="AY110" s="99"/>
      <c r="AZ110" s="94">
        <f t="shared" ref="AZ110:AZ117" si="125">AV110*E110</f>
        <v>0</v>
      </c>
    </row>
    <row r="111" spans="1:52" outlineLevel="1">
      <c r="A111" s="89" t="s">
        <v>219</v>
      </c>
      <c r="B111" s="90">
        <v>260945325</v>
      </c>
      <c r="C111" s="90" t="s">
        <v>228</v>
      </c>
      <c r="D111" s="91"/>
      <c r="E111" s="232">
        <f t="shared" ref="E111:E117" si="126">SUM(F111:J111)</f>
        <v>1</v>
      </c>
      <c r="F111" s="93"/>
      <c r="G111" s="93"/>
      <c r="H111" s="272">
        <v>0</v>
      </c>
      <c r="I111" s="93">
        <v>1</v>
      </c>
      <c r="J111" s="93"/>
      <c r="K111" s="92">
        <v>154</v>
      </c>
      <c r="L111" s="92">
        <f t="shared" si="105"/>
        <v>154</v>
      </c>
      <c r="M111" s="89"/>
      <c r="N111" s="89">
        <v>0</v>
      </c>
      <c r="O111" s="89">
        <v>0</v>
      </c>
      <c r="P111" s="89">
        <v>0</v>
      </c>
      <c r="Q111" s="233">
        <f t="shared" ref="Q111:Q117" si="127">N111/3</f>
        <v>0</v>
      </c>
      <c r="R111" s="92">
        <f t="shared" ref="R111:R117" si="128">U111/3</f>
        <v>0</v>
      </c>
      <c r="S111" s="93">
        <v>0</v>
      </c>
      <c r="T111" s="93">
        <v>0</v>
      </c>
      <c r="U111" s="92">
        <f t="shared" ref="U111:U117" si="129">S111+T111</f>
        <v>0</v>
      </c>
      <c r="V111" s="93">
        <v>0</v>
      </c>
      <c r="W111" s="93">
        <v>0</v>
      </c>
      <c r="X111" s="92">
        <f t="shared" ref="X111:X117" si="130">V111+W111</f>
        <v>0</v>
      </c>
      <c r="Y111" s="93">
        <v>0</v>
      </c>
      <c r="Z111" s="93">
        <v>0</v>
      </c>
      <c r="AA111" s="92">
        <f t="shared" ref="AA111:AA117" si="131">Y111+Z111</f>
        <v>0</v>
      </c>
      <c r="AB111" s="92">
        <f t="shared" ref="AB111:AB117" si="132">N111*O111*P111/100</f>
        <v>0</v>
      </c>
      <c r="AC111" s="234">
        <f t="shared" ref="AC111:AC117" si="133">AA111/$AA$121</f>
        <v>0</v>
      </c>
      <c r="AD111" s="92">
        <f t="shared" ref="AD111:AD117" si="134">U111*K111</f>
        <v>0</v>
      </c>
      <c r="AE111" s="93">
        <v>0</v>
      </c>
      <c r="AF111" s="234">
        <f t="shared" ref="AF111:AF117" si="135">IF(AA111=0,0,AE111/AA111)</f>
        <v>0</v>
      </c>
      <c r="AG111" s="93">
        <v>0</v>
      </c>
      <c r="AH111" s="93"/>
      <c r="AI111" s="93"/>
      <c r="AJ111" s="93"/>
      <c r="AK111" s="93"/>
      <c r="AL111" s="122">
        <f t="shared" ref="AL111:AL117" si="136">IFERROR($AL$121*H111/$H$121,0)</f>
        <v>0</v>
      </c>
      <c r="AM111" s="93">
        <v>0</v>
      </c>
      <c r="AN111" s="325">
        <f t="shared" si="116"/>
        <v>0</v>
      </c>
      <c r="AO111" s="95">
        <f t="shared" si="117"/>
        <v>0</v>
      </c>
      <c r="AP111" s="96"/>
      <c r="AQ111" s="97">
        <f t="shared" si="118"/>
        <v>0</v>
      </c>
      <c r="AR111" s="98">
        <f t="shared" si="119"/>
        <v>154</v>
      </c>
      <c r="AS111" s="98">
        <f t="shared" si="120"/>
        <v>0</v>
      </c>
      <c r="AT111" s="98">
        <f t="shared" si="121"/>
        <v>0</v>
      </c>
      <c r="AU111" s="98">
        <f t="shared" si="122"/>
        <v>0</v>
      </c>
      <c r="AV111" s="98">
        <f t="array" ref="AV111">_xlfn.IFS(U111=0,AO111,U111&lt;0,AO111/-U111,U111&gt;0,AO111/U111)</f>
        <v>0</v>
      </c>
      <c r="AW111" s="234">
        <f t="shared" si="123"/>
        <v>0</v>
      </c>
      <c r="AX111" s="234">
        <f t="shared" si="124"/>
        <v>0</v>
      </c>
      <c r="AY111" s="99"/>
      <c r="AZ111" s="94">
        <f t="shared" si="125"/>
        <v>0</v>
      </c>
    </row>
    <row r="112" spans="1:52" outlineLevel="1">
      <c r="A112" s="89" t="s">
        <v>219</v>
      </c>
      <c r="B112" s="90">
        <v>261545954</v>
      </c>
      <c r="C112" s="90" t="s">
        <v>229</v>
      </c>
      <c r="D112" s="91"/>
      <c r="E112" s="232">
        <f t="shared" si="126"/>
        <v>1</v>
      </c>
      <c r="F112" s="93"/>
      <c r="G112" s="93"/>
      <c r="H112" s="272">
        <v>0</v>
      </c>
      <c r="I112" s="93">
        <v>1</v>
      </c>
      <c r="J112" s="93"/>
      <c r="K112" s="92">
        <v>220</v>
      </c>
      <c r="L112" s="92">
        <f t="shared" si="105"/>
        <v>220</v>
      </c>
      <c r="M112" s="89"/>
      <c r="N112" s="89">
        <v>0</v>
      </c>
      <c r="O112" s="89">
        <v>0</v>
      </c>
      <c r="P112" s="89">
        <v>0</v>
      </c>
      <c r="Q112" s="233">
        <f t="shared" si="127"/>
        <v>0</v>
      </c>
      <c r="R112" s="92">
        <f t="shared" si="128"/>
        <v>0</v>
      </c>
      <c r="S112" s="93">
        <v>0</v>
      </c>
      <c r="T112" s="93">
        <v>0</v>
      </c>
      <c r="U112" s="92">
        <f t="shared" si="129"/>
        <v>0</v>
      </c>
      <c r="V112" s="93">
        <v>0</v>
      </c>
      <c r="W112" s="93">
        <v>0</v>
      </c>
      <c r="X112" s="92">
        <f t="shared" si="130"/>
        <v>0</v>
      </c>
      <c r="Y112" s="93">
        <v>0</v>
      </c>
      <c r="Z112" s="93">
        <v>0</v>
      </c>
      <c r="AA112" s="92">
        <f t="shared" si="131"/>
        <v>0</v>
      </c>
      <c r="AB112" s="92">
        <f t="shared" si="132"/>
        <v>0</v>
      </c>
      <c r="AC112" s="234">
        <f t="shared" si="133"/>
        <v>0</v>
      </c>
      <c r="AD112" s="92">
        <f t="shared" si="134"/>
        <v>0</v>
      </c>
      <c r="AE112" s="93">
        <v>0</v>
      </c>
      <c r="AF112" s="234">
        <f t="shared" si="135"/>
        <v>0</v>
      </c>
      <c r="AG112" s="93">
        <v>0</v>
      </c>
      <c r="AH112" s="93"/>
      <c r="AI112" s="93"/>
      <c r="AJ112" s="93"/>
      <c r="AK112" s="93"/>
      <c r="AL112" s="122">
        <f t="shared" si="136"/>
        <v>0</v>
      </c>
      <c r="AM112" s="93">
        <v>0</v>
      </c>
      <c r="AN112" s="325">
        <f t="shared" si="116"/>
        <v>0</v>
      </c>
      <c r="AO112" s="95">
        <f t="shared" si="117"/>
        <v>0</v>
      </c>
      <c r="AP112" s="96"/>
      <c r="AQ112" s="97">
        <f t="shared" si="118"/>
        <v>0</v>
      </c>
      <c r="AR112" s="98">
        <f t="shared" si="119"/>
        <v>220</v>
      </c>
      <c r="AS112" s="98">
        <f t="shared" si="120"/>
        <v>0</v>
      </c>
      <c r="AT112" s="98">
        <f t="shared" si="121"/>
        <v>0</v>
      </c>
      <c r="AU112" s="98">
        <f t="shared" si="122"/>
        <v>0</v>
      </c>
      <c r="AV112" s="98">
        <f t="array" ref="AV112">_xlfn.IFS(U112=0,AO112,U112&lt;0,AO112/-U112,U112&gt;0,AO112/U112)</f>
        <v>0</v>
      </c>
      <c r="AW112" s="234">
        <f t="shared" si="123"/>
        <v>0</v>
      </c>
      <c r="AX112" s="234">
        <f t="shared" si="124"/>
        <v>0</v>
      </c>
      <c r="AY112" s="99"/>
      <c r="AZ112" s="94">
        <f t="shared" si="125"/>
        <v>0</v>
      </c>
    </row>
    <row r="113" spans="1:52" outlineLevel="1">
      <c r="A113" s="89" t="s">
        <v>219</v>
      </c>
      <c r="B113" s="90">
        <v>261546082</v>
      </c>
      <c r="C113" s="90" t="s">
        <v>230</v>
      </c>
      <c r="D113" s="91"/>
      <c r="E113" s="232">
        <f t="shared" si="126"/>
        <v>1</v>
      </c>
      <c r="F113" s="93"/>
      <c r="G113" s="93"/>
      <c r="H113" s="272">
        <v>0</v>
      </c>
      <c r="I113" s="93">
        <v>1</v>
      </c>
      <c r="J113" s="93"/>
      <c r="K113" s="92">
        <v>220</v>
      </c>
      <c r="L113" s="92">
        <f t="shared" si="105"/>
        <v>220</v>
      </c>
      <c r="M113" s="89"/>
      <c r="N113" s="89">
        <v>0</v>
      </c>
      <c r="O113" s="89">
        <v>0</v>
      </c>
      <c r="P113" s="89">
        <v>0</v>
      </c>
      <c r="Q113" s="233">
        <f t="shared" si="127"/>
        <v>0</v>
      </c>
      <c r="R113" s="92">
        <f t="shared" si="128"/>
        <v>0</v>
      </c>
      <c r="S113" s="93">
        <v>0</v>
      </c>
      <c r="T113" s="93">
        <v>0</v>
      </c>
      <c r="U113" s="92">
        <f t="shared" si="129"/>
        <v>0</v>
      </c>
      <c r="V113" s="93">
        <v>0</v>
      </c>
      <c r="W113" s="93">
        <v>0</v>
      </c>
      <c r="X113" s="92">
        <f t="shared" si="130"/>
        <v>0</v>
      </c>
      <c r="Y113" s="93">
        <v>0</v>
      </c>
      <c r="Z113" s="93">
        <v>0</v>
      </c>
      <c r="AA113" s="92">
        <f t="shared" si="131"/>
        <v>0</v>
      </c>
      <c r="AB113" s="92">
        <f t="shared" si="132"/>
        <v>0</v>
      </c>
      <c r="AC113" s="234">
        <f t="shared" si="133"/>
        <v>0</v>
      </c>
      <c r="AD113" s="92">
        <f t="shared" si="134"/>
        <v>0</v>
      </c>
      <c r="AE113" s="93">
        <v>0</v>
      </c>
      <c r="AF113" s="234">
        <f t="shared" si="135"/>
        <v>0</v>
      </c>
      <c r="AG113" s="93">
        <v>0</v>
      </c>
      <c r="AH113" s="93"/>
      <c r="AI113" s="93"/>
      <c r="AJ113" s="93"/>
      <c r="AK113" s="93"/>
      <c r="AL113" s="122">
        <f t="shared" si="136"/>
        <v>0</v>
      </c>
      <c r="AM113" s="93">
        <v>0</v>
      </c>
      <c r="AN113" s="325">
        <f t="shared" si="116"/>
        <v>0</v>
      </c>
      <c r="AO113" s="95">
        <f t="shared" si="117"/>
        <v>0</v>
      </c>
      <c r="AP113" s="96"/>
      <c r="AQ113" s="97">
        <f t="shared" si="118"/>
        <v>0</v>
      </c>
      <c r="AR113" s="98">
        <f t="shared" si="119"/>
        <v>220</v>
      </c>
      <c r="AS113" s="98">
        <f t="shared" si="120"/>
        <v>0</v>
      </c>
      <c r="AT113" s="98">
        <f t="shared" si="121"/>
        <v>0</v>
      </c>
      <c r="AU113" s="98">
        <f t="shared" si="122"/>
        <v>0</v>
      </c>
      <c r="AV113" s="98">
        <f t="array" ref="AV113">_xlfn.IFS(U113=0,AO113,U113&lt;0,AO113/-U113,U113&gt;0,AO113/U113)</f>
        <v>0</v>
      </c>
      <c r="AW113" s="234">
        <f t="shared" si="123"/>
        <v>0</v>
      </c>
      <c r="AX113" s="234">
        <f t="shared" si="124"/>
        <v>0</v>
      </c>
      <c r="AY113" s="99"/>
      <c r="AZ113" s="94">
        <f t="shared" si="125"/>
        <v>0</v>
      </c>
    </row>
    <row r="114" spans="1:52" outlineLevel="1">
      <c r="A114" s="89" t="s">
        <v>219</v>
      </c>
      <c r="B114" s="90">
        <v>261546175</v>
      </c>
      <c r="C114" s="90" t="s">
        <v>231</v>
      </c>
      <c r="D114" s="91"/>
      <c r="E114" s="232">
        <f t="shared" si="126"/>
        <v>6</v>
      </c>
      <c r="F114" s="93"/>
      <c r="G114" s="93"/>
      <c r="H114" s="272">
        <v>0</v>
      </c>
      <c r="I114" s="93">
        <v>1</v>
      </c>
      <c r="J114" s="93">
        <v>5</v>
      </c>
      <c r="K114" s="92">
        <v>220</v>
      </c>
      <c r="L114" s="92">
        <f t="shared" si="105"/>
        <v>1320</v>
      </c>
      <c r="M114" s="89"/>
      <c r="N114" s="89">
        <v>0</v>
      </c>
      <c r="O114" s="89">
        <v>0</v>
      </c>
      <c r="P114" s="89">
        <v>0</v>
      </c>
      <c r="Q114" s="233">
        <f t="shared" si="127"/>
        <v>0</v>
      </c>
      <c r="R114" s="92">
        <f t="shared" si="128"/>
        <v>0</v>
      </c>
      <c r="S114" s="93">
        <v>0</v>
      </c>
      <c r="T114" s="93">
        <v>0</v>
      </c>
      <c r="U114" s="92">
        <f t="shared" si="129"/>
        <v>0</v>
      </c>
      <c r="V114" s="93">
        <v>0</v>
      </c>
      <c r="W114" s="93">
        <v>0</v>
      </c>
      <c r="X114" s="92">
        <f t="shared" si="130"/>
        <v>0</v>
      </c>
      <c r="Y114" s="93">
        <v>0</v>
      </c>
      <c r="Z114" s="93">
        <v>0</v>
      </c>
      <c r="AA114" s="92">
        <f t="shared" si="131"/>
        <v>0</v>
      </c>
      <c r="AB114" s="92">
        <f t="shared" si="132"/>
        <v>0</v>
      </c>
      <c r="AC114" s="234">
        <f t="shared" si="133"/>
        <v>0</v>
      </c>
      <c r="AD114" s="92">
        <f t="shared" si="134"/>
        <v>0</v>
      </c>
      <c r="AE114" s="93">
        <v>0</v>
      </c>
      <c r="AF114" s="234">
        <f t="shared" si="135"/>
        <v>0</v>
      </c>
      <c r="AG114" s="93">
        <v>0</v>
      </c>
      <c r="AH114" s="93"/>
      <c r="AI114" s="93"/>
      <c r="AJ114" s="93"/>
      <c r="AK114" s="93"/>
      <c r="AL114" s="122">
        <f t="shared" si="136"/>
        <v>0</v>
      </c>
      <c r="AM114" s="93">
        <v>0</v>
      </c>
      <c r="AN114" s="325">
        <f t="shared" si="116"/>
        <v>0</v>
      </c>
      <c r="AO114" s="95">
        <f t="shared" si="117"/>
        <v>0</v>
      </c>
      <c r="AP114" s="96"/>
      <c r="AQ114" s="97">
        <f t="shared" si="118"/>
        <v>0</v>
      </c>
      <c r="AR114" s="98">
        <f t="shared" si="119"/>
        <v>220</v>
      </c>
      <c r="AS114" s="98">
        <f t="shared" si="120"/>
        <v>0</v>
      </c>
      <c r="AT114" s="98">
        <f t="shared" si="121"/>
        <v>0</v>
      </c>
      <c r="AU114" s="98">
        <f t="shared" si="122"/>
        <v>0</v>
      </c>
      <c r="AV114" s="98">
        <f t="array" ref="AV114">_xlfn.IFS(U114=0,AO114,U114&lt;0,AO114/-U114,U114&gt;0,AO114/U114)</f>
        <v>0</v>
      </c>
      <c r="AW114" s="234">
        <f t="shared" si="123"/>
        <v>0</v>
      </c>
      <c r="AX114" s="234">
        <f t="shared" si="124"/>
        <v>0</v>
      </c>
      <c r="AY114" s="99"/>
      <c r="AZ114" s="94">
        <f t="shared" si="125"/>
        <v>0</v>
      </c>
    </row>
    <row r="115" spans="1:52" outlineLevel="1">
      <c r="A115" s="89" t="s">
        <v>219</v>
      </c>
      <c r="B115" s="90">
        <v>261548725</v>
      </c>
      <c r="C115" s="90" t="s">
        <v>232</v>
      </c>
      <c r="D115" s="91"/>
      <c r="E115" s="232">
        <f t="shared" si="126"/>
        <v>1</v>
      </c>
      <c r="F115" s="93"/>
      <c r="G115" s="93"/>
      <c r="H115" s="272">
        <v>0</v>
      </c>
      <c r="I115" s="93">
        <v>1</v>
      </c>
      <c r="J115" s="93"/>
      <c r="K115" s="92">
        <v>205</v>
      </c>
      <c r="L115" s="92">
        <f t="shared" si="105"/>
        <v>205</v>
      </c>
      <c r="M115" s="89"/>
      <c r="N115" s="89">
        <v>0</v>
      </c>
      <c r="O115" s="89">
        <v>0</v>
      </c>
      <c r="P115" s="89">
        <v>0</v>
      </c>
      <c r="Q115" s="233">
        <f t="shared" si="127"/>
        <v>0</v>
      </c>
      <c r="R115" s="92">
        <f t="shared" si="128"/>
        <v>0</v>
      </c>
      <c r="S115" s="93">
        <v>0</v>
      </c>
      <c r="T115" s="93">
        <v>0</v>
      </c>
      <c r="U115" s="92">
        <f t="shared" si="129"/>
        <v>0</v>
      </c>
      <c r="V115" s="93">
        <v>0</v>
      </c>
      <c r="W115" s="93">
        <v>0</v>
      </c>
      <c r="X115" s="92">
        <f t="shared" si="130"/>
        <v>0</v>
      </c>
      <c r="Y115" s="93">
        <v>0</v>
      </c>
      <c r="Z115" s="93">
        <v>0</v>
      </c>
      <c r="AA115" s="92">
        <f t="shared" si="131"/>
        <v>0</v>
      </c>
      <c r="AB115" s="92">
        <f t="shared" si="132"/>
        <v>0</v>
      </c>
      <c r="AC115" s="234">
        <f t="shared" si="133"/>
        <v>0</v>
      </c>
      <c r="AD115" s="92">
        <f t="shared" si="134"/>
        <v>0</v>
      </c>
      <c r="AE115" s="93">
        <v>0</v>
      </c>
      <c r="AF115" s="234">
        <f t="shared" si="135"/>
        <v>0</v>
      </c>
      <c r="AG115" s="93">
        <v>0</v>
      </c>
      <c r="AH115" s="93"/>
      <c r="AI115" s="93"/>
      <c r="AJ115" s="93"/>
      <c r="AK115" s="93"/>
      <c r="AL115" s="122">
        <f t="shared" si="136"/>
        <v>0</v>
      </c>
      <c r="AM115" s="93">
        <v>0</v>
      </c>
      <c r="AN115" s="325">
        <f t="shared" si="116"/>
        <v>0</v>
      </c>
      <c r="AO115" s="95">
        <f t="shared" si="117"/>
        <v>0</v>
      </c>
      <c r="AP115" s="96"/>
      <c r="AQ115" s="97">
        <f t="shared" si="118"/>
        <v>0</v>
      </c>
      <c r="AR115" s="98">
        <f t="shared" si="119"/>
        <v>205</v>
      </c>
      <c r="AS115" s="98">
        <f t="shared" si="120"/>
        <v>0</v>
      </c>
      <c r="AT115" s="98">
        <f t="shared" si="121"/>
        <v>0</v>
      </c>
      <c r="AU115" s="98">
        <f t="shared" si="122"/>
        <v>0</v>
      </c>
      <c r="AV115" s="98">
        <f t="array" ref="AV115">_xlfn.IFS(U115=0,AO115,U115&lt;0,AO115/-U115,U115&gt;0,AO115/U115)</f>
        <v>0</v>
      </c>
      <c r="AW115" s="234">
        <f t="shared" si="123"/>
        <v>0</v>
      </c>
      <c r="AX115" s="234">
        <f t="shared" si="124"/>
        <v>0</v>
      </c>
      <c r="AY115" s="99"/>
      <c r="AZ115" s="94">
        <f t="shared" si="125"/>
        <v>0</v>
      </c>
    </row>
    <row r="116" spans="1:52" outlineLevel="1">
      <c r="A116" s="89" t="s">
        <v>219</v>
      </c>
      <c r="B116" s="90">
        <v>261549082</v>
      </c>
      <c r="C116" s="90" t="s">
        <v>233</v>
      </c>
      <c r="D116" s="91"/>
      <c r="E116" s="232">
        <f t="shared" si="126"/>
        <v>1</v>
      </c>
      <c r="F116" s="93"/>
      <c r="G116" s="93"/>
      <c r="H116" s="272">
        <v>0</v>
      </c>
      <c r="I116" s="93">
        <v>1</v>
      </c>
      <c r="J116" s="93"/>
      <c r="K116" s="92">
        <v>205</v>
      </c>
      <c r="L116" s="92">
        <f t="shared" si="105"/>
        <v>205</v>
      </c>
      <c r="M116" s="89"/>
      <c r="N116" s="89">
        <v>0</v>
      </c>
      <c r="O116" s="89">
        <v>0</v>
      </c>
      <c r="P116" s="89">
        <v>0</v>
      </c>
      <c r="Q116" s="233">
        <f t="shared" si="127"/>
        <v>0</v>
      </c>
      <c r="R116" s="92">
        <f t="shared" si="128"/>
        <v>0</v>
      </c>
      <c r="S116" s="93">
        <v>0</v>
      </c>
      <c r="T116" s="93">
        <v>0</v>
      </c>
      <c r="U116" s="92">
        <f t="shared" si="129"/>
        <v>0</v>
      </c>
      <c r="V116" s="93">
        <v>0</v>
      </c>
      <c r="W116" s="93">
        <v>0</v>
      </c>
      <c r="X116" s="92">
        <f t="shared" si="130"/>
        <v>0</v>
      </c>
      <c r="Y116" s="93">
        <v>0</v>
      </c>
      <c r="Z116" s="93">
        <v>0</v>
      </c>
      <c r="AA116" s="92">
        <f t="shared" si="131"/>
        <v>0</v>
      </c>
      <c r="AB116" s="92">
        <f t="shared" si="132"/>
        <v>0</v>
      </c>
      <c r="AC116" s="234">
        <f t="shared" si="133"/>
        <v>0</v>
      </c>
      <c r="AD116" s="92">
        <f t="shared" si="134"/>
        <v>0</v>
      </c>
      <c r="AE116" s="93">
        <v>0</v>
      </c>
      <c r="AF116" s="234">
        <f t="shared" si="135"/>
        <v>0</v>
      </c>
      <c r="AG116" s="93">
        <v>0</v>
      </c>
      <c r="AH116" s="93"/>
      <c r="AI116" s="93"/>
      <c r="AJ116" s="93"/>
      <c r="AK116" s="93"/>
      <c r="AL116" s="122">
        <f t="shared" si="136"/>
        <v>0</v>
      </c>
      <c r="AM116" s="93">
        <v>0</v>
      </c>
      <c r="AN116" s="325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205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261561322</v>
      </c>
      <c r="C117" s="90" t="s">
        <v>234</v>
      </c>
      <c r="D117" s="121"/>
      <c r="E117" s="241">
        <f t="shared" si="126"/>
        <v>1</v>
      </c>
      <c r="F117" s="93"/>
      <c r="G117" s="93"/>
      <c r="H117" s="272">
        <v>0</v>
      </c>
      <c r="I117" s="93">
        <v>1</v>
      </c>
      <c r="J117" s="93"/>
      <c r="K117" s="92">
        <v>453</v>
      </c>
      <c r="L117" s="92">
        <f t="shared" si="105"/>
        <v>453</v>
      </c>
      <c r="M117" s="89"/>
      <c r="N117" s="89">
        <v>0</v>
      </c>
      <c r="O117" s="89">
        <v>0</v>
      </c>
      <c r="P117" s="89">
        <v>0</v>
      </c>
      <c r="Q117" s="233">
        <f t="shared" si="127"/>
        <v>0</v>
      </c>
      <c r="R117" s="92">
        <f t="shared" si="128"/>
        <v>0</v>
      </c>
      <c r="S117" s="93">
        <v>0</v>
      </c>
      <c r="T117" s="93">
        <v>0</v>
      </c>
      <c r="U117" s="92">
        <f t="shared" si="129"/>
        <v>0</v>
      </c>
      <c r="V117" s="93">
        <v>0</v>
      </c>
      <c r="W117" s="93">
        <v>0</v>
      </c>
      <c r="X117" s="92">
        <f t="shared" si="130"/>
        <v>0</v>
      </c>
      <c r="Y117" s="93">
        <v>0</v>
      </c>
      <c r="Z117" s="93">
        <v>0</v>
      </c>
      <c r="AA117" s="92">
        <f t="shared" si="131"/>
        <v>0</v>
      </c>
      <c r="AB117" s="92">
        <f t="shared" si="132"/>
        <v>0</v>
      </c>
      <c r="AC117" s="234">
        <f t="shared" si="133"/>
        <v>0</v>
      </c>
      <c r="AD117" s="92">
        <f t="shared" si="134"/>
        <v>0</v>
      </c>
      <c r="AE117" s="93">
        <v>0</v>
      </c>
      <c r="AF117" s="234">
        <f t="shared" si="135"/>
        <v>0</v>
      </c>
      <c r="AG117" s="93">
        <v>0</v>
      </c>
      <c r="AH117" s="93"/>
      <c r="AI117" s="93"/>
      <c r="AJ117" s="93"/>
      <c r="AK117" s="93"/>
      <c r="AL117" s="122">
        <f t="shared" si="136"/>
        <v>0</v>
      </c>
      <c r="AM117" s="93">
        <v>0</v>
      </c>
      <c r="AN117" s="325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453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>
      <c r="A118" s="127"/>
      <c r="B118" s="100"/>
      <c r="C118" s="89"/>
      <c r="D118" s="127"/>
      <c r="E118" s="232"/>
      <c r="F118" s="92"/>
      <c r="G118" s="92"/>
      <c r="H118" s="93"/>
      <c r="I118" s="92"/>
      <c r="J118" s="93"/>
      <c r="K118" s="92"/>
      <c r="L118" s="92"/>
      <c r="M118" s="89"/>
      <c r="N118" s="129"/>
      <c r="O118" s="129"/>
      <c r="P118" s="129"/>
      <c r="Q118" s="233"/>
      <c r="R118" s="128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234"/>
      <c r="AD118" s="92"/>
      <c r="AE118" s="92"/>
      <c r="AF118" s="234"/>
      <c r="AG118" s="92"/>
      <c r="AH118" s="93"/>
      <c r="AI118" s="93"/>
      <c r="AJ118" s="93"/>
      <c r="AK118" s="93"/>
      <c r="AL118" s="122"/>
      <c r="AN118" s="94"/>
      <c r="AO118" s="95"/>
      <c r="AP118" s="96"/>
      <c r="AQ118" s="130">
        <f t="shared" ref="AQ118:AX118" si="137">AVERAGE(AQ110:AQ117)</f>
        <v>0</v>
      </c>
      <c r="AR118" s="130">
        <f t="shared" si="137"/>
        <v>227.125</v>
      </c>
      <c r="AS118" s="130">
        <f t="shared" si="137"/>
        <v>0</v>
      </c>
      <c r="AT118" s="130">
        <f t="shared" si="137"/>
        <v>0</v>
      </c>
      <c r="AU118" s="130">
        <f t="shared" si="137"/>
        <v>0</v>
      </c>
      <c r="AV118" s="130">
        <f t="shared" si="137"/>
        <v>0</v>
      </c>
      <c r="AW118" s="131">
        <f t="shared" si="137"/>
        <v>0</v>
      </c>
      <c r="AX118" s="131">
        <f t="shared" si="137"/>
        <v>0</v>
      </c>
      <c r="AY118" s="99"/>
      <c r="AZ118" s="94"/>
    </row>
    <row r="119" spans="1:52" s="139" customFormat="1" ht="15" customHeight="1">
      <c r="A119" s="132" t="s">
        <v>235</v>
      </c>
      <c r="B119" s="133"/>
      <c r="C119" s="134"/>
      <c r="D119" s="134"/>
      <c r="E119" s="264">
        <f t="shared" ref="E119:J119" si="138">SUM(E110:E117)</f>
        <v>14</v>
      </c>
      <c r="F119" s="134">
        <f t="shared" si="138"/>
        <v>0</v>
      </c>
      <c r="G119" s="134">
        <f t="shared" si="138"/>
        <v>0</v>
      </c>
      <c r="H119" s="134">
        <f t="shared" si="138"/>
        <v>0</v>
      </c>
      <c r="I119" s="134">
        <f t="shared" si="138"/>
        <v>8</v>
      </c>
      <c r="J119" s="134">
        <f t="shared" si="138"/>
        <v>6</v>
      </c>
      <c r="K119" s="134"/>
      <c r="L119" s="134">
        <f>SUM(L110:L117)</f>
        <v>3057</v>
      </c>
      <c r="M119" s="134"/>
      <c r="N119" s="134">
        <f>SUM(N110:N117)</f>
        <v>0</v>
      </c>
      <c r="O119" s="134"/>
      <c r="P119" s="134"/>
      <c r="Q119" s="213"/>
      <c r="R119" s="134"/>
      <c r="S119" s="134">
        <f t="shared" ref="S119:AE119" si="139">SUM(S110:S117)</f>
        <v>0</v>
      </c>
      <c r="T119" s="134">
        <f t="shared" si="139"/>
        <v>0</v>
      </c>
      <c r="U119" s="134">
        <f t="shared" si="139"/>
        <v>0</v>
      </c>
      <c r="V119" s="134">
        <f t="shared" si="139"/>
        <v>0</v>
      </c>
      <c r="W119" s="134">
        <f t="shared" si="139"/>
        <v>0</v>
      </c>
      <c r="X119" s="134">
        <f t="shared" si="139"/>
        <v>0</v>
      </c>
      <c r="Y119" s="134">
        <f t="shared" si="139"/>
        <v>0</v>
      </c>
      <c r="Z119" s="134">
        <f t="shared" si="139"/>
        <v>0</v>
      </c>
      <c r="AA119" s="134">
        <f t="shared" si="139"/>
        <v>0</v>
      </c>
      <c r="AB119" s="134">
        <f t="shared" si="139"/>
        <v>0</v>
      </c>
      <c r="AC119" s="265">
        <f t="shared" si="139"/>
        <v>0</v>
      </c>
      <c r="AD119" s="135">
        <f t="shared" si="139"/>
        <v>0</v>
      </c>
      <c r="AE119" s="134">
        <f t="shared" si="139"/>
        <v>0</v>
      </c>
      <c r="AF119" s="265" t="e">
        <f>AE119/AA119</f>
        <v>#DIV/0!</v>
      </c>
      <c r="AG119" s="134">
        <f t="shared" ref="AG119:AO119" si="140">SUM(AG110:AG117)</f>
        <v>0</v>
      </c>
      <c r="AH119" s="134">
        <f t="shared" si="140"/>
        <v>0</v>
      </c>
      <c r="AI119" s="134">
        <f t="shared" si="140"/>
        <v>0</v>
      </c>
      <c r="AJ119" s="134">
        <f t="shared" si="140"/>
        <v>0</v>
      </c>
      <c r="AK119" s="134">
        <f t="shared" si="140"/>
        <v>0</v>
      </c>
      <c r="AL119" s="136">
        <f t="shared" si="140"/>
        <v>0</v>
      </c>
      <c r="AM119" s="134">
        <f t="shared" si="140"/>
        <v>0</v>
      </c>
      <c r="AN119" s="134">
        <f t="shared" si="140"/>
        <v>0</v>
      </c>
      <c r="AO119" s="134">
        <f t="shared" si="140"/>
        <v>0</v>
      </c>
      <c r="AP119" s="137"/>
      <c r="AQ119" s="134"/>
      <c r="AR119" s="134"/>
      <c r="AS119" s="134"/>
      <c r="AT119" s="134"/>
      <c r="AU119" s="134" t="e">
        <f>(AH119+AI119+AJ119)/S119</f>
        <v>#DIV/0!</v>
      </c>
      <c r="AV119" s="134"/>
      <c r="AW119" s="134"/>
      <c r="AX119" s="134"/>
      <c r="AY119" s="138"/>
      <c r="AZ119" s="134">
        <f>SUM(AZ110:AZ117)</f>
        <v>0</v>
      </c>
    </row>
    <row r="120" spans="1:52" s="143" customFormat="1">
      <c r="A120" s="140"/>
      <c r="B120" s="141"/>
      <c r="C120" s="142"/>
      <c r="D120" s="142"/>
      <c r="E120" s="266"/>
      <c r="H120" s="144"/>
      <c r="N120" s="144"/>
      <c r="O120" s="144"/>
      <c r="P120" s="144"/>
      <c r="Q120" s="214"/>
      <c r="R120" s="145"/>
      <c r="S120" s="146"/>
      <c r="T120" s="146"/>
      <c r="U120" s="147"/>
      <c r="V120" s="147"/>
      <c r="W120" s="147"/>
      <c r="X120" s="147"/>
      <c r="Y120" s="146"/>
      <c r="Z120" s="147"/>
      <c r="AA120" s="147"/>
      <c r="AB120" s="147"/>
      <c r="AE120" s="148"/>
      <c r="AG120" s="146"/>
      <c r="AH120" s="548"/>
      <c r="AI120" s="548"/>
      <c r="AJ120" s="217"/>
      <c r="AK120" s="217"/>
      <c r="AL120" s="149"/>
      <c r="AM120" s="150"/>
      <c r="AP120" s="151"/>
      <c r="AQ120" s="144"/>
      <c r="AR120" s="144"/>
      <c r="AS120" s="144"/>
      <c r="AT120" s="144"/>
      <c r="AU120" s="144"/>
      <c r="AV120" s="144"/>
      <c r="AW120" s="144"/>
      <c r="AX120" s="144"/>
      <c r="AY120" s="152"/>
    </row>
    <row r="121" spans="1:52" s="158" customFormat="1">
      <c r="A121" s="153" t="s">
        <v>6</v>
      </c>
      <c r="B121" s="154"/>
      <c r="C121" s="155"/>
      <c r="D121" s="155"/>
      <c r="E121" s="267">
        <f t="shared" ref="E121:AE121" si="141">E100+E108+E119</f>
        <v>12587</v>
      </c>
      <c r="F121" s="267">
        <f t="shared" si="141"/>
        <v>0</v>
      </c>
      <c r="G121" s="267">
        <f t="shared" si="141"/>
        <v>0</v>
      </c>
      <c r="H121" s="267">
        <f t="shared" si="141"/>
        <v>12567</v>
      </c>
      <c r="I121" s="267">
        <f t="shared" si="141"/>
        <v>8</v>
      </c>
      <c r="J121" s="267">
        <f t="shared" si="141"/>
        <v>12</v>
      </c>
      <c r="K121" s="267">
        <f t="shared" si="141"/>
        <v>0</v>
      </c>
      <c r="L121" s="267">
        <f t="shared" si="141"/>
        <v>1604925.6099999996</v>
      </c>
      <c r="M121" s="267">
        <f t="shared" si="141"/>
        <v>0</v>
      </c>
      <c r="N121" s="267">
        <f t="shared" si="141"/>
        <v>129</v>
      </c>
      <c r="O121" s="267">
        <f t="shared" si="141"/>
        <v>0</v>
      </c>
      <c r="P121" s="267">
        <f t="shared" si="141"/>
        <v>0</v>
      </c>
      <c r="Q121" s="215">
        <f t="shared" si="141"/>
        <v>0</v>
      </c>
      <c r="R121" s="267">
        <f t="shared" si="141"/>
        <v>0</v>
      </c>
      <c r="S121" s="267">
        <f t="shared" si="141"/>
        <v>127</v>
      </c>
      <c r="T121" s="267">
        <f t="shared" si="141"/>
        <v>-5</v>
      </c>
      <c r="U121" s="267">
        <f t="shared" si="141"/>
        <v>122</v>
      </c>
      <c r="V121" s="267">
        <f t="shared" si="141"/>
        <v>118047.57</v>
      </c>
      <c r="W121" s="267">
        <f t="shared" si="141"/>
        <v>-6409</v>
      </c>
      <c r="X121" s="267">
        <f t="shared" si="141"/>
        <v>111638.57</v>
      </c>
      <c r="Y121" s="267">
        <f t="shared" si="141"/>
        <v>138964.57</v>
      </c>
      <c r="Z121" s="267">
        <f t="shared" si="141"/>
        <v>-7526</v>
      </c>
      <c r="AA121" s="267">
        <f t="shared" si="141"/>
        <v>131438.57</v>
      </c>
      <c r="AB121" s="267">
        <f t="shared" si="141"/>
        <v>82870.180000000008</v>
      </c>
      <c r="AC121" s="267">
        <f t="shared" si="141"/>
        <v>1</v>
      </c>
      <c r="AD121" s="267">
        <f t="shared" si="141"/>
        <v>15240.450000000004</v>
      </c>
      <c r="AE121" s="267">
        <f t="shared" si="141"/>
        <v>48126.54</v>
      </c>
      <c r="AF121" s="268">
        <f>AE121/AA121</f>
        <v>0.3661523402149004</v>
      </c>
      <c r="AG121" s="267">
        <f>AG100+AG108+AG119</f>
        <v>17381.100000000002</v>
      </c>
      <c r="AH121" s="267">
        <f>AH100+AH108+AH119</f>
        <v>0</v>
      </c>
      <c r="AI121" s="267">
        <f>AI100+AI108+AI119</f>
        <v>0</v>
      </c>
      <c r="AJ121" s="267">
        <f>AJ100+AJ108+AJ119</f>
        <v>0</v>
      </c>
      <c r="AK121" s="267">
        <f>AK100+AK108+AK119</f>
        <v>0</v>
      </c>
      <c r="AL121" s="156">
        <v>3616.22</v>
      </c>
      <c r="AM121" s="267">
        <f>AM100+AM108+AM119</f>
        <v>0</v>
      </c>
      <c r="AN121" s="267">
        <f>AN100+AN108+AN119</f>
        <v>6067.2400000000016</v>
      </c>
      <c r="AO121" s="267">
        <f>AO100+AO108+AO119</f>
        <v>41007.020000000048</v>
      </c>
      <c r="AP121" s="155"/>
      <c r="AQ121" s="155"/>
      <c r="AR121" s="155"/>
      <c r="AS121" s="155"/>
      <c r="AT121" s="155"/>
      <c r="AU121" s="155">
        <f>(AH121+AI121)/S121</f>
        <v>0</v>
      </c>
      <c r="AV121" s="155"/>
      <c r="AW121" s="155"/>
      <c r="AX121" s="155"/>
      <c r="AY121" s="157"/>
      <c r="AZ121" s="155">
        <f>AZ100+AZ119</f>
        <v>2795865.8173724678</v>
      </c>
    </row>
    <row r="122" spans="1:52" s="143" customFormat="1">
      <c r="A122" s="142"/>
      <c r="B122" s="141"/>
      <c r="C122" s="159" t="s">
        <v>236</v>
      </c>
      <c r="D122" s="142"/>
      <c r="E122" s="266"/>
      <c r="N122" s="144"/>
      <c r="O122" s="144"/>
      <c r="P122" s="144"/>
      <c r="R122" s="145"/>
      <c r="S122" s="146"/>
      <c r="T122" s="146"/>
      <c r="U122" s="147"/>
      <c r="V122" s="147"/>
      <c r="W122" s="147"/>
      <c r="X122" s="147"/>
      <c r="Y122" s="146"/>
      <c r="Z122" s="147"/>
      <c r="AA122" s="147"/>
      <c r="AB122" s="147"/>
      <c r="AE122" s="148"/>
      <c r="AG122" s="160"/>
      <c r="AH122" s="548">
        <f>AH101+AH109+AH120</f>
        <v>0</v>
      </c>
      <c r="AI122" s="548"/>
      <c r="AJ122" s="217"/>
      <c r="AK122" s="217"/>
      <c r="AL122" s="149"/>
      <c r="AM122" s="150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2"/>
    </row>
    <row r="123" spans="1:52">
      <c r="C123" s="162"/>
      <c r="D123" s="162"/>
    </row>
    <row r="124" spans="1:52">
      <c r="C124" s="162"/>
      <c r="D124" s="162"/>
    </row>
  </sheetData>
  <mergeCells count="12">
    <mergeCell ref="F1:H1"/>
    <mergeCell ref="I1:J1"/>
    <mergeCell ref="N1:P1"/>
    <mergeCell ref="S1:T1"/>
    <mergeCell ref="V1:W1"/>
    <mergeCell ref="AH122:AI122"/>
    <mergeCell ref="AH1:AI1"/>
    <mergeCell ref="Y1:Z1"/>
    <mergeCell ref="AQ1:AX1"/>
    <mergeCell ref="AH101:AI101"/>
    <mergeCell ref="AH109:AI109"/>
    <mergeCell ref="AH120:AI120"/>
  </mergeCells>
  <conditionalFormatting sqref="AC123:AC1048576">
    <cfRule type="cellIs" dxfId="5" priority="8" operator="greaterThan">
      <formula>0.23</formula>
    </cfRule>
  </conditionalFormatting>
  <conditionalFormatting sqref="M118:O118 M3:M99 M101:M107">
    <cfRule type="cellIs" dxfId="4" priority="28" operator="greaterThan">
      <formula>120</formula>
    </cfRule>
  </conditionalFormatting>
  <conditionalFormatting sqref="AC120 AC122">
    <cfRule type="cellIs" dxfId="3" priority="29" operator="greaterThan">
      <formula>0.23</formula>
    </cfRule>
  </conditionalFormatting>
  <conditionalFormatting sqref="AA118:AC118 AA101:AC101 AA107:AC107 AA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{E19589A7-B3FE-48EC-92C3-31E81D2D7778}</x14:id>
        </ext>
      </extLst>
    </cfRule>
  </conditionalFormatting>
  <conditionalFormatting sqref="AC101 AC107 AC3:AC99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{7C433639-5B2A-43BB-8888-F49C0E97BE91}</x14:id>
        </ext>
      </extLst>
    </cfRule>
  </conditionalFormatting>
  <conditionalFormatting sqref="AO101 AO118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{DCCC66FD-F1E5-4C47-980C-87C7B7282463}</x14:id>
        </ext>
      </extLst>
    </cfRule>
  </conditionalFormatting>
  <conditionalFormatting sqref="AO101 AO107 AO3:AO99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{7CB5500A-85DE-422E-AB2A-AB8ACBD58D8C}</x14:id>
        </ext>
      </extLst>
    </cfRule>
  </conditionalFormatting>
  <conditionalFormatting sqref="AC1">
    <cfRule type="cellIs" dxfId="2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{7EF94527-42DE-4D7F-8B9A-391E091428F0}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{3C5A0802-B0A1-4416-9B2D-F4C9D7437788}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{F229E46B-089F-4C7B-B8A4-9C2702CF565E}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{487A228F-E799-428F-B021-7D2832212943}</x14:id>
        </ext>
      </extLst>
    </cfRule>
  </conditionalFormatting>
  <conditionalFormatting sqref="Q118">
    <cfRule type="cellIs" dxfId="1" priority="21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{F0A68856-173A-4905-9675-D794C417B62B}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{047A4073-3D77-40C7-89D8-3951306F01B0}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{8ECB7440-29F9-4F5E-B1EE-A58915CBC527}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{9BE7AD40-3E55-4140-99D2-8778A9C77A06}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{C014129F-E395-4D91-AF91-E2502B6BDDE2}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{CC17C9B7-904B-469D-B73C-7D2A6EE88036}</x14:id>
        </ext>
      </extLst>
    </cfRule>
  </conditionalFormatting>
  <conditionalFormatting sqref="AZ3:AZ16 AZ101 AZ118 AZ107 AZ94:AZ99 AZ26:AZ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{F20D3DD8-8F83-4D0F-A0AA-4F899CDD476E}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{84F00A66-46DF-4F7B-B3FC-54D4404198AA}</x14:id>
        </ext>
      </extLst>
    </cfRule>
  </conditionalFormatting>
  <conditionalFormatting sqref="AV3:AV16 AV101 AV94:AV98 AV26:AV4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{2C89F7E3-F7C7-4A38-8961-621C826D6FEE}</x14:id>
        </ext>
      </extLst>
    </cfRule>
  </conditionalFormatting>
  <conditionalFormatting sqref="AW101:AX101 AW3:AX16 AW94:AX98 AW26:AX4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{049CBEC6-5E2C-4145-BAB5-8D936A10A64D}</x14:id>
        </ext>
      </extLst>
    </cfRule>
  </conditionalFormatting>
  <conditionalFormatting sqref="AZ3:AZ16 AZ101 AZ107 AZ94:AZ99 AZ26:AZ4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{32C95F51-101C-44DC-8D00-0A3260FB86A1}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{CFE36911-70A0-4EFB-B2E0-4B6A42EF38F1}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{51F1122F-FEB2-4652-8830-599A20349369}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{BDDBCD86-8747-4732-BAB5-852D56289257}</x14:id>
        </ext>
      </extLst>
    </cfRule>
  </conditionalFormatting>
  <conditionalFormatting sqref="M110:M117">
    <cfRule type="cellIs" dxfId="0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{53DF4370-1A15-4D1C-AEC8-F723F6AC6C52}</x14:id>
        </ext>
      </extLst>
    </cfRule>
  </conditionalFormatting>
  <conditionalFormatting sqref="AC102:AC106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{BD786BF1-74CC-4B68-BEEF-EA89054CC2EA}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{1E712984-0ED5-4219-B682-35089A2D7314}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{3DD987C7-0DD8-4891-BE12-5D34E4F67EE3}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{03AEA52F-C15A-4975-9402-25CF86CBF9ED}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{AE9876B9-C695-4BFB-87FB-D668A9F45C0B}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{9B83067D-830C-4806-A5DC-9330FD84B0C7}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{4C67649C-E0F5-4B30-83E8-F046229A8E1D}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9589A7-B3FE-48EC-92C3-31E81D2D77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7C433639-5B2A-43BB-8888-F49C0E97BE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CCC66FD-F1E5-4C47-980C-87C7B7282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7CB5500A-85DE-422E-AB2A-AB8ACBD58D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7EF94527-42DE-4D7F-8B9A-391E091428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3C5A0802-B0A1-4416-9B2D-F4C9D743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F229E46B-089F-4C7B-B8A4-9C2702CF56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487A228F-E799-428F-B021-7D28322129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F0A68856-173A-4905-9675-D794C417B6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047A4073-3D77-40C7-89D8-3951306F01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8ECB7440-29F9-4F5E-B1EE-A58915CBC5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BE7AD40-3E55-4140-99D2-8778A9C77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C014129F-E395-4D91-AF91-E2502B6BD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CC17C9B7-904B-469D-B73C-7D2A6EE88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F20D3DD8-8F83-4D0F-A0AA-4F899CDD4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84F00A66-46DF-4F7B-B3FC-54D440419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2C89F7E3-F7C7-4A38-8961-621C826D6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049CBEC6-5E2C-4145-BAB5-8D936A10A6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32C95F51-101C-44DC-8D00-0A3260FB8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CFE36911-70A0-4EFB-B2E0-4B6A42EF38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51F1122F-FEB2-4652-8830-599A20349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BDDBCD86-8747-4732-BAB5-852D562892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53DF4370-1A15-4D1C-AEC8-F723F6AC6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BD786BF1-74CC-4B68-BEEF-EA89054CC2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1E712984-0ED5-4219-B682-35089A2D73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3DD987C7-0DD8-4891-BE12-5D34E4F67E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03AEA52F-C15A-4975-9402-25CF86CBF9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AE9876B9-C695-4BFB-87FB-D668A9F4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9B83067D-830C-4806-A5DC-9330FD84B0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4C67649C-E0F5-4B30-83E8-F046229A8E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37</vt:i4>
      </vt:variant>
    </vt:vector>
  </HeadingPairs>
  <TitlesOfParts>
    <vt:vector size="37" baseType="lpstr">
      <vt:lpstr>Реклама</vt:lpstr>
      <vt:lpstr>Сводная_план</vt:lpstr>
      <vt:lpstr>Сводная</vt:lpstr>
      <vt:lpstr>АВС 18</vt:lpstr>
      <vt:lpstr>АВС 17</vt:lpstr>
      <vt:lpstr>АВС 16</vt:lpstr>
      <vt:lpstr>АВС 15</vt:lpstr>
      <vt:lpstr>АВС 14</vt:lpstr>
      <vt:lpstr>АВС МАРТ</vt:lpstr>
      <vt:lpstr>АВС 13</vt:lpstr>
      <vt:lpstr>АВС 12</vt:lpstr>
      <vt:lpstr>АВС 11</vt:lpstr>
      <vt:lpstr>АВС 10</vt:lpstr>
      <vt:lpstr>АВС ФЕВРАЛЬ</vt:lpstr>
      <vt:lpstr>АВС 9</vt:lpstr>
      <vt:lpstr>АВС 8</vt:lpstr>
      <vt:lpstr>АВС ЯНВАРЬ</vt:lpstr>
      <vt:lpstr>2026</vt:lpstr>
      <vt:lpstr>Остаток на 01.04</vt:lpstr>
      <vt:lpstr>Юнит 18</vt:lpstr>
      <vt:lpstr>Юнит 17</vt:lpstr>
      <vt:lpstr>Юнит 16</vt:lpstr>
      <vt:lpstr>Юнит 15</vt:lpstr>
      <vt:lpstr>Остатки на 08.04</vt:lpstr>
      <vt:lpstr>Юнит 14</vt:lpstr>
      <vt:lpstr>МАРТ</vt:lpstr>
      <vt:lpstr>Юнит 13</vt:lpstr>
      <vt:lpstr>Юнит 12</vt:lpstr>
      <vt:lpstr>Юнит 11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2026-04-27T11:55:49Z</dcterms:modified>
</cp:coreProperties>
</file>